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viszeral\darm\"/>
    </mc:Choice>
  </mc:AlternateContent>
  <xr:revisionPtr revIDLastSave="0" documentId="13_ncr:1_{9FA4620C-F76D-46B3-B15F-5C04A68369BE}" xr6:coauthVersionLast="47" xr6:coauthVersionMax="47" xr10:uidLastSave="{00000000-0000-0000-0000-000000000000}"/>
  <workbookProtection workbookAlgorithmName="SHA-512" workbookHashValue="+++O0BzQccFqjFnS5ax8fvDjovK8M/a1tQWxCFmv1CetlCb0rZkP7EsBeZKEgIBjveiZA8qy4CpM73qGKLUPpg==" workbookSaltValue="bCCDdH6tVzxwRGZZbBOx5w==" workbookSpinCount="100000" lockStructure="1"/>
  <bookViews>
    <workbookView xWindow="-120" yWindow="-120" windowWidth="29040" windowHeight="15840" tabRatio="819" xr2:uid="{00000000-000D-0000-FFFF-FFFF00000000}"/>
  </bookViews>
  <sheets>
    <sheet name="Basic data" sheetId="54" r:id="rId1"/>
    <sheet name="HilfstabelleB" sheetId="57" state="hidden" r:id="rId2"/>
    <sheet name="HilfstabelleSD" sheetId="59" state="hidden" r:id="rId3"/>
    <sheet name="Datenquelle" sheetId="53" state="hidden" r:id="rId4"/>
    <sheet name="Studies" sheetId="78" r:id="rId5"/>
    <sheet name="HilfstabelleStudien" sheetId="79" state="hidden" r:id="rId6"/>
    <sheet name="Examiner" sheetId="80" r:id="rId7"/>
    <sheet name="Surgeons" sheetId="81" r:id="rId8"/>
    <sheet name="Indicator sheet_(IS)" sheetId="63" r:id="rId9"/>
    <sheet name="HilfstabelleKB" sheetId="66" state="hidden" r:id="rId10"/>
    <sheet name="Berechnung1" sheetId="62" state="hidden" r:id="rId11"/>
    <sheet name="Hilfstabelle DatendefKB" sheetId="73" state="hidden" r:id="rId12"/>
    <sheet name="Data deficit_(IS)" sheetId="75" state="hidden" r:id="rId13"/>
    <sheet name="Matrix-Colon" sheetId="47" state="hidden" r:id="rId14"/>
    <sheet name="Berechnung2" sheetId="51" state="hidden" r:id="rId15"/>
    <sheet name="Berechnung3" sheetId="67" state="hidden" r:id="rId16"/>
    <sheet name="Data deficit_Matrix-Colon" sheetId="49" state="hidden" r:id="rId17"/>
    <sheet name="Matrix-Rectum" sheetId="48" state="hidden" r:id="rId18"/>
    <sheet name="Berechnung4" sheetId="52" state="hidden" r:id="rId19"/>
    <sheet name="Berechnung5" sheetId="68" state="hidden" r:id="rId20"/>
    <sheet name="Data deficit_Matrix-Rectum" sheetId="50" state="hidden" r:id="rId21"/>
    <sheet name="HilfstabelleMR" sheetId="60" state="hidden" r:id="rId22"/>
    <sheet name="HilfstabelleDMR" sheetId="70" state="hidden" r:id="rId23"/>
    <sheet name="HilfstabelleMK" sheetId="58" state="hidden" r:id="rId24"/>
    <sheet name="HilfstabelleDMK" sheetId="69" state="hidden" r:id="rId25"/>
  </sheets>
  <externalReferences>
    <externalReference r:id="rId26"/>
  </externalReferences>
  <definedNames>
    <definedName name="_xlnm._FilterDatabase" localSheetId="10" hidden="1">Berechnung1!$C$24:$O$24</definedName>
    <definedName name="_xlnm._FilterDatabase" localSheetId="14" hidden="1">Berechnung2!#REF!</definedName>
    <definedName name="_xlnm._FilterDatabase" localSheetId="18" hidden="1">Berechnung4!#REF!</definedName>
    <definedName name="_xlnm._FilterDatabase" localSheetId="3" hidden="1">Datenquelle!$F$68:$F$69</definedName>
    <definedName name="countries">Datenquelle!$A$73:$A$268</definedName>
    <definedName name="Keine_Zusammenarbeit">Datenquelle!$B$58</definedName>
    <definedName name="KrebsregisterZusammenarbeit" localSheetId="5">[1]Datenquelle!$B$60:$B$65</definedName>
    <definedName name="KrebsregisterZusammenarbeit">Datenquelle!$B$57:$B$61</definedName>
    <definedName name="myCategory">Datenquelle!$A$28:$S$28</definedName>
    <definedName name="myItem" localSheetId="6">OFFSET(Examiner!myItemList,0,0,COUNTA(Examiner!myItemList),1)</definedName>
    <definedName name="myItem" localSheetId="5">OFFSET(HilfstabelleStudien!myItemList,0,0,COUNTA(HilfstabelleStudien!myItemList),1)</definedName>
    <definedName name="myItem" localSheetId="4">OFFSET([0]!myItemList,0,0,COUNTA([0]!myItemList),1)</definedName>
    <definedName name="myItem" localSheetId="7">OFFSET([0]!myItemList,0,0,COUNTA([0]!myItemList),1)</definedName>
    <definedName name="myItem">OFFSET(myItemList,0,0,COUNTA(myItemList),1)</definedName>
    <definedName name="myItemList" localSheetId="5">INDEX([1]Datenquelle!$A$32:$S$52,0,MATCH([1]Datenquelle!$D$70,[1]Datenquelle!$A$31:$S$31,0))</definedName>
    <definedName name="myItemList">INDEX(Datenquelle!$A$29:$S$49,0,MATCH(Datenquelle!$D$66,Datenquelle!$A$28:$S$28,0))</definedName>
    <definedName name="OncoBox">Datenquelle!$B$52:$B$53</definedName>
    <definedName name="_xlnm.Print_Area" localSheetId="0">'Basic data'!$A$1:$H$33</definedName>
    <definedName name="_xlnm.Print_Area" localSheetId="12">OFFSET('Data deficit_(IS)'!$A$1,0,0,SUMPRODUCT(('Data deficit_(IS)'!$A$14:$A$41&lt;&gt;"")+0)+13,11)</definedName>
    <definedName name="_xlnm.Print_Area" localSheetId="6">Examiner!$A$1:$H$22</definedName>
    <definedName name="_xlnm.Print_Area" localSheetId="8">'Indicator sheet_(IS)'!$A$1:$P$116</definedName>
    <definedName name="_xlnm.Print_Area" localSheetId="13">'Matrix-Colon'!$A$1:$AA$78</definedName>
    <definedName name="_xlnm.Print_Area" localSheetId="17">'Matrix-Rectum'!$A$1:$AA$78</definedName>
    <definedName name="_xlnm.Print_Area" localSheetId="4">Studies!$A$1:$E$40</definedName>
    <definedName name="_xlnm.Print_Area" localSheetId="7">Surgeons!$A$1:$H$23</definedName>
    <definedName name="_xlnm.Print_Titles" localSheetId="12">'Data deficit_(IS)'!$12:$13</definedName>
    <definedName name="_xlnm.Print_Titles" localSheetId="16">'Data deficit_Matrix-Colon'!$1:$18</definedName>
    <definedName name="_xlnm.Print_Titles" localSheetId="20">'Data deficit_Matrix-Rectum'!$1:$18</definedName>
    <definedName name="_xlnm.Print_Titles" localSheetId="11">'Hilfstabelle DatendefKB'!$1:$1</definedName>
    <definedName name="_xlnm.Print_Titles" localSheetId="8">'Indicator sheet_(IS)'!$6:$7</definedName>
    <definedName name="Tumordokumentation" localSheetId="5">[1]Datenquelle!$B$1:$B$25</definedName>
    <definedName name="Tumordokumentation">Datenquelle!$B$1:$B$26</definedName>
    <definedName name="Zentrum" localSheetId="5">[1]Datenquelle!$A$73:$A$393</definedName>
    <definedName name="Zentrum">Datenquelle!$A$69:$A$69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59" l="1"/>
  <c r="E6" i="59"/>
  <c r="B1" i="59"/>
  <c r="A2" i="81" l="1"/>
  <c r="G23" i="81"/>
  <c r="F23" i="81"/>
  <c r="A2" i="80" l="1"/>
  <c r="I12" i="78" l="1"/>
  <c r="J12" i="78"/>
  <c r="K12" i="78" s="1"/>
  <c r="E3" i="79" s="1"/>
  <c r="I13" i="78"/>
  <c r="J13" i="78"/>
  <c r="I14" i="78"/>
  <c r="J14" i="78"/>
  <c r="I15" i="78"/>
  <c r="J15" i="78"/>
  <c r="I16" i="78"/>
  <c r="J16" i="78"/>
  <c r="I17" i="78"/>
  <c r="J17" i="78"/>
  <c r="I18" i="78"/>
  <c r="J18" i="78"/>
  <c r="I19" i="78"/>
  <c r="J19" i="78"/>
  <c r="K19" i="78" s="1"/>
  <c r="D10" i="79" s="1"/>
  <c r="I20" i="78"/>
  <c r="J20" i="78"/>
  <c r="I21" i="78"/>
  <c r="K21" i="78" s="1"/>
  <c r="B12" i="79" s="1"/>
  <c r="J21" i="78"/>
  <c r="I22" i="78"/>
  <c r="K22" i="78" s="1"/>
  <c r="C13" i="79" s="1"/>
  <c r="J22" i="78"/>
  <c r="I23" i="78"/>
  <c r="K23" i="78" s="1"/>
  <c r="D14" i="79" s="1"/>
  <c r="J23" i="78"/>
  <c r="I24" i="78"/>
  <c r="K24" i="78" s="1"/>
  <c r="E15" i="79" s="1"/>
  <c r="J24" i="78"/>
  <c r="I25" i="78"/>
  <c r="K25" i="78" s="1"/>
  <c r="B16" i="79" s="1"/>
  <c r="J25" i="78"/>
  <c r="I26" i="78"/>
  <c r="K26" i="78" s="1"/>
  <c r="C17" i="79" s="1"/>
  <c r="J26" i="78"/>
  <c r="I27" i="78"/>
  <c r="K27" i="78" s="1"/>
  <c r="D18" i="79" s="1"/>
  <c r="J27" i="78"/>
  <c r="I28" i="78"/>
  <c r="J28" i="78"/>
  <c r="K28" i="78" s="1"/>
  <c r="E19" i="79" s="1"/>
  <c r="I29" i="78"/>
  <c r="J29" i="78"/>
  <c r="I30" i="78"/>
  <c r="J30" i="78"/>
  <c r="I31" i="78"/>
  <c r="J31" i="78"/>
  <c r="I32" i="78"/>
  <c r="J32" i="78"/>
  <c r="I33" i="78"/>
  <c r="J33" i="78"/>
  <c r="I34" i="78"/>
  <c r="J34" i="78"/>
  <c r="I35" i="78"/>
  <c r="J35" i="78"/>
  <c r="K35" i="78" s="1"/>
  <c r="D26" i="79" s="1"/>
  <c r="I36" i="78"/>
  <c r="J36" i="78"/>
  <c r="K36" i="78"/>
  <c r="E27" i="79" s="1"/>
  <c r="I37" i="78"/>
  <c r="J37" i="78"/>
  <c r="I38" i="78"/>
  <c r="J38" i="78"/>
  <c r="I39" i="78"/>
  <c r="J39" i="78"/>
  <c r="I40" i="78"/>
  <c r="J40" i="78"/>
  <c r="K40" i="78" l="1"/>
  <c r="E31" i="79" s="1"/>
  <c r="K39" i="78"/>
  <c r="D30" i="79" s="1"/>
  <c r="K38" i="78"/>
  <c r="C29" i="79" s="1"/>
  <c r="K37" i="78"/>
  <c r="B28" i="79" s="1"/>
  <c r="K34" i="78"/>
  <c r="C25" i="79" s="1"/>
  <c r="K32" i="78"/>
  <c r="E23" i="79" s="1"/>
  <c r="K30" i="78"/>
  <c r="C21" i="79" s="1"/>
  <c r="K20" i="78"/>
  <c r="E11" i="79" s="1"/>
  <c r="K17" i="78"/>
  <c r="B8" i="79" s="1"/>
  <c r="K15" i="78"/>
  <c r="D6" i="79" s="1"/>
  <c r="K13" i="78"/>
  <c r="B4" i="79" s="1"/>
  <c r="K33" i="78"/>
  <c r="B24" i="79" s="1"/>
  <c r="K31" i="78"/>
  <c r="D22" i="79" s="1"/>
  <c r="K29" i="78"/>
  <c r="B20" i="79" s="1"/>
  <c r="K18" i="78"/>
  <c r="C9" i="79" s="1"/>
  <c r="K14" i="78"/>
  <c r="C5" i="79" s="1"/>
  <c r="K16" i="78"/>
  <c r="E7" i="79" s="1"/>
  <c r="A17" i="79"/>
  <c r="D4" i="79"/>
  <c r="B15" i="79"/>
  <c r="E25" i="79"/>
  <c r="A6" i="79"/>
  <c r="A26" i="79"/>
  <c r="D17" i="79"/>
  <c r="E14" i="79"/>
  <c r="A25" i="79"/>
  <c r="B18" i="79"/>
  <c r="E10" i="79"/>
  <c r="A14" i="79"/>
  <c r="C16" i="79"/>
  <c r="D13" i="79"/>
  <c r="E22" i="79"/>
  <c r="A22" i="79"/>
  <c r="A10" i="79"/>
  <c r="B26" i="79"/>
  <c r="B10" i="79"/>
  <c r="C15" i="79"/>
  <c r="D12" i="79"/>
  <c r="E18" i="79"/>
  <c r="A30" i="79"/>
  <c r="A18" i="79"/>
  <c r="C12" i="79"/>
  <c r="E26" i="79"/>
  <c r="E17" i="79"/>
  <c r="B19" i="79"/>
  <c r="B3" i="79"/>
  <c r="A13" i="79"/>
  <c r="B14" i="79"/>
  <c r="C19" i="79"/>
  <c r="C3" i="79"/>
  <c r="D16" i="79"/>
  <c r="E21" i="79"/>
  <c r="A16" i="79"/>
  <c r="A12" i="79"/>
  <c r="A8" i="79"/>
  <c r="B17" i="79"/>
  <c r="B13" i="79"/>
  <c r="C26" i="79"/>
  <c r="C22" i="79"/>
  <c r="C18" i="79"/>
  <c r="C14" i="79"/>
  <c r="C10" i="79"/>
  <c r="D31" i="79"/>
  <c r="D27" i="79"/>
  <c r="D19" i="79"/>
  <c r="D15" i="79"/>
  <c r="D7" i="79"/>
  <c r="D3" i="79"/>
  <c r="E16" i="79"/>
  <c r="E12" i="79"/>
  <c r="B27" i="79"/>
  <c r="C27" i="79"/>
  <c r="D8" i="79"/>
  <c r="E13" i="79"/>
  <c r="A31" i="79"/>
  <c r="A27" i="79"/>
  <c r="A19" i="79"/>
  <c r="A15" i="79"/>
  <c r="A3" i="79"/>
  <c r="B6" i="79" l="1"/>
  <c r="A23" i="79"/>
  <c r="C30" i="79"/>
  <c r="B30" i="79"/>
  <c r="E6" i="79"/>
  <c r="C23" i="79"/>
  <c r="A7" i="79"/>
  <c r="B7" i="79"/>
  <c r="D25" i="79"/>
  <c r="C8" i="79"/>
  <c r="E29" i="79"/>
  <c r="E20" i="79"/>
  <c r="C6" i="79"/>
  <c r="C20" i="79"/>
  <c r="E8" i="79"/>
  <c r="D23" i="79"/>
  <c r="B25" i="79"/>
  <c r="A20" i="79"/>
  <c r="B22" i="79"/>
  <c r="D20" i="79"/>
  <c r="B23" i="79"/>
  <c r="E30" i="79"/>
  <c r="C31" i="79"/>
  <c r="B31" i="79"/>
  <c r="B29" i="79"/>
  <c r="B11" i="79"/>
  <c r="A4" i="79"/>
  <c r="D9" i="79"/>
  <c r="C28" i="79"/>
  <c r="E4" i="79"/>
  <c r="B21" i="79"/>
  <c r="D29" i="79"/>
  <c r="E9" i="79"/>
  <c r="D21" i="79"/>
  <c r="D28" i="79"/>
  <c r="B5" i="79"/>
  <c r="A24" i="79"/>
  <c r="A29" i="79"/>
  <c r="A21" i="79"/>
  <c r="E28" i="79"/>
  <c r="B9" i="79"/>
  <c r="A28" i="79"/>
  <c r="A9" i="79"/>
  <c r="C4" i="79"/>
  <c r="A11" i="79"/>
  <c r="C11" i="79"/>
  <c r="A5" i="79"/>
  <c r="E5" i="79"/>
  <c r="D24" i="79"/>
  <c r="C24" i="79"/>
  <c r="D5" i="79"/>
  <c r="C7" i="79"/>
  <c r="E24" i="79"/>
  <c r="D11" i="79"/>
  <c r="A2" i="78"/>
  <c r="J11" i="78"/>
  <c r="I11" i="78"/>
  <c r="K11" i="78" l="1"/>
  <c r="C2" i="79" s="1"/>
  <c r="D2" i="79" l="1"/>
  <c r="A2" i="79"/>
  <c r="E2" i="79"/>
  <c r="B2" i="79"/>
  <c r="E5" i="78"/>
  <c r="C4" i="63"/>
  <c r="O26" i="63" l="1"/>
  <c r="P77" i="63" l="1"/>
  <c r="M94" i="62" s="1"/>
  <c r="N94" i="62" s="1"/>
  <c r="H29" i="54"/>
  <c r="O54" i="63" l="1"/>
  <c r="O13" i="63"/>
  <c r="M24" i="73" l="1"/>
  <c r="A26" i="73"/>
  <c r="K26" i="73" s="1"/>
  <c r="G26" i="73" l="1"/>
  <c r="I26" i="73"/>
  <c r="M26" i="73"/>
  <c r="F26" i="73"/>
  <c r="L26" i="73"/>
  <c r="H26" i="73"/>
  <c r="J26" i="73"/>
  <c r="D26" i="73"/>
  <c r="E26" i="73"/>
  <c r="C26" i="73"/>
  <c r="O15" i="63"/>
  <c r="L94" i="62" l="1"/>
  <c r="O118" i="62"/>
  <c r="G43" i="66"/>
  <c r="F43" i="66"/>
  <c r="B43" i="66"/>
  <c r="H43" i="66" l="1"/>
  <c r="B12" i="66" l="1"/>
  <c r="P8" i="63"/>
  <c r="G12" i="66"/>
  <c r="F12" i="66"/>
  <c r="L25" i="62"/>
  <c r="O25" i="62"/>
  <c r="H12" i="66" s="1"/>
  <c r="A2" i="73" l="1"/>
  <c r="M25" i="62"/>
  <c r="N25" i="62" s="1"/>
  <c r="E12" i="66" s="1"/>
  <c r="J2" i="73" l="1"/>
  <c r="F2" i="73"/>
  <c r="H2" i="73"/>
  <c r="K2" i="73"/>
  <c r="C2" i="73"/>
  <c r="D2" i="73"/>
  <c r="M2" i="73"/>
  <c r="I2" i="73"/>
  <c r="E2" i="73"/>
  <c r="L2" i="73"/>
  <c r="G2" i="73"/>
  <c r="O99" i="63"/>
  <c r="O47" i="63" l="1"/>
  <c r="L64" i="62" s="1"/>
  <c r="D28" i="54" l="1"/>
  <c r="H30" i="54"/>
  <c r="G28" i="54"/>
  <c r="F28" i="54"/>
  <c r="E28" i="54"/>
  <c r="C28" i="54"/>
  <c r="B28" i="54"/>
  <c r="S45" i="63" l="1"/>
  <c r="O18" i="63"/>
  <c r="H28" i="54"/>
  <c r="O24" i="63" l="1"/>
  <c r="O21" i="63"/>
  <c r="B35" i="66"/>
  <c r="O80" i="63" l="1"/>
  <c r="P80" i="63" l="1"/>
  <c r="L97" i="62"/>
  <c r="E57" i="68"/>
  <c r="E51" i="68"/>
  <c r="E45" i="68"/>
  <c r="E39" i="68"/>
  <c r="E19" i="68"/>
  <c r="E13" i="68"/>
  <c r="E57" i="67"/>
  <c r="E51" i="67"/>
  <c r="E45" i="67"/>
  <c r="E39" i="67"/>
  <c r="E19" i="67"/>
  <c r="E13" i="67"/>
  <c r="A27" i="73" l="1"/>
  <c r="J27" i="73" s="1"/>
  <c r="M97" i="62"/>
  <c r="N97" i="62" s="1"/>
  <c r="O88" i="63"/>
  <c r="B24" i="66"/>
  <c r="E27" i="73" l="1"/>
  <c r="D27" i="73"/>
  <c r="H27" i="73"/>
  <c r="K27" i="73"/>
  <c r="L27" i="73"/>
  <c r="G27" i="73"/>
  <c r="M27" i="73"/>
  <c r="F27" i="73"/>
  <c r="I27" i="73"/>
  <c r="C27" i="73"/>
  <c r="D38" i="66"/>
  <c r="P86" i="63"/>
  <c r="A29" i="73" s="1"/>
  <c r="G42" i="66"/>
  <c r="G41" i="66"/>
  <c r="G40" i="66"/>
  <c r="G39" i="66"/>
  <c r="G38" i="66"/>
  <c r="G37" i="66"/>
  <c r="G36" i="66"/>
  <c r="G35" i="66"/>
  <c r="G34" i="66"/>
  <c r="G33" i="66"/>
  <c r="G32" i="66"/>
  <c r="G31" i="66"/>
  <c r="G30" i="66"/>
  <c r="G29" i="66"/>
  <c r="G28" i="66"/>
  <c r="G27" i="66"/>
  <c r="G26" i="66"/>
  <c r="G25" i="66"/>
  <c r="G24" i="66"/>
  <c r="G23" i="66"/>
  <c r="G22" i="66"/>
  <c r="G21" i="66"/>
  <c r="G20" i="66"/>
  <c r="G19" i="66"/>
  <c r="G18" i="66"/>
  <c r="G17" i="66"/>
  <c r="G16" i="66"/>
  <c r="G15" i="66"/>
  <c r="G14" i="66"/>
  <c r="G13" i="66"/>
  <c r="F25" i="66"/>
  <c r="F24" i="66"/>
  <c r="F42" i="66"/>
  <c r="F41" i="66"/>
  <c r="F40" i="66"/>
  <c r="F39" i="66"/>
  <c r="F38" i="66"/>
  <c r="F37" i="66"/>
  <c r="F36" i="66"/>
  <c r="F35" i="66"/>
  <c r="F34" i="66"/>
  <c r="F33" i="66"/>
  <c r="F32" i="66"/>
  <c r="F31" i="66"/>
  <c r="F30" i="66"/>
  <c r="F29" i="66"/>
  <c r="F28" i="66"/>
  <c r="F27" i="66"/>
  <c r="F26" i="66"/>
  <c r="F23" i="66"/>
  <c r="F22" i="66"/>
  <c r="F21" i="66"/>
  <c r="F20" i="66"/>
  <c r="F19" i="66"/>
  <c r="F18" i="66"/>
  <c r="F17" i="66"/>
  <c r="F16" i="66"/>
  <c r="F15" i="66"/>
  <c r="F14" i="66"/>
  <c r="F13" i="66"/>
  <c r="J29" i="73" l="1"/>
  <c r="H29" i="73"/>
  <c r="K29" i="73"/>
  <c r="I29" i="73"/>
  <c r="E29" i="73"/>
  <c r="D29" i="73"/>
  <c r="L29" i="73"/>
  <c r="G29" i="73"/>
  <c r="C29" i="73"/>
  <c r="F29" i="73"/>
  <c r="M29" i="73"/>
  <c r="M103" i="62"/>
  <c r="O40" i="63"/>
  <c r="P38" i="63" l="1"/>
  <c r="D22" i="66"/>
  <c r="O88" i="62"/>
  <c r="O31" i="62"/>
  <c r="O34" i="62"/>
  <c r="O37" i="62"/>
  <c r="O40" i="62"/>
  <c r="O43" i="62"/>
  <c r="O46" i="62"/>
  <c r="O49" i="62"/>
  <c r="O52" i="62"/>
  <c r="O55" i="62"/>
  <c r="H22" i="66" s="1"/>
  <c r="O58" i="62"/>
  <c r="H23" i="66" s="1"/>
  <c r="O61" i="62"/>
  <c r="H24" i="66" s="1"/>
  <c r="O64" i="62"/>
  <c r="H25" i="66" s="1"/>
  <c r="O67" i="62"/>
  <c r="H26" i="66" s="1"/>
  <c r="O70" i="62"/>
  <c r="H27" i="66" s="1"/>
  <c r="O73" i="62"/>
  <c r="H28" i="66" s="1"/>
  <c r="O76" i="62"/>
  <c r="H29" i="66" s="1"/>
  <c r="O79" i="62"/>
  <c r="H30" i="66" s="1"/>
  <c r="O82" i="62"/>
  <c r="H31" i="66" s="1"/>
  <c r="O85" i="62"/>
  <c r="O91" i="62"/>
  <c r="O94" i="62"/>
  <c r="H35" i="66" s="1"/>
  <c r="O97" i="62"/>
  <c r="H36" i="66" s="1"/>
  <c r="O100" i="62"/>
  <c r="H37" i="66" s="1"/>
  <c r="N103" i="62"/>
  <c r="E38" i="66" s="1"/>
  <c r="O103" i="62"/>
  <c r="H38" i="66" s="1"/>
  <c r="O106" i="62"/>
  <c r="O109" i="62"/>
  <c r="H40" i="66" s="1"/>
  <c r="O112" i="62"/>
  <c r="H41" i="66" s="1"/>
  <c r="O115" i="62"/>
  <c r="H42" i="66" s="1"/>
  <c r="L55" i="62"/>
  <c r="C41" i="66"/>
  <c r="C40" i="66"/>
  <c r="C39" i="66"/>
  <c r="C38" i="66"/>
  <c r="C37" i="66"/>
  <c r="C36" i="66"/>
  <c r="C35" i="66"/>
  <c r="C30" i="66"/>
  <c r="C29" i="66"/>
  <c r="C24" i="66"/>
  <c r="C23" i="66"/>
  <c r="C22" i="66"/>
  <c r="C13" i="66"/>
  <c r="C14" i="66"/>
  <c r="C20" i="66"/>
  <c r="C21" i="66"/>
  <c r="C25" i="66"/>
  <c r="C33" i="66"/>
  <c r="C34" i="66"/>
  <c r="B42" i="66"/>
  <c r="B41" i="66"/>
  <c r="B40" i="66"/>
  <c r="B39" i="66"/>
  <c r="B38" i="66"/>
  <c r="B37" i="66"/>
  <c r="B31" i="66"/>
  <c r="B30" i="66"/>
  <c r="B29" i="66"/>
  <c r="B28" i="66"/>
  <c r="B27" i="66"/>
  <c r="B14" i="66"/>
  <c r="B15" i="66"/>
  <c r="B16" i="66"/>
  <c r="B17" i="66"/>
  <c r="B18" i="66"/>
  <c r="B19" i="66"/>
  <c r="B20" i="66"/>
  <c r="B21" i="66"/>
  <c r="B22" i="66"/>
  <c r="B23" i="66"/>
  <c r="B32" i="66"/>
  <c r="B33" i="66"/>
  <c r="B34" i="66"/>
  <c r="M55" i="62" l="1"/>
  <c r="N55" i="62" s="1"/>
  <c r="E22" i="66" s="1"/>
  <c r="A12" i="73"/>
  <c r="H39" i="66"/>
  <c r="K12" i="73" l="1"/>
  <c r="H12" i="73"/>
  <c r="J12" i="73"/>
  <c r="M12" i="73"/>
  <c r="I12" i="73"/>
  <c r="L12" i="73"/>
  <c r="G12" i="73"/>
  <c r="C12" i="73"/>
  <c r="D12" i="73"/>
  <c r="E12" i="73"/>
  <c r="F12" i="73"/>
  <c r="L103" i="62"/>
  <c r="A2" i="48"/>
  <c r="A2" i="47"/>
  <c r="A2" i="63"/>
  <c r="B13" i="66" l="1"/>
  <c r="A66" i="53" l="1"/>
  <c r="F66" i="53" l="1"/>
  <c r="D66" i="53"/>
  <c r="C66" i="53"/>
  <c r="B10" i="54" s="1"/>
  <c r="B66" i="53"/>
  <c r="B8" i="54" s="1"/>
  <c r="D6" i="59"/>
  <c r="C6" i="59"/>
  <c r="F4" i="63" l="1"/>
  <c r="B3" i="66"/>
  <c r="F8" i="50" l="1"/>
  <c r="T8" i="48"/>
  <c r="F8" i="49"/>
  <c r="T8" i="47"/>
  <c r="J8" i="75"/>
  <c r="O37" i="63" l="1"/>
  <c r="P35" i="63" s="1"/>
  <c r="M52" i="62" s="1"/>
  <c r="A11" i="73" l="1"/>
  <c r="L52" i="62"/>
  <c r="B2" i="59"/>
  <c r="I11" i="73" l="1"/>
  <c r="M11" i="73"/>
  <c r="H11" i="73"/>
  <c r="K11" i="73"/>
  <c r="G11" i="73"/>
  <c r="F11" i="73"/>
  <c r="C11" i="73"/>
  <c r="L11" i="73"/>
  <c r="E11" i="73"/>
  <c r="J11" i="73"/>
  <c r="D11" i="73"/>
  <c r="C42" i="66"/>
  <c r="B25" i="66" l="1"/>
  <c r="O50" i="63"/>
  <c r="B26" i="66" l="1"/>
  <c r="L67" i="62"/>
  <c r="D3" i="57"/>
  <c r="D4" i="57"/>
  <c r="D2" i="57"/>
  <c r="O100" i="63" l="1"/>
  <c r="P98" i="63" l="1"/>
  <c r="D42" i="66"/>
  <c r="C27" i="66"/>
  <c r="L115" i="62"/>
  <c r="Q78" i="47"/>
  <c r="M115" i="62" l="1"/>
  <c r="N115" i="62" s="1"/>
  <c r="E42" i="66" s="1"/>
  <c r="A33" i="73"/>
  <c r="J33" i="73" l="1"/>
  <c r="K33" i="73"/>
  <c r="G33" i="73"/>
  <c r="E33" i="73"/>
  <c r="L33" i="73"/>
  <c r="H33" i="73"/>
  <c r="I33" i="73"/>
  <c r="D33" i="73"/>
  <c r="C33" i="73"/>
  <c r="F33" i="73"/>
  <c r="B82" i="47"/>
  <c r="A83" i="47"/>
  <c r="C83" i="47"/>
  <c r="D83" i="47"/>
  <c r="E83" i="47"/>
  <c r="F83" i="47"/>
  <c r="G83" i="47"/>
  <c r="H83" i="47"/>
  <c r="I83" i="47"/>
  <c r="J83" i="47"/>
  <c r="K83" i="47"/>
  <c r="L83" i="47"/>
  <c r="M83" i="47"/>
  <c r="N83" i="47"/>
  <c r="A84" i="47"/>
  <c r="C84" i="47"/>
  <c r="D84" i="47"/>
  <c r="E84" i="47"/>
  <c r="F84" i="47"/>
  <c r="G84" i="47"/>
  <c r="H84" i="47"/>
  <c r="I84" i="47"/>
  <c r="J84" i="47"/>
  <c r="K84" i="47"/>
  <c r="L84" i="47"/>
  <c r="M84" i="47"/>
  <c r="N84" i="47"/>
  <c r="A85" i="47"/>
  <c r="C85" i="47"/>
  <c r="D85" i="47"/>
  <c r="E85" i="47"/>
  <c r="F85" i="47"/>
  <c r="G85" i="47"/>
  <c r="H85" i="47"/>
  <c r="I85" i="47"/>
  <c r="J85" i="47"/>
  <c r="K85" i="47"/>
  <c r="L85" i="47"/>
  <c r="M85" i="47"/>
  <c r="N85" i="47"/>
  <c r="A86" i="47"/>
  <c r="C86" i="47"/>
  <c r="D86" i="47"/>
  <c r="E86" i="47"/>
  <c r="F86" i="47"/>
  <c r="G86" i="47"/>
  <c r="H86" i="47"/>
  <c r="I86" i="47"/>
  <c r="J86" i="47"/>
  <c r="K86" i="47"/>
  <c r="L86" i="47"/>
  <c r="M86" i="47"/>
  <c r="N86" i="47"/>
  <c r="A87" i="47"/>
  <c r="C87" i="47"/>
  <c r="D87" i="47"/>
  <c r="E87" i="47"/>
  <c r="F87" i="47"/>
  <c r="G87" i="47"/>
  <c r="H87" i="47"/>
  <c r="I87" i="47"/>
  <c r="J87" i="47"/>
  <c r="K87" i="47"/>
  <c r="L87" i="47"/>
  <c r="M87" i="47"/>
  <c r="N87" i="47"/>
  <c r="A88" i="47"/>
  <c r="C88" i="47"/>
  <c r="D88" i="47"/>
  <c r="E88" i="47"/>
  <c r="F88" i="47"/>
  <c r="G88" i="47"/>
  <c r="H88" i="47"/>
  <c r="I88" i="47"/>
  <c r="J88" i="47"/>
  <c r="K88" i="47"/>
  <c r="L88" i="47"/>
  <c r="M88" i="47"/>
  <c r="N88" i="47"/>
  <c r="A89" i="47"/>
  <c r="C89" i="47"/>
  <c r="D89" i="47"/>
  <c r="E89" i="47"/>
  <c r="F89" i="47"/>
  <c r="G89" i="47"/>
  <c r="H89" i="47"/>
  <c r="I89" i="47"/>
  <c r="J89" i="47"/>
  <c r="K89" i="47"/>
  <c r="L89" i="47"/>
  <c r="M89" i="47"/>
  <c r="N89" i="47"/>
  <c r="A90" i="47"/>
  <c r="C90" i="47"/>
  <c r="D90" i="47"/>
  <c r="E90" i="47"/>
  <c r="F90" i="47"/>
  <c r="G90" i="47"/>
  <c r="H90" i="47"/>
  <c r="I90" i="47"/>
  <c r="J90" i="47"/>
  <c r="K90" i="47"/>
  <c r="L90" i="47"/>
  <c r="M90" i="47"/>
  <c r="N90" i="47"/>
  <c r="A91" i="47"/>
  <c r="C91" i="47"/>
  <c r="D91" i="47"/>
  <c r="E91" i="47"/>
  <c r="F91" i="47"/>
  <c r="G91" i="47"/>
  <c r="H91" i="47"/>
  <c r="I91" i="47"/>
  <c r="J91" i="47"/>
  <c r="K91" i="47"/>
  <c r="L91" i="47"/>
  <c r="M91" i="47"/>
  <c r="N91" i="47"/>
  <c r="A92" i="47"/>
  <c r="C92" i="47"/>
  <c r="D92" i="47"/>
  <c r="E92" i="47"/>
  <c r="F92" i="47"/>
  <c r="G92" i="47"/>
  <c r="H92" i="47"/>
  <c r="I92" i="47"/>
  <c r="J92" i="47"/>
  <c r="K92" i="47"/>
  <c r="L92" i="47"/>
  <c r="M92" i="47"/>
  <c r="N92" i="47"/>
  <c r="A93" i="47"/>
  <c r="C93" i="47"/>
  <c r="D93" i="47"/>
  <c r="E93" i="47"/>
  <c r="F93" i="47"/>
  <c r="G93" i="47"/>
  <c r="H93" i="47"/>
  <c r="I93" i="47"/>
  <c r="J93" i="47"/>
  <c r="K93" i="47"/>
  <c r="L93" i="47"/>
  <c r="M93" i="47"/>
  <c r="N93" i="47"/>
  <c r="A94" i="47"/>
  <c r="C94" i="47"/>
  <c r="D94" i="47"/>
  <c r="E94" i="47"/>
  <c r="F94" i="47"/>
  <c r="G94" i="47"/>
  <c r="H94" i="47"/>
  <c r="I94" i="47"/>
  <c r="J94" i="47"/>
  <c r="K94" i="47"/>
  <c r="L94" i="47"/>
  <c r="M94" i="47"/>
  <c r="N94" i="47"/>
  <c r="A95" i="47"/>
  <c r="C95" i="47"/>
  <c r="D95" i="47"/>
  <c r="E95" i="47"/>
  <c r="F95" i="47"/>
  <c r="G95" i="47"/>
  <c r="H95" i="47"/>
  <c r="I95" i="47"/>
  <c r="J95" i="47"/>
  <c r="K95" i="47"/>
  <c r="L95" i="47"/>
  <c r="M95" i="47"/>
  <c r="A96" i="47"/>
  <c r="C96" i="47"/>
  <c r="D96" i="47"/>
  <c r="E96" i="47"/>
  <c r="F96" i="47"/>
  <c r="G96" i="47"/>
  <c r="H96" i="47"/>
  <c r="I96" i="47"/>
  <c r="J96" i="47"/>
  <c r="K96" i="47"/>
  <c r="L96" i="47"/>
  <c r="M96" i="47"/>
  <c r="N96" i="47"/>
  <c r="A97" i="47"/>
  <c r="C97" i="47"/>
  <c r="D97" i="47"/>
  <c r="E97" i="47"/>
  <c r="F97" i="47"/>
  <c r="G97" i="47"/>
  <c r="H97" i="47"/>
  <c r="I97" i="47"/>
  <c r="J97" i="47"/>
  <c r="K97" i="47"/>
  <c r="L97" i="47"/>
  <c r="N97" i="47"/>
  <c r="N98" i="47"/>
  <c r="N99" i="47"/>
  <c r="A100" i="47"/>
  <c r="C100" i="47"/>
  <c r="D100" i="47"/>
  <c r="E100" i="47"/>
  <c r="F100" i="47"/>
  <c r="G100" i="47"/>
  <c r="H100" i="47"/>
  <c r="I100" i="47"/>
  <c r="J100" i="47"/>
  <c r="K100" i="47"/>
  <c r="L100" i="47"/>
  <c r="N100" i="47"/>
  <c r="A101" i="47"/>
  <c r="C101" i="47"/>
  <c r="D101" i="47"/>
  <c r="E101" i="47"/>
  <c r="F101" i="47"/>
  <c r="G101" i="47"/>
  <c r="H101" i="47"/>
  <c r="I101" i="47"/>
  <c r="J101" i="47"/>
  <c r="K101" i="47"/>
  <c r="L101" i="47"/>
  <c r="N101" i="47"/>
  <c r="A102" i="47"/>
  <c r="C102" i="47"/>
  <c r="D102" i="47"/>
  <c r="E102" i="47"/>
  <c r="F102" i="47"/>
  <c r="G102" i="47"/>
  <c r="H102" i="47"/>
  <c r="I102" i="47"/>
  <c r="J102" i="47"/>
  <c r="K102" i="47"/>
  <c r="L102" i="47"/>
  <c r="N102" i="47"/>
  <c r="A103" i="47"/>
  <c r="C103" i="47"/>
  <c r="D103" i="47"/>
  <c r="E103" i="47"/>
  <c r="F103" i="47"/>
  <c r="G103" i="47"/>
  <c r="H103" i="47"/>
  <c r="I103" i="47"/>
  <c r="J103" i="47"/>
  <c r="K103" i="47"/>
  <c r="L103" i="47"/>
  <c r="N103" i="47"/>
  <c r="A104" i="47"/>
  <c r="C104" i="47"/>
  <c r="D104" i="47"/>
  <c r="E104" i="47"/>
  <c r="F104" i="47"/>
  <c r="G104" i="47"/>
  <c r="H104" i="47"/>
  <c r="I104" i="47"/>
  <c r="J104" i="47"/>
  <c r="K104" i="47"/>
  <c r="L104" i="47"/>
  <c r="N104" i="47"/>
  <c r="A105" i="47"/>
  <c r="C105" i="47"/>
  <c r="D105" i="47"/>
  <c r="E105" i="47"/>
  <c r="F105" i="47"/>
  <c r="G105" i="47"/>
  <c r="H105" i="47"/>
  <c r="I105" i="47"/>
  <c r="J105" i="47"/>
  <c r="K105" i="47"/>
  <c r="L105" i="47"/>
  <c r="N105" i="47"/>
  <c r="A106" i="47"/>
  <c r="C106" i="47"/>
  <c r="D106" i="47"/>
  <c r="E106" i="47"/>
  <c r="F106" i="47"/>
  <c r="G106" i="47"/>
  <c r="H106" i="47"/>
  <c r="I106" i="47"/>
  <c r="J106" i="47"/>
  <c r="K106" i="47"/>
  <c r="L106" i="47"/>
  <c r="N106" i="47"/>
  <c r="N107" i="47"/>
  <c r="Q71" i="47" l="1"/>
  <c r="O76" i="63" l="1"/>
  <c r="P74" i="63" s="1"/>
  <c r="A25" i="73" s="1"/>
  <c r="O46" i="63"/>
  <c r="P44" i="63" s="1"/>
  <c r="A1" i="58"/>
  <c r="B1" i="58"/>
  <c r="C1" i="58"/>
  <c r="D1" i="58"/>
  <c r="E1" i="58"/>
  <c r="F1" i="58"/>
  <c r="G1" i="58"/>
  <c r="H1" i="58"/>
  <c r="I1" i="58"/>
  <c r="J1" i="58"/>
  <c r="K1" i="58"/>
  <c r="L1" i="58"/>
  <c r="M1" i="58"/>
  <c r="N1" i="58"/>
  <c r="O1" i="58"/>
  <c r="P1" i="58"/>
  <c r="Q1" i="58"/>
  <c r="R1" i="58"/>
  <c r="S1" i="58"/>
  <c r="T1" i="58"/>
  <c r="U1" i="58"/>
  <c r="V1" i="58"/>
  <c r="W1" i="58"/>
  <c r="D2" i="58"/>
  <c r="E2" i="58"/>
  <c r="F2" i="58"/>
  <c r="G2" i="58"/>
  <c r="I2" i="58"/>
  <c r="J2" i="58"/>
  <c r="K2" i="58"/>
  <c r="O2" i="58"/>
  <c r="P2" i="58"/>
  <c r="Q2" i="58"/>
  <c r="R2" i="58"/>
  <c r="S2" i="58"/>
  <c r="T2" i="58"/>
  <c r="U2" i="58"/>
  <c r="V2" i="58"/>
  <c r="W2" i="58"/>
  <c r="D3" i="58"/>
  <c r="E3" i="58"/>
  <c r="F3" i="58"/>
  <c r="G3" i="58"/>
  <c r="I3" i="58"/>
  <c r="J3" i="58"/>
  <c r="K3" i="58"/>
  <c r="O3" i="58"/>
  <c r="P3" i="58"/>
  <c r="Q3" i="58"/>
  <c r="R3" i="58"/>
  <c r="S3" i="58"/>
  <c r="T3" i="58"/>
  <c r="U3" i="58"/>
  <c r="V3" i="58"/>
  <c r="W3" i="58"/>
  <c r="D4" i="58"/>
  <c r="E4" i="58"/>
  <c r="F4" i="58"/>
  <c r="G4" i="58"/>
  <c r="I4" i="58"/>
  <c r="J4" i="58"/>
  <c r="K4" i="58"/>
  <c r="O4" i="58"/>
  <c r="P4" i="58"/>
  <c r="Q4" i="58"/>
  <c r="R4" i="58"/>
  <c r="S4" i="58"/>
  <c r="T4" i="58"/>
  <c r="U4" i="58"/>
  <c r="V4" i="58"/>
  <c r="W4" i="58"/>
  <c r="D5" i="58"/>
  <c r="E5" i="58"/>
  <c r="F5" i="58"/>
  <c r="G5" i="58"/>
  <c r="I5" i="58"/>
  <c r="J5" i="58"/>
  <c r="K5" i="58"/>
  <c r="O5" i="58"/>
  <c r="P5" i="58"/>
  <c r="Q5" i="58"/>
  <c r="R5" i="58"/>
  <c r="S5" i="58"/>
  <c r="T5" i="58"/>
  <c r="U5" i="58"/>
  <c r="V5" i="58"/>
  <c r="W5" i="58"/>
  <c r="D6" i="58"/>
  <c r="E6" i="58"/>
  <c r="F6" i="58"/>
  <c r="G6" i="58"/>
  <c r="I6" i="58"/>
  <c r="J6" i="58"/>
  <c r="K6" i="58"/>
  <c r="O6" i="58"/>
  <c r="P6" i="58"/>
  <c r="Q6" i="58"/>
  <c r="R6" i="58"/>
  <c r="S6" i="58"/>
  <c r="T6" i="58"/>
  <c r="U6" i="58"/>
  <c r="V6" i="58"/>
  <c r="W6" i="58"/>
  <c r="D8" i="58"/>
  <c r="E8" i="58"/>
  <c r="F8" i="58"/>
  <c r="G8" i="58"/>
  <c r="H8" i="58"/>
  <c r="I8" i="58"/>
  <c r="J8" i="58"/>
  <c r="K8" i="58"/>
  <c r="L8" i="58"/>
  <c r="M8" i="58"/>
  <c r="N8" i="58"/>
  <c r="O8" i="58"/>
  <c r="P8" i="58"/>
  <c r="Q8" i="58"/>
  <c r="R8" i="58"/>
  <c r="S8" i="58"/>
  <c r="T8" i="58"/>
  <c r="U8" i="58"/>
  <c r="V8" i="58"/>
  <c r="W8" i="58"/>
  <c r="A1" i="60"/>
  <c r="B1" i="60"/>
  <c r="C1" i="60"/>
  <c r="D1" i="60"/>
  <c r="E1" i="60"/>
  <c r="F1" i="60"/>
  <c r="G1" i="60"/>
  <c r="H1" i="60"/>
  <c r="I1" i="60"/>
  <c r="J1" i="60"/>
  <c r="K1" i="60"/>
  <c r="L1" i="60"/>
  <c r="M1" i="60"/>
  <c r="N1" i="60"/>
  <c r="O1" i="60"/>
  <c r="P1" i="60"/>
  <c r="Q1" i="60"/>
  <c r="R1" i="60"/>
  <c r="S1" i="60"/>
  <c r="T1" i="60"/>
  <c r="U1" i="60"/>
  <c r="V1" i="60"/>
  <c r="W1" i="60"/>
  <c r="D2" i="60"/>
  <c r="E2" i="60"/>
  <c r="F2" i="60"/>
  <c r="G2" i="60"/>
  <c r="I2" i="60"/>
  <c r="J2" i="60"/>
  <c r="K2" i="60"/>
  <c r="O2" i="60"/>
  <c r="P2" i="60"/>
  <c r="Q2" i="60"/>
  <c r="R2" i="60"/>
  <c r="S2" i="60"/>
  <c r="T2" i="60"/>
  <c r="U2" i="60"/>
  <c r="V2" i="60"/>
  <c r="W2" i="60"/>
  <c r="D3" i="60"/>
  <c r="E3" i="60"/>
  <c r="F3" i="60"/>
  <c r="G3" i="60"/>
  <c r="I3" i="60"/>
  <c r="J3" i="60"/>
  <c r="K3" i="60"/>
  <c r="O3" i="60"/>
  <c r="P3" i="60"/>
  <c r="Q3" i="60"/>
  <c r="R3" i="60"/>
  <c r="S3" i="60"/>
  <c r="T3" i="60"/>
  <c r="U3" i="60"/>
  <c r="V3" i="60"/>
  <c r="W3" i="60"/>
  <c r="D4" i="60"/>
  <c r="E4" i="60"/>
  <c r="F4" i="60"/>
  <c r="G4" i="60"/>
  <c r="I4" i="60"/>
  <c r="J4" i="60"/>
  <c r="K4" i="60"/>
  <c r="O4" i="60"/>
  <c r="P4" i="60"/>
  <c r="Q4" i="60"/>
  <c r="R4" i="60"/>
  <c r="S4" i="60"/>
  <c r="T4" i="60"/>
  <c r="U4" i="60"/>
  <c r="V4" i="60"/>
  <c r="W4" i="60"/>
  <c r="D5" i="60"/>
  <c r="E5" i="60"/>
  <c r="F5" i="60"/>
  <c r="G5" i="60"/>
  <c r="I5" i="60"/>
  <c r="J5" i="60"/>
  <c r="K5" i="60"/>
  <c r="O5" i="60"/>
  <c r="P5" i="60"/>
  <c r="Q5" i="60"/>
  <c r="R5" i="60"/>
  <c r="S5" i="60"/>
  <c r="T5" i="60"/>
  <c r="U5" i="60"/>
  <c r="V5" i="60"/>
  <c r="W5" i="60"/>
  <c r="D6" i="60"/>
  <c r="E6" i="60"/>
  <c r="F6" i="60"/>
  <c r="G6" i="60"/>
  <c r="I6" i="60"/>
  <c r="J6" i="60"/>
  <c r="K6" i="60"/>
  <c r="O6" i="60"/>
  <c r="P6" i="60"/>
  <c r="Q6" i="60"/>
  <c r="R6" i="60"/>
  <c r="S6" i="60"/>
  <c r="T6" i="60"/>
  <c r="U6" i="60"/>
  <c r="V6" i="60"/>
  <c r="W6" i="60"/>
  <c r="D8" i="60"/>
  <c r="E8" i="60"/>
  <c r="F8" i="60"/>
  <c r="G8" i="60"/>
  <c r="H8" i="60"/>
  <c r="I8" i="60"/>
  <c r="J8" i="60"/>
  <c r="K8" i="60"/>
  <c r="L8" i="60"/>
  <c r="M8" i="60"/>
  <c r="N8" i="60"/>
  <c r="O8" i="60"/>
  <c r="P8" i="60"/>
  <c r="Q8" i="60"/>
  <c r="R8" i="60"/>
  <c r="S8" i="60"/>
  <c r="T8" i="60"/>
  <c r="U8" i="60"/>
  <c r="V8" i="60"/>
  <c r="W8" i="60"/>
  <c r="B3" i="57"/>
  <c r="C3" i="57"/>
  <c r="E3" i="57"/>
  <c r="F3" i="57"/>
  <c r="G3" i="57"/>
  <c r="B4" i="57"/>
  <c r="C4" i="57"/>
  <c r="E4" i="57"/>
  <c r="F4" i="57"/>
  <c r="G4" i="57"/>
  <c r="F13" i="68"/>
  <c r="G13" i="68"/>
  <c r="I13" i="68"/>
  <c r="J13" i="68"/>
  <c r="F19" i="68"/>
  <c r="G19" i="68"/>
  <c r="I19" i="68"/>
  <c r="J19" i="68"/>
  <c r="F39" i="68"/>
  <c r="G39" i="68"/>
  <c r="I39" i="68"/>
  <c r="J39" i="68"/>
  <c r="F45" i="68"/>
  <c r="G45" i="68"/>
  <c r="I45" i="68"/>
  <c r="J45" i="68"/>
  <c r="F51" i="68"/>
  <c r="G51" i="68"/>
  <c r="I51" i="68"/>
  <c r="J51" i="68"/>
  <c r="F57" i="68"/>
  <c r="G57" i="68"/>
  <c r="I57" i="68"/>
  <c r="J57" i="68"/>
  <c r="F13" i="67"/>
  <c r="G13" i="67"/>
  <c r="I13" i="67"/>
  <c r="J13" i="67"/>
  <c r="F19" i="67"/>
  <c r="G19" i="67"/>
  <c r="I19" i="67"/>
  <c r="J19" i="67"/>
  <c r="F39" i="67"/>
  <c r="G39" i="67"/>
  <c r="I39" i="67"/>
  <c r="J39" i="67"/>
  <c r="F45" i="67"/>
  <c r="G45" i="67"/>
  <c r="I45" i="67"/>
  <c r="J45" i="67"/>
  <c r="F51" i="67"/>
  <c r="G51" i="67"/>
  <c r="I51" i="67"/>
  <c r="J51" i="67"/>
  <c r="F57" i="67"/>
  <c r="G57" i="67"/>
  <c r="I57" i="67"/>
  <c r="J57" i="67"/>
  <c r="C8" i="50"/>
  <c r="F8" i="48"/>
  <c r="C23" i="48"/>
  <c r="C2" i="60" s="1"/>
  <c r="I23" i="48"/>
  <c r="M23" i="48" s="1"/>
  <c r="L2" i="60" s="1"/>
  <c r="O23" i="48"/>
  <c r="P23" i="48" s="1"/>
  <c r="N2" i="60" s="1"/>
  <c r="C24" i="48"/>
  <c r="C3" i="60" s="1"/>
  <c r="I24" i="48"/>
  <c r="O24" i="48"/>
  <c r="M3" i="60" s="1"/>
  <c r="C25" i="48"/>
  <c r="C4" i="60" s="1"/>
  <c r="I25" i="48"/>
  <c r="H4" i="60" s="1"/>
  <c r="O25" i="48"/>
  <c r="P25" i="48" s="1"/>
  <c r="N4" i="60" s="1"/>
  <c r="C26" i="48"/>
  <c r="C5" i="60" s="1"/>
  <c r="I26" i="48"/>
  <c r="M26" i="48" s="1"/>
  <c r="L5" i="60" s="1"/>
  <c r="O26" i="48"/>
  <c r="C27" i="48"/>
  <c r="C6" i="60" s="1"/>
  <c r="P27" i="48"/>
  <c r="N6" i="60" s="1"/>
  <c r="C28" i="48"/>
  <c r="C8" i="60" s="1"/>
  <c r="Q71" i="48"/>
  <c r="Q72" i="48"/>
  <c r="Q73" i="48"/>
  <c r="Q74" i="48"/>
  <c r="Q75" i="48"/>
  <c r="Q76" i="48"/>
  <c r="Q77" i="48"/>
  <c r="Q78" i="48"/>
  <c r="B82" i="48"/>
  <c r="A83" i="48"/>
  <c r="C83" i="48"/>
  <c r="D83" i="48"/>
  <c r="E83" i="48"/>
  <c r="F83" i="48"/>
  <c r="G83" i="48"/>
  <c r="H83" i="48"/>
  <c r="I83" i="48"/>
  <c r="J83" i="48"/>
  <c r="K83" i="48"/>
  <c r="L83" i="48"/>
  <c r="M83" i="48"/>
  <c r="N83" i="48"/>
  <c r="A84" i="48"/>
  <c r="C84" i="48"/>
  <c r="D84" i="48"/>
  <c r="E84" i="48"/>
  <c r="F84" i="48"/>
  <c r="G84" i="48"/>
  <c r="H84" i="48"/>
  <c r="I84" i="48"/>
  <c r="J84" i="48"/>
  <c r="K84" i="48"/>
  <c r="L84" i="48"/>
  <c r="M84" i="48"/>
  <c r="N84" i="48"/>
  <c r="A85" i="48"/>
  <c r="C85" i="48"/>
  <c r="D85" i="48"/>
  <c r="E85" i="48"/>
  <c r="F85" i="48"/>
  <c r="G85" i="48"/>
  <c r="H85" i="48"/>
  <c r="I85" i="48"/>
  <c r="J85" i="48"/>
  <c r="K85" i="48"/>
  <c r="L85" i="48"/>
  <c r="M85" i="48"/>
  <c r="N85" i="48"/>
  <c r="A86" i="48"/>
  <c r="C86" i="48"/>
  <c r="D86" i="48"/>
  <c r="E86" i="48"/>
  <c r="F86" i="48"/>
  <c r="G86" i="48"/>
  <c r="H86" i="48"/>
  <c r="I86" i="48"/>
  <c r="J86" i="48"/>
  <c r="K86" i="48"/>
  <c r="L86" i="48"/>
  <c r="M86" i="48"/>
  <c r="N86" i="48"/>
  <c r="A87" i="48"/>
  <c r="C87" i="48"/>
  <c r="D87" i="48"/>
  <c r="E87" i="48"/>
  <c r="F87" i="48"/>
  <c r="G87" i="48"/>
  <c r="H87" i="48"/>
  <c r="I87" i="48"/>
  <c r="J87" i="48"/>
  <c r="K87" i="48"/>
  <c r="L87" i="48"/>
  <c r="M87" i="48"/>
  <c r="N87" i="48"/>
  <c r="A88" i="48"/>
  <c r="C88" i="48"/>
  <c r="D88" i="48"/>
  <c r="E88" i="48"/>
  <c r="F88" i="48"/>
  <c r="G88" i="48"/>
  <c r="H88" i="48"/>
  <c r="I88" i="48"/>
  <c r="J88" i="48"/>
  <c r="K88" i="48"/>
  <c r="L88" i="48"/>
  <c r="M88" i="48"/>
  <c r="N88" i="48"/>
  <c r="A89" i="48"/>
  <c r="C89" i="48"/>
  <c r="D89" i="48"/>
  <c r="E89" i="48"/>
  <c r="F89" i="48"/>
  <c r="G89" i="48"/>
  <c r="H89" i="48"/>
  <c r="I89" i="48"/>
  <c r="J89" i="48"/>
  <c r="K89" i="48"/>
  <c r="L89" i="48"/>
  <c r="M89" i="48"/>
  <c r="N89" i="48"/>
  <c r="A90" i="48"/>
  <c r="C90" i="48"/>
  <c r="D90" i="48"/>
  <c r="E90" i="48"/>
  <c r="F90" i="48"/>
  <c r="G90" i="48"/>
  <c r="H90" i="48"/>
  <c r="I90" i="48"/>
  <c r="J90" i="48"/>
  <c r="K90" i="48"/>
  <c r="L90" i="48"/>
  <c r="M90" i="48"/>
  <c r="N90" i="48"/>
  <c r="A91" i="48"/>
  <c r="C91" i="48"/>
  <c r="D91" i="48"/>
  <c r="E91" i="48"/>
  <c r="F91" i="48"/>
  <c r="G91" i="48"/>
  <c r="H91" i="48"/>
  <c r="I91" i="48"/>
  <c r="J91" i="48"/>
  <c r="K91" i="48"/>
  <c r="L91" i="48"/>
  <c r="M91" i="48"/>
  <c r="N91" i="48"/>
  <c r="A92" i="48"/>
  <c r="C92" i="48"/>
  <c r="D92" i="48"/>
  <c r="E92" i="48"/>
  <c r="F92" i="48"/>
  <c r="G92" i="48"/>
  <c r="H92" i="48"/>
  <c r="I92" i="48"/>
  <c r="J92" i="48"/>
  <c r="K92" i="48"/>
  <c r="L92" i="48"/>
  <c r="M92" i="48"/>
  <c r="N92" i="48"/>
  <c r="A93" i="48"/>
  <c r="C93" i="48"/>
  <c r="D93" i="48"/>
  <c r="E93" i="48"/>
  <c r="F93" i="48"/>
  <c r="G93" i="48"/>
  <c r="H93" i="48"/>
  <c r="I93" i="48"/>
  <c r="J93" i="48"/>
  <c r="K93" i="48"/>
  <c r="L93" i="48"/>
  <c r="M93" i="48"/>
  <c r="N93" i="48"/>
  <c r="A94" i="48"/>
  <c r="C94" i="48"/>
  <c r="D94" i="48"/>
  <c r="E94" i="48"/>
  <c r="F94" i="48"/>
  <c r="G94" i="48"/>
  <c r="H94" i="48"/>
  <c r="I94" i="48"/>
  <c r="J94" i="48"/>
  <c r="K94" i="48"/>
  <c r="L94" i="48"/>
  <c r="M94" i="48"/>
  <c r="N94" i="48"/>
  <c r="A95" i="48"/>
  <c r="C95" i="48"/>
  <c r="D95" i="48"/>
  <c r="E95" i="48"/>
  <c r="F95" i="48"/>
  <c r="G95" i="48"/>
  <c r="H95" i="48"/>
  <c r="I95" i="48"/>
  <c r="J95" i="48"/>
  <c r="K95" i="48"/>
  <c r="L95" i="48"/>
  <c r="M95" i="48"/>
  <c r="A96" i="48"/>
  <c r="C96" i="48"/>
  <c r="D96" i="48"/>
  <c r="E96" i="48"/>
  <c r="F96" i="48"/>
  <c r="G96" i="48"/>
  <c r="H96" i="48"/>
  <c r="I96" i="48"/>
  <c r="J96" i="48"/>
  <c r="K96" i="48"/>
  <c r="L96" i="48"/>
  <c r="M96" i="48"/>
  <c r="N96" i="48"/>
  <c r="A97" i="48"/>
  <c r="C97" i="48"/>
  <c r="D97" i="48"/>
  <c r="E97" i="48"/>
  <c r="F97" i="48"/>
  <c r="G97" i="48"/>
  <c r="H97" i="48"/>
  <c r="I97" i="48"/>
  <c r="J97" i="48"/>
  <c r="K97" i="48"/>
  <c r="L97" i="48"/>
  <c r="N97" i="48"/>
  <c r="N98" i="48"/>
  <c r="N99" i="48"/>
  <c r="A100" i="48"/>
  <c r="C100" i="48"/>
  <c r="D100" i="48"/>
  <c r="E100" i="48"/>
  <c r="F100" i="48"/>
  <c r="G100" i="48"/>
  <c r="H100" i="48"/>
  <c r="I100" i="48"/>
  <c r="J100" i="48"/>
  <c r="K100" i="48"/>
  <c r="L100" i="48"/>
  <c r="N100" i="48"/>
  <c r="A101" i="48"/>
  <c r="C101" i="48"/>
  <c r="D101" i="48"/>
  <c r="E101" i="48"/>
  <c r="F101" i="48"/>
  <c r="G101" i="48"/>
  <c r="H101" i="48"/>
  <c r="I101" i="48"/>
  <c r="J101" i="48"/>
  <c r="K101" i="48"/>
  <c r="L101" i="48"/>
  <c r="N101" i="48"/>
  <c r="A102" i="48"/>
  <c r="C102" i="48"/>
  <c r="D102" i="48"/>
  <c r="E102" i="48"/>
  <c r="F102" i="48"/>
  <c r="G102" i="48"/>
  <c r="H102" i="48"/>
  <c r="I102" i="48"/>
  <c r="J102" i="48"/>
  <c r="K102" i="48"/>
  <c r="L102" i="48"/>
  <c r="N102" i="48"/>
  <c r="A103" i="48"/>
  <c r="C103" i="48"/>
  <c r="D103" i="48"/>
  <c r="E103" i="48"/>
  <c r="F103" i="48"/>
  <c r="G103" i="48"/>
  <c r="H103" i="48"/>
  <c r="I103" i="48"/>
  <c r="J103" i="48"/>
  <c r="K103" i="48"/>
  <c r="L103" i="48"/>
  <c r="N103" i="48"/>
  <c r="A104" i="48"/>
  <c r="C104" i="48"/>
  <c r="D104" i="48"/>
  <c r="E104" i="48"/>
  <c r="F104" i="48"/>
  <c r="G104" i="48"/>
  <c r="H104" i="48"/>
  <c r="I104" i="48"/>
  <c r="J104" i="48"/>
  <c r="K104" i="48"/>
  <c r="L104" i="48"/>
  <c r="N104" i="48"/>
  <c r="A105" i="48"/>
  <c r="C105" i="48"/>
  <c r="D105" i="48"/>
  <c r="E105" i="48"/>
  <c r="F105" i="48"/>
  <c r="G105" i="48"/>
  <c r="H105" i="48"/>
  <c r="I105" i="48"/>
  <c r="J105" i="48"/>
  <c r="K105" i="48"/>
  <c r="L105" i="48"/>
  <c r="N105" i="48"/>
  <c r="A106" i="48"/>
  <c r="C106" i="48"/>
  <c r="D106" i="48"/>
  <c r="E106" i="48"/>
  <c r="F106" i="48"/>
  <c r="G106" i="48"/>
  <c r="H106" i="48"/>
  <c r="I106" i="48"/>
  <c r="J106" i="48"/>
  <c r="K106" i="48"/>
  <c r="L106" i="48"/>
  <c r="N106" i="48"/>
  <c r="N107" i="48"/>
  <c r="N108" i="48"/>
  <c r="A109" i="48"/>
  <c r="C109" i="48"/>
  <c r="D109" i="48"/>
  <c r="E109" i="48"/>
  <c r="F109" i="48"/>
  <c r="G109" i="48"/>
  <c r="H109" i="48"/>
  <c r="I109" i="48"/>
  <c r="J109" i="48"/>
  <c r="K109" i="48"/>
  <c r="L109" i="48"/>
  <c r="N109" i="48"/>
  <c r="A110" i="48"/>
  <c r="C110" i="48"/>
  <c r="D110" i="48"/>
  <c r="E110" i="48"/>
  <c r="F110" i="48"/>
  <c r="G110" i="48"/>
  <c r="H110" i="48"/>
  <c r="I110" i="48"/>
  <c r="J110" i="48"/>
  <c r="K110" i="48"/>
  <c r="L110" i="48"/>
  <c r="N110" i="48"/>
  <c r="A111" i="48"/>
  <c r="C111" i="48"/>
  <c r="D111" i="48"/>
  <c r="E111" i="48"/>
  <c r="F111" i="48"/>
  <c r="G111" i="48"/>
  <c r="H111" i="48"/>
  <c r="I111" i="48"/>
  <c r="J111" i="48"/>
  <c r="K111" i="48"/>
  <c r="L111" i="48"/>
  <c r="N111" i="48"/>
  <c r="A112" i="48"/>
  <c r="C112" i="48"/>
  <c r="D112" i="48"/>
  <c r="E112" i="48"/>
  <c r="F112" i="48"/>
  <c r="G112" i="48"/>
  <c r="H112" i="48"/>
  <c r="I112" i="48"/>
  <c r="J112" i="48"/>
  <c r="K112" i="48"/>
  <c r="L112" i="48"/>
  <c r="N112" i="48"/>
  <c r="A113" i="48"/>
  <c r="C113" i="48"/>
  <c r="D113" i="48"/>
  <c r="E113" i="48"/>
  <c r="F113" i="48"/>
  <c r="G113" i="48"/>
  <c r="H113" i="48"/>
  <c r="I113" i="48"/>
  <c r="J113" i="48"/>
  <c r="K113" i="48"/>
  <c r="L113" i="48"/>
  <c r="N113" i="48"/>
  <c r="A114" i="48"/>
  <c r="C114" i="48"/>
  <c r="D114" i="48"/>
  <c r="E114" i="48"/>
  <c r="F114" i="48"/>
  <c r="G114" i="48"/>
  <c r="H114" i="48"/>
  <c r="I114" i="48"/>
  <c r="J114" i="48"/>
  <c r="K114" i="48"/>
  <c r="L114" i="48"/>
  <c r="N114" i="48"/>
  <c r="A115" i="48"/>
  <c r="C115" i="48"/>
  <c r="D115" i="48"/>
  <c r="E115" i="48"/>
  <c r="F115" i="48"/>
  <c r="G115" i="48"/>
  <c r="H115" i="48"/>
  <c r="I115" i="48"/>
  <c r="J115" i="48"/>
  <c r="K115" i="48"/>
  <c r="L115" i="48"/>
  <c r="N115" i="48"/>
  <c r="C8" i="49"/>
  <c r="F8" i="47"/>
  <c r="C23" i="47"/>
  <c r="C2" i="58" s="1"/>
  <c r="I23" i="47"/>
  <c r="M23" i="47" s="1"/>
  <c r="L2" i="58" s="1"/>
  <c r="O23" i="47"/>
  <c r="M2" i="58" s="1"/>
  <c r="C24" i="47"/>
  <c r="C3" i="58" s="1"/>
  <c r="I24" i="47"/>
  <c r="O24" i="47"/>
  <c r="C25" i="47"/>
  <c r="C4" i="58" s="1"/>
  <c r="I25" i="47"/>
  <c r="O25" i="47"/>
  <c r="P25" i="47" s="1"/>
  <c r="N4" i="58" s="1"/>
  <c r="C26" i="47"/>
  <c r="C5" i="58" s="1"/>
  <c r="I26" i="47"/>
  <c r="M26" i="47" s="1"/>
  <c r="L5" i="58" s="1"/>
  <c r="O26" i="47"/>
  <c r="P26" i="47" s="1"/>
  <c r="N5" i="58" s="1"/>
  <c r="C27" i="47"/>
  <c r="C6" i="58" s="1"/>
  <c r="L6" i="58"/>
  <c r="P27" i="47"/>
  <c r="N6" i="58" s="1"/>
  <c r="C28" i="47"/>
  <c r="C8" i="58" s="1"/>
  <c r="Q72" i="47"/>
  <c r="Q73" i="47"/>
  <c r="Q74" i="47"/>
  <c r="Q75" i="47"/>
  <c r="Q76" i="47"/>
  <c r="Q77" i="47"/>
  <c r="N108" i="47"/>
  <c r="A109" i="47"/>
  <c r="C109" i="47"/>
  <c r="D109" i="47"/>
  <c r="E109" i="47"/>
  <c r="F109" i="47"/>
  <c r="G109" i="47"/>
  <c r="H109" i="47"/>
  <c r="I109" i="47"/>
  <c r="J109" i="47"/>
  <c r="K109" i="47"/>
  <c r="L109" i="47"/>
  <c r="N109" i="47"/>
  <c r="A110" i="47"/>
  <c r="C110" i="47"/>
  <c r="D110" i="47"/>
  <c r="E110" i="47"/>
  <c r="F110" i="47"/>
  <c r="G110" i="47"/>
  <c r="H110" i="47"/>
  <c r="I110" i="47"/>
  <c r="J110" i="47"/>
  <c r="K110" i="47"/>
  <c r="L110" i="47"/>
  <c r="N110" i="47"/>
  <c r="A111" i="47"/>
  <c r="C111" i="47"/>
  <c r="D111" i="47"/>
  <c r="E111" i="47"/>
  <c r="F111" i="47"/>
  <c r="G111" i="47"/>
  <c r="H111" i="47"/>
  <c r="I111" i="47"/>
  <c r="J111" i="47"/>
  <c r="K111" i="47"/>
  <c r="L111" i="47"/>
  <c r="N111" i="47"/>
  <c r="A112" i="47"/>
  <c r="C112" i="47"/>
  <c r="D112" i="47"/>
  <c r="E112" i="47"/>
  <c r="F112" i="47"/>
  <c r="G112" i="47"/>
  <c r="H112" i="47"/>
  <c r="I112" i="47"/>
  <c r="J112" i="47"/>
  <c r="K112" i="47"/>
  <c r="L112" i="47"/>
  <c r="N112" i="47"/>
  <c r="A113" i="47"/>
  <c r="C113" i="47"/>
  <c r="D113" i="47"/>
  <c r="E113" i="47"/>
  <c r="F113" i="47"/>
  <c r="G113" i="47"/>
  <c r="H113" i="47"/>
  <c r="I113" i="47"/>
  <c r="J113" i="47"/>
  <c r="K113" i="47"/>
  <c r="L113" i="47"/>
  <c r="N113" i="47"/>
  <c r="B2" i="66"/>
  <c r="C8" i="75"/>
  <c r="O28" i="62"/>
  <c r="H13" i="66" s="1"/>
  <c r="H14" i="66"/>
  <c r="H15" i="66"/>
  <c r="H16" i="66"/>
  <c r="H17" i="66"/>
  <c r="H18" i="66"/>
  <c r="H19" i="66"/>
  <c r="H20" i="66"/>
  <c r="H21" i="66"/>
  <c r="H32" i="66"/>
  <c r="H33" i="66"/>
  <c r="H34" i="66"/>
  <c r="O16" i="63"/>
  <c r="P14" i="63" s="1"/>
  <c r="A4" i="73" s="1"/>
  <c r="O34" i="63"/>
  <c r="P32" i="63" s="1"/>
  <c r="M49" i="62" s="1"/>
  <c r="O43" i="63"/>
  <c r="P41" i="63" s="1"/>
  <c r="M58" i="62" s="1"/>
  <c r="P50" i="63"/>
  <c r="O57" i="63"/>
  <c r="O61" i="63"/>
  <c r="O64" i="63"/>
  <c r="O69" i="63"/>
  <c r="O73" i="63"/>
  <c r="O85" i="63"/>
  <c r="O91" i="63"/>
  <c r="P89" i="63" s="1"/>
  <c r="A30" i="73" s="1"/>
  <c r="O94" i="63"/>
  <c r="P92" i="63" s="1"/>
  <c r="A31" i="73" s="1"/>
  <c r="O97" i="63"/>
  <c r="B6" i="59"/>
  <c r="B2" i="57"/>
  <c r="C2" i="57"/>
  <c r="E2" i="57"/>
  <c r="F2" i="57"/>
  <c r="G2" i="57"/>
  <c r="M6" i="58"/>
  <c r="M6" i="60"/>
  <c r="L31" i="73" l="1"/>
  <c r="F31" i="73"/>
  <c r="J31" i="73"/>
  <c r="H31" i="73"/>
  <c r="K31" i="73"/>
  <c r="C31" i="73"/>
  <c r="I31" i="73"/>
  <c r="D31" i="73"/>
  <c r="G31" i="73"/>
  <c r="M31" i="73"/>
  <c r="E31" i="73"/>
  <c r="K4" i="73"/>
  <c r="J4" i="73"/>
  <c r="M4" i="73"/>
  <c r="I4" i="73"/>
  <c r="L4" i="73"/>
  <c r="H4" i="73"/>
  <c r="D4" i="73"/>
  <c r="E4" i="73"/>
  <c r="F4" i="73"/>
  <c r="C4" i="73"/>
  <c r="G4" i="73"/>
  <c r="M67" i="62"/>
  <c r="N67" i="62" s="1"/>
  <c r="E26" i="66" s="1"/>
  <c r="A17" i="73"/>
  <c r="D30" i="73"/>
  <c r="C30" i="73"/>
  <c r="I30" i="73"/>
  <c r="J30" i="73"/>
  <c r="K30" i="73"/>
  <c r="L30" i="73"/>
  <c r="H30" i="73"/>
  <c r="F30" i="73"/>
  <c r="G30" i="73"/>
  <c r="M30" i="73"/>
  <c r="E30" i="73"/>
  <c r="M61" i="62"/>
  <c r="N61" i="62" s="1"/>
  <c r="A15" i="73"/>
  <c r="N49" i="62"/>
  <c r="A10" i="73"/>
  <c r="J25" i="73"/>
  <c r="G25" i="73"/>
  <c r="E25" i="73"/>
  <c r="I25" i="73"/>
  <c r="L25" i="73"/>
  <c r="H25" i="73"/>
  <c r="D25" i="73"/>
  <c r="F25" i="73"/>
  <c r="K25" i="73"/>
  <c r="M25" i="73"/>
  <c r="C25" i="73"/>
  <c r="P83" i="63"/>
  <c r="D37" i="66"/>
  <c r="M91" i="62"/>
  <c r="N91" i="62" s="1"/>
  <c r="E35" i="66"/>
  <c r="M109" i="62"/>
  <c r="N109" i="62" s="1"/>
  <c r="E40" i="66" s="1"/>
  <c r="H3" i="57"/>
  <c r="O30" i="63"/>
  <c r="M31" i="62"/>
  <c r="N31" i="62" s="1"/>
  <c r="L91" i="62"/>
  <c r="C32" i="66"/>
  <c r="C28" i="66"/>
  <c r="L112" i="62"/>
  <c r="D41" i="66"/>
  <c r="D40" i="66"/>
  <c r="L109" i="62"/>
  <c r="M106" i="62"/>
  <c r="N106" i="62" s="1"/>
  <c r="L106" i="62"/>
  <c r="D39" i="66"/>
  <c r="L100" i="62"/>
  <c r="P71" i="63"/>
  <c r="A24" i="73" s="1"/>
  <c r="L88" i="62"/>
  <c r="P62" i="63"/>
  <c r="A21" i="73" s="1"/>
  <c r="D30" i="66"/>
  <c r="L79" i="62"/>
  <c r="D29" i="66"/>
  <c r="L76" i="62"/>
  <c r="L61" i="62"/>
  <c r="D24" i="66"/>
  <c r="L58" i="62"/>
  <c r="D23" i="66"/>
  <c r="L49" i="62"/>
  <c r="L31" i="62"/>
  <c r="P95" i="63"/>
  <c r="O58" i="63"/>
  <c r="M2" i="60"/>
  <c r="M25" i="48"/>
  <c r="L4" i="60" s="1"/>
  <c r="D34" i="66"/>
  <c r="D21" i="66"/>
  <c r="N52" i="62"/>
  <c r="M4" i="60"/>
  <c r="M4" i="58"/>
  <c r="P24" i="48"/>
  <c r="N3" i="60" s="1"/>
  <c r="H5" i="60"/>
  <c r="D13" i="66"/>
  <c r="P11" i="63"/>
  <c r="H2" i="60"/>
  <c r="H5" i="58"/>
  <c r="P23" i="47"/>
  <c r="N2" i="58" s="1"/>
  <c r="M5" i="58"/>
  <c r="P47" i="63"/>
  <c r="O70" i="63"/>
  <c r="L28" i="62"/>
  <c r="A14" i="73"/>
  <c r="P59" i="63"/>
  <c r="A20" i="73" s="1"/>
  <c r="H6" i="58"/>
  <c r="D20" i="66"/>
  <c r="D33" i="66"/>
  <c r="D14" i="66"/>
  <c r="O55" i="63"/>
  <c r="H4" i="57"/>
  <c r="O66" i="63"/>
  <c r="O102" i="63" s="1"/>
  <c r="O103" i="63" s="1"/>
  <c r="A6" i="59"/>
  <c r="G14" i="54"/>
  <c r="L6" i="60"/>
  <c r="H6" i="60"/>
  <c r="P24" i="47"/>
  <c r="N3" i="58" s="1"/>
  <c r="M3" i="58"/>
  <c r="M25" i="47"/>
  <c r="L4" i="58" s="1"/>
  <c r="H4" i="58"/>
  <c r="H3" i="60"/>
  <c r="M24" i="48"/>
  <c r="L3" i="60" s="1"/>
  <c r="H3" i="58"/>
  <c r="M24" i="47"/>
  <c r="L3" i="58" s="1"/>
  <c r="H2" i="58"/>
  <c r="P26" i="48"/>
  <c r="N5" i="60" s="1"/>
  <c r="M5" i="60"/>
  <c r="P101" i="63" l="1"/>
  <c r="L118" i="62"/>
  <c r="D43" i="66"/>
  <c r="N58" i="62"/>
  <c r="E23" i="66" s="1"/>
  <c r="A13" i="73"/>
  <c r="K20" i="73"/>
  <c r="L20" i="73"/>
  <c r="M20" i="73"/>
  <c r="H20" i="73"/>
  <c r="F20" i="73"/>
  <c r="G20" i="73"/>
  <c r="I20" i="73"/>
  <c r="J20" i="73"/>
  <c r="D20" i="73"/>
  <c r="C20" i="73"/>
  <c r="E20" i="73"/>
  <c r="D14" i="73"/>
  <c r="E14" i="73"/>
  <c r="M14" i="73"/>
  <c r="G14" i="73"/>
  <c r="L14" i="73"/>
  <c r="F14" i="73"/>
  <c r="J14" i="73"/>
  <c r="H14" i="73"/>
  <c r="K14" i="73"/>
  <c r="C14" i="73"/>
  <c r="I14" i="73"/>
  <c r="J17" i="73"/>
  <c r="E17" i="73"/>
  <c r="D17" i="73"/>
  <c r="K17" i="73"/>
  <c r="L17" i="73"/>
  <c r="I17" i="73"/>
  <c r="H17" i="73"/>
  <c r="G17" i="73"/>
  <c r="F17" i="73"/>
  <c r="M17" i="73"/>
  <c r="C17" i="73"/>
  <c r="A3" i="73"/>
  <c r="K24" i="73"/>
  <c r="H24" i="73"/>
  <c r="L24" i="73"/>
  <c r="E24" i="73"/>
  <c r="F24" i="73"/>
  <c r="I24" i="73"/>
  <c r="G24" i="73"/>
  <c r="J24" i="73"/>
  <c r="D24" i="73"/>
  <c r="C24" i="73"/>
  <c r="M112" i="62"/>
  <c r="N112" i="62" s="1"/>
  <c r="E41" i="66" s="1"/>
  <c r="A32" i="73"/>
  <c r="M64" i="62"/>
  <c r="N64" i="62" s="1"/>
  <c r="E25" i="66" s="1"/>
  <c r="A16" i="73"/>
  <c r="M100" i="62"/>
  <c r="N100" i="62" s="1"/>
  <c r="E37" i="66" s="1"/>
  <c r="A28" i="73"/>
  <c r="K10" i="73"/>
  <c r="G10" i="73"/>
  <c r="H10" i="73"/>
  <c r="F10" i="73"/>
  <c r="M10" i="73"/>
  <c r="I10" i="73"/>
  <c r="C10" i="73"/>
  <c r="L10" i="73"/>
  <c r="J10" i="73"/>
  <c r="D10" i="73"/>
  <c r="E10" i="73"/>
  <c r="J21" i="73"/>
  <c r="G21" i="73"/>
  <c r="D21" i="73"/>
  <c r="L21" i="73"/>
  <c r="K21" i="73"/>
  <c r="H21" i="73"/>
  <c r="I21" i="73"/>
  <c r="E21" i="73"/>
  <c r="F21" i="73"/>
  <c r="C21" i="73"/>
  <c r="M21" i="73"/>
  <c r="H15" i="73"/>
  <c r="C15" i="73"/>
  <c r="J15" i="73"/>
  <c r="K15" i="73"/>
  <c r="G15" i="73"/>
  <c r="F15" i="73"/>
  <c r="M15" i="73"/>
  <c r="E15" i="73"/>
  <c r="L15" i="73"/>
  <c r="D15" i="73"/>
  <c r="I15" i="73"/>
  <c r="M88" i="62"/>
  <c r="N88" i="62" s="1"/>
  <c r="E33" i="66" s="1"/>
  <c r="M76" i="62"/>
  <c r="N76" i="62" s="1"/>
  <c r="E29" i="66" s="1"/>
  <c r="M79" i="62"/>
  <c r="N79" i="62" s="1"/>
  <c r="E30" i="66" s="1"/>
  <c r="C43" i="66"/>
  <c r="E39" i="66"/>
  <c r="E24" i="66"/>
  <c r="C31" i="66"/>
  <c r="P68" i="63"/>
  <c r="A23" i="73" s="1"/>
  <c r="D32" i="66"/>
  <c r="L85" i="62"/>
  <c r="P56" i="63"/>
  <c r="L73" i="62"/>
  <c r="D28" i="66"/>
  <c r="O19" i="63"/>
  <c r="C15" i="66"/>
  <c r="P53" i="63"/>
  <c r="L70" i="62"/>
  <c r="D27" i="66"/>
  <c r="E3" i="53"/>
  <c r="F3" i="53" s="1"/>
  <c r="B3" i="59"/>
  <c r="E34" i="66"/>
  <c r="S36" i="63"/>
  <c r="S75" i="63"/>
  <c r="S12" i="63"/>
  <c r="O67" i="63"/>
  <c r="M28" i="62"/>
  <c r="N28" i="62" s="1"/>
  <c r="E14" i="66"/>
  <c r="E21" i="66"/>
  <c r="E20" i="66"/>
  <c r="H2" i="57"/>
  <c r="O22" i="63"/>
  <c r="P20" i="63" s="1"/>
  <c r="M37" i="62" s="1"/>
  <c r="O27" i="63"/>
  <c r="O28" i="63" s="1"/>
  <c r="C6" i="50"/>
  <c r="C6" i="49"/>
  <c r="C6" i="75"/>
  <c r="F6" i="47"/>
  <c r="F6" i="48"/>
  <c r="M23" i="73" l="1"/>
  <c r="C23" i="73"/>
  <c r="E23" i="73"/>
  <c r="L23" i="73"/>
  <c r="D23" i="73"/>
  <c r="J23" i="73"/>
  <c r="H23" i="73"/>
  <c r="K23" i="73"/>
  <c r="I23" i="73"/>
  <c r="F23" i="73"/>
  <c r="G23" i="73"/>
  <c r="M118" i="62"/>
  <c r="N118" i="62" s="1"/>
  <c r="E43" i="66" s="1"/>
  <c r="A34" i="73"/>
  <c r="K32" i="73"/>
  <c r="C32" i="73"/>
  <c r="M32" i="73"/>
  <c r="L32" i="73"/>
  <c r="H32" i="73"/>
  <c r="G32" i="73"/>
  <c r="J32" i="73"/>
  <c r="E32" i="73"/>
  <c r="D32" i="73"/>
  <c r="F32" i="73"/>
  <c r="I32" i="73"/>
  <c r="M3" i="73"/>
  <c r="L3" i="73"/>
  <c r="F3" i="73"/>
  <c r="J3" i="73"/>
  <c r="E3" i="73"/>
  <c r="H3" i="73"/>
  <c r="D3" i="73"/>
  <c r="C3" i="73"/>
  <c r="K3" i="73"/>
  <c r="G3" i="73"/>
  <c r="I3" i="73"/>
  <c r="K28" i="73"/>
  <c r="L28" i="73"/>
  <c r="H28" i="73"/>
  <c r="F28" i="73"/>
  <c r="M28" i="73"/>
  <c r="J28" i="73"/>
  <c r="D28" i="73"/>
  <c r="E28" i="73"/>
  <c r="C28" i="73"/>
  <c r="I28" i="73"/>
  <c r="G28" i="73"/>
  <c r="M73" i="62"/>
  <c r="N73" i="62" s="1"/>
  <c r="E28" i="66" s="1"/>
  <c r="A19" i="73"/>
  <c r="K16" i="73"/>
  <c r="M16" i="73"/>
  <c r="L16" i="73"/>
  <c r="H16" i="73"/>
  <c r="C16" i="73"/>
  <c r="I16" i="73"/>
  <c r="G16" i="73"/>
  <c r="J16" i="73"/>
  <c r="D16" i="73"/>
  <c r="E16" i="73"/>
  <c r="F16" i="73"/>
  <c r="M13" i="73"/>
  <c r="G13" i="73"/>
  <c r="L13" i="73"/>
  <c r="H13" i="73"/>
  <c r="F13" i="73"/>
  <c r="J13" i="73"/>
  <c r="D13" i="73"/>
  <c r="K13" i="73"/>
  <c r="E13" i="73"/>
  <c r="C13" i="73"/>
  <c r="I13" i="73"/>
  <c r="M70" i="62"/>
  <c r="N70" i="62" s="1"/>
  <c r="E27" i="66" s="1"/>
  <c r="A18" i="73"/>
  <c r="E13" i="66"/>
  <c r="C16" i="66"/>
  <c r="C19" i="66"/>
  <c r="P17" i="63"/>
  <c r="M85" i="62"/>
  <c r="N85" i="62" s="1"/>
  <c r="D31" i="66"/>
  <c r="L82" i="62"/>
  <c r="C18" i="66"/>
  <c r="O25" i="63"/>
  <c r="C17" i="66"/>
  <c r="D15" i="66"/>
  <c r="L34" i="62"/>
  <c r="P65" i="63"/>
  <c r="A22" i="73" s="1"/>
  <c r="O31" i="63"/>
  <c r="A24" i="48"/>
  <c r="A3" i="60" s="1"/>
  <c r="A7" i="68"/>
  <c r="A23" i="48"/>
  <c r="A2" i="60" s="1"/>
  <c r="A27" i="48"/>
  <c r="A25" i="47"/>
  <c r="A4" i="58" s="1"/>
  <c r="A26" i="47"/>
  <c r="M30" i="47" s="1"/>
  <c r="A23" i="47"/>
  <c r="A2" i="58" s="1"/>
  <c r="A26" i="48"/>
  <c r="M30" i="48" s="1"/>
  <c r="A27" i="47"/>
  <c r="A28" i="47"/>
  <c r="A8" i="58" s="1"/>
  <c r="A7" i="67"/>
  <c r="A2" i="67"/>
  <c r="A24" i="47"/>
  <c r="A3" i="58" s="1"/>
  <c r="A2" i="68"/>
  <c r="A6" i="67"/>
  <c r="A5" i="68"/>
  <c r="A3" i="67"/>
  <c r="A25" i="48"/>
  <c r="A4" i="60" s="1"/>
  <c r="A5" i="67"/>
  <c r="A3" i="68"/>
  <c r="A6" i="68"/>
  <c r="A4" i="68"/>
  <c r="A28" i="48"/>
  <c r="A8" i="60" s="1"/>
  <c r="A4" i="67"/>
  <c r="L22" i="73" l="1"/>
  <c r="J22" i="73"/>
  <c r="C22" i="73"/>
  <c r="F22" i="73"/>
  <c r="H22" i="73"/>
  <c r="D22" i="73"/>
  <c r="G22" i="73"/>
  <c r="E22" i="73"/>
  <c r="M22" i="73"/>
  <c r="I22" i="73"/>
  <c r="K22" i="73"/>
  <c r="H34" i="73"/>
  <c r="I34" i="73"/>
  <c r="K34" i="73"/>
  <c r="M34" i="73"/>
  <c r="F34" i="73"/>
  <c r="C34" i="73"/>
  <c r="G34" i="73"/>
  <c r="D34" i="73"/>
  <c r="M33" i="73"/>
  <c r="E34" i="73"/>
  <c r="L34" i="73"/>
  <c r="J34" i="73"/>
  <c r="A5" i="73"/>
  <c r="K18" i="73"/>
  <c r="D18" i="73"/>
  <c r="E18" i="73"/>
  <c r="G18" i="73"/>
  <c r="M18" i="73"/>
  <c r="L18" i="73"/>
  <c r="H18" i="73"/>
  <c r="I18" i="73"/>
  <c r="F18" i="73"/>
  <c r="J18" i="73"/>
  <c r="C18" i="73"/>
  <c r="J19" i="73"/>
  <c r="M19" i="73"/>
  <c r="I19" i="73"/>
  <c r="G19" i="73"/>
  <c r="E19" i="73"/>
  <c r="L19" i="73"/>
  <c r="D19" i="73"/>
  <c r="C19" i="73"/>
  <c r="H19" i="73"/>
  <c r="K19" i="73"/>
  <c r="F19" i="73"/>
  <c r="M82" i="62"/>
  <c r="N82" i="62" s="1"/>
  <c r="E31" i="66" s="1"/>
  <c r="M34" i="62"/>
  <c r="N34" i="62" s="1"/>
  <c r="E15" i="66" s="1"/>
  <c r="E32" i="66"/>
  <c r="L43" i="62"/>
  <c r="P26" i="63"/>
  <c r="P23" i="63"/>
  <c r="A7" i="73" s="1"/>
  <c r="L40" i="62"/>
  <c r="P29" i="63"/>
  <c r="L46" i="62"/>
  <c r="D17" i="66"/>
  <c r="A6" i="73"/>
  <c r="L37" i="62"/>
  <c r="D18" i="66"/>
  <c r="H40" i="68"/>
  <c r="E40" i="68" s="1"/>
  <c r="H34" i="68"/>
  <c r="E34" i="68" s="1"/>
  <c r="H41" i="68"/>
  <c r="E41" i="68" s="1"/>
  <c r="H35" i="68"/>
  <c r="E35" i="68" s="1"/>
  <c r="H34" i="67"/>
  <c r="E34" i="67" s="1"/>
  <c r="H40" i="67"/>
  <c r="E40" i="67" s="1"/>
  <c r="H37" i="67"/>
  <c r="E37" i="67" s="1"/>
  <c r="H43" i="67"/>
  <c r="E43" i="67" s="1"/>
  <c r="H42" i="68"/>
  <c r="E42" i="68" s="1"/>
  <c r="H36" i="68"/>
  <c r="E36" i="68" s="1"/>
  <c r="H6" i="68"/>
  <c r="E6" i="68" s="1"/>
  <c r="H44" i="68"/>
  <c r="E44" i="68" s="1"/>
  <c r="H38" i="68"/>
  <c r="E38" i="68" s="1"/>
  <c r="H35" i="67"/>
  <c r="E35" i="67" s="1"/>
  <c r="H41" i="67"/>
  <c r="E41" i="67" s="1"/>
  <c r="H36" i="67"/>
  <c r="E36" i="67" s="1"/>
  <c r="H42" i="67"/>
  <c r="E42" i="67" s="1"/>
  <c r="H43" i="68"/>
  <c r="E43" i="68" s="1"/>
  <c r="H37" i="68"/>
  <c r="E37" i="68" s="1"/>
  <c r="H6" i="67"/>
  <c r="E6" i="67" s="1"/>
  <c r="H38" i="67"/>
  <c r="E38" i="67" s="1"/>
  <c r="H44" i="67"/>
  <c r="E44" i="67" s="1"/>
  <c r="A5" i="60"/>
  <c r="A5" i="58"/>
  <c r="D19" i="66"/>
  <c r="D16" i="66"/>
  <c r="H30" i="67"/>
  <c r="E30" i="67" s="1"/>
  <c r="H5" i="67"/>
  <c r="E5" i="67" s="1"/>
  <c r="H55" i="67"/>
  <c r="E55" i="67" s="1"/>
  <c r="H23" i="67"/>
  <c r="E23" i="67" s="1"/>
  <c r="H49" i="67"/>
  <c r="E49" i="67" s="1"/>
  <c r="H11" i="67"/>
  <c r="E11" i="67" s="1"/>
  <c r="H17" i="67"/>
  <c r="E17" i="67" s="1"/>
  <c r="H25" i="67"/>
  <c r="E25" i="67" s="1"/>
  <c r="H32" i="67"/>
  <c r="E32" i="67" s="1"/>
  <c r="H7" i="67"/>
  <c r="E7" i="67" s="1"/>
  <c r="H21" i="67"/>
  <c r="E21" i="67" s="1"/>
  <c r="H47" i="67"/>
  <c r="E47" i="67" s="1"/>
  <c r="H28" i="67"/>
  <c r="E28" i="67" s="1"/>
  <c r="H3" i="67"/>
  <c r="E3" i="67" s="1"/>
  <c r="H9" i="67"/>
  <c r="E9" i="67" s="1"/>
  <c r="H53" i="67"/>
  <c r="E53" i="67" s="1"/>
  <c r="H15" i="67"/>
  <c r="E15" i="67" s="1"/>
  <c r="A6" i="58"/>
  <c r="H29" i="67"/>
  <c r="E29" i="67" s="1"/>
  <c r="H4" i="67"/>
  <c r="E4" i="67" s="1"/>
  <c r="H54" i="67"/>
  <c r="E54" i="67" s="1"/>
  <c r="H10" i="67"/>
  <c r="E10" i="67" s="1"/>
  <c r="H16" i="67"/>
  <c r="E16" i="67" s="1"/>
  <c r="H22" i="67"/>
  <c r="E22" i="67" s="1"/>
  <c r="H48" i="67"/>
  <c r="E48" i="67" s="1"/>
  <c r="H56" i="67"/>
  <c r="E56" i="67" s="1"/>
  <c r="H12" i="67"/>
  <c r="E12" i="67" s="1"/>
  <c r="H50" i="67"/>
  <c r="E50" i="67" s="1"/>
  <c r="H31" i="67"/>
  <c r="E31" i="67" s="1"/>
  <c r="H24" i="67"/>
  <c r="E24" i="67" s="1"/>
  <c r="H18" i="67"/>
  <c r="E18" i="67" s="1"/>
  <c r="H4" i="68"/>
  <c r="E4" i="68" s="1"/>
  <c r="H54" i="68"/>
  <c r="E54" i="68" s="1"/>
  <c r="H48" i="68"/>
  <c r="E48" i="68" s="1"/>
  <c r="H29" i="68"/>
  <c r="E29" i="68" s="1"/>
  <c r="H16" i="68"/>
  <c r="E16" i="68" s="1"/>
  <c r="H10" i="68"/>
  <c r="E10" i="68" s="1"/>
  <c r="H22" i="68"/>
  <c r="E22" i="68" s="1"/>
  <c r="H46" i="68"/>
  <c r="E46" i="68" s="1"/>
  <c r="H8" i="68"/>
  <c r="E8" i="68" s="1"/>
  <c r="H2" i="68"/>
  <c r="E2" i="68" s="1"/>
  <c r="H27" i="68"/>
  <c r="E27" i="68" s="1"/>
  <c r="H20" i="68"/>
  <c r="E20" i="68" s="1"/>
  <c r="H52" i="68"/>
  <c r="E52" i="68" s="1"/>
  <c r="H14" i="68"/>
  <c r="E14" i="68" s="1"/>
  <c r="H25" i="68"/>
  <c r="E25" i="68" s="1"/>
  <c r="H32" i="68"/>
  <c r="E32" i="68" s="1"/>
  <c r="H7" i="68"/>
  <c r="E7" i="68" s="1"/>
  <c r="H23" i="68"/>
  <c r="E23" i="68" s="1"/>
  <c r="H55" i="68"/>
  <c r="E55" i="68" s="1"/>
  <c r="H11" i="68"/>
  <c r="E11" i="68" s="1"/>
  <c r="H49" i="68"/>
  <c r="E49" i="68" s="1"/>
  <c r="H30" i="68"/>
  <c r="E30" i="68" s="1"/>
  <c r="H17" i="68"/>
  <c r="E17" i="68" s="1"/>
  <c r="H5" i="68"/>
  <c r="E5" i="68" s="1"/>
  <c r="H12" i="68"/>
  <c r="E12" i="68" s="1"/>
  <c r="H24" i="68"/>
  <c r="E24" i="68" s="1"/>
  <c r="H31" i="68"/>
  <c r="E31" i="68" s="1"/>
  <c r="H18" i="68"/>
  <c r="E18" i="68" s="1"/>
  <c r="H50" i="68"/>
  <c r="E50" i="68" s="1"/>
  <c r="H56" i="68"/>
  <c r="E56" i="68" s="1"/>
  <c r="H53" i="68"/>
  <c r="E53" i="68" s="1"/>
  <c r="H3" i="68"/>
  <c r="E3" i="68" s="1"/>
  <c r="H47" i="68"/>
  <c r="E47" i="68" s="1"/>
  <c r="H9" i="68"/>
  <c r="E9" i="68" s="1"/>
  <c r="H28" i="68"/>
  <c r="E28" i="68" s="1"/>
  <c r="H21" i="68"/>
  <c r="E21" i="68" s="1"/>
  <c r="H15" i="68"/>
  <c r="E15" i="68" s="1"/>
  <c r="H46" i="67"/>
  <c r="E46" i="67" s="1"/>
  <c r="H27" i="67"/>
  <c r="E27" i="67" s="1"/>
  <c r="H14" i="67"/>
  <c r="E14" i="67" s="1"/>
  <c r="H8" i="67"/>
  <c r="E8" i="67" s="1"/>
  <c r="H52" i="67"/>
  <c r="E52" i="67" s="1"/>
  <c r="H2" i="67"/>
  <c r="E2" i="67" s="1"/>
  <c r="H20" i="67"/>
  <c r="E20" i="67" s="1"/>
  <c r="A6" i="60"/>
  <c r="F6" i="62" l="1"/>
  <c r="M5" i="73"/>
  <c r="G5" i="73"/>
  <c r="K5" i="73"/>
  <c r="F5" i="73"/>
  <c r="E5" i="73"/>
  <c r="D5" i="73"/>
  <c r="L5" i="73"/>
  <c r="H5" i="73"/>
  <c r="J5" i="73"/>
  <c r="I5" i="73"/>
  <c r="C5" i="73"/>
  <c r="C6" i="62"/>
  <c r="D6" i="62"/>
  <c r="E6" i="62"/>
  <c r="I7" i="73"/>
  <c r="K7" i="73"/>
  <c r="C7" i="73"/>
  <c r="G7" i="73"/>
  <c r="F7" i="73"/>
  <c r="M7" i="73"/>
  <c r="L7" i="73"/>
  <c r="E7" i="73"/>
  <c r="J7" i="73"/>
  <c r="D7" i="73"/>
  <c r="H7" i="73"/>
  <c r="E6" i="73"/>
  <c r="I6" i="73"/>
  <c r="L6" i="73"/>
  <c r="D6" i="73"/>
  <c r="G6" i="73"/>
  <c r="J6" i="73"/>
  <c r="F6" i="73"/>
  <c r="H6" i="73"/>
  <c r="K6" i="73"/>
  <c r="C6" i="73"/>
  <c r="M6" i="73"/>
  <c r="M43" i="62"/>
  <c r="N43" i="62" s="1"/>
  <c r="E18" i="66" s="1"/>
  <c r="A8" i="73"/>
  <c r="G6" i="62"/>
  <c r="M46" i="62"/>
  <c r="N46" i="62" s="1"/>
  <c r="E19" i="66" s="1"/>
  <c r="A9" i="73"/>
  <c r="H6" i="62"/>
  <c r="M40" i="62"/>
  <c r="N40" i="62" s="1"/>
  <c r="E17" i="66" s="1"/>
  <c r="N37" i="62"/>
  <c r="E16" i="66" s="1"/>
  <c r="E15" i="52"/>
  <c r="H33" i="67"/>
  <c r="E33" i="67" s="1"/>
  <c r="H26" i="67"/>
  <c r="E26" i="67" s="1"/>
  <c r="H33" i="68"/>
  <c r="E33" i="68" s="1"/>
  <c r="H26" i="68"/>
  <c r="E26" i="68" s="1"/>
  <c r="F31" i="68"/>
  <c r="J31" i="68"/>
  <c r="G31" i="68"/>
  <c r="B20" i="52"/>
  <c r="C20" i="52" s="1"/>
  <c r="E20" i="52"/>
  <c r="J27" i="68"/>
  <c r="G27" i="68"/>
  <c r="D20" i="52"/>
  <c r="F27" i="68"/>
  <c r="F16" i="68"/>
  <c r="J16" i="68"/>
  <c r="G16" i="68"/>
  <c r="I16" i="68"/>
  <c r="J52" i="67"/>
  <c r="D25" i="51"/>
  <c r="E25" i="51"/>
  <c r="F52" i="67"/>
  <c r="B25" i="51"/>
  <c r="C25" i="51" s="1"/>
  <c r="G52" i="67"/>
  <c r="I52" i="67"/>
  <c r="G28" i="68"/>
  <c r="F28" i="68"/>
  <c r="J28" i="68"/>
  <c r="G24" i="68"/>
  <c r="J24" i="68"/>
  <c r="I24" i="68"/>
  <c r="F24" i="68"/>
  <c r="G2" i="68"/>
  <c r="B15" i="52"/>
  <c r="C15" i="52" s="1"/>
  <c r="F2" i="68"/>
  <c r="D15" i="52"/>
  <c r="J2" i="68"/>
  <c r="F29" i="68"/>
  <c r="G29" i="68"/>
  <c r="J29" i="68"/>
  <c r="J16" i="67"/>
  <c r="F16" i="67"/>
  <c r="I16" i="67"/>
  <c r="G16" i="67"/>
  <c r="J5" i="67"/>
  <c r="G5" i="67"/>
  <c r="F5" i="67"/>
  <c r="G50" i="67"/>
  <c r="I50" i="67"/>
  <c r="F50" i="67"/>
  <c r="J50" i="67"/>
  <c r="J41" i="67"/>
  <c r="I41" i="67"/>
  <c r="G41" i="67"/>
  <c r="F41" i="67"/>
  <c r="G40" i="67"/>
  <c r="E23" i="51"/>
  <c r="I40" i="67"/>
  <c r="B23" i="51"/>
  <c r="C23" i="51" s="1"/>
  <c r="J40" i="67"/>
  <c r="F40" i="67"/>
  <c r="D23" i="51"/>
  <c r="I9" i="68"/>
  <c r="J9" i="68"/>
  <c r="G9" i="68"/>
  <c r="F9" i="68"/>
  <c r="G56" i="68"/>
  <c r="I56" i="68"/>
  <c r="F56" i="68"/>
  <c r="J56" i="68"/>
  <c r="I12" i="68"/>
  <c r="G12" i="68"/>
  <c r="F12" i="68"/>
  <c r="J12" i="68"/>
  <c r="G5" i="68"/>
  <c r="J5" i="68"/>
  <c r="F5" i="68"/>
  <c r="G23" i="68"/>
  <c r="I23" i="68"/>
  <c r="F23" i="68"/>
  <c r="J23" i="68"/>
  <c r="G34" i="68"/>
  <c r="B22" i="52"/>
  <c r="C22" i="52" s="1"/>
  <c r="J34" i="68"/>
  <c r="I34" i="68"/>
  <c r="F34" i="68"/>
  <c r="E22" i="52"/>
  <c r="D22" i="52"/>
  <c r="E24" i="52"/>
  <c r="F46" i="68"/>
  <c r="D24" i="52"/>
  <c r="I46" i="68"/>
  <c r="B24" i="52"/>
  <c r="C24" i="52" s="1"/>
  <c r="J46" i="68"/>
  <c r="G46" i="68"/>
  <c r="F54" i="68"/>
  <c r="G54" i="68"/>
  <c r="I54" i="68"/>
  <c r="J54" i="68"/>
  <c r="G12" i="67"/>
  <c r="J12" i="67"/>
  <c r="F12" i="67"/>
  <c r="I12" i="67"/>
  <c r="F54" i="67"/>
  <c r="G54" i="67"/>
  <c r="J54" i="67"/>
  <c r="I54" i="67"/>
  <c r="F3" i="67"/>
  <c r="J3" i="67"/>
  <c r="G3" i="67"/>
  <c r="G17" i="67"/>
  <c r="F17" i="67"/>
  <c r="J17" i="67"/>
  <c r="I17" i="67"/>
  <c r="F43" i="67"/>
  <c r="J43" i="67"/>
  <c r="I43" i="67"/>
  <c r="G43" i="67"/>
  <c r="F2" i="67"/>
  <c r="D15" i="51"/>
  <c r="B15" i="51"/>
  <c r="C15" i="51" s="1"/>
  <c r="G2" i="67"/>
  <c r="E15" i="51"/>
  <c r="J2" i="67"/>
  <c r="F21" i="68"/>
  <c r="G21" i="68"/>
  <c r="I21" i="68"/>
  <c r="J21" i="68"/>
  <c r="J24" i="67"/>
  <c r="F24" i="67"/>
  <c r="G24" i="67"/>
  <c r="I24" i="67"/>
  <c r="J9" i="67"/>
  <c r="G9" i="67"/>
  <c r="F9" i="67"/>
  <c r="I9" i="67"/>
  <c r="J11" i="68"/>
  <c r="F11" i="68"/>
  <c r="G11" i="68"/>
  <c r="I11" i="68"/>
  <c r="G32" i="68"/>
  <c r="F32" i="68"/>
  <c r="J32" i="68"/>
  <c r="G31" i="67"/>
  <c r="J31" i="67"/>
  <c r="F31" i="67"/>
  <c r="G35" i="67"/>
  <c r="F35" i="67"/>
  <c r="I35" i="67"/>
  <c r="J35" i="67"/>
  <c r="F8" i="68"/>
  <c r="G8" i="68"/>
  <c r="D16" i="52"/>
  <c r="I8" i="68"/>
  <c r="E16" i="52"/>
  <c r="J8" i="68"/>
  <c r="B16" i="52"/>
  <c r="C16" i="52" s="1"/>
  <c r="F48" i="68"/>
  <c r="I48" i="68"/>
  <c r="G48" i="68"/>
  <c r="J48" i="68"/>
  <c r="F10" i="67"/>
  <c r="G10" i="67"/>
  <c r="J10" i="67"/>
  <c r="I10" i="67"/>
  <c r="F14" i="67"/>
  <c r="J14" i="67"/>
  <c r="G14" i="67"/>
  <c r="B17" i="51"/>
  <c r="C17" i="51" s="1"/>
  <c r="E17" i="51"/>
  <c r="D17" i="51"/>
  <c r="I14" i="67"/>
  <c r="J47" i="68"/>
  <c r="F47" i="68"/>
  <c r="I47" i="68"/>
  <c r="G47" i="68"/>
  <c r="I44" i="68"/>
  <c r="F44" i="68"/>
  <c r="J44" i="68"/>
  <c r="G44" i="68"/>
  <c r="I43" i="68"/>
  <c r="G43" i="68"/>
  <c r="J43" i="68"/>
  <c r="F43" i="68"/>
  <c r="F40" i="68"/>
  <c r="G40" i="68"/>
  <c r="J40" i="68"/>
  <c r="D23" i="52"/>
  <c r="I40" i="68"/>
  <c r="B23" i="52"/>
  <c r="C23" i="52" s="1"/>
  <c r="E23" i="52"/>
  <c r="F42" i="68"/>
  <c r="I42" i="68"/>
  <c r="G42" i="68"/>
  <c r="J42" i="68"/>
  <c r="F4" i="68"/>
  <c r="J4" i="68"/>
  <c r="G4" i="68"/>
  <c r="F56" i="67"/>
  <c r="J56" i="67"/>
  <c r="G56" i="67"/>
  <c r="I56" i="67"/>
  <c r="I36" i="67"/>
  <c r="J36" i="67"/>
  <c r="F36" i="67"/>
  <c r="G36" i="67"/>
  <c r="F28" i="67"/>
  <c r="G28" i="67"/>
  <c r="J28" i="67"/>
  <c r="J37" i="67"/>
  <c r="I37" i="67"/>
  <c r="G37" i="67"/>
  <c r="F37" i="67"/>
  <c r="F7" i="68"/>
  <c r="G7" i="68"/>
  <c r="J7" i="68"/>
  <c r="I22" i="67"/>
  <c r="F22" i="67"/>
  <c r="G22" i="67"/>
  <c r="J22" i="67"/>
  <c r="I55" i="67"/>
  <c r="F55" i="67"/>
  <c r="G55" i="67"/>
  <c r="J55" i="67"/>
  <c r="F8" i="67"/>
  <c r="I8" i="67"/>
  <c r="J8" i="67"/>
  <c r="B16" i="51"/>
  <c r="C16" i="51" s="1"/>
  <c r="E16" i="51"/>
  <c r="D16" i="51"/>
  <c r="G8" i="67"/>
  <c r="I41" i="68"/>
  <c r="J41" i="68"/>
  <c r="G41" i="68"/>
  <c r="F41" i="68"/>
  <c r="F6" i="68"/>
  <c r="G6" i="68"/>
  <c r="J6" i="68"/>
  <c r="G55" i="68"/>
  <c r="I55" i="68"/>
  <c r="F55" i="68"/>
  <c r="J55" i="68"/>
  <c r="I25" i="68"/>
  <c r="G25" i="68"/>
  <c r="J25" i="68"/>
  <c r="F25" i="68"/>
  <c r="G30" i="67"/>
  <c r="F30" i="67"/>
  <c r="J30" i="67"/>
  <c r="F27" i="67"/>
  <c r="E20" i="51"/>
  <c r="B20" i="51"/>
  <c r="C20" i="51" s="1"/>
  <c r="D20" i="51"/>
  <c r="J27" i="67"/>
  <c r="G27" i="67"/>
  <c r="F3" i="68"/>
  <c r="J3" i="68"/>
  <c r="G3" i="68"/>
  <c r="I50" i="68"/>
  <c r="F50" i="68"/>
  <c r="G50" i="68"/>
  <c r="J50" i="68"/>
  <c r="G17" i="68"/>
  <c r="F17" i="68"/>
  <c r="J17" i="68"/>
  <c r="I17" i="68"/>
  <c r="I14" i="68"/>
  <c r="F14" i="68"/>
  <c r="B17" i="52"/>
  <c r="C17" i="52" s="1"/>
  <c r="D17" i="52"/>
  <c r="G14" i="68"/>
  <c r="E17" i="52"/>
  <c r="J14" i="68"/>
  <c r="G22" i="68"/>
  <c r="F22" i="68"/>
  <c r="J22" i="68"/>
  <c r="I22" i="68"/>
  <c r="F6" i="67"/>
  <c r="J6" i="67"/>
  <c r="G6" i="67"/>
  <c r="J4" i="67"/>
  <c r="G4" i="67"/>
  <c r="F4" i="67"/>
  <c r="F47" i="67"/>
  <c r="I47" i="67"/>
  <c r="J47" i="67"/>
  <c r="G47" i="67"/>
  <c r="F7" i="67"/>
  <c r="G7" i="67"/>
  <c r="J7" i="67"/>
  <c r="G11" i="67"/>
  <c r="J11" i="67"/>
  <c r="F11" i="67"/>
  <c r="I11" i="67"/>
  <c r="J49" i="68"/>
  <c r="I49" i="68"/>
  <c r="G49" i="68"/>
  <c r="F49" i="68"/>
  <c r="B22" i="51"/>
  <c r="C22" i="51" s="1"/>
  <c r="E22" i="51"/>
  <c r="D22" i="51"/>
  <c r="I34" i="67"/>
  <c r="J34" i="67"/>
  <c r="G34" i="67"/>
  <c r="F34" i="67"/>
  <c r="E24" i="51"/>
  <c r="F46" i="67"/>
  <c r="G46" i="67"/>
  <c r="B24" i="51"/>
  <c r="C24" i="51" s="1"/>
  <c r="J46" i="67"/>
  <c r="D24" i="51"/>
  <c r="I46" i="67"/>
  <c r="G35" i="68"/>
  <c r="I35" i="68"/>
  <c r="J35" i="68"/>
  <c r="F35" i="68"/>
  <c r="J18" i="68"/>
  <c r="F18" i="68"/>
  <c r="I18" i="68"/>
  <c r="G18" i="68"/>
  <c r="F30" i="68"/>
  <c r="J30" i="68"/>
  <c r="G30" i="68"/>
  <c r="B25" i="52"/>
  <c r="C25" i="52" s="1"/>
  <c r="F52" i="68"/>
  <c r="G52" i="68"/>
  <c r="D25" i="52"/>
  <c r="I52" i="68"/>
  <c r="E25" i="52"/>
  <c r="J52" i="68"/>
  <c r="F10" i="68"/>
  <c r="J10" i="68"/>
  <c r="I10" i="68"/>
  <c r="G10" i="68"/>
  <c r="I38" i="67"/>
  <c r="F38" i="67"/>
  <c r="J38" i="67"/>
  <c r="G38" i="67"/>
  <c r="G42" i="67"/>
  <c r="I42" i="67"/>
  <c r="F42" i="67"/>
  <c r="J42" i="67"/>
  <c r="J15" i="67"/>
  <c r="I15" i="67"/>
  <c r="G15" i="67"/>
  <c r="F15" i="67"/>
  <c r="I21" i="67"/>
  <c r="J21" i="67"/>
  <c r="G21" i="67"/>
  <c r="F21" i="67"/>
  <c r="F32" i="67"/>
  <c r="J32" i="67"/>
  <c r="G32" i="67"/>
  <c r="F49" i="67"/>
  <c r="G49" i="67"/>
  <c r="I49" i="67"/>
  <c r="J49" i="67"/>
  <c r="G20" i="67"/>
  <c r="I20" i="67"/>
  <c r="B18" i="51"/>
  <c r="C18" i="51" s="1"/>
  <c r="J20" i="67"/>
  <c r="F20" i="67"/>
  <c r="D18" i="51"/>
  <c r="E18" i="51"/>
  <c r="G15" i="68"/>
  <c r="I15" i="68"/>
  <c r="J15" i="68"/>
  <c r="F15" i="68"/>
  <c r="J53" i="68"/>
  <c r="I53" i="68"/>
  <c r="G53" i="68"/>
  <c r="F53" i="68"/>
  <c r="F38" i="68"/>
  <c r="I38" i="68"/>
  <c r="G38" i="68"/>
  <c r="J38" i="68"/>
  <c r="I37" i="68"/>
  <c r="F37" i="68"/>
  <c r="J37" i="68"/>
  <c r="G37" i="68"/>
  <c r="B18" i="52"/>
  <c r="C18" i="52" s="1"/>
  <c r="J20" i="68"/>
  <c r="G20" i="68"/>
  <c r="D18" i="52"/>
  <c r="E18" i="52"/>
  <c r="I20" i="68"/>
  <c r="F20" i="68"/>
  <c r="G36" i="68"/>
  <c r="I36" i="68"/>
  <c r="J36" i="68"/>
  <c r="F36" i="68"/>
  <c r="G18" i="67"/>
  <c r="I18" i="67"/>
  <c r="F18" i="67"/>
  <c r="J18" i="67"/>
  <c r="J44" i="67"/>
  <c r="G44" i="67"/>
  <c r="F44" i="67"/>
  <c r="I44" i="67"/>
  <c r="F48" i="67"/>
  <c r="J48" i="67"/>
  <c r="I48" i="67"/>
  <c r="G48" i="67"/>
  <c r="F29" i="67"/>
  <c r="J29" i="67"/>
  <c r="G29" i="67"/>
  <c r="G53" i="67"/>
  <c r="I53" i="67"/>
  <c r="F53" i="67"/>
  <c r="J53" i="67"/>
  <c r="J25" i="67"/>
  <c r="I25" i="67"/>
  <c r="G25" i="67"/>
  <c r="F25" i="67"/>
  <c r="G23" i="67"/>
  <c r="J23" i="67"/>
  <c r="I23" i="67"/>
  <c r="F23" i="67"/>
  <c r="M9" i="73" l="1"/>
  <c r="K9" i="73"/>
  <c r="G9" i="73"/>
  <c r="F9" i="73"/>
  <c r="L9" i="73"/>
  <c r="H9" i="73"/>
  <c r="E9" i="73"/>
  <c r="D9" i="73"/>
  <c r="J9" i="73"/>
  <c r="I9" i="73"/>
  <c r="C9" i="73"/>
  <c r="K8" i="73"/>
  <c r="M8" i="73"/>
  <c r="I8" i="73"/>
  <c r="L8" i="73"/>
  <c r="H8" i="73"/>
  <c r="J8" i="73"/>
  <c r="G8" i="73"/>
  <c r="D8" i="73"/>
  <c r="E8" i="73"/>
  <c r="F8" i="73"/>
  <c r="C8" i="73"/>
  <c r="H9" i="62"/>
  <c r="J60" i="68"/>
  <c r="E6" i="52" s="1"/>
  <c r="G26" i="67"/>
  <c r="F26" i="67"/>
  <c r="J26" i="67"/>
  <c r="J62" i="67" s="1"/>
  <c r="D6" i="51" s="1"/>
  <c r="D19" i="51"/>
  <c r="C19" i="51" s="1"/>
  <c r="E19" i="51"/>
  <c r="J60" i="67"/>
  <c r="E6" i="51" s="1"/>
  <c r="G26" i="68"/>
  <c r="J26" i="68"/>
  <c r="J62" i="68" s="1"/>
  <c r="D6" i="52" s="1"/>
  <c r="D19" i="52"/>
  <c r="C19" i="52" s="1"/>
  <c r="F26" i="68"/>
  <c r="E19" i="52"/>
  <c r="F33" i="67"/>
  <c r="D21" i="51"/>
  <c r="C21" i="51" s="1"/>
  <c r="J33" i="67"/>
  <c r="J61" i="67" s="1"/>
  <c r="C6" i="51" s="1"/>
  <c r="G33" i="67"/>
  <c r="E21" i="51"/>
  <c r="J33" i="68"/>
  <c r="J61" i="68" s="1"/>
  <c r="C6" i="52" s="1"/>
  <c r="D21" i="52"/>
  <c r="C21" i="52" s="1"/>
  <c r="G33" i="68"/>
  <c r="E21" i="52"/>
  <c r="F33" i="68"/>
  <c r="J59" i="67"/>
  <c r="F6" i="51" s="1"/>
  <c r="J59" i="68"/>
  <c r="F6" i="52" s="1"/>
  <c r="B6" i="51" l="1"/>
  <c r="G24" i="51" a="1"/>
  <c r="G24" i="51" s="1"/>
  <c r="G25" i="51" a="1"/>
  <c r="G25" i="51" s="1"/>
  <c r="I22" i="52" a="1"/>
  <c r="I22" i="52" s="1"/>
  <c r="J22" i="52" s="1"/>
  <c r="I17" i="51" a="1"/>
  <c r="I17" i="51" s="1"/>
  <c r="J17" i="51" s="1"/>
  <c r="G22" i="51" a="1"/>
  <c r="G22" i="51" s="1"/>
  <c r="A26" i="49" s="1"/>
  <c r="I23" i="51" a="1"/>
  <c r="I23" i="51" s="1"/>
  <c r="J23" i="51" s="1"/>
  <c r="G21" i="51" a="1"/>
  <c r="G21" i="51" s="1"/>
  <c r="A25" i="49" s="1"/>
  <c r="H24" i="51" a="1"/>
  <c r="H24" i="51" s="1"/>
  <c r="H21" i="51" a="1"/>
  <c r="H21" i="51" s="1"/>
  <c r="B25" i="49" s="1"/>
  <c r="I19" i="51" a="1"/>
  <c r="I19" i="51" s="1"/>
  <c r="J19" i="51" s="1"/>
  <c r="G23" i="51" a="1"/>
  <c r="G23" i="51" s="1"/>
  <c r="A27" i="49" s="1"/>
  <c r="G20" i="51" a="1"/>
  <c r="G20" i="51" s="1"/>
  <c r="A24" i="49" s="1"/>
  <c r="I25" i="51" a="1"/>
  <c r="I25" i="51" s="1"/>
  <c r="J25" i="51" s="1"/>
  <c r="I24" i="51" a="1"/>
  <c r="I24" i="51" s="1"/>
  <c r="J24" i="51" s="1"/>
  <c r="I21" i="51" a="1"/>
  <c r="I21" i="51" s="1"/>
  <c r="J21" i="51" s="1"/>
  <c r="H18" i="51" a="1"/>
  <c r="H18" i="51" s="1"/>
  <c r="B22" i="49" s="1"/>
  <c r="H20" i="51" a="1"/>
  <c r="H20" i="51" s="1"/>
  <c r="B24" i="49" s="1"/>
  <c r="H23" i="51" a="1"/>
  <c r="H23" i="51" s="1"/>
  <c r="B27" i="49" s="1"/>
  <c r="H25" i="51" a="1"/>
  <c r="H25" i="51" s="1"/>
  <c r="I16" i="51" a="1"/>
  <c r="I16" i="51" s="1"/>
  <c r="J16" i="51" s="1"/>
  <c r="G16" i="51" a="1"/>
  <c r="G16" i="51" s="1"/>
  <c r="A20" i="49" s="1"/>
  <c r="I22" i="51" a="1"/>
  <c r="I22" i="51" s="1"/>
  <c r="J22" i="51" s="1"/>
  <c r="H17" i="51" a="1"/>
  <c r="H17" i="51" s="1"/>
  <c r="B21" i="49" s="1"/>
  <c r="H25" i="52" a="1"/>
  <c r="H25" i="52" s="1"/>
  <c r="H16" i="51" a="1"/>
  <c r="H16" i="51" s="1"/>
  <c r="B20" i="49" s="1"/>
  <c r="I18" i="51" a="1"/>
  <c r="I18" i="51" s="1"/>
  <c r="J18" i="51" s="1"/>
  <c r="G15" i="51" a="1"/>
  <c r="G15" i="51" s="1"/>
  <c r="A19" i="49" s="1"/>
  <c r="H15" i="51" a="1"/>
  <c r="H15" i="51" s="1"/>
  <c r="B19" i="49" s="1"/>
  <c r="I19" i="52" a="1"/>
  <c r="I19" i="52" s="1"/>
  <c r="J19" i="52" s="1"/>
  <c r="G19" i="51" a="1"/>
  <c r="G19" i="51" s="1"/>
  <c r="A23" i="49" s="1"/>
  <c r="G18" i="51" a="1"/>
  <c r="G18" i="51" s="1"/>
  <c r="A22" i="49" s="1"/>
  <c r="G17" i="51" a="1"/>
  <c r="G17" i="51" s="1"/>
  <c r="A21" i="49" s="1"/>
  <c r="I20" i="51" a="1"/>
  <c r="I20" i="51" s="1"/>
  <c r="J20" i="51" s="1"/>
  <c r="I25" i="52" a="1"/>
  <c r="I25" i="52" s="1"/>
  <c r="J25" i="52" s="1"/>
  <c r="G22" i="52" a="1"/>
  <c r="G22" i="52" s="1"/>
  <c r="A26" i="50" s="1"/>
  <c r="G19" i="52" a="1"/>
  <c r="G19" i="52" s="1"/>
  <c r="A23" i="50" s="1"/>
  <c r="I15" i="51" a="1"/>
  <c r="I15" i="51" s="1"/>
  <c r="H22" i="51" a="1"/>
  <c r="H22" i="51" s="1"/>
  <c r="B26" i="49" s="1"/>
  <c r="H19" i="51" a="1"/>
  <c r="H19" i="51" s="1"/>
  <c r="B23" i="49" s="1"/>
  <c r="G14" i="48"/>
  <c r="C13" i="50"/>
  <c r="G17" i="52" a="1"/>
  <c r="G17" i="52" s="1"/>
  <c r="A21" i="50" s="1"/>
  <c r="I16" i="52" a="1"/>
  <c r="I16" i="52" s="1"/>
  <c r="J16" i="52" s="1"/>
  <c r="I20" i="52" a="1"/>
  <c r="I20" i="52" s="1"/>
  <c r="J20" i="52" s="1"/>
  <c r="I24" i="52" a="1"/>
  <c r="I24" i="52" s="1"/>
  <c r="J24" i="52" s="1"/>
  <c r="H23" i="52" a="1"/>
  <c r="H23" i="52" s="1"/>
  <c r="B27" i="50" s="1"/>
  <c r="H16" i="52" a="1"/>
  <c r="H16" i="52" s="1"/>
  <c r="B20" i="50" s="1"/>
  <c r="F13" i="50"/>
  <c r="W14" i="48"/>
  <c r="H15" i="52" a="1"/>
  <c r="H15" i="52" s="1"/>
  <c r="B19" i="50" s="1"/>
  <c r="G15" i="52" a="1"/>
  <c r="G15" i="52" s="1"/>
  <c r="A19" i="50" s="1"/>
  <c r="H18" i="52" a="1"/>
  <c r="H18" i="52" s="1"/>
  <c r="B22" i="50" s="1"/>
  <c r="H22" i="52" a="1"/>
  <c r="H22" i="52" s="1"/>
  <c r="B26" i="50" s="1"/>
  <c r="G18" i="52" a="1"/>
  <c r="G18" i="52" s="1"/>
  <c r="A22" i="50" s="1"/>
  <c r="G14" i="47"/>
  <c r="C13" i="49"/>
  <c r="D13" i="50"/>
  <c r="L14" i="48"/>
  <c r="G24" i="52" a="1"/>
  <c r="G24" i="52" s="1"/>
  <c r="G21" i="52" a="1"/>
  <c r="G21" i="52" s="1"/>
  <c r="A25" i="50" s="1"/>
  <c r="G16" i="52" a="1"/>
  <c r="G16" i="52" s="1"/>
  <c r="A20" i="50" s="1"/>
  <c r="G20" i="52" a="1"/>
  <c r="G20" i="52" s="1"/>
  <c r="A24" i="50" s="1"/>
  <c r="I21" i="52" a="1"/>
  <c r="I21" i="52" s="1"/>
  <c r="J21" i="52" s="1"/>
  <c r="H19" i="52" a="1"/>
  <c r="H19" i="52" s="1"/>
  <c r="B23" i="50" s="1"/>
  <c r="W14" i="47"/>
  <c r="F13" i="49"/>
  <c r="I15" i="52" a="1"/>
  <c r="I15" i="52" s="1"/>
  <c r="G23" i="52" a="1"/>
  <c r="G23" i="52" s="1"/>
  <c r="A27" i="50" s="1"/>
  <c r="I18" i="52" a="1"/>
  <c r="I18" i="52" s="1"/>
  <c r="J18" i="52" s="1"/>
  <c r="H17" i="52" a="1"/>
  <c r="H17" i="52" s="1"/>
  <c r="B21" i="50" s="1"/>
  <c r="G25" i="52" a="1"/>
  <c r="G25" i="52" s="1"/>
  <c r="H21" i="52" a="1"/>
  <c r="H21" i="52" s="1"/>
  <c r="B25" i="50" s="1"/>
  <c r="I23" i="52" a="1"/>
  <c r="I23" i="52" s="1"/>
  <c r="J23" i="52" s="1"/>
  <c r="E13" i="50"/>
  <c r="S14" i="48"/>
  <c r="B6" i="52"/>
  <c r="H20" i="52" a="1"/>
  <c r="H20" i="52" s="1"/>
  <c r="B24" i="50" s="1"/>
  <c r="H24" i="52" a="1"/>
  <c r="H24" i="52" s="1"/>
  <c r="I17" i="52" a="1"/>
  <c r="I17" i="52" s="1"/>
  <c r="J17" i="52" s="1"/>
  <c r="S14" i="47"/>
  <c r="E13" i="49"/>
  <c r="D13" i="49"/>
  <c r="L14" i="47"/>
  <c r="I26" i="68" l="1"/>
  <c r="I26" i="67"/>
  <c r="I32" i="67"/>
  <c r="I31" i="67"/>
  <c r="I28" i="67"/>
  <c r="I29" i="67"/>
  <c r="I30" i="67"/>
  <c r="J15" i="51"/>
  <c r="I3" i="67" s="1"/>
  <c r="I27" i="67"/>
  <c r="A15" i="49"/>
  <c r="B14" i="47"/>
  <c r="B13" i="47" s="1"/>
  <c r="B13" i="49"/>
  <c r="B12" i="49" s="1"/>
  <c r="B13" i="50"/>
  <c r="B12" i="50" s="1"/>
  <c r="B14" i="48"/>
  <c r="B13" i="48" s="1"/>
  <c r="J15" i="52"/>
  <c r="I4" i="68" s="1"/>
  <c r="I28" i="68"/>
  <c r="I30" i="68"/>
  <c r="I29" i="68"/>
  <c r="I27" i="68"/>
  <c r="I32" i="68"/>
  <c r="I31" i="68"/>
  <c r="A15" i="50"/>
  <c r="I33" i="68" l="1"/>
  <c r="I33" i="67"/>
  <c r="I5" i="67"/>
  <c r="I2" i="68"/>
  <c r="I7" i="67"/>
  <c r="I2" i="67"/>
  <c r="I6" i="67"/>
  <c r="I4" i="67"/>
  <c r="I5" i="68"/>
  <c r="I7" i="68"/>
  <c r="I6" i="68"/>
  <c r="I3" i="68"/>
  <c r="E36" i="66" l="1"/>
  <c r="B36" i="66" s="1"/>
  <c r="F9" i="62"/>
  <c r="G9" i="62"/>
  <c r="E109" i="63" l="1"/>
  <c r="E110" i="63"/>
  <c r="E10" i="62"/>
  <c r="G7" i="62"/>
  <c r="G8" i="62" s="1"/>
  <c r="G10" i="62"/>
  <c r="F109" i="63" l="1"/>
  <c r="H10" i="62"/>
  <c r="E11" i="62"/>
  <c r="D10" i="62"/>
  <c r="D7" i="62"/>
  <c r="K6" i="62"/>
  <c r="I6" i="62"/>
  <c r="D9" i="62"/>
  <c r="K9" i="62" s="1"/>
  <c r="H7" i="62"/>
  <c r="E9" i="62"/>
  <c r="E7" i="62"/>
  <c r="F108" i="63" s="1"/>
  <c r="C9" i="62"/>
  <c r="G11" i="62"/>
  <c r="E106" i="63" l="1"/>
  <c r="E107" i="63"/>
  <c r="I10" i="62"/>
  <c r="F106" i="63"/>
  <c r="I9" i="62"/>
  <c r="E8" i="62"/>
  <c r="I8" i="62" s="1"/>
  <c r="I7" i="62"/>
  <c r="I11" i="62"/>
  <c r="G108" i="63" l="1"/>
  <c r="V30" i="73" a="1"/>
  <c r="P36" i="68" a="1"/>
  <c r="P29" i="67" a="1"/>
  <c r="Y20" i="73" a="1"/>
  <c r="O10" i="73" a="1"/>
  <c r="U4" i="73" a="1"/>
  <c r="S12" i="73" a="1"/>
  <c r="N33" i="68" a="1"/>
  <c r="L49" i="67" a="1"/>
  <c r="L27" i="68" a="1"/>
  <c r="X9" i="73" a="1"/>
  <c r="P28" i="67" a="1"/>
  <c r="M16" i="67" a="1"/>
  <c r="L54" i="68" a="1"/>
  <c r="M38" i="67" a="1"/>
  <c r="V18" i="73" a="1"/>
  <c r="Q34" i="73" a="1"/>
  <c r="P6" i="73" a="1"/>
  <c r="U33" i="73" a="1"/>
  <c r="O24" i="67" a="1"/>
  <c r="O17" i="68" a="1"/>
  <c r="O8" i="68" a="1"/>
  <c r="P42" i="67" a="1"/>
  <c r="L52" i="68" a="1"/>
  <c r="M25" i="68" a="1"/>
  <c r="N36" i="67" a="1"/>
  <c r="N31" i="67" a="1"/>
  <c r="O43" i="68" a="1"/>
  <c r="M41" i="67" a="1"/>
  <c r="T10" i="73" a="1"/>
  <c r="V23" i="73" a="1"/>
  <c r="X33" i="73" a="1"/>
  <c r="Q18" i="73" a="1"/>
  <c r="P49" i="68" a="1"/>
  <c r="O22" i="67" a="1"/>
  <c r="R19" i="73" a="1"/>
  <c r="N35" i="67" a="1"/>
  <c r="N18" i="68" a="1"/>
  <c r="L2" i="67" a="1"/>
  <c r="L48" i="67" a="1"/>
  <c r="P5" i="68" a="1"/>
  <c r="L26" i="68" a="1"/>
  <c r="U23" i="73" a="1"/>
  <c r="M48" i="67" a="1"/>
  <c r="R2" i="73" a="1"/>
  <c r="M23" i="67" a="1"/>
  <c r="M21" i="67" a="1"/>
  <c r="M52" i="67" a="1"/>
  <c r="N24" i="67" a="1"/>
  <c r="W8" i="73" a="1"/>
  <c r="M54" i="67" a="1"/>
  <c r="M17" i="68" a="1"/>
  <c r="O4" i="73" a="1"/>
  <c r="O13" i="68" a="1"/>
  <c r="P28" i="73" a="1"/>
  <c r="P23" i="68" a="1"/>
  <c r="P51" i="67" a="1"/>
  <c r="O12" i="73" a="1"/>
  <c r="N27" i="67" a="1"/>
  <c r="W19" i="73" a="1"/>
  <c r="N55" i="67" a="1"/>
  <c r="N46" i="67" a="1"/>
  <c r="O26" i="68" a="1"/>
  <c r="W18" i="73" a="1"/>
  <c r="Y31" i="73" a="1"/>
  <c r="V12" i="73" a="1"/>
  <c r="T26" i="73" a="1"/>
  <c r="U21" i="73" a="1"/>
  <c r="M30" i="68" a="1"/>
  <c r="L46" i="67" a="1"/>
  <c r="S29" i="73" a="1"/>
  <c r="O16" i="73" a="1"/>
  <c r="M27" i="68" a="1"/>
  <c r="P29" i="68" a="1"/>
  <c r="O24" i="73" a="1"/>
  <c r="O13" i="67" a="1"/>
  <c r="M33" i="68" a="1"/>
  <c r="L41" i="68" a="1"/>
  <c r="L8" i="68" a="1"/>
  <c r="P18" i="73" a="1"/>
  <c r="P19" i="67" a="1"/>
  <c r="M2" i="67" a="1"/>
  <c r="P2" i="67" a="1"/>
  <c r="U12" i="73" a="1"/>
  <c r="N2" i="67" a="1"/>
  <c r="R6" i="73" a="1"/>
  <c r="O29" i="68" a="1"/>
  <c r="L33" i="68" a="1"/>
  <c r="O36" i="68" a="1"/>
  <c r="N30" i="68" a="1"/>
  <c r="N30" i="67" a="1"/>
  <c r="O20" i="67" a="1"/>
  <c r="O10" i="68" a="1"/>
  <c r="Q32" i="73" a="1"/>
  <c r="N40" i="67" a="1"/>
  <c r="O37" i="67" a="1"/>
  <c r="W17" i="73" a="1"/>
  <c r="Y14" i="73" a="1"/>
  <c r="W14" i="73" a="1"/>
  <c r="M36" i="67" a="1"/>
  <c r="O37" i="68" a="1"/>
  <c r="P18" i="67" a="1"/>
  <c r="S21" i="73" a="1"/>
  <c r="N45" i="68" a="1"/>
  <c r="Q31" i="73" a="1"/>
  <c r="M16" i="68" a="1"/>
  <c r="L13" i="68" a="1"/>
  <c r="X34" i="73" a="1"/>
  <c r="Y27" i="73" a="1"/>
  <c r="M50" i="68" a="1"/>
  <c r="P4" i="68" a="1"/>
  <c r="N8" i="67" a="1"/>
  <c r="P14" i="68" a="1"/>
  <c r="Q21" i="73" a="1"/>
  <c r="L29" i="68" a="1"/>
  <c r="M18" i="68" a="1"/>
  <c r="Q2" i="73" a="1"/>
  <c r="O30" i="67" a="1"/>
  <c r="S15" i="73" a="1"/>
  <c r="O27" i="67" a="1"/>
  <c r="W13" i="73" a="1"/>
  <c r="T19" i="73" a="1"/>
  <c r="L18" i="67" a="1"/>
  <c r="S22" i="73" a="1"/>
  <c r="Q7" i="73" a="1"/>
  <c r="T27" i="73" a="1"/>
  <c r="O27" i="68" a="1"/>
  <c r="X7" i="73" a="1"/>
  <c r="T7" i="73" a="1"/>
  <c r="L53" i="67" a="1"/>
  <c r="N49" i="67" a="1"/>
  <c r="O45" i="67" a="1"/>
  <c r="M52" i="68" a="1"/>
  <c r="L29" i="67" a="1"/>
  <c r="M26" i="67" a="1"/>
  <c r="N5" i="68" a="1"/>
  <c r="M20" i="67" a="1"/>
  <c r="N2" i="68" a="1"/>
  <c r="L51" i="67" a="1"/>
  <c r="T29" i="73" a="1"/>
  <c r="P8" i="67" a="1"/>
  <c r="L44" i="67" a="1"/>
  <c r="X3" i="73" a="1"/>
  <c r="R15" i="73" a="1"/>
  <c r="N41" i="67" a="1"/>
  <c r="P25" i="73" a="1"/>
  <c r="L47" i="67" a="1"/>
  <c r="L32" i="68" a="1"/>
  <c r="U30" i="73" a="1"/>
  <c r="N28" i="68" a="1"/>
  <c r="N3" i="68" a="1"/>
  <c r="V7" i="73" a="1"/>
  <c r="N50" i="67" a="1"/>
  <c r="N22" i="67" a="1"/>
  <c r="V29" i="73" a="1"/>
  <c r="O19" i="68" a="1"/>
  <c r="V9" i="73" a="1"/>
  <c r="L34" i="67" a="1"/>
  <c r="N37" i="68" a="1"/>
  <c r="V8" i="73" a="1"/>
  <c r="N6" i="67" a="1"/>
  <c r="M3" i="68" a="1"/>
  <c r="W25" i="73" a="1"/>
  <c r="S23" i="73" a="1"/>
  <c r="O6" i="67" a="1"/>
  <c r="L7" i="67" a="1"/>
  <c r="O5" i="68" a="1"/>
  <c r="L5" i="68" a="1"/>
  <c r="O3" i="73" a="1"/>
  <c r="R30" i="73" a="1"/>
  <c r="R21" i="73" a="1"/>
  <c r="P4" i="67" a="1"/>
  <c r="P17" i="67" a="1"/>
  <c r="L38" i="68" a="1"/>
  <c r="P17" i="73" a="1"/>
  <c r="P2" i="68" a="1"/>
  <c r="L17" i="67" a="1"/>
  <c r="U6" i="73" a="1"/>
  <c r="Q12" i="73" a="1"/>
  <c r="N14" i="68" a="1"/>
  <c r="P3" i="73" a="1"/>
  <c r="U10" i="73" a="1"/>
  <c r="L16" i="67" a="1"/>
  <c r="P55" i="67" a="1"/>
  <c r="P52" i="67" a="1"/>
  <c r="L25" i="67" a="1"/>
  <c r="O38" i="67" a="1"/>
  <c r="Y33" i="73" a="1"/>
  <c r="N21" i="68" a="1"/>
  <c r="N20" i="68" a="1"/>
  <c r="N41" i="68" a="1"/>
  <c r="U20" i="73" a="1"/>
  <c r="P22" i="67" a="1"/>
  <c r="T9" i="73" a="1"/>
  <c r="O55" i="67" a="1"/>
  <c r="V13" i="73" a="1"/>
  <c r="M8" i="68" a="1"/>
  <c r="N52" i="67" a="1"/>
  <c r="M50" i="67" a="1"/>
  <c r="M7" i="67" a="1"/>
  <c r="M51" i="68" a="1"/>
  <c r="N51" i="68" a="1"/>
  <c r="O41" i="68" a="1"/>
  <c r="O27" i="73" a="1"/>
  <c r="N31" i="68" a="1"/>
  <c r="P40" i="68" a="1"/>
  <c r="V22" i="73" a="1"/>
  <c r="O51" i="67" a="1"/>
  <c r="P45" i="68" a="1"/>
  <c r="N35" i="68" a="1"/>
  <c r="P32" i="68" a="1"/>
  <c r="P34" i="68" a="1"/>
  <c r="N44" i="67" a="1"/>
  <c r="N10" i="68" a="1"/>
  <c r="N26" i="67" a="1"/>
  <c r="N42" i="68" a="1"/>
  <c r="P5" i="73" a="1"/>
  <c r="P13" i="67" a="1"/>
  <c r="Y3" i="73" a="1"/>
  <c r="O13" i="73" a="1"/>
  <c r="P34" i="73" a="1"/>
  <c r="W6" i="73" a="1"/>
  <c r="Y19" i="73" a="1"/>
  <c r="L4" i="68" a="1"/>
  <c r="M27" i="67" a="1"/>
  <c r="W11" i="73" a="1"/>
  <c r="M34" i="67" a="1"/>
  <c r="U29" i="73" a="1"/>
  <c r="O16" i="67" a="1"/>
  <c r="P17" i="68" a="1"/>
  <c r="P9" i="67" a="1"/>
  <c r="L2" i="68" a="1"/>
  <c r="M4" i="67" a="1"/>
  <c r="N19" i="68" a="1"/>
  <c r="P37" i="67" a="1"/>
  <c r="V33" i="73" a="1"/>
  <c r="M40" i="67" a="1"/>
  <c r="P8" i="73" a="1"/>
  <c r="Q28" i="73" a="1"/>
  <c r="V27" i="73" a="1"/>
  <c r="M32" i="67" a="1"/>
  <c r="V34" i="73" a="1"/>
  <c r="O31" i="73" a="1"/>
  <c r="O31" i="68" a="1"/>
  <c r="N53" i="68" a="1"/>
  <c r="R34" i="73" a="1"/>
  <c r="R10" i="73" a="1"/>
  <c r="P47" i="67" a="1"/>
  <c r="L18" i="68" a="1"/>
  <c r="N43" i="68" a="1"/>
  <c r="S16" i="73" a="1"/>
  <c r="N15" i="67" a="1"/>
  <c r="O21" i="68" a="1"/>
  <c r="M45" i="68" a="1"/>
  <c r="Y5" i="73" a="1"/>
  <c r="O9" i="67" a="1"/>
  <c r="O39" i="67" a="1"/>
  <c r="O42" i="68" a="1"/>
  <c r="M51" i="67" a="1"/>
  <c r="M6" i="67" a="1"/>
  <c r="M18" i="67" a="1"/>
  <c r="M5" i="67" a="1"/>
  <c r="O20" i="73" a="1"/>
  <c r="O16" i="68" a="1"/>
  <c r="P31" i="67" a="1"/>
  <c r="O57" i="67" a="1"/>
  <c r="U25" i="73" a="1"/>
  <c r="P20" i="73" a="1"/>
  <c r="Q27" i="73" a="1"/>
  <c r="P5" i="67" a="1"/>
  <c r="X30" i="73" a="1"/>
  <c r="U19" i="73" a="1"/>
  <c r="O32" i="73" a="1"/>
  <c r="L46" i="68" a="1"/>
  <c r="S25" i="73" a="1"/>
  <c r="L37" i="68" a="1"/>
  <c r="S11" i="73" a="1"/>
  <c r="S17" i="73" a="1"/>
  <c r="Q24" i="73" a="1"/>
  <c r="O52" i="68" a="1"/>
  <c r="Y12" i="73" a="1"/>
  <c r="X25" i="73" a="1"/>
  <c r="M29" i="67" a="1"/>
  <c r="O6" i="73" a="1"/>
  <c r="O10" i="67" a="1"/>
  <c r="O28" i="68" a="1"/>
  <c r="M10" i="67" a="1"/>
  <c r="O19" i="67" a="1"/>
  <c r="L35" i="68" a="1"/>
  <c r="O7" i="73" a="1"/>
  <c r="Y8" i="73" a="1"/>
  <c r="O7" i="67" a="1"/>
  <c r="L21" i="67" a="1"/>
  <c r="U5" i="73" a="1"/>
  <c r="S18" i="73" a="1"/>
  <c r="M6" i="68" a="1"/>
  <c r="N7" i="67" a="1"/>
  <c r="P37" i="68" a="1"/>
  <c r="N3" i="67" a="1"/>
  <c r="L3" i="68" a="1"/>
  <c r="P30" i="73" a="1"/>
  <c r="V2" i="73" a="1"/>
  <c r="L10" i="67" a="1"/>
  <c r="N16" i="68" a="1"/>
  <c r="N37" i="67" a="1"/>
  <c r="O29" i="67" a="1"/>
  <c r="S2" i="73" a="1"/>
  <c r="P15" i="68" a="1"/>
  <c r="N20" i="67" a="1"/>
  <c r="O8" i="73" a="1"/>
  <c r="L31" i="67" a="1"/>
  <c r="P19" i="73" a="1"/>
  <c r="W16" i="73" a="1"/>
  <c r="Y11" i="73" a="1"/>
  <c r="L22" i="68" a="1"/>
  <c r="P44" i="67" a="1"/>
  <c r="P50" i="68" a="1"/>
  <c r="P40" i="67" a="1"/>
  <c r="W2" i="73" a="1"/>
  <c r="O46" i="67" a="1"/>
  <c r="M44" i="67" a="1"/>
  <c r="P48" i="68" a="1"/>
  <c r="M10" i="68" a="1"/>
  <c r="U27" i="73" a="1"/>
  <c r="P42" i="68" a="1"/>
  <c r="M37" i="68" a="1"/>
  <c r="Y6" i="73" a="1"/>
  <c r="L22" i="67" a="1"/>
  <c r="P33" i="68" a="1"/>
  <c r="X16" i="73" a="1"/>
  <c r="O2" i="73" a="1"/>
  <c r="N11" i="68" a="1"/>
  <c r="M13" i="68" a="1"/>
  <c r="R8" i="73" a="1"/>
  <c r="W29" i="73" a="1"/>
  <c r="U31" i="73" a="1"/>
  <c r="P33" i="73" a="1"/>
  <c r="L3" i="67" a="1"/>
  <c r="L14" i="67" a="1"/>
  <c r="P15" i="67" a="1"/>
  <c r="O28" i="73" a="1"/>
  <c r="N45" i="67" a="1"/>
  <c r="O23" i="68" a="1"/>
  <c r="P56" i="67" a="1"/>
  <c r="S4" i="73" a="1"/>
  <c r="N54" i="67" a="1"/>
  <c r="O35" i="68" a="1"/>
  <c r="L27" i="67" a="1"/>
  <c r="W26" i="73" a="1"/>
  <c r="M3" i="67" a="1"/>
  <c r="O20" i="68" a="1"/>
  <c r="N34" i="68" a="1"/>
  <c r="P46" i="67" a="1"/>
  <c r="U34" i="73" a="1"/>
  <c r="P3" i="68" a="1"/>
  <c r="O38" i="68" a="1"/>
  <c r="O9" i="73" a="1"/>
  <c r="O21" i="67" a="1"/>
  <c r="T24" i="73" a="1"/>
  <c r="V21" i="73" a="1"/>
  <c r="S34" i="73" a="1"/>
  <c r="L39" i="67" a="1"/>
  <c r="M15" i="68" a="1"/>
  <c r="L25" i="68" a="1"/>
  <c r="X19" i="73" a="1"/>
  <c r="Q26" i="73" a="1"/>
  <c r="W12" i="73" a="1"/>
  <c r="M49" i="67" a="1"/>
  <c r="P15" i="73" a="1"/>
  <c r="L9" i="67" a="1"/>
  <c r="O56" i="68" a="1"/>
  <c r="L56" i="68" a="1"/>
  <c r="P25" i="67" a="1"/>
  <c r="P43" i="67" a="1"/>
  <c r="M47" i="67" a="1"/>
  <c r="P10" i="73" a="1"/>
  <c r="S27" i="73" a="1"/>
  <c r="P32" i="67" a="1"/>
  <c r="P11" i="67" a="1"/>
  <c r="N48" i="67" a="1"/>
  <c r="X18" i="73" a="1"/>
  <c r="O5" i="67" a="1"/>
  <c r="L40" i="67" a="1"/>
  <c r="Q13" i="73" a="1"/>
  <c r="M14" i="67" a="1"/>
  <c r="L9" i="68" a="1"/>
  <c r="R7" i="73" a="1"/>
  <c r="R5" i="73" a="1"/>
  <c r="R14" i="73" a="1"/>
  <c r="N23" i="68" a="1"/>
  <c r="P43" i="68" a="1"/>
  <c r="W22" i="73" a="1"/>
  <c r="T21" i="73" a="1"/>
  <c r="O12" i="67" a="1"/>
  <c r="R23" i="73" a="1"/>
  <c r="V17" i="73" a="1"/>
  <c r="M41" i="68" a="1"/>
  <c r="M37" i="67" a="1"/>
  <c r="P49" i="67" a="1"/>
  <c r="V4" i="73" a="1"/>
  <c r="T13" i="73" a="1"/>
  <c r="Q5" i="73" a="1"/>
  <c r="O34" i="68" a="1"/>
  <c r="O30" i="68" a="1"/>
  <c r="W5" i="73" a="1"/>
  <c r="Y26" i="73" a="1"/>
  <c r="P27" i="67" a="1"/>
  <c r="N23" i="67" a="1"/>
  <c r="P9" i="68" a="1"/>
  <c r="R28" i="73" a="1"/>
  <c r="Y25" i="73" a="1"/>
  <c r="O22" i="73" a="1"/>
  <c r="S5" i="73" a="1"/>
  <c r="O33" i="67" a="1"/>
  <c r="P26" i="68" a="1"/>
  <c r="V32" i="73" a="1"/>
  <c r="M24" i="67" a="1"/>
  <c r="Y30" i="73" a="1"/>
  <c r="M12" i="67" a="1"/>
  <c r="V15" i="73" a="1"/>
  <c r="R27" i="73" a="1"/>
  <c r="Q25" i="73" a="1"/>
  <c r="Q30" i="73" a="1"/>
  <c r="M31" i="68" a="1"/>
  <c r="N9" i="68" a="1"/>
  <c r="W4" i="73" a="1"/>
  <c r="N56" i="67" a="1"/>
  <c r="U14" i="73" a="1"/>
  <c r="L24" i="67" a="1"/>
  <c r="N48" i="68" a="1"/>
  <c r="P18" i="68" a="1"/>
  <c r="L26" i="67" a="1"/>
  <c r="M13" i="67" a="1"/>
  <c r="M42" i="68" a="1"/>
  <c r="N38" i="68" a="1"/>
  <c r="T20" i="73" a="1"/>
  <c r="O53" i="67" a="1"/>
  <c r="P11" i="68" a="1"/>
  <c r="Q3" i="73" a="1"/>
  <c r="O26" i="73" a="1"/>
  <c r="Q23" i="73" a="1"/>
  <c r="M20" i="68" a="1"/>
  <c r="L30" i="68" a="1"/>
  <c r="V25" i="73" a="1"/>
  <c r="O25" i="68" a="1"/>
  <c r="R9" i="73" a="1"/>
  <c r="W9" i="73" a="1"/>
  <c r="R26" i="73" a="1"/>
  <c r="S14" i="73" a="1"/>
  <c r="O53" i="68" a="1"/>
  <c r="Y4" i="73" a="1"/>
  <c r="P39" i="68" a="1"/>
  <c r="Y23" i="73" a="1"/>
  <c r="L49" i="68" a="1"/>
  <c r="S9" i="73" a="1"/>
  <c r="M45" i="67" a="1"/>
  <c r="Q16" i="73" a="1"/>
  <c r="O3" i="67" a="1"/>
  <c r="N17" i="67" a="1"/>
  <c r="W28" i="73" a="1"/>
  <c r="N19" i="67" a="1"/>
  <c r="R33" i="73" a="1"/>
  <c r="N55" i="68" a="1"/>
  <c r="O44" i="67" a="1"/>
  <c r="Q29" i="73" a="1"/>
  <c r="N32" i="68" a="1"/>
  <c r="Q17" i="73" a="1"/>
  <c r="L53" i="68" a="1"/>
  <c r="W27" i="73" a="1"/>
  <c r="O48" i="68" a="1"/>
  <c r="T14" i="73" a="1"/>
  <c r="M9" i="68" a="1"/>
  <c r="S33" i="73" a="1"/>
  <c r="P36" i="67" a="1"/>
  <c r="P7" i="73" a="1"/>
  <c r="Q11" i="73" a="1"/>
  <c r="R29" i="73" a="1"/>
  <c r="U9" i="73" a="1"/>
  <c r="P20" i="67" a="1"/>
  <c r="L37" i="67" a="1"/>
  <c r="M17" i="67" a="1"/>
  <c r="M30" i="67" a="1"/>
  <c r="P34" i="67" a="1"/>
  <c r="V14" i="73" a="1"/>
  <c r="N47" i="68" a="1"/>
  <c r="M15" i="67" a="1"/>
  <c r="O50" i="67" a="1"/>
  <c r="S6" i="73" a="1"/>
  <c r="L52" i="67" a="1"/>
  <c r="N32" i="67" a="1"/>
  <c r="L35" i="67" a="1"/>
  <c r="L34" i="68" a="1"/>
  <c r="V10" i="73" a="1"/>
  <c r="Y7" i="73" a="1"/>
  <c r="P48" i="67" a="1"/>
  <c r="P38" i="68" a="1"/>
  <c r="V20" i="73" a="1"/>
  <c r="X21" i="73" a="1"/>
  <c r="M7" i="68" a="1"/>
  <c r="R31" i="73" a="1"/>
  <c r="N15" i="68" a="1"/>
  <c r="O41" i="67" a="1"/>
  <c r="L20" i="67" a="1"/>
  <c r="M2" i="68" a="1"/>
  <c r="X6" i="73" a="1"/>
  <c r="N38" i="67" a="1"/>
  <c r="U11" i="73" a="1"/>
  <c r="Y18" i="73" a="1"/>
  <c r="W15" i="73" a="1"/>
  <c r="N42" i="67" a="1"/>
  <c r="T5" i="73" a="1"/>
  <c r="Y17" i="73" a="1"/>
  <c r="Q15" i="73" a="1"/>
  <c r="P12" i="73" a="1"/>
  <c r="P12" i="68" a="1"/>
  <c r="T15" i="73" a="1"/>
  <c r="T22" i="73" a="1"/>
  <c r="P56" i="68" a="1"/>
  <c r="P2" i="73" a="1"/>
  <c r="N51" i="67" a="1"/>
  <c r="O25" i="73" a="1"/>
  <c r="O49" i="68" a="1"/>
  <c r="T8" i="73" a="1"/>
  <c r="M40" i="68" a="1"/>
  <c r="W31" i="73" a="1"/>
  <c r="L42" i="68" a="1"/>
  <c r="Q22" i="73" a="1"/>
  <c r="T16" i="73" a="1"/>
  <c r="N56" i="68" a="1"/>
  <c r="P23" i="67" a="1"/>
  <c r="P3" i="67" a="1"/>
  <c r="N14" i="67" a="1"/>
  <c r="P7" i="67" a="1"/>
  <c r="O15" i="68" a="1"/>
  <c r="X5" i="73" a="1"/>
  <c r="R13" i="73" a="1"/>
  <c r="T33" i="73" a="1"/>
  <c r="N46" i="68" a="1"/>
  <c r="Y24" i="73" a="1"/>
  <c r="M55" i="68" a="1"/>
  <c r="L19" i="68" a="1"/>
  <c r="Y2" i="73" a="1"/>
  <c r="X31" i="73" a="1"/>
  <c r="O5" i="73" a="1"/>
  <c r="N52" i="68" a="1"/>
  <c r="O28" i="67" a="1"/>
  <c r="V11" i="73" a="1"/>
  <c r="N36" i="68" a="1"/>
  <c r="U13" i="73" a="1"/>
  <c r="O19" i="73" a="1"/>
  <c r="L14" i="68" a="1"/>
  <c r="P14" i="73" a="1"/>
  <c r="X11" i="73" a="1"/>
  <c r="L12" i="67" a="1"/>
  <c r="P57" i="67" a="1"/>
  <c r="X15" i="73" a="1"/>
  <c r="P24" i="73" a="1"/>
  <c r="N26" i="68" a="1"/>
  <c r="X13" i="73" a="1"/>
  <c r="L48" i="68" a="1"/>
  <c r="P30" i="67" a="1"/>
  <c r="U3" i="73" a="1"/>
  <c r="X22" i="73" a="1"/>
  <c r="P44" i="68" a="1"/>
  <c r="P57" i="68" a="1"/>
  <c r="Y34" i="73" a="1"/>
  <c r="M35" i="68" a="1"/>
  <c r="T31" i="73" a="1"/>
  <c r="M32" i="68" a="1"/>
  <c r="U24" i="73" a="1"/>
  <c r="O24" i="68" a="1"/>
  <c r="L51" i="68" a="1"/>
  <c r="N57" i="67" a="1"/>
  <c r="O52" i="67" a="1"/>
  <c r="P26" i="73" a="1"/>
  <c r="P21" i="67" a="1"/>
  <c r="L5" i="67" a="1"/>
  <c r="Q6" i="73" a="1"/>
  <c r="P47" i="68" a="1"/>
  <c r="P54" i="67" a="1"/>
  <c r="N27" i="68" a="1"/>
  <c r="P20" i="68" a="1"/>
  <c r="L7" i="68" a="1"/>
  <c r="R11" i="73" a="1"/>
  <c r="U16" i="73" a="1"/>
  <c r="R24" i="73" a="1"/>
  <c r="M57" i="68" a="1"/>
  <c r="L15" i="67" a="1"/>
  <c r="T23" i="73" a="1"/>
  <c r="N25" i="67" a="1"/>
  <c r="M39" i="68" a="1"/>
  <c r="V5" i="73" a="1"/>
  <c r="W33" i="73" a="1"/>
  <c r="O15" i="67" a="1"/>
  <c r="T4" i="73" a="1"/>
  <c r="W34" i="73" a="1"/>
  <c r="O56" i="67" a="1"/>
  <c r="P52" i="68" a="1"/>
  <c r="Y15" i="73" a="1"/>
  <c r="P16" i="67" a="1"/>
  <c r="O18" i="73" a="1"/>
  <c r="P27" i="73" a="1"/>
  <c r="L36" i="68" a="1"/>
  <c r="P13" i="68" a="1"/>
  <c r="L6" i="68" a="1"/>
  <c r="P10" i="67" a="1"/>
  <c r="L13" i="67" a="1"/>
  <c r="P30" i="68" a="1"/>
  <c r="W10" i="73" a="1"/>
  <c r="Q8" i="73" a="1"/>
  <c r="R25" i="73" a="1"/>
  <c r="N43" i="67" a="1"/>
  <c r="M43" i="68" a="1"/>
  <c r="L55" i="68" a="1"/>
  <c r="P31" i="73" a="1"/>
  <c r="W20" i="73" a="1"/>
  <c r="T6" i="73" a="1"/>
  <c r="P32" i="73" a="1"/>
  <c r="O6" i="68" a="1"/>
  <c r="M8" i="67" a="1"/>
  <c r="M19" i="67" a="1"/>
  <c r="P39" i="67" a="1"/>
  <c r="Y10" i="73" a="1"/>
  <c r="M5" i="68" a="1"/>
  <c r="P29" i="73" a="1"/>
  <c r="V6" i="73" a="1"/>
  <c r="O44" i="68" a="1"/>
  <c r="T12" i="73" a="1"/>
  <c r="O51" i="68" a="1"/>
  <c r="X26" i="73" a="1"/>
  <c r="O42" i="67" a="1"/>
  <c r="M35" i="67" a="1"/>
  <c r="L8" i="67" a="1"/>
  <c r="O40" i="68" a="1"/>
  <c r="R32" i="73" a="1"/>
  <c r="M46" i="68" a="1"/>
  <c r="N4" i="67" a="1"/>
  <c r="M46" i="67" a="1"/>
  <c r="M24" i="68" a="1"/>
  <c r="O39" i="68" a="1"/>
  <c r="L19" i="67" a="1"/>
  <c r="W24" i="73" a="1"/>
  <c r="O11" i="68" a="1"/>
  <c r="O22" i="68" a="1"/>
  <c r="P21" i="68" a="1"/>
  <c r="S10" i="73" a="1"/>
  <c r="O50" i="68" a="1"/>
  <c r="O12" i="68" a="1"/>
  <c r="R4" i="73" a="1"/>
  <c r="V24" i="73" a="1"/>
  <c r="L36" i="67" a="1"/>
  <c r="O14" i="68" a="1"/>
  <c r="X2" i="73" a="1"/>
  <c r="N29" i="68" a="1"/>
  <c r="O18" i="67" a="1"/>
  <c r="O2" i="67" a="1"/>
  <c r="T18" i="73" a="1"/>
  <c r="S8" i="73" a="1"/>
  <c r="N5" i="67" a="1"/>
  <c r="N33" i="67" a="1"/>
  <c r="O3" i="68" a="1"/>
  <c r="M28" i="68" a="1"/>
  <c r="M23" i="68" a="1"/>
  <c r="S7" i="73" a="1"/>
  <c r="L12" i="68" a="1"/>
  <c r="N39" i="67" a="1"/>
  <c r="N57" i="68" a="1"/>
  <c r="Y29" i="73" a="1"/>
  <c r="T32" i="73" a="1"/>
  <c r="M56" i="68" a="1"/>
  <c r="L43" i="67" a="1"/>
  <c r="N8" i="68" a="1"/>
  <c r="L39" i="68" a="1"/>
  <c r="Y28" i="73" a="1"/>
  <c r="L50" i="68" a="1"/>
  <c r="N22" i="68" a="1"/>
  <c r="N16" i="67" a="1"/>
  <c r="P22" i="73" a="1"/>
  <c r="P6" i="67" a="1"/>
  <c r="M56" i="67" a="1"/>
  <c r="O2" i="68" a="1"/>
  <c r="O25" i="67" a="1"/>
  <c r="L17" i="68" a="1"/>
  <c r="S30" i="73" a="1"/>
  <c r="P22" i="68" a="1"/>
  <c r="N24" i="68" a="1"/>
  <c r="R17" i="73" a="1"/>
  <c r="O4" i="68" a="1"/>
  <c r="Q9" i="73" a="1"/>
  <c r="N7" i="68" a="1"/>
  <c r="Q10" i="73" a="1"/>
  <c r="L40" i="68" a="1"/>
  <c r="W7" i="73" a="1"/>
  <c r="M43" i="67" a="1"/>
  <c r="M28" i="67" a="1"/>
  <c r="M57" i="67" a="1"/>
  <c r="O11" i="73" a="1"/>
  <c r="M47" i="68" a="1"/>
  <c r="X32" i="73" a="1"/>
  <c r="N6" i="68" a="1"/>
  <c r="M22" i="68" a="1"/>
  <c r="W3" i="73" a="1"/>
  <c r="M53" i="67" a="1"/>
  <c r="P14" i="67" a="1"/>
  <c r="S20" i="73" a="1"/>
  <c r="Y22" i="73" a="1"/>
  <c r="O40" i="67" a="1"/>
  <c r="N10" i="67" a="1"/>
  <c r="V26" i="73" a="1"/>
  <c r="N17" i="68" a="1"/>
  <c r="P54" i="68" a="1"/>
  <c r="O32" i="68" a="1"/>
  <c r="T17" i="73" a="1"/>
  <c r="N49" i="68" a="1"/>
  <c r="N11" i="67" a="1"/>
  <c r="N25" i="68" a="1"/>
  <c r="O11" i="67" a="1"/>
  <c r="P24" i="68" a="1"/>
  <c r="O43" i="67" a="1"/>
  <c r="P28" i="68" a="1"/>
  <c r="N54" i="68" a="1"/>
  <c r="O17" i="67" a="1"/>
  <c r="L31" i="68" a="1"/>
  <c r="N18" i="67" a="1"/>
  <c r="L10" i="68" a="1"/>
  <c r="Q14" i="73" a="1"/>
  <c r="M12" i="68" a="1"/>
  <c r="O17" i="73" a="1"/>
  <c r="O9" i="68" a="1"/>
  <c r="O48" i="67" a="1"/>
  <c r="Q20" i="73" a="1"/>
  <c r="L20" i="68" a="1"/>
  <c r="M33" i="67" a="1"/>
  <c r="O30" i="73" a="1"/>
  <c r="M48" i="68" a="1"/>
  <c r="L38" i="67" a="1"/>
  <c r="L47" i="68" a="1"/>
  <c r="O45" i="68" a="1"/>
  <c r="L23" i="68" a="1"/>
  <c r="N40" i="68" a="1"/>
  <c r="N47" i="67" a="1"/>
  <c r="L54" i="67" a="1"/>
  <c r="O35" i="67" a="1"/>
  <c r="M53" i="68" a="1"/>
  <c r="M14" i="68" a="1"/>
  <c r="O14" i="67" a="1"/>
  <c r="L57" i="67" a="1"/>
  <c r="N29" i="67" a="1"/>
  <c r="W30" i="73" a="1"/>
  <c r="X28" i="73" a="1"/>
  <c r="O47" i="68" a="1"/>
  <c r="P12" i="67" a="1"/>
  <c r="P50" i="67" a="1"/>
  <c r="P9" i="73" a="1"/>
  <c r="M55" i="67" a="1"/>
  <c r="L57" i="68" a="1"/>
  <c r="V3" i="73" a="1"/>
  <c r="L24" i="68" a="1"/>
  <c r="P35" i="68" a="1"/>
  <c r="S24" i="73" a="1"/>
  <c r="P41" i="68" a="1"/>
  <c r="P46" i="68" a="1"/>
  <c r="N34" i="67" a="1"/>
  <c r="L21" i="68" a="1"/>
  <c r="S3" i="73" a="1"/>
  <c r="L42" i="67" a="1"/>
  <c r="M11" i="68" a="1"/>
  <c r="O29" i="73" a="1"/>
  <c r="O33" i="73" a="1"/>
  <c r="M34" i="68" a="1"/>
  <c r="L28" i="68" a="1"/>
  <c r="S19" i="73" a="1"/>
  <c r="P11" i="73" a="1"/>
  <c r="M25" i="67" a="1"/>
  <c r="X23" i="73" a="1"/>
  <c r="O34" i="67" a="1"/>
  <c r="P55" i="68" a="1"/>
  <c r="L45" i="67" a="1"/>
  <c r="O15" i="73" a="1"/>
  <c r="T30" i="73" a="1"/>
  <c r="X17" i="73" a="1"/>
  <c r="U26" i="73" a="1"/>
  <c r="P31" i="68" a="1"/>
  <c r="P7" i="68" a="1"/>
  <c r="U32" i="73" a="1"/>
  <c r="N12" i="68" a="1"/>
  <c r="O21" i="73" a="1"/>
  <c r="P13" i="73" a="1"/>
  <c r="P8" i="68" a="1"/>
  <c r="V19" i="73" a="1"/>
  <c r="X4" i="73" a="1"/>
  <c r="X29" i="73" a="1"/>
  <c r="N44" i="68" a="1"/>
  <c r="X20" i="73" a="1"/>
  <c r="S31" i="73" a="1"/>
  <c r="P23" i="73" a="1"/>
  <c r="W21" i="73" a="1"/>
  <c r="N13" i="68" a="1"/>
  <c r="O31" i="67" a="1"/>
  <c r="L43" i="68" a="1"/>
  <c r="P10" i="68" a="1"/>
  <c r="M21" i="68" a="1"/>
  <c r="L30" i="67" a="1"/>
  <c r="S26" i="73" a="1"/>
  <c r="M4" i="68" a="1"/>
  <c r="L55" i="67" a="1"/>
  <c r="L44" i="68" a="1"/>
  <c r="O7" i="68" a="1"/>
  <c r="P45" i="67" a="1"/>
  <c r="L33" i="67" a="1"/>
  <c r="P51" i="68" a="1"/>
  <c r="U18" i="73" a="1"/>
  <c r="O55" i="68" a="1"/>
  <c r="V16" i="73" a="1"/>
  <c r="M36" i="68" a="1"/>
  <c r="Q4" i="73" a="1"/>
  <c r="O23" i="67" a="1"/>
  <c r="P41" i="67" a="1"/>
  <c r="R3" i="73" a="1"/>
  <c r="L15" i="68" a="1"/>
  <c r="P6" i="68" a="1"/>
  <c r="R22" i="73" a="1"/>
  <c r="N9" i="67" a="1"/>
  <c r="O32" i="67" a="1"/>
  <c r="O54" i="68" a="1"/>
  <c r="X10" i="73" a="1"/>
  <c r="N39" i="68" a="1"/>
  <c r="M19" i="68" a="1"/>
  <c r="W23" i="73" a="1"/>
  <c r="O47" i="67" a="1"/>
  <c r="M26" i="68" a="1"/>
  <c r="T3" i="73" a="1"/>
  <c r="S28" i="73" a="1"/>
  <c r="O33" i="68" a="1"/>
  <c r="O49" i="67" a="1"/>
  <c r="P16" i="68" a="1"/>
  <c r="N50" i="68" a="1"/>
  <c r="M49" i="68" a="1"/>
  <c r="O26" i="67" a="1"/>
  <c r="U28" i="73" a="1"/>
  <c r="P21" i="73" a="1"/>
  <c r="M11" i="67" a="1"/>
  <c r="N21" i="67" a="1"/>
  <c r="O46" i="68" a="1"/>
  <c r="M29" i="68" a="1"/>
  <c r="Y21" i="73" a="1"/>
  <c r="P27" i="68" a="1"/>
  <c r="V31" i="73" a="1"/>
  <c r="X27" i="73" a="1"/>
  <c r="S32" i="73" a="1"/>
  <c r="O18" i="68" a="1"/>
  <c r="Y32" i="73" a="1"/>
  <c r="O36" i="67" a="1"/>
  <c r="N13" i="67" a="1"/>
  <c r="M31" i="67" a="1"/>
  <c r="P25" i="68" a="1"/>
  <c r="X24" i="73" a="1"/>
  <c r="O54" i="67" a="1"/>
  <c r="L11" i="67" a="1"/>
  <c r="X14" i="73" a="1"/>
  <c r="P19" i="68" a="1"/>
  <c r="T2" i="73" a="1"/>
  <c r="P53" i="67" a="1"/>
  <c r="Y9" i="73" a="1"/>
  <c r="R12" i="73" a="1"/>
  <c r="U2" i="73" a="1"/>
  <c r="Q19" i="73" a="1"/>
  <c r="P26" i="67" a="1"/>
  <c r="T28" i="73" a="1"/>
  <c r="O34" i="73" a="1"/>
  <c r="L32" i="67" a="1"/>
  <c r="N53" i="67" a="1"/>
  <c r="L56" i="67" a="1"/>
  <c r="O57" i="68" a="1"/>
  <c r="L28" i="67" a="1"/>
  <c r="P38" i="67" a="1"/>
  <c r="M39" i="67" a="1"/>
  <c r="T25" i="73" a="1"/>
  <c r="P53" i="68" a="1"/>
  <c r="L4" i="67" a="1"/>
  <c r="N4" i="68" a="1"/>
  <c r="N28" i="67" a="1"/>
  <c r="Y13" i="73" a="1"/>
  <c r="L45" i="68" a="1"/>
  <c r="L6" i="67" a="1"/>
  <c r="M22" i="67" a="1"/>
  <c r="L11" i="68" a="1"/>
  <c r="U17" i="73" a="1"/>
  <c r="L16" i="68" a="1"/>
  <c r="L50" i="67" a="1"/>
  <c r="S13" i="73" a="1"/>
  <c r="R20" i="73" a="1"/>
  <c r="X8" i="73" a="1"/>
  <c r="M42" i="67" a="1"/>
  <c r="L41" i="67" a="1"/>
  <c r="P16" i="73" a="1"/>
  <c r="O4" i="67" a="1"/>
  <c r="P35" i="67" a="1"/>
  <c r="M44" i="68" a="1"/>
  <c r="N12" i="67" a="1"/>
  <c r="L23" i="67" a="1"/>
  <c r="U8" i="73" a="1"/>
  <c r="U7" i="73" a="1"/>
  <c r="O8" i="67" a="1"/>
  <c r="R16" i="73" a="1"/>
  <c r="M9" i="67" a="1"/>
  <c r="O14" i="73" a="1"/>
  <c r="W32" i="73" a="1"/>
  <c r="V28" i="73" a="1"/>
  <c r="R18" i="73" a="1"/>
  <c r="P33" i="67" a="1"/>
  <c r="P4" i="73" a="1"/>
  <c r="M54" i="68" a="1"/>
  <c r="Y16" i="73" a="1"/>
  <c r="T34" i="73" a="1"/>
  <c r="X12" i="73" a="1"/>
  <c r="U22" i="73" a="1"/>
  <c r="O23" i="73" a="1"/>
  <c r="T11" i="73" a="1"/>
  <c r="Q33" i="73" a="1"/>
  <c r="U15" i="73" a="1"/>
  <c r="P24" i="67" a="1"/>
  <c r="M38" i="68" a="1"/>
  <c r="M38" i="68" l="1"/>
  <c r="P24" i="67"/>
  <c r="D24" i="69" s="1"/>
  <c r="U15" i="73"/>
  <c r="G27" i="75" s="1"/>
  <c r="Q33" i="73"/>
  <c r="T11" i="73"/>
  <c r="F23" i="75" s="1"/>
  <c r="O23" i="73"/>
  <c r="A35" i="75" s="1"/>
  <c r="U22" i="73"/>
  <c r="G34" i="75" s="1"/>
  <c r="X12" i="73"/>
  <c r="J24" i="75" s="1"/>
  <c r="T34" i="73"/>
  <c r="Y16" i="73"/>
  <c r="K28" i="75" s="1"/>
  <c r="M54" i="68"/>
  <c r="P4" i="73"/>
  <c r="B16" i="75" s="1"/>
  <c r="P33" i="67"/>
  <c r="D33" i="69" s="1"/>
  <c r="R18" i="73"/>
  <c r="D30" i="75" s="1"/>
  <c r="V28" i="73"/>
  <c r="H40" i="75" s="1"/>
  <c r="W32" i="73"/>
  <c r="O14" i="73"/>
  <c r="A26" i="75" s="1"/>
  <c r="M9" i="67"/>
  <c r="R16" i="73"/>
  <c r="D28" i="75" s="1"/>
  <c r="O8" i="67"/>
  <c r="C8" i="69" s="1"/>
  <c r="U7" i="73"/>
  <c r="G19" i="75" s="1"/>
  <c r="U8" i="73"/>
  <c r="G20" i="75" s="1"/>
  <c r="L23" i="67"/>
  <c r="A23" i="69" s="1"/>
  <c r="N12" i="67"/>
  <c r="B12" i="69" s="1"/>
  <c r="M44" i="68"/>
  <c r="P35" i="67"/>
  <c r="D35" i="69" s="1"/>
  <c r="O4" i="67"/>
  <c r="C4" i="69" s="1"/>
  <c r="P16" i="73"/>
  <c r="B28" i="75" s="1"/>
  <c r="L41" i="67"/>
  <c r="A41" i="69" s="1"/>
  <c r="M42" i="67"/>
  <c r="X8" i="73"/>
  <c r="J20" i="75" s="1"/>
  <c r="R20" i="73"/>
  <c r="D32" i="75" s="1"/>
  <c r="S13" i="73"/>
  <c r="E25" i="75" s="1"/>
  <c r="L50" i="67"/>
  <c r="A50" i="69" s="1"/>
  <c r="L16" i="68"/>
  <c r="A16" i="70" s="1"/>
  <c r="U17" i="73"/>
  <c r="G29" i="75" s="1"/>
  <c r="L11" i="68"/>
  <c r="A11" i="70" s="1"/>
  <c r="M22" i="67"/>
  <c r="L6" i="67"/>
  <c r="A6" i="69" s="1"/>
  <c r="L45" i="68"/>
  <c r="A45" i="70" s="1"/>
  <c r="Y13" i="73"/>
  <c r="K25" i="75" s="1"/>
  <c r="N28" i="67"/>
  <c r="B28" i="69" s="1"/>
  <c r="N4" i="68"/>
  <c r="B4" i="70" s="1"/>
  <c r="L4" i="67"/>
  <c r="A4" i="69" s="1"/>
  <c r="P53" i="68"/>
  <c r="D53" i="70" s="1"/>
  <c r="T25" i="73"/>
  <c r="F37" i="75" s="1"/>
  <c r="M39" i="67"/>
  <c r="P38" i="67"/>
  <c r="D38" i="69" s="1"/>
  <c r="L28" i="67"/>
  <c r="A28" i="69" s="1"/>
  <c r="O57" i="68"/>
  <c r="C57" i="70" s="1"/>
  <c r="L56" i="67"/>
  <c r="A56" i="69" s="1"/>
  <c r="N53" i="67"/>
  <c r="B53" i="69" s="1"/>
  <c r="L32" i="67"/>
  <c r="A32" i="69" s="1"/>
  <c r="O34" i="73"/>
  <c r="T28" i="73"/>
  <c r="F40" i="75" s="1"/>
  <c r="P26" i="67"/>
  <c r="D26" i="69" s="1"/>
  <c r="Q19" i="73"/>
  <c r="C31" i="75" s="1"/>
  <c r="U2" i="73"/>
  <c r="G14" i="75" s="1"/>
  <c r="R12" i="73"/>
  <c r="D24" i="75" s="1"/>
  <c r="Y9" i="73"/>
  <c r="K21" i="75" s="1"/>
  <c r="P53" i="67"/>
  <c r="D53" i="69" s="1"/>
  <c r="T2" i="73"/>
  <c r="F14" i="75" s="1"/>
  <c r="P19" i="68"/>
  <c r="D19" i="70" s="1"/>
  <c r="X14" i="73"/>
  <c r="J26" i="75" s="1"/>
  <c r="L11" i="67"/>
  <c r="A11" i="69" s="1"/>
  <c r="O54" i="67"/>
  <c r="C54" i="69" s="1"/>
  <c r="X24" i="73"/>
  <c r="J36" i="75" s="1"/>
  <c r="P25" i="68"/>
  <c r="D25" i="70" s="1"/>
  <c r="M31" i="67"/>
  <c r="N13" i="67"/>
  <c r="B13" i="69" s="1"/>
  <c r="O36" i="67"/>
  <c r="C36" i="69" s="1"/>
  <c r="Y32" i="73"/>
  <c r="O18" i="68"/>
  <c r="C18" i="70" s="1"/>
  <c r="S32" i="73"/>
  <c r="X27" i="73"/>
  <c r="J39" i="75" s="1"/>
  <c r="V31" i="73"/>
  <c r="P27" i="68"/>
  <c r="D27" i="70" s="1"/>
  <c r="Y21" i="73"/>
  <c r="K33" i="75" s="1"/>
  <c r="M29" i="68"/>
  <c r="O46" i="68"/>
  <c r="C46" i="70" s="1"/>
  <c r="N21" i="67"/>
  <c r="B21" i="69" s="1"/>
  <c r="M11" i="67"/>
  <c r="P21" i="73"/>
  <c r="B33" i="75" s="1"/>
  <c r="U28" i="73"/>
  <c r="G40" i="75" s="1"/>
  <c r="O26" i="67"/>
  <c r="C26" i="69" s="1"/>
  <c r="M49" i="68"/>
  <c r="N50" i="68"/>
  <c r="B50" i="70" s="1"/>
  <c r="P16" i="68"/>
  <c r="D16" i="70" s="1"/>
  <c r="O49" i="67"/>
  <c r="C49" i="69" s="1"/>
  <c r="O33" i="68"/>
  <c r="C33" i="70" s="1"/>
  <c r="S28" i="73"/>
  <c r="E40" i="75" s="1"/>
  <c r="T3" i="73"/>
  <c r="F15" i="75" s="1"/>
  <c r="M26" i="68"/>
  <c r="O47" i="67"/>
  <c r="C47" i="69" s="1"/>
  <c r="W23" i="73"/>
  <c r="I35" i="75" s="1"/>
  <c r="M19" i="68"/>
  <c r="N39" i="68"/>
  <c r="B39" i="70" s="1"/>
  <c r="X10" i="73"/>
  <c r="J22" i="75" s="1"/>
  <c r="O54" i="68"/>
  <c r="C54" i="70" s="1"/>
  <c r="O32" i="67"/>
  <c r="C32" i="69" s="1"/>
  <c r="N9" i="67"/>
  <c r="B9" i="69" s="1"/>
  <c r="R22" i="73"/>
  <c r="D34" i="75" s="1"/>
  <c r="P6" i="68"/>
  <c r="D6" i="70" s="1"/>
  <c r="L15" i="68"/>
  <c r="A15" i="70" s="1"/>
  <c r="R3" i="73"/>
  <c r="D15" i="75" s="1"/>
  <c r="P41" i="67"/>
  <c r="D41" i="69" s="1"/>
  <c r="O23" i="67"/>
  <c r="C23" i="69" s="1"/>
  <c r="Q4" i="73"/>
  <c r="C16" i="75" s="1"/>
  <c r="M36" i="68"/>
  <c r="V16" i="73"/>
  <c r="H28" i="75" s="1"/>
  <c r="O55" i="68"/>
  <c r="C55" i="70" s="1"/>
  <c r="U18" i="73"/>
  <c r="G30" i="75" s="1"/>
  <c r="P51" i="68"/>
  <c r="D51" i="70" s="1"/>
  <c r="L33" i="67"/>
  <c r="A33" i="69" s="1"/>
  <c r="P45" i="67"/>
  <c r="D45" i="69" s="1"/>
  <c r="O7" i="68"/>
  <c r="C7" i="70" s="1"/>
  <c r="L44" i="68"/>
  <c r="A44" i="70" s="1"/>
  <c r="L55" i="67"/>
  <c r="A55" i="69" s="1"/>
  <c r="M4" i="68"/>
  <c r="S26" i="73"/>
  <c r="E38" i="75" s="1"/>
  <c r="L30" i="67"/>
  <c r="A30" i="69" s="1"/>
  <c r="M21" i="68"/>
  <c r="P10" i="68"/>
  <c r="D10" i="70" s="1"/>
  <c r="L43" i="68"/>
  <c r="A43" i="70" s="1"/>
  <c r="O31" i="67"/>
  <c r="C31" i="69" s="1"/>
  <c r="N13" i="68"/>
  <c r="B13" i="70" s="1"/>
  <c r="W21" i="73"/>
  <c r="I33" i="75" s="1"/>
  <c r="P23" i="73"/>
  <c r="B35" i="75" s="1"/>
  <c r="S31" i="73"/>
  <c r="X20" i="73"/>
  <c r="J32" i="75" s="1"/>
  <c r="N44" i="68"/>
  <c r="B44" i="70" s="1"/>
  <c r="X29" i="73"/>
  <c r="J41" i="75" s="1"/>
  <c r="X4" i="73"/>
  <c r="J16" i="75" s="1"/>
  <c r="V19" i="73"/>
  <c r="H31" i="75" s="1"/>
  <c r="P8" i="68"/>
  <c r="D8" i="70" s="1"/>
  <c r="P13" i="73"/>
  <c r="B25" i="75" s="1"/>
  <c r="O21" i="73"/>
  <c r="A33" i="75" s="1"/>
  <c r="N12" i="68"/>
  <c r="B12" i="70" s="1"/>
  <c r="U32" i="73"/>
  <c r="P7" i="68"/>
  <c r="D7" i="70" s="1"/>
  <c r="P31" i="68"/>
  <c r="D31" i="70" s="1"/>
  <c r="U26" i="73"/>
  <c r="G38" i="75" s="1"/>
  <c r="X17" i="73"/>
  <c r="J29" i="75" s="1"/>
  <c r="T30" i="73"/>
  <c r="O15" i="73"/>
  <c r="A27" i="75" s="1"/>
  <c r="L45" i="67"/>
  <c r="A45" i="69" s="1"/>
  <c r="P55" i="68"/>
  <c r="D55" i="70" s="1"/>
  <c r="O34" i="67"/>
  <c r="C34" i="69" s="1"/>
  <c r="X23" i="73"/>
  <c r="J35" i="75" s="1"/>
  <c r="M25" i="67"/>
  <c r="P11" i="73"/>
  <c r="B23" i="75" s="1"/>
  <c r="S19" i="73"/>
  <c r="E31" i="75" s="1"/>
  <c r="L28" i="68"/>
  <c r="A28" i="70" s="1"/>
  <c r="M34" i="68"/>
  <c r="O33" i="73"/>
  <c r="O29" i="73"/>
  <c r="A41" i="75" s="1"/>
  <c r="M11" i="68"/>
  <c r="L42" i="67"/>
  <c r="A42" i="69" s="1"/>
  <c r="S3" i="73"/>
  <c r="E15" i="75" s="1"/>
  <c r="L21" i="68"/>
  <c r="A21" i="70" s="1"/>
  <c r="N34" i="67"/>
  <c r="B34" i="69" s="1"/>
  <c r="P46" i="68"/>
  <c r="D46" i="70" s="1"/>
  <c r="P41" i="68"/>
  <c r="D41" i="70" s="1"/>
  <c r="S24" i="73"/>
  <c r="E36" i="75" s="1"/>
  <c r="P35" i="68"/>
  <c r="D35" i="70" s="1"/>
  <c r="L24" i="68"/>
  <c r="A24" i="70" s="1"/>
  <c r="V3" i="73"/>
  <c r="H15" i="75" s="1"/>
  <c r="L57" i="68"/>
  <c r="A57" i="70" s="1"/>
  <c r="M55" i="67"/>
  <c r="P9" i="73"/>
  <c r="B21" i="75" s="1"/>
  <c r="P50" i="67"/>
  <c r="D50" i="69" s="1"/>
  <c r="P12" i="67"/>
  <c r="D12" i="69" s="1"/>
  <c r="O47" i="68"/>
  <c r="C47" i="70" s="1"/>
  <c r="X28" i="73"/>
  <c r="J40" i="75" s="1"/>
  <c r="W30" i="73"/>
  <c r="N29" i="67"/>
  <c r="B29" i="69" s="1"/>
  <c r="L57" i="67"/>
  <c r="A57" i="69" s="1"/>
  <c r="O14" i="67"/>
  <c r="C14" i="69" s="1"/>
  <c r="M14" i="68"/>
  <c r="M53" i="68"/>
  <c r="O35" i="67"/>
  <c r="C35" i="69" s="1"/>
  <c r="L54" i="67"/>
  <c r="A54" i="69" s="1"/>
  <c r="N47" i="67"/>
  <c r="B47" i="69" s="1"/>
  <c r="N40" i="68"/>
  <c r="B40" i="70" s="1"/>
  <c r="L23" i="68"/>
  <c r="A23" i="70" s="1"/>
  <c r="O45" i="68"/>
  <c r="C45" i="70" s="1"/>
  <c r="L47" i="68"/>
  <c r="A47" i="70" s="1"/>
  <c r="L38" i="67"/>
  <c r="A38" i="69" s="1"/>
  <c r="M48" i="68"/>
  <c r="O30" i="73"/>
  <c r="M33" i="67"/>
  <c r="L20" i="68"/>
  <c r="A20" i="70" s="1"/>
  <c r="Q20" i="73"/>
  <c r="C32" i="75" s="1"/>
  <c r="O48" i="67"/>
  <c r="C48" i="69" s="1"/>
  <c r="O9" i="68"/>
  <c r="C9" i="70" s="1"/>
  <c r="O17" i="73"/>
  <c r="A29" i="75" s="1"/>
  <c r="M12" i="68"/>
  <c r="Q14" i="73"/>
  <c r="C26" i="75" s="1"/>
  <c r="L10" i="68"/>
  <c r="A10" i="70" s="1"/>
  <c r="N18" i="67"/>
  <c r="B18" i="69" s="1"/>
  <c r="L31" i="68"/>
  <c r="A31" i="70" s="1"/>
  <c r="O17" i="67"/>
  <c r="C17" i="69" s="1"/>
  <c r="N54" i="68"/>
  <c r="B54" i="70" s="1"/>
  <c r="P28" i="68"/>
  <c r="D28" i="70" s="1"/>
  <c r="O43" i="67"/>
  <c r="C43" i="69" s="1"/>
  <c r="P24" i="68"/>
  <c r="D24" i="70" s="1"/>
  <c r="O11" i="67"/>
  <c r="C11" i="69" s="1"/>
  <c r="N25" i="68"/>
  <c r="B25" i="70" s="1"/>
  <c r="N11" i="67"/>
  <c r="B11" i="69" s="1"/>
  <c r="N49" i="68"/>
  <c r="B49" i="70" s="1"/>
  <c r="T17" i="73"/>
  <c r="F29" i="75" s="1"/>
  <c r="O32" i="68"/>
  <c r="C32" i="70" s="1"/>
  <c r="P54" i="68"/>
  <c r="D54" i="70" s="1"/>
  <c r="N17" i="68"/>
  <c r="B17" i="70" s="1"/>
  <c r="V26" i="73"/>
  <c r="H38" i="75" s="1"/>
  <c r="N10" i="67"/>
  <c r="B10" i="69" s="1"/>
  <c r="O40" i="67"/>
  <c r="C40" i="69" s="1"/>
  <c r="Y22" i="73"/>
  <c r="K34" i="75" s="1"/>
  <c r="S20" i="73"/>
  <c r="E32" i="75" s="1"/>
  <c r="P14" i="67"/>
  <c r="D14" i="69" s="1"/>
  <c r="M53" i="67"/>
  <c r="W3" i="73"/>
  <c r="I15" i="75" s="1"/>
  <c r="M22" i="68"/>
  <c r="N6" i="68"/>
  <c r="B6" i="70" s="1"/>
  <c r="X32" i="73"/>
  <c r="M47" i="68"/>
  <c r="O11" i="73"/>
  <c r="A23" i="75" s="1"/>
  <c r="M57" i="67"/>
  <c r="M28" i="67"/>
  <c r="M43" i="67"/>
  <c r="W7" i="73"/>
  <c r="I19" i="75" s="1"/>
  <c r="L40" i="68"/>
  <c r="A40" i="70" s="1"/>
  <c r="Q10" i="73"/>
  <c r="C22" i="75" s="1"/>
  <c r="N7" i="68"/>
  <c r="B7" i="70" s="1"/>
  <c r="Q9" i="73"/>
  <c r="C21" i="75" s="1"/>
  <c r="O4" i="68"/>
  <c r="C4" i="70" s="1"/>
  <c r="R17" i="73"/>
  <c r="D29" i="75" s="1"/>
  <c r="N24" i="68"/>
  <c r="B24" i="70" s="1"/>
  <c r="P22" i="68"/>
  <c r="D22" i="70" s="1"/>
  <c r="S30" i="73"/>
  <c r="L17" i="68"/>
  <c r="A17" i="70" s="1"/>
  <c r="O25" i="67"/>
  <c r="C25" i="69" s="1"/>
  <c r="O2" i="68"/>
  <c r="C2" i="70" s="1"/>
  <c r="M56" i="67"/>
  <c r="P6" i="67"/>
  <c r="D6" i="69" s="1"/>
  <c r="P22" i="73"/>
  <c r="B34" i="75" s="1"/>
  <c r="N16" i="67"/>
  <c r="B16" i="69" s="1"/>
  <c r="N22" i="68"/>
  <c r="B22" i="70" s="1"/>
  <c r="L50" i="68"/>
  <c r="A50" i="70" s="1"/>
  <c r="Y28" i="73"/>
  <c r="K40" i="75" s="1"/>
  <c r="L39" i="68"/>
  <c r="A39" i="70" s="1"/>
  <c r="N8" i="68"/>
  <c r="B8" i="70" s="1"/>
  <c r="L43" i="67"/>
  <c r="A43" i="69" s="1"/>
  <c r="M56" i="68"/>
  <c r="T32" i="73"/>
  <c r="Y29" i="73"/>
  <c r="K41" i="75" s="1"/>
  <c r="N57" i="68"/>
  <c r="B57" i="70" s="1"/>
  <c r="N39" i="67"/>
  <c r="B39" i="69" s="1"/>
  <c r="L12" i="68"/>
  <c r="A12" i="70" s="1"/>
  <c r="S7" i="73"/>
  <c r="E19" i="75" s="1"/>
  <c r="M23" i="68"/>
  <c r="M28" i="68"/>
  <c r="O3" i="68"/>
  <c r="C3" i="70" s="1"/>
  <c r="N33" i="67"/>
  <c r="B33" i="69" s="1"/>
  <c r="N5" i="67"/>
  <c r="B5" i="69" s="1"/>
  <c r="S8" i="73"/>
  <c r="E20" i="75" s="1"/>
  <c r="T18" i="73"/>
  <c r="F30" i="75" s="1"/>
  <c r="O2" i="67"/>
  <c r="C2" i="69" s="1"/>
  <c r="O18" i="67"/>
  <c r="C18" i="69" s="1"/>
  <c r="N29" i="68"/>
  <c r="B29" i="70" s="1"/>
  <c r="X2" i="73"/>
  <c r="J14" i="75" s="1"/>
  <c r="O14" i="68"/>
  <c r="C14" i="70" s="1"/>
  <c r="L36" i="67"/>
  <c r="A36" i="69" s="1"/>
  <c r="V24" i="73"/>
  <c r="H36" i="75" s="1"/>
  <c r="R4" i="73"/>
  <c r="D16" i="75" s="1"/>
  <c r="O12" i="68"/>
  <c r="C12" i="70" s="1"/>
  <c r="O50" i="68"/>
  <c r="C50" i="70" s="1"/>
  <c r="S10" i="73"/>
  <c r="E22" i="75" s="1"/>
  <c r="P21" i="68"/>
  <c r="D21" i="70" s="1"/>
  <c r="O22" i="68"/>
  <c r="C22" i="70" s="1"/>
  <c r="O11" i="68"/>
  <c r="C11" i="70" s="1"/>
  <c r="W24" i="73"/>
  <c r="I36" i="75" s="1"/>
  <c r="L19" i="67"/>
  <c r="A19" i="69" s="1"/>
  <c r="O39" i="68"/>
  <c r="C39" i="70" s="1"/>
  <c r="M24" i="68"/>
  <c r="M46" i="67"/>
  <c r="N4" i="67"/>
  <c r="B4" i="69" s="1"/>
  <c r="M46" i="68"/>
  <c r="R32" i="73"/>
  <c r="O40" i="68"/>
  <c r="C40" i="70" s="1"/>
  <c r="L8" i="67"/>
  <c r="A8" i="69" s="1"/>
  <c r="M35" i="67"/>
  <c r="O42" i="67"/>
  <c r="C42" i="69" s="1"/>
  <c r="X26" i="73"/>
  <c r="J38" i="75" s="1"/>
  <c r="O51" i="68"/>
  <c r="C51" i="70" s="1"/>
  <c r="T12" i="73"/>
  <c r="F24" i="75" s="1"/>
  <c r="O44" i="68"/>
  <c r="C44" i="70" s="1"/>
  <c r="V6" i="73"/>
  <c r="H18" i="75" s="1"/>
  <c r="P29" i="73"/>
  <c r="B41" i="75" s="1"/>
  <c r="M5" i="68"/>
  <c r="Y10" i="73"/>
  <c r="K22" i="75" s="1"/>
  <c r="P39" i="67"/>
  <c r="D39" i="69" s="1"/>
  <c r="M19" i="67"/>
  <c r="M8" i="67"/>
  <c r="O6" i="68"/>
  <c r="C6" i="70" s="1"/>
  <c r="P32" i="73"/>
  <c r="T6" i="73"/>
  <c r="F18" i="75" s="1"/>
  <c r="W20" i="73"/>
  <c r="I32" i="75" s="1"/>
  <c r="P31" i="73"/>
  <c r="L55" i="68"/>
  <c r="A55" i="70" s="1"/>
  <c r="M43" i="68"/>
  <c r="N43" i="67"/>
  <c r="B43" i="69" s="1"/>
  <c r="R25" i="73"/>
  <c r="D37" i="75" s="1"/>
  <c r="Q8" i="73"/>
  <c r="C20" i="75" s="1"/>
  <c r="W10" i="73"/>
  <c r="I22" i="75" s="1"/>
  <c r="P30" i="68"/>
  <c r="D30" i="70" s="1"/>
  <c r="L13" i="67"/>
  <c r="A13" i="69" s="1"/>
  <c r="P10" i="67"/>
  <c r="D10" i="69" s="1"/>
  <c r="L6" i="68"/>
  <c r="A6" i="70" s="1"/>
  <c r="P13" i="68"/>
  <c r="D13" i="70" s="1"/>
  <c r="L36" i="68"/>
  <c r="A36" i="70" s="1"/>
  <c r="P27" i="73"/>
  <c r="B39" i="75" s="1"/>
  <c r="O18" i="73"/>
  <c r="A30" i="75" s="1"/>
  <c r="P16" i="67"/>
  <c r="D16" i="69" s="1"/>
  <c r="Y15" i="73"/>
  <c r="K27" i="75" s="1"/>
  <c r="P52" i="68"/>
  <c r="D52" i="70" s="1"/>
  <c r="O56" i="67"/>
  <c r="C56" i="69" s="1"/>
  <c r="W34" i="73"/>
  <c r="T4" i="73"/>
  <c r="F16" i="75" s="1"/>
  <c r="O15" i="67"/>
  <c r="C15" i="69" s="1"/>
  <c r="W33" i="73"/>
  <c r="V5" i="73"/>
  <c r="H17" i="75" s="1"/>
  <c r="M39" i="68"/>
  <c r="N25" i="67"/>
  <c r="B25" i="69" s="1"/>
  <c r="T23" i="73"/>
  <c r="F35" i="75" s="1"/>
  <c r="L15" i="67"/>
  <c r="A15" i="69" s="1"/>
  <c r="M57" i="68"/>
  <c r="R24" i="73"/>
  <c r="D36" i="75" s="1"/>
  <c r="U16" i="73"/>
  <c r="G28" i="75" s="1"/>
  <c r="R11" i="73"/>
  <c r="D23" i="75" s="1"/>
  <c r="L7" i="68"/>
  <c r="A7" i="70" s="1"/>
  <c r="P20" i="68"/>
  <c r="D20" i="70" s="1"/>
  <c r="N27" i="68"/>
  <c r="B27" i="70" s="1"/>
  <c r="P54" i="67"/>
  <c r="D54" i="69" s="1"/>
  <c r="P47" i="68"/>
  <c r="D47" i="70" s="1"/>
  <c r="Q6" i="73"/>
  <c r="C18" i="75" s="1"/>
  <c r="L5" i="67"/>
  <c r="A5" i="69" s="1"/>
  <c r="P21" i="67"/>
  <c r="D21" i="69" s="1"/>
  <c r="P26" i="73"/>
  <c r="B38" i="75" s="1"/>
  <c r="O52" i="67"/>
  <c r="C52" i="69" s="1"/>
  <c r="N57" i="67"/>
  <c r="B57" i="69" s="1"/>
  <c r="L51" i="68"/>
  <c r="A51" i="70" s="1"/>
  <c r="O24" i="68"/>
  <c r="C24" i="70" s="1"/>
  <c r="U24" i="73"/>
  <c r="G36" i="75" s="1"/>
  <c r="M32" i="68"/>
  <c r="T31" i="73"/>
  <c r="M35" i="68"/>
  <c r="Y34" i="73"/>
  <c r="P57" i="68"/>
  <c r="D57" i="70" s="1"/>
  <c r="P44" i="68"/>
  <c r="D44" i="70" s="1"/>
  <c r="X22" i="73"/>
  <c r="J34" i="75" s="1"/>
  <c r="U3" i="73"/>
  <c r="G15" i="75" s="1"/>
  <c r="P30" i="67"/>
  <c r="D30" i="69" s="1"/>
  <c r="L48" i="68"/>
  <c r="A48" i="70" s="1"/>
  <c r="X13" i="73"/>
  <c r="J25" i="75" s="1"/>
  <c r="N26" i="68"/>
  <c r="B26" i="70" s="1"/>
  <c r="P24" i="73"/>
  <c r="B36" i="75" s="1"/>
  <c r="X15" i="73"/>
  <c r="J27" i="75" s="1"/>
  <c r="P57" i="67"/>
  <c r="D57" i="69" s="1"/>
  <c r="L12" i="67"/>
  <c r="A12" i="69" s="1"/>
  <c r="X11" i="73"/>
  <c r="J23" i="75" s="1"/>
  <c r="P14" i="73"/>
  <c r="B26" i="75" s="1"/>
  <c r="L14" i="68"/>
  <c r="A14" i="70" s="1"/>
  <c r="O19" i="73"/>
  <c r="A31" i="75" s="1"/>
  <c r="U13" i="73"/>
  <c r="G25" i="75" s="1"/>
  <c r="N36" i="68"/>
  <c r="B36" i="70" s="1"/>
  <c r="V11" i="73"/>
  <c r="H23" i="75" s="1"/>
  <c r="O28" i="67"/>
  <c r="C28" i="69" s="1"/>
  <c r="N52" i="68"/>
  <c r="B52" i="70" s="1"/>
  <c r="O5" i="73"/>
  <c r="A17" i="75" s="1"/>
  <c r="X31" i="73"/>
  <c r="Y2" i="73"/>
  <c r="K14" i="75" s="1"/>
  <c r="L19" i="68"/>
  <c r="A19" i="70" s="1"/>
  <c r="M55" i="68"/>
  <c r="Y24" i="73"/>
  <c r="K36" i="75" s="1"/>
  <c r="N46" i="68"/>
  <c r="B46" i="70" s="1"/>
  <c r="T33" i="73"/>
  <c r="R13" i="73"/>
  <c r="D25" i="75" s="1"/>
  <c r="X5" i="73"/>
  <c r="J17" i="75" s="1"/>
  <c r="O15" i="68"/>
  <c r="C15" i="70" s="1"/>
  <c r="P7" i="67"/>
  <c r="D7" i="69" s="1"/>
  <c r="N14" i="67"/>
  <c r="B14" i="69" s="1"/>
  <c r="P3" i="67"/>
  <c r="D3" i="69" s="1"/>
  <c r="P23" i="67"/>
  <c r="D23" i="69" s="1"/>
  <c r="N56" i="68"/>
  <c r="B56" i="70" s="1"/>
  <c r="T16" i="73"/>
  <c r="F28" i="75" s="1"/>
  <c r="Q22" i="73"/>
  <c r="C34" i="75" s="1"/>
  <c r="L42" i="68"/>
  <c r="A42" i="70" s="1"/>
  <c r="W31" i="73"/>
  <c r="M40" i="68"/>
  <c r="T8" i="73"/>
  <c r="F20" i="75" s="1"/>
  <c r="O49" i="68"/>
  <c r="C49" i="70" s="1"/>
  <c r="O25" i="73"/>
  <c r="A37" i="75" s="1"/>
  <c r="N51" i="67"/>
  <c r="B51" i="69" s="1"/>
  <c r="P2" i="73"/>
  <c r="B14" i="75" s="1"/>
  <c r="P56" i="68"/>
  <c r="D56" i="70" s="1"/>
  <c r="T22" i="73"/>
  <c r="F34" i="75" s="1"/>
  <c r="T15" i="73"/>
  <c r="F27" i="75" s="1"/>
  <c r="P12" i="68"/>
  <c r="D12" i="70" s="1"/>
  <c r="P12" i="73"/>
  <c r="B24" i="75" s="1"/>
  <c r="Q15" i="73"/>
  <c r="C27" i="75" s="1"/>
  <c r="Y17" i="73"/>
  <c r="K29" i="75" s="1"/>
  <c r="T5" i="73"/>
  <c r="F17" i="75" s="1"/>
  <c r="N42" i="67"/>
  <c r="B42" i="69" s="1"/>
  <c r="W15" i="73"/>
  <c r="I27" i="75" s="1"/>
  <c r="Y18" i="73"/>
  <c r="K30" i="75" s="1"/>
  <c r="U11" i="73"/>
  <c r="G23" i="75" s="1"/>
  <c r="N38" i="67"/>
  <c r="B38" i="69" s="1"/>
  <c r="X6" i="73"/>
  <c r="J18" i="75" s="1"/>
  <c r="M2" i="68"/>
  <c r="L20" i="67"/>
  <c r="A20" i="69" s="1"/>
  <c r="O41" i="67"/>
  <c r="C41" i="69" s="1"/>
  <c r="N15" i="68"/>
  <c r="B15" i="70" s="1"/>
  <c r="R31" i="73"/>
  <c r="M7" i="68"/>
  <c r="X21" i="73"/>
  <c r="J33" i="75" s="1"/>
  <c r="V20" i="73"/>
  <c r="H32" i="75" s="1"/>
  <c r="P38" i="68"/>
  <c r="D38" i="70" s="1"/>
  <c r="P48" i="67"/>
  <c r="D48" i="69" s="1"/>
  <c r="Y7" i="73"/>
  <c r="K19" i="75" s="1"/>
  <c r="V10" i="73"/>
  <c r="H22" i="75" s="1"/>
  <c r="L34" i="68"/>
  <c r="A34" i="70" s="1"/>
  <c r="L35" i="67"/>
  <c r="A35" i="69" s="1"/>
  <c r="N32" i="67"/>
  <c r="B32" i="69" s="1"/>
  <c r="L52" i="67"/>
  <c r="A52" i="69" s="1"/>
  <c r="S6" i="73"/>
  <c r="E18" i="75" s="1"/>
  <c r="O50" i="67"/>
  <c r="C50" i="69" s="1"/>
  <c r="M15" i="67"/>
  <c r="N47" i="68"/>
  <c r="B47" i="70" s="1"/>
  <c r="V14" i="73"/>
  <c r="H26" i="75" s="1"/>
  <c r="P34" i="67"/>
  <c r="D34" i="69" s="1"/>
  <c r="M30" i="67"/>
  <c r="M17" i="67"/>
  <c r="L37" i="67"/>
  <c r="A37" i="69" s="1"/>
  <c r="P20" i="67"/>
  <c r="D20" i="69" s="1"/>
  <c r="U9" i="73"/>
  <c r="G21" i="75" s="1"/>
  <c r="R29" i="73"/>
  <c r="D41" i="75" s="1"/>
  <c r="Q11" i="73"/>
  <c r="C23" i="75" s="1"/>
  <c r="P7" i="73"/>
  <c r="B19" i="75" s="1"/>
  <c r="P36" i="67"/>
  <c r="D36" i="69" s="1"/>
  <c r="S33" i="73"/>
  <c r="M9" i="68"/>
  <c r="T14" i="73"/>
  <c r="F26" i="75" s="1"/>
  <c r="O48" i="68"/>
  <c r="C48" i="70" s="1"/>
  <c r="W27" i="73"/>
  <c r="I39" i="75" s="1"/>
  <c r="L53" i="68"/>
  <c r="A53" i="70" s="1"/>
  <c r="Q17" i="73"/>
  <c r="C29" i="75" s="1"/>
  <c r="N32" i="68"/>
  <c r="B32" i="70" s="1"/>
  <c r="Q29" i="73"/>
  <c r="C41" i="75" s="1"/>
  <c r="O44" i="67"/>
  <c r="C44" i="69" s="1"/>
  <c r="N55" i="68"/>
  <c r="B55" i="70" s="1"/>
  <c r="R33" i="73"/>
  <c r="N19" i="67"/>
  <c r="B19" i="69" s="1"/>
  <c r="W28" i="73"/>
  <c r="I40" i="75" s="1"/>
  <c r="N17" i="67"/>
  <c r="B17" i="69" s="1"/>
  <c r="O3" i="67"/>
  <c r="C3" i="69" s="1"/>
  <c r="Q16" i="73"/>
  <c r="C28" i="75" s="1"/>
  <c r="M45" i="67"/>
  <c r="S9" i="73"/>
  <c r="E21" i="75" s="1"/>
  <c r="L49" i="68"/>
  <c r="A49" i="70" s="1"/>
  <c r="Y23" i="73"/>
  <c r="K35" i="75" s="1"/>
  <c r="P39" i="68"/>
  <c r="D39" i="70" s="1"/>
  <c r="Y4" i="73"/>
  <c r="K16" i="75" s="1"/>
  <c r="O53" i="68"/>
  <c r="C53" i="70" s="1"/>
  <c r="S14" i="73"/>
  <c r="E26" i="75" s="1"/>
  <c r="R26" i="73"/>
  <c r="D38" i="75" s="1"/>
  <c r="W9" i="73"/>
  <c r="I21" i="75" s="1"/>
  <c r="R9" i="73"/>
  <c r="D21" i="75" s="1"/>
  <c r="O25" i="68"/>
  <c r="C25" i="70" s="1"/>
  <c r="V25" i="73"/>
  <c r="H37" i="75" s="1"/>
  <c r="L30" i="68"/>
  <c r="A30" i="70" s="1"/>
  <c r="M20" i="68"/>
  <c r="Q23" i="73"/>
  <c r="C35" i="75" s="1"/>
  <c r="O26" i="73"/>
  <c r="A38" i="75" s="1"/>
  <c r="Q3" i="73"/>
  <c r="C15" i="75" s="1"/>
  <c r="P11" i="68"/>
  <c r="D11" i="70" s="1"/>
  <c r="O53" i="67"/>
  <c r="C53" i="69" s="1"/>
  <c r="T20" i="73"/>
  <c r="F32" i="75" s="1"/>
  <c r="N38" i="68"/>
  <c r="B38" i="70" s="1"/>
  <c r="M42" i="68"/>
  <c r="M13" i="67"/>
  <c r="L26" i="67"/>
  <c r="A26" i="69" s="1"/>
  <c r="P18" i="68"/>
  <c r="D18" i="70" s="1"/>
  <c r="N48" i="68"/>
  <c r="B48" i="70" s="1"/>
  <c r="L24" i="67"/>
  <c r="A24" i="69" s="1"/>
  <c r="U14" i="73"/>
  <c r="G26" i="75" s="1"/>
  <c r="N56" i="67"/>
  <c r="B56" i="69" s="1"/>
  <c r="W4" i="73"/>
  <c r="I16" i="75" s="1"/>
  <c r="N9" i="68"/>
  <c r="B9" i="70" s="1"/>
  <c r="M31" i="68"/>
  <c r="Q30" i="73"/>
  <c r="Q25" i="73"/>
  <c r="C37" i="75" s="1"/>
  <c r="R27" i="73"/>
  <c r="D39" i="75" s="1"/>
  <c r="V15" i="73"/>
  <c r="H27" i="75" s="1"/>
  <c r="M12" i="67"/>
  <c r="Y30" i="73"/>
  <c r="M24" i="67"/>
  <c r="V32" i="73"/>
  <c r="P26" i="68"/>
  <c r="D26" i="70" s="1"/>
  <c r="O33" i="67"/>
  <c r="C33" i="69" s="1"/>
  <c r="S5" i="73"/>
  <c r="E17" i="75" s="1"/>
  <c r="O22" i="73"/>
  <c r="A34" i="75" s="1"/>
  <c r="Y25" i="73"/>
  <c r="K37" i="75" s="1"/>
  <c r="R28" i="73"/>
  <c r="D40" i="75" s="1"/>
  <c r="P9" i="68"/>
  <c r="D9" i="70" s="1"/>
  <c r="N23" i="67"/>
  <c r="B23" i="69" s="1"/>
  <c r="P27" i="67"/>
  <c r="D27" i="69" s="1"/>
  <c r="Y26" i="73"/>
  <c r="K38" i="75" s="1"/>
  <c r="W5" i="73"/>
  <c r="I17" i="75" s="1"/>
  <c r="O30" i="68"/>
  <c r="C30" i="70" s="1"/>
  <c r="O34" i="68"/>
  <c r="C34" i="70" s="1"/>
  <c r="Q5" i="73"/>
  <c r="C17" i="75" s="1"/>
  <c r="T13" i="73"/>
  <c r="F25" i="75" s="1"/>
  <c r="V4" i="73"/>
  <c r="H16" i="75" s="1"/>
  <c r="P49" i="67"/>
  <c r="D49" i="69" s="1"/>
  <c r="M37" i="67"/>
  <c r="M41" i="68"/>
  <c r="V17" i="73"/>
  <c r="H29" i="75" s="1"/>
  <c r="R23" i="73"/>
  <c r="D35" i="75" s="1"/>
  <c r="O12" i="67"/>
  <c r="C12" i="69" s="1"/>
  <c r="T21" i="73"/>
  <c r="F33" i="75" s="1"/>
  <c r="W22" i="73"/>
  <c r="I34" i="75" s="1"/>
  <c r="P43" i="68"/>
  <c r="D43" i="70" s="1"/>
  <c r="N23" i="68"/>
  <c r="B23" i="70" s="1"/>
  <c r="R14" i="73"/>
  <c r="D26" i="75" s="1"/>
  <c r="R5" i="73"/>
  <c r="D17" i="75" s="1"/>
  <c r="R7" i="73"/>
  <c r="D19" i="75" s="1"/>
  <c r="L9" i="68"/>
  <c r="A9" i="70" s="1"/>
  <c r="M14" i="67"/>
  <c r="Q13" i="73"/>
  <c r="C25" i="75" s="1"/>
  <c r="L40" i="67"/>
  <c r="A40" i="69" s="1"/>
  <c r="O5" i="67"/>
  <c r="C5" i="69" s="1"/>
  <c r="X18" i="73"/>
  <c r="J30" i="75" s="1"/>
  <c r="N48" i="67"/>
  <c r="B48" i="69" s="1"/>
  <c r="P11" i="67"/>
  <c r="D11" i="69" s="1"/>
  <c r="P32" i="67"/>
  <c r="D32" i="69" s="1"/>
  <c r="S27" i="73"/>
  <c r="E39" i="75" s="1"/>
  <c r="P10" i="73"/>
  <c r="B22" i="75" s="1"/>
  <c r="M47" i="67"/>
  <c r="P43" i="67"/>
  <c r="D43" i="69" s="1"/>
  <c r="P25" i="67"/>
  <c r="D25" i="69" s="1"/>
  <c r="L56" i="68"/>
  <c r="A56" i="70" s="1"/>
  <c r="O56" i="68"/>
  <c r="C56" i="70" s="1"/>
  <c r="L9" i="67"/>
  <c r="A9" i="69" s="1"/>
  <c r="P15" i="73"/>
  <c r="B27" i="75" s="1"/>
  <c r="M49" i="67"/>
  <c r="W12" i="73"/>
  <c r="I24" i="75" s="1"/>
  <c r="Q26" i="73"/>
  <c r="C38" i="75" s="1"/>
  <c r="X19" i="73"/>
  <c r="J31" i="75" s="1"/>
  <c r="L25" i="68"/>
  <c r="A25" i="70" s="1"/>
  <c r="M15" i="68"/>
  <c r="L39" i="67"/>
  <c r="A39" i="69" s="1"/>
  <c r="S34" i="73"/>
  <c r="V21" i="73"/>
  <c r="H33" i="75" s="1"/>
  <c r="T24" i="73"/>
  <c r="F36" i="75" s="1"/>
  <c r="O21" i="67"/>
  <c r="C21" i="69" s="1"/>
  <c r="O9" i="73"/>
  <c r="A21" i="75" s="1"/>
  <c r="O38" i="68"/>
  <c r="C38" i="70" s="1"/>
  <c r="P3" i="68"/>
  <c r="D3" i="70" s="1"/>
  <c r="U34" i="73"/>
  <c r="P46" i="67"/>
  <c r="D46" i="69" s="1"/>
  <c r="N34" i="68"/>
  <c r="B34" i="70" s="1"/>
  <c r="O20" i="68"/>
  <c r="C20" i="70" s="1"/>
  <c r="M3" i="67"/>
  <c r="W26" i="73"/>
  <c r="I38" i="75" s="1"/>
  <c r="L27" i="67"/>
  <c r="A27" i="69" s="1"/>
  <c r="O35" i="68"/>
  <c r="C35" i="70" s="1"/>
  <c r="N54" i="67"/>
  <c r="B54" i="69" s="1"/>
  <c r="S4" i="73"/>
  <c r="E16" i="75" s="1"/>
  <c r="P56" i="67"/>
  <c r="D56" i="69" s="1"/>
  <c r="O23" i="68"/>
  <c r="C23" i="70" s="1"/>
  <c r="N45" i="67"/>
  <c r="B45" i="69" s="1"/>
  <c r="O28" i="73"/>
  <c r="A40" i="75" s="1"/>
  <c r="P15" i="67"/>
  <c r="D15" i="69" s="1"/>
  <c r="L14" i="67"/>
  <c r="A14" i="69" s="1"/>
  <c r="L3" i="67"/>
  <c r="A3" i="69" s="1"/>
  <c r="P33" i="73"/>
  <c r="U31" i="73"/>
  <c r="W29" i="73"/>
  <c r="I41" i="75" s="1"/>
  <c r="R8" i="73"/>
  <c r="D20" i="75" s="1"/>
  <c r="M13" i="68"/>
  <c r="N11" i="68"/>
  <c r="B11" i="70" s="1"/>
  <c r="O2" i="73"/>
  <c r="A14" i="75" s="1"/>
  <c r="M11" i="75" s="1" a="1"/>
  <c r="M11" i="75" s="1"/>
  <c r="X16" i="73"/>
  <c r="J28" i="75" s="1"/>
  <c r="P33" i="68"/>
  <c r="D33" i="70" s="1"/>
  <c r="L22" i="67"/>
  <c r="A22" i="69" s="1"/>
  <c r="Y6" i="73"/>
  <c r="K18" i="75" s="1"/>
  <c r="M37" i="68"/>
  <c r="P42" i="68"/>
  <c r="D42" i="70" s="1"/>
  <c r="U27" i="73"/>
  <c r="G39" i="75" s="1"/>
  <c r="M10" i="68"/>
  <c r="P48" i="68"/>
  <c r="D48" i="70" s="1"/>
  <c r="M44" i="67"/>
  <c r="O46" i="67"/>
  <c r="C46" i="69" s="1"/>
  <c r="W2" i="73"/>
  <c r="I14" i="75" s="1"/>
  <c r="P40" i="67"/>
  <c r="D40" i="69" s="1"/>
  <c r="P50" i="68"/>
  <c r="D50" i="70" s="1"/>
  <c r="P44" i="67"/>
  <c r="D44" i="69" s="1"/>
  <c r="L22" i="68"/>
  <c r="A22" i="70" s="1"/>
  <c r="Y11" i="73"/>
  <c r="K23" i="75" s="1"/>
  <c r="W16" i="73"/>
  <c r="I28" i="75" s="1"/>
  <c r="P19" i="73"/>
  <c r="B31" i="75" s="1"/>
  <c r="L31" i="67"/>
  <c r="A31" i="69" s="1"/>
  <c r="O8" i="73"/>
  <c r="A20" i="75" s="1"/>
  <c r="N20" i="67"/>
  <c r="B20" i="69" s="1"/>
  <c r="P15" i="68"/>
  <c r="D15" i="70" s="1"/>
  <c r="S2" i="73"/>
  <c r="E14" i="75" s="1"/>
  <c r="O29" i="67"/>
  <c r="C29" i="69" s="1"/>
  <c r="N37" i="67"/>
  <c r="B37" i="69" s="1"/>
  <c r="N16" i="68"/>
  <c r="B16" i="70" s="1"/>
  <c r="L10" i="67"/>
  <c r="A10" i="69" s="1"/>
  <c r="V2" i="73"/>
  <c r="H14" i="75" s="1"/>
  <c r="P30" i="73"/>
  <c r="L3" i="68"/>
  <c r="A3" i="70" s="1"/>
  <c r="N3" i="67"/>
  <c r="B3" i="69" s="1"/>
  <c r="P37" i="68"/>
  <c r="D37" i="70" s="1"/>
  <c r="N7" i="67"/>
  <c r="B7" i="69" s="1"/>
  <c r="M6" i="68"/>
  <c r="S18" i="73"/>
  <c r="E30" i="75" s="1"/>
  <c r="U5" i="73"/>
  <c r="G17" i="75" s="1"/>
  <c r="L21" i="67"/>
  <c r="A21" i="69" s="1"/>
  <c r="O7" i="67"/>
  <c r="C7" i="69" s="1"/>
  <c r="Y8" i="73"/>
  <c r="K20" i="75" s="1"/>
  <c r="O7" i="73"/>
  <c r="A19" i="75" s="1"/>
  <c r="L35" i="68"/>
  <c r="A35" i="70" s="1"/>
  <c r="O19" i="67"/>
  <c r="C19" i="69" s="1"/>
  <c r="M10" i="67"/>
  <c r="O28" i="68"/>
  <c r="C28" i="70" s="1"/>
  <c r="O10" i="67"/>
  <c r="C10" i="69" s="1"/>
  <c r="O6" i="73"/>
  <c r="A18" i="75" s="1"/>
  <c r="M29" i="67"/>
  <c r="X25" i="73"/>
  <c r="J37" i="75" s="1"/>
  <c r="Y12" i="73"/>
  <c r="K24" i="75" s="1"/>
  <c r="O52" i="68"/>
  <c r="C52" i="70" s="1"/>
  <c r="Q24" i="73"/>
  <c r="C36" i="75" s="1"/>
  <c r="S17" i="73"/>
  <c r="E29" i="75" s="1"/>
  <c r="S11" i="73"/>
  <c r="E23" i="75" s="1"/>
  <c r="L37" i="68"/>
  <c r="A37" i="70" s="1"/>
  <c r="S25" i="73"/>
  <c r="E37" i="75" s="1"/>
  <c r="L46" i="68"/>
  <c r="A46" i="70" s="1"/>
  <c r="O32" i="73"/>
  <c r="U19" i="73"/>
  <c r="G31" i="75" s="1"/>
  <c r="X30" i="73"/>
  <c r="P5" i="67"/>
  <c r="D5" i="69" s="1"/>
  <c r="Q27" i="73"/>
  <c r="C39" i="75" s="1"/>
  <c r="P20" i="73"/>
  <c r="B32" i="75" s="1"/>
  <c r="U25" i="73"/>
  <c r="G37" i="75" s="1"/>
  <c r="O57" i="67"/>
  <c r="C57" i="69" s="1"/>
  <c r="P31" i="67"/>
  <c r="D31" i="69" s="1"/>
  <c r="O16" i="68"/>
  <c r="C16" i="70" s="1"/>
  <c r="O20" i="73"/>
  <c r="A32" i="75" s="1"/>
  <c r="M5" i="67"/>
  <c r="M18" i="67"/>
  <c r="M6" i="67"/>
  <c r="M51" i="67"/>
  <c r="O42" i="68"/>
  <c r="C42" i="70" s="1"/>
  <c r="O39" i="67"/>
  <c r="C39" i="69" s="1"/>
  <c r="O9" i="67"/>
  <c r="C9" i="69" s="1"/>
  <c r="Y5" i="73"/>
  <c r="K17" i="75" s="1"/>
  <c r="M45" i="68"/>
  <c r="O21" i="68"/>
  <c r="C21" i="70" s="1"/>
  <c r="N15" i="67"/>
  <c r="B15" i="69" s="1"/>
  <c r="S16" i="73"/>
  <c r="E28" i="75" s="1"/>
  <c r="N43" i="68"/>
  <c r="B43" i="70" s="1"/>
  <c r="L18" i="68"/>
  <c r="A18" i="70" s="1"/>
  <c r="P47" i="67"/>
  <c r="D47" i="69" s="1"/>
  <c r="R10" i="73"/>
  <c r="D22" i="75" s="1"/>
  <c r="R34" i="73"/>
  <c r="N53" i="68"/>
  <c r="B53" i="70" s="1"/>
  <c r="O31" i="68"/>
  <c r="C31" i="70" s="1"/>
  <c r="O31" i="73"/>
  <c r="V34" i="73"/>
  <c r="M32" i="67"/>
  <c r="V27" i="73"/>
  <c r="H39" i="75" s="1"/>
  <c r="Q28" i="73"/>
  <c r="C40" i="75" s="1"/>
  <c r="P8" i="73"/>
  <c r="B20" i="75" s="1"/>
  <c r="M40" i="67"/>
  <c r="V33" i="73"/>
  <c r="P37" i="67"/>
  <c r="D37" i="69" s="1"/>
  <c r="N19" i="68"/>
  <c r="B19" i="70" s="1"/>
  <c r="M4" i="67"/>
  <c r="L2" i="68"/>
  <c r="A2" i="70" s="1"/>
  <c r="P9" i="67"/>
  <c r="D9" i="69" s="1"/>
  <c r="P17" i="68"/>
  <c r="D17" i="70" s="1"/>
  <c r="O16" i="67"/>
  <c r="C16" i="69" s="1"/>
  <c r="U29" i="73"/>
  <c r="G41" i="75" s="1"/>
  <c r="M34" i="67"/>
  <c r="W11" i="73"/>
  <c r="I23" i="75" s="1"/>
  <c r="M27" i="67"/>
  <c r="L4" i="68"/>
  <c r="A4" i="70" s="1"/>
  <c r="Y19" i="73"/>
  <c r="K31" i="75" s="1"/>
  <c r="W6" i="73"/>
  <c r="I18" i="75" s="1"/>
  <c r="P34" i="73"/>
  <c r="O13" i="73"/>
  <c r="A25" i="75" s="1"/>
  <c r="Y3" i="73"/>
  <c r="K15" i="75" s="1"/>
  <c r="P13" i="67"/>
  <c r="D13" i="69" s="1"/>
  <c r="P5" i="73"/>
  <c r="B17" i="75" s="1"/>
  <c r="N42" i="68"/>
  <c r="B42" i="70" s="1"/>
  <c r="N26" i="67"/>
  <c r="B26" i="69" s="1"/>
  <c r="N10" i="68"/>
  <c r="B10" i="70" s="1"/>
  <c r="N44" i="67"/>
  <c r="B44" i="69" s="1"/>
  <c r="P34" i="68"/>
  <c r="D34" i="70" s="1"/>
  <c r="P32" i="68"/>
  <c r="D32" i="70" s="1"/>
  <c r="N35" i="68"/>
  <c r="B35" i="70" s="1"/>
  <c r="P45" i="68"/>
  <c r="D45" i="70" s="1"/>
  <c r="O51" i="67"/>
  <c r="C51" i="69" s="1"/>
  <c r="V22" i="73"/>
  <c r="H34" i="75" s="1"/>
  <c r="P40" i="68"/>
  <c r="D40" i="70" s="1"/>
  <c r="N31" i="68"/>
  <c r="B31" i="70" s="1"/>
  <c r="O27" i="73"/>
  <c r="A39" i="75" s="1"/>
  <c r="O41" i="68"/>
  <c r="C41" i="70" s="1"/>
  <c r="N51" i="68"/>
  <c r="B51" i="70" s="1"/>
  <c r="M51" i="68"/>
  <c r="M7" i="67"/>
  <c r="M50" i="67"/>
  <c r="N52" i="67"/>
  <c r="B52" i="69" s="1"/>
  <c r="M8" i="68"/>
  <c r="V13" i="73"/>
  <c r="H25" i="75" s="1"/>
  <c r="O55" i="67"/>
  <c r="C55" i="69" s="1"/>
  <c r="T9" i="73"/>
  <c r="F21" i="75" s="1"/>
  <c r="P22" i="67"/>
  <c r="D22" i="69" s="1"/>
  <c r="U20" i="73"/>
  <c r="G32" i="75" s="1"/>
  <c r="N41" i="68"/>
  <c r="B41" i="70" s="1"/>
  <c r="N20" i="68"/>
  <c r="B20" i="70" s="1"/>
  <c r="N21" i="68"/>
  <c r="B21" i="70" s="1"/>
  <c r="Y33" i="73"/>
  <c r="O38" i="67"/>
  <c r="C38" i="69" s="1"/>
  <c r="L25" i="67"/>
  <c r="A25" i="69" s="1"/>
  <c r="P52" i="67"/>
  <c r="D52" i="69" s="1"/>
  <c r="P55" i="67"/>
  <c r="D55" i="69" s="1"/>
  <c r="L16" i="67"/>
  <c r="A16" i="69" s="1"/>
  <c r="U10" i="73"/>
  <c r="G22" i="75" s="1"/>
  <c r="P3" i="73"/>
  <c r="B15" i="75" s="1"/>
  <c r="N14" i="68"/>
  <c r="B14" i="70" s="1"/>
  <c r="Q12" i="73"/>
  <c r="C24" i="75" s="1"/>
  <c r="U6" i="73"/>
  <c r="G18" i="75" s="1"/>
  <c r="L17" i="67"/>
  <c r="A17" i="69" s="1"/>
  <c r="P2" i="68"/>
  <c r="D2" i="70" s="1"/>
  <c r="P17" i="73"/>
  <c r="B29" i="75" s="1"/>
  <c r="L38" i="68"/>
  <c r="A38" i="70" s="1"/>
  <c r="P17" i="67"/>
  <c r="D17" i="69" s="1"/>
  <c r="P4" i="67"/>
  <c r="D4" i="69" s="1"/>
  <c r="R21" i="73"/>
  <c r="D33" i="75" s="1"/>
  <c r="R30" i="73"/>
  <c r="O3" i="73"/>
  <c r="A15" i="75" s="1"/>
  <c r="L5" i="68"/>
  <c r="A5" i="70" s="1"/>
  <c r="O5" i="68"/>
  <c r="C5" i="70" s="1"/>
  <c r="L7" i="67"/>
  <c r="A7" i="69" s="1"/>
  <c r="O6" i="67"/>
  <c r="C6" i="69" s="1"/>
  <c r="S23" i="73"/>
  <c r="E35" i="75" s="1"/>
  <c r="W25" i="73"/>
  <c r="I37" i="75" s="1"/>
  <c r="M3" i="68"/>
  <c r="N6" i="67"/>
  <c r="B6" i="69" s="1"/>
  <c r="V8" i="73"/>
  <c r="H20" i="75" s="1"/>
  <c r="N37" i="68"/>
  <c r="B37" i="70" s="1"/>
  <c r="L34" i="67"/>
  <c r="A34" i="69" s="1"/>
  <c r="V9" i="73"/>
  <c r="H21" i="75" s="1"/>
  <c r="O19" i="68"/>
  <c r="C19" i="70" s="1"/>
  <c r="V29" i="73"/>
  <c r="H41" i="75" s="1"/>
  <c r="N22" i="67"/>
  <c r="B22" i="69" s="1"/>
  <c r="N50" i="67"/>
  <c r="B50" i="69" s="1"/>
  <c r="V7" i="73"/>
  <c r="H19" i="75" s="1"/>
  <c r="N3" i="68"/>
  <c r="B3" i="70" s="1"/>
  <c r="N28" i="68"/>
  <c r="B28" i="70" s="1"/>
  <c r="U30" i="73"/>
  <c r="L32" i="68"/>
  <c r="A32" i="70" s="1"/>
  <c r="L47" i="67"/>
  <c r="A47" i="69" s="1"/>
  <c r="P25" i="73"/>
  <c r="B37" i="75" s="1"/>
  <c r="N41" i="67"/>
  <c r="B41" i="69" s="1"/>
  <c r="R15" i="73"/>
  <c r="D27" i="75" s="1"/>
  <c r="X3" i="73"/>
  <c r="J15" i="75" s="1"/>
  <c r="L44" i="67"/>
  <c r="A44" i="69" s="1"/>
  <c r="P8" i="67"/>
  <c r="D8" i="69" s="1"/>
  <c r="T29" i="73"/>
  <c r="F41" i="75" s="1"/>
  <c r="L51" i="67"/>
  <c r="A51" i="69" s="1"/>
  <c r="N2" i="68"/>
  <c r="B2" i="70" s="1"/>
  <c r="M20" i="67"/>
  <c r="N5" i="68"/>
  <c r="B5" i="70" s="1"/>
  <c r="M26" i="67"/>
  <c r="L29" i="67"/>
  <c r="A29" i="69" s="1"/>
  <c r="M52" i="68"/>
  <c r="O45" i="67"/>
  <c r="C45" i="69" s="1"/>
  <c r="N49" i="67"/>
  <c r="B49" i="69" s="1"/>
  <c r="L53" i="67"/>
  <c r="A53" i="69" s="1"/>
  <c r="T7" i="73"/>
  <c r="F19" i="75" s="1"/>
  <c r="X7" i="73"/>
  <c r="J19" i="75" s="1"/>
  <c r="O27" i="68"/>
  <c r="C27" i="70" s="1"/>
  <c r="T27" i="73"/>
  <c r="F39" i="75" s="1"/>
  <c r="Q7" i="73"/>
  <c r="C19" i="75" s="1"/>
  <c r="S22" i="73"/>
  <c r="E34" i="75" s="1"/>
  <c r="L18" i="67"/>
  <c r="A18" i="69" s="1"/>
  <c r="T19" i="73"/>
  <c r="F31" i="75" s="1"/>
  <c r="W13" i="73"/>
  <c r="I25" i="75" s="1"/>
  <c r="O27" i="67"/>
  <c r="C27" i="69" s="1"/>
  <c r="S15" i="73"/>
  <c r="E27" i="75" s="1"/>
  <c r="O30" i="67"/>
  <c r="C30" i="69" s="1"/>
  <c r="Q2" i="73"/>
  <c r="C14" i="75" s="1"/>
  <c r="M18" i="68"/>
  <c r="L29" i="68"/>
  <c r="A29" i="70" s="1"/>
  <c r="Q21" i="73"/>
  <c r="C33" i="75" s="1"/>
  <c r="P14" i="68"/>
  <c r="D14" i="70" s="1"/>
  <c r="N8" i="67"/>
  <c r="B8" i="69" s="1"/>
  <c r="P4" i="68"/>
  <c r="D4" i="70" s="1"/>
  <c r="M50" i="68"/>
  <c r="Y27" i="73"/>
  <c r="K39" i="75" s="1"/>
  <c r="X34" i="73"/>
  <c r="L13" i="68"/>
  <c r="A13" i="70" s="1"/>
  <c r="M16" i="68"/>
  <c r="Q31" i="73"/>
  <c r="N45" i="68"/>
  <c r="B45" i="70" s="1"/>
  <c r="S21" i="73"/>
  <c r="E33" i="75" s="1"/>
  <c r="P18" i="67"/>
  <c r="D18" i="69" s="1"/>
  <c r="O37" i="68"/>
  <c r="C37" i="70" s="1"/>
  <c r="M36" i="67"/>
  <c r="W14" i="73"/>
  <c r="I26" i="75" s="1"/>
  <c r="Y14" i="73"/>
  <c r="K26" i="75" s="1"/>
  <c r="W17" i="73"/>
  <c r="I29" i="75" s="1"/>
  <c r="O37" i="67"/>
  <c r="C37" i="69" s="1"/>
  <c r="N40" i="67"/>
  <c r="B40" i="69" s="1"/>
  <c r="Q32" i="73"/>
  <c r="O10" i="68"/>
  <c r="C10" i="70" s="1"/>
  <c r="O20" i="67"/>
  <c r="C20" i="69" s="1"/>
  <c r="N30" i="67"/>
  <c r="B30" i="69" s="1"/>
  <c r="N30" i="68"/>
  <c r="B30" i="70" s="1"/>
  <c r="O36" i="68"/>
  <c r="C36" i="70" s="1"/>
  <c r="L33" i="68"/>
  <c r="A33" i="70" s="1"/>
  <c r="O29" i="68"/>
  <c r="C29" i="70" s="1"/>
  <c r="R6" i="73"/>
  <c r="D18" i="75" s="1"/>
  <c r="N2" i="67"/>
  <c r="B2" i="69" s="1"/>
  <c r="U12" i="73"/>
  <c r="G24" i="75" s="1"/>
  <c r="P2" i="67"/>
  <c r="D2" i="69" s="1"/>
  <c r="M2" i="67"/>
  <c r="P19" i="67"/>
  <c r="D19" i="69" s="1"/>
  <c r="P18" i="73"/>
  <c r="B30" i="75" s="1"/>
  <c r="L8" i="68"/>
  <c r="A8" i="70" s="1"/>
  <c r="L41" i="68"/>
  <c r="A41" i="70" s="1"/>
  <c r="M33" i="68"/>
  <c r="O13" i="67"/>
  <c r="C13" i="69" s="1"/>
  <c r="O24" i="73"/>
  <c r="A36" i="75" s="1"/>
  <c r="P29" i="68"/>
  <c r="D29" i="70" s="1"/>
  <c r="M27" i="68"/>
  <c r="O16" i="73"/>
  <c r="A28" i="75" s="1"/>
  <c r="S29" i="73"/>
  <c r="E41" i="75" s="1"/>
  <c r="L46" i="67"/>
  <c r="A46" i="69" s="1"/>
  <c r="M30" i="68"/>
  <c r="U21" i="73"/>
  <c r="G33" i="75" s="1"/>
  <c r="T26" i="73"/>
  <c r="F38" i="75" s="1"/>
  <c r="V12" i="73"/>
  <c r="H24" i="75" s="1"/>
  <c r="Y31" i="73"/>
  <c r="W18" i="73"/>
  <c r="I30" i="75" s="1"/>
  <c r="O26" i="68"/>
  <c r="C26" i="70" s="1"/>
  <c r="N46" i="67"/>
  <c r="B46" i="69" s="1"/>
  <c r="N55" i="67"/>
  <c r="B55" i="69" s="1"/>
  <c r="W19" i="73"/>
  <c r="I31" i="75" s="1"/>
  <c r="N27" i="67"/>
  <c r="B27" i="69" s="1"/>
  <c r="O12" i="73"/>
  <c r="A24" i="75" s="1"/>
  <c r="P51" i="67"/>
  <c r="D51" i="69" s="1"/>
  <c r="P23" i="68"/>
  <c r="D23" i="70" s="1"/>
  <c r="P28" i="73"/>
  <c r="B40" i="75" s="1"/>
  <c r="O13" i="68"/>
  <c r="C13" i="70" s="1"/>
  <c r="O4" i="73"/>
  <c r="A16" i="75" s="1"/>
  <c r="M17" i="68"/>
  <c r="M54" i="67"/>
  <c r="W8" i="73"/>
  <c r="I20" i="75" s="1"/>
  <c r="N24" i="67"/>
  <c r="B24" i="69" s="1"/>
  <c r="M52" i="67"/>
  <c r="M21" i="67"/>
  <c r="M23" i="67"/>
  <c r="R2" i="73"/>
  <c r="D14" i="75" s="1"/>
  <c r="M48" i="67"/>
  <c r="U23" i="73"/>
  <c r="G35" i="75" s="1"/>
  <c r="L26" i="68"/>
  <c r="A26" i="70" s="1"/>
  <c r="P5" i="68"/>
  <c r="D5" i="70" s="1"/>
  <c r="L48" i="67"/>
  <c r="A48" i="69" s="1"/>
  <c r="L2" i="67"/>
  <c r="A2" i="69" s="1"/>
  <c r="N18" i="68"/>
  <c r="B18" i="70" s="1"/>
  <c r="N35" i="67"/>
  <c r="B35" i="69" s="1"/>
  <c r="R19" i="73"/>
  <c r="D31" i="75" s="1"/>
  <c r="O22" i="67"/>
  <c r="C22" i="69" s="1"/>
  <c r="P49" i="68"/>
  <c r="D49" i="70" s="1"/>
  <c r="Q18" i="73"/>
  <c r="C30" i="75" s="1"/>
  <c r="X33" i="73"/>
  <c r="V23" i="73"/>
  <c r="H35" i="75" s="1"/>
  <c r="T10" i="73"/>
  <c r="F22" i="75" s="1"/>
  <c r="M41" i="67"/>
  <c r="O43" i="68"/>
  <c r="C43" i="70" s="1"/>
  <c r="N31" i="67"/>
  <c r="B31" i="69" s="1"/>
  <c r="N36" i="67"/>
  <c r="B36" i="69" s="1"/>
  <c r="M25" i="68"/>
  <c r="L52" i="68"/>
  <c r="A52" i="70" s="1"/>
  <c r="P42" i="67"/>
  <c r="D42" i="69" s="1"/>
  <c r="O8" i="68"/>
  <c r="C8" i="70" s="1"/>
  <c r="O17" i="68"/>
  <c r="C17" i="70" s="1"/>
  <c r="O24" i="67"/>
  <c r="C24" i="69" s="1"/>
  <c r="U33" i="73"/>
  <c r="P6" i="73"/>
  <c r="B18" i="75" s="1"/>
  <c r="Q34" i="73"/>
  <c r="V18" i="73"/>
  <c r="H30" i="75" s="1"/>
  <c r="M38" i="67"/>
  <c r="L54" i="68"/>
  <c r="A54" i="70" s="1"/>
  <c r="M16" i="67"/>
  <c r="P28" i="67"/>
  <c r="D28" i="69" s="1"/>
  <c r="X9" i="73"/>
  <c r="J21" i="75" s="1"/>
  <c r="L27" i="68"/>
  <c r="A27" i="70" s="1"/>
  <c r="L49" i="67"/>
  <c r="A49" i="69" s="1"/>
  <c r="N33" i="68"/>
  <c r="B33" i="70" s="1"/>
  <c r="S12" i="73"/>
  <c r="E24" i="75" s="1"/>
  <c r="U4" i="73"/>
  <c r="G16" i="75" s="1"/>
  <c r="O10" i="73"/>
  <c r="A22" i="75" s="1"/>
  <c r="Y20" i="73"/>
  <c r="K32" i="75" s="1"/>
  <c r="P29" i="67"/>
  <c r="D29" i="69" s="1"/>
  <c r="P36" i="68"/>
  <c r="D36" i="70" s="1"/>
  <c r="V30" i="73"/>
  <c r="B10" i="75" l="1"/>
  <c r="J13" i="75"/>
  <c r="E13" i="75"/>
  <c r="F12" i="75"/>
  <c r="H13" i="75"/>
  <c r="D13" i="75"/>
  <c r="B12" i="75"/>
  <c r="B11" i="75"/>
  <c r="C12" i="75"/>
  <c r="I12" i="75"/>
  <c r="K13" i="75"/>
  <c r="B1" i="75"/>
  <c r="F13" i="75"/>
  <c r="G13" i="75"/>
  <c r="J12" i="75"/>
  <c r="C13" i="75"/>
  <c r="A12"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Jona Kukeli</author>
    <author>o.penzes</author>
  </authors>
  <commentList>
    <comment ref="B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B12" authorId="0" shapeId="0" xr:uid="{00000000-0006-0000-0000-000003000000}">
      <text>
        <r>
          <rPr>
            <sz val="9"/>
            <color indexed="81"/>
            <rFont val="Arial"/>
            <family val="2"/>
          </rPr>
          <t>Institute code for settlement with the social insurance institutions (9-digit number sequence: 26XXXXXXX).
Processing is only required for centers located in Germany.</t>
        </r>
      </text>
    </comment>
    <comment ref="G12" authorId="0" shapeId="0" xr:uid="{00000000-0006-0000-0000-000004000000}">
      <text>
        <r>
          <rPr>
            <sz val="9"/>
            <color indexed="81"/>
            <rFont val="Arial"/>
            <family val="2"/>
          </rPr>
          <t>dd.mm.yyyy
Data are automatically transferred to other spreadsheets</t>
        </r>
      </text>
    </comment>
    <comment ref="B14" authorId="0" shapeId="0" xr:uid="{769553F6-AB18-434A-B378-73024DDAD067}">
      <text>
        <r>
          <rPr>
            <sz val="9"/>
            <color indexed="81"/>
            <rFont val="Arial"/>
            <family val="2"/>
          </rPr>
          <t>Identifier assigned by the Institute for the Hospital Remuneration System (InEK) (9-digit number sequence: 77XXXXXXX).
Processing is only required for centers located in Germany.</t>
        </r>
      </text>
    </comment>
    <comment ref="G14" authorId="0" shapeId="0" xr:uid="{00000000-0006-0000-0000-000005000000}">
      <text>
        <r>
          <rPr>
            <sz val="9"/>
            <color indexed="81"/>
            <rFont val="Arial"/>
            <family val="2"/>
          </rPr>
          <t>Selection by Reg. No.</t>
        </r>
      </text>
    </comment>
    <comment ref="B16" authorId="0" shapeId="0" xr:uid="{7DB79091-9317-46F2-A3BA-4C010E4EAF76}">
      <text>
        <r>
          <rPr>
            <sz val="9"/>
            <color indexed="81"/>
            <rFont val="Arial"/>
            <family val="2"/>
          </rPr>
          <t>Name, First name</t>
        </r>
      </text>
    </comment>
    <comment ref="E21" authorId="0" shapeId="0" xr:uid="{00000000-0006-0000-0000-000006000000}">
      <text>
        <r>
          <rPr>
            <sz val="9"/>
            <color indexed="81"/>
            <rFont val="Arial"/>
            <family val="2"/>
          </rPr>
          <t>For the automatic generation of the Indicator Sheet and the matrix outcome quality, an evaluation tool (XML-OncoBox) is available which can be integrated into different tumour documentation systems. Further information on the XML-OncoBox available on www.xml-oncobox.de</t>
        </r>
      </text>
    </comment>
    <comment ref="A25" authorId="1" shapeId="0" xr:uid="{00000000-0006-0000-0000-000007000000}">
      <text>
        <r>
          <rPr>
            <sz val="9"/>
            <color indexed="81"/>
            <rFont val="Arial"/>
            <family val="2"/>
          </rPr>
          <t>CoR = Catalogue of Requirements
IS = Indicator sheet</t>
        </r>
      </text>
    </comment>
    <comment ref="A28" authorId="0" shapeId="0" xr:uid="{00000000-0006-0000-0000-000008000000}">
      <text>
        <r>
          <rPr>
            <sz val="9"/>
            <color indexed="81"/>
            <rFont val="Arial"/>
            <family val="2"/>
          </rPr>
          <t>Primary cases = colon + rectum</t>
        </r>
      </text>
    </comment>
    <comment ref="B28" authorId="0" shapeId="0" xr:uid="{00000000-0006-0000-0000-000009000000}">
      <text>
        <r>
          <rPr>
            <sz val="9"/>
            <color indexed="81"/>
            <rFont val="Arial"/>
            <family val="2"/>
          </rPr>
          <t>Denominator IN: 19, 29
Part of denominator IN: 3</t>
        </r>
      </text>
    </comment>
    <comment ref="C28" authorId="0" shapeId="0" xr:uid="{00000000-0006-0000-0000-00000A000000}">
      <text>
        <r>
          <rPr>
            <sz val="9"/>
            <color indexed="81"/>
            <rFont val="Arial"/>
            <family val="2"/>
          </rPr>
          <t>Part of denominator IN: 3</t>
        </r>
      </text>
    </comment>
    <comment ref="D28" authorId="0" shapeId="0" xr:uid="{00000000-0006-0000-0000-00000B000000}">
      <text>
        <r>
          <rPr>
            <sz val="9"/>
            <color indexed="81"/>
            <rFont val="Arial"/>
            <family val="2"/>
          </rPr>
          <t>Part of denominator IN: 3</t>
        </r>
      </text>
    </comment>
    <comment ref="E28" authorId="0" shapeId="0" xr:uid="{00000000-0006-0000-0000-00000C000000}">
      <text>
        <r>
          <rPr>
            <sz val="9"/>
            <color indexed="81"/>
            <rFont val="Arial"/>
            <family val="2"/>
          </rPr>
          <t>Part of denominator IN: 3</t>
        </r>
      </text>
    </comment>
    <comment ref="H28" authorId="1" shapeId="0" xr:uid="{00000000-0006-0000-0000-00000D000000}">
      <text>
        <r>
          <rPr>
            <sz val="9"/>
            <color indexed="81"/>
            <rFont val="Arial"/>
            <family val="2"/>
          </rPr>
          <t>Denominator IN: 6, 7
Part of denominator IN: 4, 5</t>
        </r>
      </text>
    </comment>
    <comment ref="B29" authorId="0" shapeId="0" xr:uid="{00000000-0006-0000-0000-00000E000000}">
      <text>
        <r>
          <rPr>
            <sz val="9"/>
            <color indexed="81"/>
            <rFont val="Arial"/>
            <family val="2"/>
          </rPr>
          <t>Denominator IN: 15
Part of IN: 13</t>
        </r>
      </text>
    </comment>
    <comment ref="D29" authorId="1" shapeId="0" xr:uid="{00000000-0006-0000-0000-00000F000000}">
      <text>
        <r>
          <rPr>
            <sz val="9"/>
            <color indexed="81"/>
            <rFont val="Arial"/>
            <family val="2"/>
          </rPr>
          <t>Part of IN: 13</t>
        </r>
      </text>
    </comment>
    <comment ref="B30" authorId="0" shapeId="0" xr:uid="{00000000-0006-0000-0000-000010000000}">
      <text>
        <r>
          <rPr>
            <sz val="9"/>
            <color indexed="81"/>
            <rFont val="Arial"/>
            <family val="2"/>
          </rPr>
          <t>Denominator IN: 16, 20
Part of IN: 14</t>
        </r>
      </text>
    </comment>
    <comment ref="C30" authorId="2" shapeId="0" xr:uid="{00000000-0006-0000-0000-000011000000}">
      <text>
        <r>
          <rPr>
            <sz val="9"/>
            <color indexed="81"/>
            <rFont val="Arial"/>
            <family val="2"/>
          </rPr>
          <t>Part of IN: 14</t>
        </r>
      </text>
    </comment>
    <comment ref="D30" authorId="1" shapeId="0" xr:uid="{00000000-0006-0000-0000-000012000000}">
      <text>
        <r>
          <rPr>
            <sz val="9"/>
            <color indexed="81"/>
            <rFont val="Arial"/>
            <family val="2"/>
          </rPr>
          <t>Part of IN: 14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200-000001000000}">
      <text>
        <r>
          <rPr>
            <sz val="9"/>
            <color indexed="81"/>
            <rFont val="Arial"/>
            <family val="2"/>
          </rPr>
          <t>Übertrag erfolgt aus Tabellenblatt Basisdaten</t>
        </r>
      </text>
    </comment>
    <comment ref="C8" authorId="0" shapeId="0" xr:uid="{00000000-0006-0000-1200-000002000000}">
      <text>
        <r>
          <rPr>
            <sz val="9"/>
            <color indexed="81"/>
            <rFont val="Arial"/>
            <family val="2"/>
          </rPr>
          <t>Übertrag erfolgt aus Tabellenblatt Basisdaten</t>
        </r>
      </text>
    </comment>
    <comment ref="F8" authorId="0" shapeId="0" xr:uid="{00000000-0006-0000-1200-000003000000}">
      <text>
        <r>
          <rPr>
            <sz val="9"/>
            <color indexed="81"/>
            <rFont val="Arial"/>
            <family val="2"/>
          </rPr>
          <t>Übertrag erfolgt aus Tabellenblatt Basisdaten</t>
        </r>
      </text>
    </comment>
    <comment ref="B17" authorId="0" shapeId="0" xr:uid="{00000000-0006-0000-1200-000004000000}">
      <text>
        <r>
          <rPr>
            <sz val="9"/>
            <color indexed="81"/>
            <rFont val="Arial"/>
            <family val="2"/>
          </rPr>
          <t>Weitere Erläuterungen siehe Tabellenblatt "Matrix - Tabelle Plausibilitätsabfragen"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91AB35B3-21F0-4211-9C20-CF7753A196EA}">
      <text>
        <r>
          <rPr>
            <sz val="9"/>
            <color indexed="81"/>
            <rFont val="Arial"/>
            <family val="2"/>
          </rPr>
          <t>Numerator IN: 6</t>
        </r>
      </text>
    </comment>
    <comment ref="A9" authorId="0" shapeId="0" xr:uid="{2DD29205-1D75-4644-8BDA-4A34272C21BF}">
      <text>
        <r>
          <rPr>
            <sz val="9"/>
            <color indexed="81"/>
            <rFont val="Arial"/>
            <family val="2"/>
          </rPr>
          <t>Responsible co-operation partner: Study unit/department responsible for the supervision of the study (e.g. Department of Radio-oncology; Haematology/Oncology Group Practice Dr Example; ...). Name of co-operation partner identical to www.oncomap.de, if listed.
·  External: Center (name as listed at www.oncomap.de) or clinic</t>
        </r>
      </text>
    </comment>
    <comment ref="D10" authorId="0" shapeId="0" xr:uid="{23C77AE6-AE4A-4C5C-998F-FAA9F2A881AB}">
      <text>
        <r>
          <rPr>
            <sz val="9"/>
            <color indexed="81"/>
            <rFont val="Arial"/>
            <family val="2"/>
          </rPr>
          <t>Optional, see section 1.7.6</t>
        </r>
      </text>
    </comment>
    <comment ref="E10" authorId="0" shapeId="0" xr:uid="{4978CAAE-17F0-44DF-9E8F-6DD7162E9A07}">
      <text>
        <r>
          <rPr>
            <sz val="9"/>
            <color indexed="81"/>
            <rFont val="Arial"/>
            <family val="2"/>
          </rPr>
          <t>Optional, see section 1.7.6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B6" authorId="0" shapeId="0" xr:uid="{7B7B5A9E-D10B-4A39-A4FF-913EFED9C8B2}">
      <text>
        <r>
          <rPr>
            <sz val="9"/>
            <color indexed="81"/>
            <rFont val="Arial"/>
            <family val="2"/>
          </rPr>
          <t>Prerequisite basic qualification (in accordance with CR 2.2.1): 
Qualification as a colonoscopy diagnostician
- Specialist in internal medicine and gastroenterology
- Specialist in visceral surgery or specialist in general surgery 
- Surgeons and internists with specialist knowledge in colonoscopy (grandfathering) 
or colonoscopy authorisation from the relevant health insurance company</t>
        </r>
      </text>
    </comment>
    <comment ref="D6" authorId="0" shapeId="0" xr:uid="{52C1F35B-B6EC-4020-9F62-33AADCAC0BE9}">
      <text>
        <r>
          <rPr>
            <sz val="9"/>
            <color indexed="81"/>
            <rFont val="Arial"/>
            <family val="2"/>
          </rPr>
          <t>Relevant for multi-site centres or in the event that an examiner is regularly active at several clinical sites/clinics or in several colonoscopy units (examiner experience must be differentiated per colonoscopy unit)</t>
        </r>
      </text>
    </comment>
    <comment ref="E6" authorId="0" shapeId="0" xr:uid="{33EFC5A4-C4EF-4E8C-B4E0-D069C14EB34C}">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B6" authorId="0" shapeId="0" xr:uid="{8382E579-5729-4E71-A811-C10C98B5FAC0}">
      <text>
        <r>
          <rPr>
            <sz val="9"/>
            <color indexed="81"/>
            <rFont val="Arial"/>
            <family val="2"/>
          </rPr>
          <t xml:space="preserve">Prerequisite basic qualification (according to CR 5.2.5): Specialist in Visceral Surgery with additional training in Specialised Visceral Surgery (from Muster-WbO 2003, as of 25/06/2010). Equally recognised are the specialist in visceral surgery according to the older MWbO or the specialisation in visceral surgery according to the older MWbO. The specialist in general surgery with the European qualification EBSQ Coloproctology is also recognised for the intestinal organ, and the specialist in general surgery with the European qualification EBSQ Hepato-Pancreatico-Biliary Surgery (HPB) is recognised for the pancreas and liver organs. Specialists in general surgery or visceral surgery without additional training in accordance with MWbO 2010 or later are not recognised. For anal carcinoma: Specialist in general or visceral surgery with additional further training in proctology or European additional qualification EBSQ coloproctology </t>
        </r>
      </text>
    </comment>
    <comment ref="C6" authorId="0" shapeId="0" xr:uid="{41FF12B2-4503-4E31-858C-9AB197485FC1}">
      <text>
        <r>
          <rPr>
            <sz val="9"/>
            <color indexed="81"/>
            <rFont val="Arial"/>
            <family val="2"/>
          </rPr>
          <t>Prerequisite senior colorectal surgeon (according to CR 5.2.5): Positive qualification assessment by OnkoZert and nomination by the colorectal cancer centre (max. 1 senior colorectal surgeon per centre)</t>
        </r>
      </text>
    </comment>
    <comment ref="D6" authorId="0" shapeId="0" xr:uid="{8BF4E0D8-0043-482E-B7A1-D639CEB2ACB8}">
      <text>
        <r>
          <rPr>
            <sz val="9"/>
            <color indexed="81"/>
            <rFont val="Arial"/>
            <family val="2"/>
          </rPr>
          <t>Relevant for multi-site centres or in the event that a surgeon is regularly active as a surgeon at several clinical sites/centre (surgical expertise must be differentiated per clinical site/centre)</t>
        </r>
      </text>
    </comment>
    <comment ref="E6" authorId="0" shapeId="0" xr:uid="{8681059E-16BE-4E70-B11E-F04AA15D3DA8}">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F6" authorId="0" shapeId="0" xr:uid="{4566679F-5C7B-4CC2-A676-6C8317D9B413}">
      <text>
        <r>
          <rPr>
            <sz val="9"/>
            <color indexed="81"/>
            <rFont val="Arial"/>
            <family val="2"/>
          </rPr>
          <t>There is no requirement for annual expertise for senior colorectal surgeons</t>
        </r>
      </text>
    </comment>
    <comment ref="G6" authorId="0" shapeId="0" xr:uid="{6AFB2E22-4472-4DD1-B525-89F244914D3A}">
      <text>
        <r>
          <rPr>
            <sz val="9"/>
            <color indexed="81"/>
            <rFont val="Arial"/>
            <family val="2"/>
          </rPr>
          <t>There is no requirement for annual expertise for senior colorectal surgeons</t>
        </r>
      </text>
    </comment>
    <comment ref="F23" authorId="0" shapeId="0" xr:uid="{39FBE8AD-E6BB-4139-A7D8-FBC7BFCFA528}">
      <text>
        <r>
          <rPr>
            <sz val="9"/>
            <color indexed="81"/>
            <rFont val="Arial"/>
            <family val="2"/>
          </rPr>
          <t>Total ‘Primary surgical cases’ basic data may differ from the total number of surgeries per surgeon.</t>
        </r>
      </text>
    </comment>
    <comment ref="G23" authorId="0" shapeId="0" xr:uid="{1114A026-9098-40B3-845C-37F35FE9DE1F}">
      <text>
        <r>
          <rPr>
            <sz val="9"/>
            <color indexed="81"/>
            <rFont val="Arial"/>
            <family val="2"/>
          </rPr>
          <t>Total ‘Primary surgical cases’ basic data may differ from the total number of surgeries per surgeon.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Roxana Rentea</author>
    <author>OnkoZert</author>
    <author>Florina</author>
    <author>OnkoZert - Florina Dudu</author>
  </authors>
  <commentList>
    <comment ref="C4" authorId="0" shapeId="0" xr:uid="{96AAFAB1-D345-4FA7-BE63-237ED11719A8}">
      <text>
        <r>
          <rPr>
            <sz val="9"/>
            <color indexed="81"/>
            <rFont val="Arial"/>
            <family val="2"/>
          </rPr>
          <t>Carry over from spreadsheet Basic Data</t>
        </r>
        <r>
          <rPr>
            <sz val="9"/>
            <color indexed="81"/>
            <rFont val="Tahoma"/>
            <family val="2"/>
          </rPr>
          <t xml:space="preserve">
</t>
        </r>
      </text>
    </comment>
    <comment ref="F4" authorId="1" shapeId="0" xr:uid="{B1617F7E-1152-4B75-BB6F-4275697859C4}">
      <text>
        <r>
          <rPr>
            <sz val="9"/>
            <color indexed="81"/>
            <rFont val="Arial"/>
            <family val="2"/>
          </rPr>
          <t>Carry over from spreadsheet Basic Data</t>
        </r>
      </text>
    </comment>
    <comment ref="A6" authorId="1" shapeId="0" xr:uid="{00000000-0006-0000-0400-000004000000}">
      <text>
        <r>
          <rPr>
            <sz val="9"/>
            <color indexed="81"/>
            <rFont val="Arial"/>
            <family val="2"/>
          </rPr>
          <t>IN = Indicator</t>
        </r>
      </text>
    </comment>
    <comment ref="B6" authorId="1" shapeId="0" xr:uid="{00000000-0006-0000-0400-000005000000}">
      <text>
        <r>
          <rPr>
            <sz val="9"/>
            <color indexed="81"/>
            <rFont val="Arial"/>
            <family val="2"/>
          </rPr>
          <t>CR = Catalogue of Requirements
GL QI = guideline derived quality indicator</t>
        </r>
      </text>
    </comment>
    <comment ref="C6" authorId="0" shapeId="0" xr:uid="{6A7BB941-13AC-409F-A8E1-9702F7ED048F}">
      <text>
        <r>
          <rPr>
            <sz val="9"/>
            <color indexed="81"/>
            <rFont val="Arial"/>
            <family val="2"/>
          </rPr>
          <t>For further explanations see FAQ.</t>
        </r>
      </text>
    </comment>
    <comment ref="N6" authorId="1" shapeId="0" xr:uid="{00000000-0006-0000-0400-000006000000}">
      <text>
        <r>
          <rPr>
            <sz val="9"/>
            <color indexed="81"/>
            <rFont val="Arial"/>
            <family val="2"/>
          </rPr>
          <t>Please fill out the denominator before the numerator.
Please first fully complete the spreadsheet Basic Data and then fill in the fields current values.</t>
        </r>
      </text>
    </comment>
    <comment ref="Q7" authorId="1" shapeId="0" xr:uid="{00000000-0006-0000-0400-000007000000}">
      <text>
        <r>
          <rPr>
            <sz val="9"/>
            <color indexed="81"/>
            <rFont val="Arial"/>
            <family val="2"/>
          </rPr>
          <t xml:space="preserve">When data field is grey, please provide explanation for the obtained results (for this IN) </t>
        </r>
      </text>
    </comment>
    <comment ref="O15" authorId="2" shapeId="0" xr:uid="{00000000-0006-0000-0400-000008000000}">
      <text>
        <r>
          <rPr>
            <sz val="9"/>
            <color indexed="81"/>
            <rFont val="Arial"/>
            <family val="2"/>
          </rPr>
          <t>Carry over from IN 1</t>
        </r>
      </text>
    </comment>
    <comment ref="O18" authorId="1" shapeId="0" xr:uid="{00000000-0006-0000-0400-000009000000}">
      <text>
        <r>
          <rPr>
            <sz val="9"/>
            <color indexed="81"/>
            <rFont val="Arial"/>
            <family val="2"/>
          </rPr>
          <t>Carry over from spreadsheet Basic Data surgical and endoscopically primary cases cell B28 to E28</t>
        </r>
      </text>
    </comment>
    <comment ref="C20" authorId="3" shapeId="0" xr:uid="{00000000-0006-0000-0400-00000A000000}">
      <text>
        <r>
          <rPr>
            <sz val="9"/>
            <color indexed="81"/>
            <rFont val="Arial"/>
            <family val="2"/>
          </rPr>
          <t>Screening instruments can be found in the S3 guideline Psychooncological Diagnosis, Counselling and Treatment of Adult Cancer Patients.</t>
        </r>
      </text>
    </comment>
    <comment ref="F20" authorId="3" shapeId="0" xr:uid="{00000000-0006-0000-0400-00000B000000}">
      <text>
        <r>
          <rPr>
            <sz val="9"/>
            <color indexed="81"/>
            <rFont val="Arial"/>
            <family val="2"/>
          </rPr>
          <t>Distress screening includes the use of a valid distress instrument (analogous to the S3 guideline Psychooncological Diagnosis, Counselling and Treatment of Adult Cancer Patients).</t>
        </r>
      </text>
    </comment>
    <comment ref="O21" authorId="1" shapeId="0" xr:uid="{00000000-0006-0000-0400-00000C000000}">
      <text>
        <r>
          <rPr>
            <sz val="9"/>
            <color indexed="81"/>
            <rFont val="Arial"/>
            <family val="2"/>
          </rPr>
          <t>Carry over from spreadsheet Basic Data total primary cases cell H28 + Indicator 1</t>
        </r>
      </text>
    </comment>
    <comment ref="O24" authorId="1" shapeId="0" xr:uid="{00000000-0006-0000-0400-00000D000000}">
      <text>
        <r>
          <rPr>
            <sz val="9"/>
            <color indexed="81"/>
            <rFont val="Arial"/>
            <family val="2"/>
          </rPr>
          <t>Carry over from spreadsheet Basic Data toal primary cases cell H28 + Indicator 1</t>
        </r>
      </text>
    </comment>
    <comment ref="O26" authorId="1" shapeId="0" xr:uid="{00000000-0006-0000-0400-00000E000000}">
      <text>
        <r>
          <rPr>
            <sz val="9"/>
            <color indexed="81"/>
            <rFont val="Arial"/>
            <family val="2"/>
          </rPr>
          <t>Numerator is not part of the denominator.
Carry over from spreadsheet Studies cell E5</t>
        </r>
      </text>
    </comment>
    <comment ref="O27" authorId="1" shapeId="0" xr:uid="{00000000-0006-0000-0400-00000F000000}">
      <text>
        <r>
          <rPr>
            <sz val="9"/>
            <color indexed="81"/>
            <rFont val="Arial"/>
            <family val="2"/>
          </rPr>
          <t>Carry over from spreadsheet Basic Data total primary cases cell H28</t>
        </r>
      </text>
    </comment>
    <comment ref="O30" authorId="1" shapeId="0" xr:uid="{00000000-0006-0000-0400-000010000000}">
      <text>
        <r>
          <rPr>
            <sz val="9"/>
            <color indexed="81"/>
            <rFont val="Arial"/>
            <family val="2"/>
          </rPr>
          <t>Carry over from spreadsheet Basic Data total primary cases cell H28</t>
        </r>
      </text>
    </comment>
    <comment ref="O42" authorId="1" shapeId="0" xr:uid="{00000000-0006-0000-0400-000011000000}">
      <text>
        <r>
          <rPr>
            <sz val="9"/>
            <color indexed="81"/>
            <rFont val="Arial"/>
            <family val="2"/>
          </rPr>
          <t>A therapeutic coloscopy includes the resection of polyps. A therapeutic coloscopy can but does not have to be part of the total number of coloscopies, if the whole colon was examined.
 A bleeding which occures during a polypectomy and was contained in the same session does not count as complication.</t>
        </r>
      </text>
    </comment>
    <comment ref="O45" authorId="1" shapeId="0" xr:uid="{00000000-0006-0000-0400-000012000000}">
      <text>
        <r>
          <rPr>
            <sz val="9"/>
            <color indexed="81"/>
            <rFont val="Arial"/>
            <family val="2"/>
          </rPr>
          <t>Without emergencies</t>
        </r>
      </text>
    </comment>
    <comment ref="O47" authorId="1" shapeId="0" xr:uid="{00000000-0006-0000-0400-000013000000}">
      <text>
        <r>
          <rPr>
            <sz val="9"/>
            <color indexed="81"/>
            <rFont val="Arial"/>
            <family val="2"/>
          </rPr>
          <t>Carry over from spreadsheet Basic Data surgical primary cases colon cell B29 and D29</t>
        </r>
      </text>
    </comment>
    <comment ref="O50" authorId="1" shapeId="0" xr:uid="{00000000-0006-0000-0400-000014000000}">
      <text>
        <r>
          <rPr>
            <sz val="9"/>
            <color indexed="81"/>
            <rFont val="Arial"/>
            <family val="2"/>
          </rPr>
          <t>Carry over from spreadsheet Basic Data surgical primary cases rectum cell B30 to D30</t>
        </r>
      </text>
    </comment>
    <comment ref="O54" authorId="1" shapeId="0" xr:uid="{00000000-0006-0000-0400-000015000000}">
      <text>
        <r>
          <rPr>
            <sz val="9"/>
            <color indexed="81"/>
            <rFont val="Arial"/>
            <family val="2"/>
          </rPr>
          <t>Carry over from spreadsheet Basic Data elective colon-procedure cell B29</t>
        </r>
      </text>
    </comment>
    <comment ref="O57" authorId="1" shapeId="0" xr:uid="{00000000-0006-0000-0400-000016000000}">
      <text>
        <r>
          <rPr>
            <sz val="9"/>
            <color indexed="81"/>
            <rFont val="Arial"/>
            <family val="2"/>
          </rPr>
          <t>Carry over from spreadsheet Basic Data elective rectum-procedures cell B30</t>
        </r>
      </text>
    </comment>
    <comment ref="O66" authorId="1" shapeId="0" xr:uid="{00000000-0006-0000-0400-000017000000}">
      <text>
        <r>
          <rPr>
            <sz val="9"/>
            <color indexed="81"/>
            <rFont val="Arial"/>
            <family val="2"/>
          </rPr>
          <t>Carry over from spreadsheet Basic Data elective surgical patients B28</t>
        </r>
      </text>
    </comment>
    <comment ref="O69" authorId="1" shapeId="0" xr:uid="{00000000-0006-0000-0400-000018000000}">
      <text>
        <r>
          <rPr>
            <sz val="9"/>
            <color indexed="81"/>
            <rFont val="Arial"/>
            <family val="2"/>
          </rPr>
          <t>Carry over from spreadsheet Basic Data elective surgical rectum-procedures cell B30</t>
        </r>
      </text>
    </comment>
    <comment ref="O71" authorId="1" shapeId="0" xr:uid="{00000000-0006-0000-0400-000019000000}">
      <text>
        <r>
          <rPr>
            <sz val="9"/>
            <color indexed="81"/>
            <rFont val="Arial"/>
            <family val="2"/>
          </rPr>
          <t>Predictable stoma position</t>
        </r>
      </text>
    </comment>
    <comment ref="O80" authorId="1" shapeId="0" xr:uid="{00000000-0006-0000-0400-00001A000000}">
      <text>
        <r>
          <rPr>
            <sz val="9"/>
            <color indexed="81"/>
            <rFont val="Arial"/>
            <family val="2"/>
          </rPr>
          <t>Carry over from numerator IN 22a minus Number IN 22b</t>
        </r>
      </text>
    </comment>
    <comment ref="O99" authorId="1" shapeId="0" xr:uid="{00000000-0006-0000-0400-00001B000000}">
      <text>
        <r>
          <rPr>
            <sz val="9"/>
            <color indexed="81"/>
            <rFont val="Arial"/>
            <family val="2"/>
          </rPr>
          <t>Carry over from numerator IN 23</t>
        </r>
      </text>
    </comment>
    <comment ref="O102" authorId="2" shapeId="0" xr:uid="{00000000-0006-0000-0400-00001C000000}">
      <text>
        <r>
          <rPr>
            <sz val="9"/>
            <color indexed="81"/>
            <rFont val="Arial"/>
            <family val="2"/>
          </rPr>
          <t>Carry over from spreadsheet Basic Data elective surgical patients B28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800-000001000000}">
      <text>
        <r>
          <rPr>
            <sz val="9"/>
            <color indexed="81"/>
            <rFont val="Arial"/>
            <family val="2"/>
          </rPr>
          <t>Übertrag erfolgt aus 
Tabellenblatt Basisdaten</t>
        </r>
      </text>
    </comment>
    <comment ref="C8" authorId="0" shapeId="0" xr:uid="{00000000-0006-0000-0800-000002000000}">
      <text>
        <r>
          <rPr>
            <sz val="9"/>
            <color indexed="81"/>
            <rFont val="Arial"/>
            <family val="2"/>
          </rPr>
          <t>Übertrag erfolgt aus Tabellenblatt Basisdaten</t>
        </r>
      </text>
    </comment>
    <comment ref="J8" authorId="0" shapeId="0" xr:uid="{00000000-0006-0000-08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F6" authorId="0" shapeId="0" xr:uid="{00000000-0006-0000-0B00-000001000000}">
      <text>
        <r>
          <rPr>
            <sz val="9"/>
            <color indexed="81"/>
            <rFont val="Arial"/>
            <family val="2"/>
          </rPr>
          <t>Übertrag erfolgt aus Tabellenblatt Basisdaten</t>
        </r>
      </text>
    </comment>
    <comment ref="F8" authorId="0" shapeId="0" xr:uid="{00000000-0006-0000-0B00-000002000000}">
      <text>
        <r>
          <rPr>
            <sz val="9"/>
            <color indexed="81"/>
            <rFont val="Arial"/>
            <family val="2"/>
          </rPr>
          <t xml:space="preserve">Übertrag erfolgt aus Tabellenblatt Basisdaten
</t>
        </r>
      </text>
    </comment>
    <comment ref="T8" authorId="0" shapeId="0" xr:uid="{00000000-0006-0000-0B00-000003000000}">
      <text>
        <r>
          <rPr>
            <sz val="9"/>
            <color indexed="81"/>
            <rFont val="Arial"/>
            <family val="2"/>
          </rPr>
          <t>Übertrag erfolgt aus Tabellenblatt Basisdaten</t>
        </r>
      </text>
    </comment>
    <comment ref="M30" authorId="0" shapeId="0" xr:uid="{00000000-0006-0000-0B00-000004000000}">
      <text>
        <r>
          <rPr>
            <b/>
            <sz val="9"/>
            <color indexed="81"/>
            <rFont val="Arial"/>
            <family val="2"/>
          </rPr>
          <t>Ø</t>
        </r>
        <r>
          <rPr>
            <b/>
            <sz val="9.5500000000000007"/>
            <color indexed="81"/>
            <rFont val="Arial"/>
            <family val="2"/>
          </rPr>
          <t xml:space="preserve"> </t>
        </r>
        <r>
          <rPr>
            <b/>
            <sz val="9"/>
            <color indexed="81"/>
            <rFont val="Arial"/>
            <family val="2"/>
          </rPr>
          <t>Follow-Up Quote der letzten 2-4 Jahre (Antrag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E00-000001000000}">
      <text>
        <r>
          <rPr>
            <sz val="9"/>
            <color indexed="81"/>
            <rFont val="Arial"/>
            <family val="2"/>
          </rPr>
          <t>Übertrag erfolgt aus Tabellenblatt Basisdaten</t>
        </r>
      </text>
    </comment>
    <comment ref="C8" authorId="0" shapeId="0" xr:uid="{00000000-0006-0000-0E00-000002000000}">
      <text>
        <r>
          <rPr>
            <sz val="9"/>
            <color indexed="81"/>
            <rFont val="Arial"/>
            <family val="2"/>
          </rPr>
          <t>Übertrag erfolgt aus Tabellenblatt Basisdaten</t>
        </r>
      </text>
    </comment>
    <comment ref="F8" authorId="0" shapeId="0" xr:uid="{00000000-0006-0000-0E00-000003000000}">
      <text>
        <r>
          <rPr>
            <sz val="9"/>
            <color indexed="81"/>
            <rFont val="Arial"/>
            <family val="2"/>
          </rPr>
          <t>Übertrag erfolgt aus Tabellenblatt Basisdaten</t>
        </r>
      </text>
    </comment>
    <comment ref="B17" authorId="0" shapeId="0" xr:uid="{00000000-0006-0000-0E00-000004000000}">
      <text>
        <r>
          <rPr>
            <sz val="9"/>
            <color indexed="81"/>
            <rFont val="Arial"/>
            <family val="2"/>
          </rPr>
          <t>Weitere Erläuterungen siehe Tabellenblatt "Matrix - Tabelle Plausibilitätsabfragen"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F6" authorId="0" shapeId="0" xr:uid="{00000000-0006-0000-0F00-000001000000}">
      <text>
        <r>
          <rPr>
            <sz val="9"/>
            <color indexed="81"/>
            <rFont val="Arial"/>
            <family val="2"/>
          </rPr>
          <t>Übertrag erfolgt aus Tabellenblatt Basisdaten</t>
        </r>
      </text>
    </comment>
    <comment ref="F8" authorId="0" shapeId="0" xr:uid="{00000000-0006-0000-0F00-000002000000}">
      <text>
        <r>
          <rPr>
            <sz val="9"/>
            <color indexed="81"/>
            <rFont val="Arial"/>
            <family val="2"/>
          </rPr>
          <t xml:space="preserve">Übertrag erfolgt aus Tabellenblatt Basisdaten
</t>
        </r>
      </text>
    </comment>
    <comment ref="T8" authorId="0" shapeId="0" xr:uid="{00000000-0006-0000-0F00-000003000000}">
      <text>
        <r>
          <rPr>
            <sz val="9"/>
            <color indexed="81"/>
            <rFont val="Arial"/>
            <family val="2"/>
          </rPr>
          <t>Übertrag erfolgt aus Tabellenblatt Basisdaten</t>
        </r>
      </text>
    </comment>
    <comment ref="M30" authorId="0" shapeId="0" xr:uid="{00000000-0006-0000-0F00-000004000000}">
      <text>
        <r>
          <rPr>
            <b/>
            <sz val="9"/>
            <color indexed="81"/>
            <rFont val="Arial"/>
            <family val="2"/>
          </rPr>
          <t>Ø</t>
        </r>
        <r>
          <rPr>
            <b/>
            <sz val="9.5500000000000007"/>
            <color indexed="81"/>
            <rFont val="Arial"/>
            <family val="2"/>
          </rPr>
          <t xml:space="preserve"> </t>
        </r>
        <r>
          <rPr>
            <b/>
            <sz val="9"/>
            <color indexed="81"/>
            <rFont val="Arial"/>
            <family val="2"/>
          </rPr>
          <t>Follow-Up Quote der letzten 2-4 Jahre (Antrag REDZYK mind. 80,0%)</t>
        </r>
      </text>
    </comment>
  </commentList>
</comments>
</file>

<file path=xl/sharedStrings.xml><?xml version="1.0" encoding="utf-8"?>
<sst xmlns="http://schemas.openxmlformats.org/spreadsheetml/2006/main" count="1654" uniqueCount="917">
  <si>
    <t>Tumordokumentation</t>
  </si>
  <si>
    <t>Österreich</t>
  </si>
  <si>
    <t>CREDOS</t>
  </si>
  <si>
    <t>GTDS</t>
  </si>
  <si>
    <t>KIS-Erweiterung</t>
  </si>
  <si>
    <t>KoReDos</t>
  </si>
  <si>
    <t>KRAZTUR</t>
  </si>
  <si>
    <t>Onkomedia</t>
  </si>
  <si>
    <t>Auffällig niedrige Quote tumorfreier Patienten</t>
  </si>
  <si>
    <t xml:space="preserve">
</t>
  </si>
  <si>
    <t xml:space="preserve">
</t>
  </si>
  <si>
    <t>P &lt; 60%</t>
  </si>
  <si>
    <t>Keine Anbindung an Klinisches Krebsregister</t>
  </si>
  <si>
    <t>Nicht gelistet</t>
  </si>
  <si>
    <t>Unbekannt</t>
  </si>
  <si>
    <t>Tumorbedingt gestorben (bezüglich jeder Tumorentität)</t>
  </si>
  <si>
    <t>Y25</t>
  </si>
  <si>
    <t>Z25</t>
  </si>
  <si>
    <t>Patienten tumorfrei</t>
  </si>
  <si>
    <t>O &lt; 0</t>
  </si>
  <si>
    <t>Werte Spalte O "Pat. tumorfrei" dürfen keine negativen Werte annehmen</t>
  </si>
  <si>
    <t>-----</t>
  </si>
  <si>
    <t>Relative Quote tumorfrei 
= O / (J + K)</t>
  </si>
  <si>
    <t>Die einzelnen Werte in den Spalten R, S und T dürfen den Wert in Spalte Q nicht übersteigen</t>
  </si>
  <si>
    <t>Geringe Follow-Up Quote der Nachsorgejahre</t>
  </si>
  <si>
    <t>geringe Follow-Up Quote der Nachsorgejahre</t>
  </si>
  <si>
    <t>Eingabe kann nicht größer sein als Ereignisse Spalte Q</t>
  </si>
  <si>
    <t>Anzahl Pat. Im Follow-Up zu hoch</t>
  </si>
  <si>
    <t>Ganze Zahl zwischen 0 und 5000 eingeben</t>
  </si>
  <si>
    <t>relevante Nachsorgejahre nicht/unvollständig bearbeitet</t>
  </si>
  <si>
    <t>Zahlen in Spalte O dürfen keine negativen Werte annehmen</t>
  </si>
  <si>
    <t>nicht geprüft</t>
  </si>
  <si>
    <t>M &lt; 70%</t>
  </si>
  <si>
    <t>Nicht ausgefüllte Zellen von relevanten Nachsorgejahren</t>
  </si>
  <si>
    <t>Alle relevanten Nachsorgejahre sind zu bearbeiten, abhängig vom Datum der Erstzertifizierung</t>
  </si>
  <si>
    <t>Y23</t>
  </si>
  <si>
    <t>Y24</t>
  </si>
  <si>
    <t>Z23</t>
  </si>
  <si>
    <t>Z24</t>
  </si>
  <si>
    <t>geringe Follow-Up Quote</t>
  </si>
  <si>
    <t>durchschnittliche Follow-Up Quote &lt; 80%</t>
  </si>
  <si>
    <t>durchschnittliche Follow-Up Quote &gt; 99%</t>
  </si>
  <si>
    <t>„Hellgrün“ hinterlegte Felder weisen auf Unplausibilitäten hin. Diese Werte sind zu analysieren und das Ergebnis ist auf dem Folgeblatt „Datendefizite_Matrix-Rektum“ darzulegen.</t>
  </si>
  <si>
    <t>Von Seiten des Fachexperten können weitere Unplausibilitäten bzw. Inkorrektheiten identifiziert und im Rahmen des Auditergebnisses dargestellt werden.</t>
  </si>
  <si>
    <t>„Hellgrün“ hinterlegte Felder weisen auf Unplausibilitäten hin. Diese Werte sind zu analysieren und das Ergebnis ist auf dem Folgeblatt „Datendefizite_Matrix-Kolon“ darzulegen.</t>
  </si>
  <si>
    <t>Nicht tumorbedingt gestorben bzw. Todesursache unbekannt</t>
  </si>
  <si>
    <t>Q &lt; Max(R bis T)</t>
  </si>
  <si>
    <t>Summe Spalten Q+U+V+W (Patienten mit Ereignisse) darf nicht größer als Summe Spalten J+K (Patientenrückmeldungen) sein.</t>
  </si>
  <si>
    <t>Nur Prozentwerte zwischen 0% und 100% können verwendet werden</t>
  </si>
  <si>
    <t>Spalte / Zelle</t>
  </si>
  <si>
    <t>Erläuterung hinsichtlich Datendefizit
Begründung / Ursachenanalyse / Aktionen</t>
  </si>
  <si>
    <t>x &lt; 65% || x &gt; 95%</t>
  </si>
  <si>
    <t>x &lt; 60% || x &gt; 90%</t>
  </si>
  <si>
    <t>x &lt; 55% || x &gt; 90%</t>
  </si>
  <si>
    <t>x &lt; 50% || x &gt; 80%</t>
  </si>
  <si>
    <t>x &lt; 45% || x &gt; 75%</t>
  </si>
  <si>
    <t>x &lt; 55% || x &gt; 85%</t>
  </si>
  <si>
    <t>x &lt; 60% || x &gt; 85%</t>
  </si>
  <si>
    <t>x &lt; 50% || x &gt; 90%</t>
  </si>
  <si>
    <t>x &lt; 60% || x &gt; 95%</t>
  </si>
  <si>
    <t>x &lt; 80% || x &gt; 99%</t>
  </si>
  <si>
    <t>x &lt; 70% || x &gt; 99%</t>
  </si>
  <si>
    <t>C &lt; 16</t>
  </si>
  <si>
    <t>Pflicht Berechnung</t>
  </si>
  <si>
    <t>Optional Berechnung</t>
  </si>
  <si>
    <t>Kennzahlenbogen</t>
  </si>
  <si>
    <t>Nr.</t>
  </si>
  <si>
    <t>kein Eintrag</t>
  </si>
  <si>
    <t xml:space="preserve"> &lt;= Sollv. nicht erfüllt</t>
  </si>
  <si>
    <t xml:space="preserve"> &gt;= Sollv. nicht erfüllt</t>
  </si>
  <si>
    <t xml:space="preserve"> &lt; Plausi ?</t>
  </si>
  <si>
    <t xml:space="preserve"> &gt; Plausi ?</t>
  </si>
  <si>
    <t>Anzahl/Quote</t>
  </si>
  <si>
    <t>HID</t>
  </si>
  <si>
    <t>ID</t>
  </si>
  <si>
    <t>Aktion</t>
  </si>
  <si>
    <t>n.d.</t>
  </si>
  <si>
    <t>Nenner</t>
  </si>
  <si>
    <t>Kennzahldefinition</t>
  </si>
  <si>
    <t>%</t>
  </si>
  <si>
    <t>≥ 90%</t>
  </si>
  <si>
    <t xml:space="preserve">≥ 95% </t>
  </si>
  <si>
    <t>Nr</t>
  </si>
  <si>
    <t>Zaehler</t>
  </si>
  <si>
    <t>Quote</t>
  </si>
  <si>
    <t>vID</t>
  </si>
  <si>
    <t>ErlaeuterungDatendefizit</t>
  </si>
  <si>
    <t>EingeleiteteAktionen</t>
  </si>
  <si>
    <t>Aktionen</t>
  </si>
  <si>
    <t>Zähler / Anzahl</t>
  </si>
  <si>
    <t>≥ 95%</t>
  </si>
  <si>
    <t>≤ 1%</t>
  </si>
  <si>
    <t>≥ 70%</t>
  </si>
  <si>
    <t>≤ 15%</t>
  </si>
  <si>
    <t>≤ 6%</t>
  </si>
  <si>
    <t>≥ 30</t>
  </si>
  <si>
    <t>≥ 20</t>
  </si>
  <si>
    <t>≤ 5%</t>
  </si>
  <si>
    <t>Kennzahlenbogen - Analyseprotokoll Datendefizite Darm</t>
  </si>
  <si>
    <t>Begründung / Ursache</t>
  </si>
  <si>
    <t>Eingeleitete / geplante Aktionen</t>
  </si>
  <si>
    <t>Ansprechpartner</t>
  </si>
  <si>
    <t>c37.CancerCenter</t>
  </si>
  <si>
    <t>Kolorekt</t>
  </si>
  <si>
    <t>Tudok (Tumorzentrum Regensburg)</t>
  </si>
  <si>
    <t>Tumorzentrum Ostsachsen</t>
  </si>
  <si>
    <t>Tumorzentrum Weser-Ems</t>
  </si>
  <si>
    <t>Plausi unklar</t>
  </si>
  <si>
    <t>ID: a</t>
  </si>
  <si>
    <t>ID: b</t>
  </si>
  <si>
    <t>ID: c</t>
  </si>
  <si>
    <t>Sollvorgabe nicht erfüllt; durchschnittliche Follow-Up Quote &lt; 80%; ID: e</t>
  </si>
  <si>
    <t>ID: d</t>
  </si>
  <si>
    <t>ID: f</t>
  </si>
  <si>
    <t>Plausibilität unklar; durchschnittliche Follow-Up Quote &gt; 99%; ID: g</t>
  </si>
  <si>
    <t>ID: h</t>
  </si>
  <si>
    <t>ID: i</t>
  </si>
  <si>
    <t>ID: j</t>
  </si>
  <si>
    <t>ID: k</t>
  </si>
  <si>
    <t>ID_intern</t>
  </si>
  <si>
    <t>Erläuterung hinsichtlich Datendefizit</t>
  </si>
  <si>
    <t>Datenverifizierung_ID</t>
  </si>
  <si>
    <t>Allgemeine Feststellungen</t>
  </si>
  <si>
    <t>Allgemeine Hinweise</t>
  </si>
  <si>
    <t>Allgemeine Abweichungen</t>
  </si>
  <si>
    <t>Bewertung Ausschuss</t>
  </si>
  <si>
    <t>Anmerkung OnkoZert</t>
  </si>
  <si>
    <t>Feststellung</t>
  </si>
  <si>
    <t>Hinweis</t>
  </si>
  <si>
    <t>Abweichung</t>
  </si>
  <si>
    <t xml:space="preserve">Jahr </t>
  </si>
  <si>
    <t>Jahr</t>
  </si>
  <si>
    <t xml:space="preserve">2013, </t>
  </si>
  <si>
    <t>Alle KN leer:</t>
  </si>
  <si>
    <t>Für Übertragung in Datendefizite_KB:</t>
  </si>
  <si>
    <t>KN NR.</t>
  </si>
  <si>
    <t>&lt; 20%</t>
  </si>
  <si>
    <t>&lt; 0,01%</t>
  </si>
  <si>
    <t>QuaDoSta</t>
  </si>
  <si>
    <t>OncoBox</t>
  </si>
  <si>
    <t xml:space="preserve">Datenqualität
</t>
  </si>
  <si>
    <t>Texte i.O.</t>
  </si>
  <si>
    <t>Texte Matrix Datenquali</t>
  </si>
  <si>
    <t>Fehlermeldungen Matrix</t>
  </si>
  <si>
    <t>nicht relevant</t>
  </si>
  <si>
    <t>Bei den „hellrot“ hinterlegten Feldern liegt eine Falscheingabe vor, diese ist zu korrigieren.</t>
  </si>
  <si>
    <t>B</t>
  </si>
  <si>
    <t>Zahlen müssen manuell eingegeben werden, diese dürfen nicht kopiert werden.</t>
  </si>
  <si>
    <t>Bedingung Wert</t>
  </si>
  <si>
    <t>leere Zellen</t>
  </si>
  <si>
    <t>OAS nach Kaplan-Meier    
(Overall Survival) in %</t>
  </si>
  <si>
    <t>die inkorrekten und unvollständigen Einträge beheben</t>
  </si>
  <si>
    <t>Zellen müssen nicht ausgefüllt werden</t>
  </si>
  <si>
    <t>Sollvorgabe</t>
  </si>
  <si>
    <t>Sollvorgabe nicht erfüllt</t>
  </si>
  <si>
    <t>C</t>
  </si>
  <si>
    <t>D</t>
  </si>
  <si>
    <t>E</t>
  </si>
  <si>
    <t>F</t>
  </si>
  <si>
    <t>G</t>
  </si>
  <si>
    <t>I</t>
  </si>
  <si>
    <t>O</t>
  </si>
  <si>
    <t>P</t>
  </si>
  <si>
    <t>Q</t>
  </si>
  <si>
    <t>T</t>
  </si>
  <si>
    <t>U</t>
  </si>
  <si>
    <t>V</t>
  </si>
  <si>
    <t>W</t>
  </si>
  <si>
    <t>Y</t>
  </si>
  <si>
    <t>Z</t>
  </si>
  <si>
    <t>Diagnose Zweitmalignom im Verlauf</t>
  </si>
  <si>
    <t>DFS nach Kaplan-Meier
(Disease Free Survival) in %</t>
  </si>
  <si>
    <t>Mehrfachnennung möglich</t>
  </si>
  <si>
    <t>Reg.-Nr.</t>
  </si>
  <si>
    <t>Bundesland</t>
  </si>
  <si>
    <t>Thüringen</t>
  </si>
  <si>
    <t>Tumorzentrum Erfurt</t>
  </si>
  <si>
    <t>Tumordokumentationssystem</t>
  </si>
  <si>
    <t>Comprehensive Cancer Center Freiburg</t>
  </si>
  <si>
    <t>Comprehensive Cancer Center Münster</t>
  </si>
  <si>
    <t>Comprehensive Cancer Center Tübingen</t>
  </si>
  <si>
    <t>Comprehensive Cancer Center Ulm</t>
  </si>
  <si>
    <t>Kassenärztliche Vereinigung Niedersachsen</t>
  </si>
  <si>
    <t>NCT Heidelberg</t>
  </si>
  <si>
    <t>Onkol. Schwerpunkt Lörrach-Rheinfelden</t>
  </si>
  <si>
    <t>Onkol. Schwerpunkt Ludwigsburg-Bietigheim</t>
  </si>
  <si>
    <t>Onkol. Schwerpunkt Villingen-Schwenningen</t>
  </si>
  <si>
    <t>Onkologischer Schwerpunkt Göppingen</t>
  </si>
  <si>
    <t>Onkologischer Schwerpunkt Hamm</t>
  </si>
  <si>
    <t>Onkologischer Schwerpunkt Heilbronn</t>
  </si>
  <si>
    <t>Onkologischer Schwerpunkt Karlsruhe</t>
  </si>
  <si>
    <t>Onkologischer Schwerpunkt Konstanz-Singen</t>
  </si>
  <si>
    <t>Onkologischer Schwerpunkt Oberschwaben</t>
  </si>
  <si>
    <t>Onkologischer Schwerpunkt Ortenaukreis</t>
  </si>
  <si>
    <t>Onkologischer Schwerpunkt Ostwürttemberg</t>
  </si>
  <si>
    <t>Onkologischer Schwerpunkt Reutlingen</t>
  </si>
  <si>
    <t>Onkologischer Schwerpunkt Stuttgart</t>
  </si>
  <si>
    <t>Onkologischer Schwerpunkt Wiesbaden</t>
  </si>
  <si>
    <t>Tumorzentrum Anhalt</t>
  </si>
  <si>
    <t>Tumorzentrum Augsburg</t>
  </si>
  <si>
    <t>Tumorzentrum Erlangen-Nürnberg</t>
  </si>
  <si>
    <t>Tumorzentrum Gera</t>
  </si>
  <si>
    <t>Tumorzentrum Göttingen</t>
  </si>
  <si>
    <t>Tumorzentrum Halle</t>
  </si>
  <si>
    <t>Tumorzentrum Hannover</t>
  </si>
  <si>
    <t>Tumorzentrum Homburg</t>
  </si>
  <si>
    <t>Tumorzentrum Jena</t>
  </si>
  <si>
    <t>Tumorzentrum Kassel</t>
  </si>
  <si>
    <t>Tumorzentrum Kiel</t>
  </si>
  <si>
    <t>Tumorzentrum Koblenz</t>
  </si>
  <si>
    <t>Tumorzentrum Leipzig</t>
  </si>
  <si>
    <t>Tumorzentrum Magdeburg</t>
  </si>
  <si>
    <t>Tumorzentrum Marburg</t>
  </si>
  <si>
    <t>Tumorzentrum München</t>
  </si>
  <si>
    <t>Tumorzentrum Regensburg</t>
  </si>
  <si>
    <t>Tumorzentrum Rheinland-Pfalz</t>
  </si>
  <si>
    <t>Tumorzentrum Rostock</t>
  </si>
  <si>
    <t>Tumorzentrum Schwerin</t>
  </si>
  <si>
    <t>Tumorzentrum Südharz</t>
  </si>
  <si>
    <t>Tumorzentrum Suhl</t>
  </si>
  <si>
    <t>Tumorzentrum Würzburg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</si>
  <si>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</si>
  <si>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</si>
  <si>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</si>
  <si>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</si>
  <si>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</si>
  <si>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</si>
  <si>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</si>
  <si>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</si>
  <si>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</si>
  <si>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</si>
  <si>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</si>
  <si>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</si>
  <si>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</si>
  <si>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</si>
  <si>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</si>
  <si>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</si>
  <si>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</si>
  <si>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</si>
  <si>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</si>
  <si>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</si>
  <si>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FormularID</t>
  </si>
  <si>
    <t>R</t>
  </si>
  <si>
    <t>% Angabe</t>
  </si>
  <si>
    <t>GKR (Gemeinsames Krebsregister der Länder)</t>
  </si>
  <si>
    <t>Epidemiologisches Krebsregister Baden-Württemberg</t>
  </si>
  <si>
    <t>Krebsregister Baden-Württemberg</t>
  </si>
  <si>
    <t>Bevölkerungsbezogenes Krebsregister Bayern</t>
  </si>
  <si>
    <t>Tumorzentrum Oberfranken</t>
  </si>
  <si>
    <t>Charité Comprehensive Cancer Center</t>
  </si>
  <si>
    <t>Tumorzentrum Berlin-Buch</t>
  </si>
  <si>
    <t>Tumorzentrum für Klinik &amp; Praxis in Berlin</t>
  </si>
  <si>
    <t>Tumorzentrum Spandau</t>
  </si>
  <si>
    <t>Tumorzentrum Vivantes</t>
  </si>
  <si>
    <t>Gemeinsames Krebsregister Berlin-Brandenburg</t>
  </si>
  <si>
    <t>Tumorzentrum Land Brandenburg</t>
  </si>
  <si>
    <t>Krebsregister des Landes Bremen</t>
  </si>
  <si>
    <t>Hamburgisches Krebsregister</t>
  </si>
  <si>
    <t>Hessisches Krebsregister</t>
  </si>
  <si>
    <t>Krebsregister Hessen</t>
  </si>
  <si>
    <t>Tumorzentrum Neubrandenburg</t>
  </si>
  <si>
    <t>Tumorzentrum Vorpommern</t>
  </si>
  <si>
    <t>Epidemiologisches Krebsregister Niedersachsen</t>
  </si>
  <si>
    <t>Krebsregister Niedersachsen</t>
  </si>
  <si>
    <t>Westdeutsches Tumorzentrum Essen</t>
  </si>
  <si>
    <t xml:space="preserve">Epidemiologisches Krebsregister Münster </t>
  </si>
  <si>
    <t>Epidemiologisches Krebsregister NRW</t>
  </si>
  <si>
    <t>Krebsregister NRW</t>
  </si>
  <si>
    <t>Krebsregister Rheinland-Pfalz</t>
  </si>
  <si>
    <t>Epidemiologisches Krebsregister Saarland</t>
  </si>
  <si>
    <t>Tumorzentrum Chemnitz</t>
  </si>
  <si>
    <t>Tumorzentrum Dresden</t>
  </si>
  <si>
    <t>Tumorzentrum Zwickau</t>
  </si>
  <si>
    <t>klinisches Krebsregister Schleswig Holstein/Lübeck</t>
  </si>
  <si>
    <t>Krebsregister Schleswig-Holstein</t>
  </si>
  <si>
    <t>Tumorzentrum Altenburg</t>
  </si>
  <si>
    <t>Italien</t>
  </si>
  <si>
    <t>Tabelle Plausibilitätsabfragen:</t>
  </si>
  <si>
    <t>Bearbeitungshinweise:</t>
  </si>
  <si>
    <t>Erstelldatum</t>
  </si>
  <si>
    <t>Plausibilität unklar</t>
  </si>
  <si>
    <t xml:space="preserve">Reg.-Nr. </t>
  </si>
  <si>
    <t>Erstzertifizierung</t>
  </si>
  <si>
    <t>J</t>
  </si>
  <si>
    <t>L</t>
  </si>
  <si>
    <t>Follow-Up-Meldungen</t>
  </si>
  <si>
    <t>In Ordnung</t>
  </si>
  <si>
    <t>Inkorrekt</t>
  </si>
  <si>
    <t>Unvollständig</t>
  </si>
  <si>
    <t>DFS</t>
  </si>
  <si>
    <t>inkorrekt</t>
  </si>
  <si>
    <t>Datenqualität Matrix</t>
  </si>
  <si>
    <t>&gt;</t>
  </si>
  <si>
    <t>&lt;</t>
  </si>
  <si>
    <t>Relative Quote tumorfrei</t>
  </si>
  <si>
    <t>Matrix</t>
  </si>
  <si>
    <t>Datenqualtiät</t>
  </si>
  <si>
    <t>Kalenderjahr 
(Erstdiagnose)</t>
  </si>
  <si>
    <t xml:space="preserve">nur Prozentwerte können eingegeben werden </t>
  </si>
  <si>
    <t>zu geringe Anzahl der Primärfälle</t>
  </si>
  <si>
    <t>zu viele Patientinnen im Follow-Up</t>
  </si>
  <si>
    <t xml:space="preserve">Fehler bei Ereignisse </t>
  </si>
  <si>
    <t>wenn sich Minuswerte berechnen</t>
  </si>
  <si>
    <t>untere Grenze</t>
  </si>
  <si>
    <t>obere Grenze</t>
  </si>
  <si>
    <t>Werte</t>
  </si>
  <si>
    <t>von</t>
  </si>
  <si>
    <t>ART</t>
  </si>
  <si>
    <t>plausi</t>
  </si>
  <si>
    <t>sollvorgabe</t>
  </si>
  <si>
    <t/>
  </si>
  <si>
    <t>unvollständig</t>
  </si>
  <si>
    <t>Liste zum Übertragen</t>
  </si>
  <si>
    <t>Kalenderjahr(e) 
(Erstdiagnose)</t>
  </si>
  <si>
    <t>Länge</t>
  </si>
  <si>
    <t>Ereignis</t>
  </si>
  <si>
    <t>&gt; FU</t>
  </si>
  <si>
    <t>negativ</t>
  </si>
  <si>
    <t>Anzahl P.</t>
  </si>
  <si>
    <t>&lt; FU</t>
  </si>
  <si>
    <t>rQ tumorfrei</t>
  </si>
  <si>
    <t>Datum Erstzertifizierung</t>
  </si>
  <si>
    <t>Anmerkungen:</t>
  </si>
  <si>
    <t>In dieser Excel-Vorlage sind die nachfolgend skizzierten Plausibilitätsabfragen hinterlegt.</t>
  </si>
  <si>
    <t>Ein Anspruch auf Vollständigkeit besteht nicht.</t>
  </si>
  <si>
    <t>auffällig niedrige Quote tumorfreier Patienten</t>
  </si>
  <si>
    <t>zu wenig Primärfälle angegeben</t>
  </si>
  <si>
    <t>A</t>
  </si>
  <si>
    <t>Erläuterung</t>
  </si>
  <si>
    <t>relevant</t>
  </si>
  <si>
    <t>DFS auffällig niedrig oder hoch</t>
  </si>
  <si>
    <t>OAS auffällig niedrig oder hoch</t>
  </si>
  <si>
    <t>Zentrum</t>
  </si>
  <si>
    <t>a)</t>
  </si>
  <si>
    <t>b)</t>
  </si>
  <si>
    <t>c)</t>
  </si>
  <si>
    <t>d)</t>
  </si>
  <si>
    <t>e)</t>
  </si>
  <si>
    <t>Matrix kann eingereicht werden</t>
  </si>
  <si>
    <t>Einrichtung 1</t>
  </si>
  <si>
    <t>f)</t>
  </si>
  <si>
    <t>Matrix - Ergebnisqualität Primärbehandlung (Kolonpatienten)</t>
  </si>
  <si>
    <t>Bitte beide Tabellenblätter, Kolon und Rektum, getrennt bearbeiten !!!!</t>
  </si>
  <si>
    <t>Angaben Primärdiagnose</t>
  </si>
  <si>
    <t>K</t>
  </si>
  <si>
    <t>M</t>
  </si>
  <si>
    <t>S</t>
  </si>
  <si>
    <t>Anzahl Primärpatienten</t>
  </si>
  <si>
    <t>Follow-Up Quote in %
= (J + K) / I</t>
  </si>
  <si>
    <t xml:space="preserve"> Pat. mit lokoregionärem Rezidiv</t>
  </si>
  <si>
    <t xml:space="preserve"> Pat. mit Lymphknotenrezidiv</t>
  </si>
  <si>
    <t xml:space="preserve"> Pat. mit Fernmetastasen</t>
  </si>
  <si>
    <t>Für Darmkrebszentren ist die Matrix Ergebnisqualität obligat zu bearbeiten.</t>
  </si>
  <si>
    <t>Für die Bewertung der Matrix gelten folgende Regelungen:</t>
  </si>
  <si>
    <t>Spalte C - G</t>
  </si>
  <si>
    <t>R, S, T</t>
  </si>
  <si>
    <t>C &lt; 25</t>
  </si>
  <si>
    <t>Matrix - Ergebnisqualität Primärbehandlung (Rektumpatienten)</t>
  </si>
  <si>
    <t>Matrix - Analyseprotokoll Datendefizite Kolon</t>
  </si>
  <si>
    <t>Matrix - Analyseprotokoll Datendefizite Rektum</t>
  </si>
  <si>
    <t>zu viele Pat im Follow-Up</t>
  </si>
  <si>
    <t>Werte in Spalte R,S,T dürfen den Wert Spalte Q nicht übersteigen</t>
  </si>
  <si>
    <t>Unvollständige Jahre</t>
  </si>
  <si>
    <t xml:space="preserve">Jahr der Erstdiagnose  </t>
  </si>
  <si>
    <t>Jahr der Erstdiagnose</t>
  </si>
  <si>
    <t>Werte Spalte I "Patienten im Follow-Up" müssen kleiner gleich sein als Spalte G subtrahiert von Spalte C; siehe Fußnote 3</t>
  </si>
  <si>
    <r>
      <t xml:space="preserve">    </t>
    </r>
    <r>
      <rPr>
        <sz val="8"/>
        <rFont val="Arial"/>
        <family val="2"/>
      </rPr>
      <t>Die Auswertungen der Kaplan-Meier-Kurven beziehen sich auf die entsprechende Jahreskohorte ohne die in der Fußnote 3 genannten Patientengruppen.</t>
    </r>
    <r>
      <rPr>
        <vertAlign val="superscript"/>
        <sz val="8"/>
        <rFont val="Arial"/>
        <family val="2"/>
      </rPr>
      <t xml:space="preserve"> </t>
    </r>
  </si>
  <si>
    <t>Ausnahmen sind die optional anzugebenden Felder OAS und DFS (Spalten Y und Z). Dezimaltrennzeichen ist das Komma (nicht der Punkt). Rundung erfolgt auf zwei Nachkommastellen.</t>
  </si>
  <si>
    <t>KN</t>
  </si>
  <si>
    <t>MIQ-KRCA</t>
  </si>
  <si>
    <t>ORBIS-ODOK</t>
  </si>
  <si>
    <t>ONKOSTAR</t>
  </si>
  <si>
    <t>ONDIS</t>
  </si>
  <si>
    <t>Qualitätssicherung Kolorektalkarzinom</t>
  </si>
  <si>
    <t>SMATOS</t>
  </si>
  <si>
    <t>StuDoQ</t>
  </si>
  <si>
    <t>Tumordokumentation des Instituts für Krebsepidemiologie</t>
  </si>
  <si>
    <t>≥ 5%</t>
  </si>
  <si>
    <t xml:space="preserve">2014, </t>
  </si>
  <si>
    <t>Krebsregister Schweiz</t>
  </si>
  <si>
    <t>Krebsregister Österreich</t>
  </si>
  <si>
    <t xml:space="preserve">Nachsorgejahr "relevant" (Spalte A) =&gt; Sämtliche „hellgrau“ hinterlegten Felder sollten vollständig bearbeitet werden; dies gilt auch für Nullwerte (=0).         </t>
  </si>
  <si>
    <t>Krebsregister Italien</t>
  </si>
  <si>
    <t>UCC-TDS (Tumorzentrum Dresden)</t>
  </si>
  <si>
    <t xml:space="preserve">2015, </t>
  </si>
  <si>
    <t>Follow-Up Quote der letzten 2-4 Jahre (positive Unplausibilität)</t>
  </si>
  <si>
    <t>Follow-Up Quote der letzten 2-4 Jahre</t>
  </si>
  <si>
    <t>2-4 Jahre</t>
  </si>
  <si>
    <t>geringe Follow-Up Quote der letzten 2-4 Jahre</t>
  </si>
  <si>
    <t>zu hohe Follow-Up Quote der letzten 2-4 Jahre</t>
  </si>
  <si>
    <t>&gt;10%</t>
  </si>
  <si>
    <t xml:space="preserve">2016, </t>
  </si>
  <si>
    <t xml:space="preserve">      Ø Follow-Up Quote der letzten 2-4 Jahre </t>
  </si>
  <si>
    <t>Zusammenarbeit mit KFRG-Krebsregister</t>
  </si>
  <si>
    <t>M30</t>
  </si>
  <si>
    <t>M30 &lt; 80%</t>
  </si>
  <si>
    <t>M30 &gt; 99%</t>
  </si>
  <si>
    <t>Y26</t>
  </si>
  <si>
    <t>Z26</t>
  </si>
  <si>
    <r>
      <t xml:space="preserve">UICC I  </t>
    </r>
    <r>
      <rPr>
        <vertAlign val="superscript"/>
        <sz val="8"/>
        <rFont val="Arial"/>
        <family val="2"/>
      </rPr>
      <t>1)</t>
    </r>
    <r>
      <rPr>
        <sz val="8"/>
        <rFont val="Arial"/>
        <family val="2"/>
      </rPr>
      <t xml:space="preserve"> </t>
    </r>
  </si>
  <si>
    <r>
      <t xml:space="preserve">UICC II  </t>
    </r>
    <r>
      <rPr>
        <vertAlign val="superscript"/>
        <sz val="8"/>
        <rFont val="Arial"/>
        <family val="2"/>
      </rPr>
      <t>1)</t>
    </r>
  </si>
  <si>
    <r>
      <t xml:space="preserve">UICC III  </t>
    </r>
    <r>
      <rPr>
        <vertAlign val="superscript"/>
        <sz val="8"/>
        <rFont val="Arial"/>
        <family val="2"/>
      </rPr>
      <t>1)</t>
    </r>
  </si>
  <si>
    <r>
      <t xml:space="preserve">UICC IV  </t>
    </r>
    <r>
      <rPr>
        <vertAlign val="superscript"/>
        <sz val="8"/>
        <rFont val="Arial"/>
        <family val="2"/>
      </rPr>
      <t>1)</t>
    </r>
  </si>
  <si>
    <r>
      <t xml:space="preserve">Patienten  „im Follow-Up“
(aus Grundgesamtheit Primärpat.)  </t>
    </r>
    <r>
      <rPr>
        <vertAlign val="superscript"/>
        <sz val="8"/>
        <rFont val="Arial"/>
        <family val="2"/>
      </rPr>
      <t>3)</t>
    </r>
  </si>
  <si>
    <r>
      <t xml:space="preserve">Follow-Up-Daten vom Krebsregister </t>
    </r>
    <r>
      <rPr>
        <vertAlign val="superscript"/>
        <sz val="8"/>
        <rFont val="Arial"/>
        <family val="2"/>
      </rPr>
      <t>3) 4) 5) 6)</t>
    </r>
  </si>
  <si>
    <r>
      <t xml:space="preserve">Follow-Up-Daten vom Zentrum  
(bzw. Quelle nicht bekannt) </t>
    </r>
    <r>
      <rPr>
        <vertAlign val="superscript"/>
        <sz val="8"/>
        <rFont val="Arial"/>
        <family val="2"/>
      </rPr>
      <t>3) 4)</t>
    </r>
  </si>
  <si>
    <r>
      <t xml:space="preserve">Keine Rückmeldung </t>
    </r>
    <r>
      <rPr>
        <vertAlign val="superscript"/>
        <sz val="8"/>
        <rFont val="Arial"/>
        <family val="2"/>
      </rPr>
      <t>3)</t>
    </r>
  </si>
  <si>
    <r>
      <t xml:space="preserve">Patienten mit mindestens 1 der Ereignisse in Spalte R bis T </t>
    </r>
    <r>
      <rPr>
        <vertAlign val="superscript"/>
        <sz val="8"/>
        <rFont val="Arial"/>
        <family val="2"/>
      </rPr>
      <t>7)</t>
    </r>
  </si>
  <si>
    <r>
      <t xml:space="preserve">Auswertungen </t>
    </r>
    <r>
      <rPr>
        <vertAlign val="superscript"/>
        <sz val="8"/>
        <rFont val="Arial"/>
        <family val="2"/>
      </rPr>
      <t>8)</t>
    </r>
  </si>
  <si>
    <r>
      <t>1)</t>
    </r>
    <r>
      <rPr>
        <sz val="8"/>
        <rFont val="Arial"/>
        <family val="2"/>
      </rPr>
      <t xml:space="preserve"> Stratifizierung nach Tumorstatus (pathologisch); nach neoadjuvanter Vorbehandlung Berechnung des UICC-Stadiums mit dem klinischen Tumorstatus.</t>
    </r>
  </si>
  <si>
    <r>
      <t xml:space="preserve">2)  </t>
    </r>
    <r>
      <rPr>
        <sz val="8"/>
        <rFont val="Arial"/>
        <family val="2"/>
      </rPr>
      <t>Fußnote 2 für Darmkrebspatienten nicht relevant.</t>
    </r>
  </si>
  <si>
    <r>
      <t xml:space="preserve">3) </t>
    </r>
    <r>
      <rPr>
        <sz val="8"/>
        <rFont val="Arial"/>
        <family val="2"/>
      </rPr>
      <t xml:space="preserve"> Pat., die in dieser Darstellung (Spalte I - W) nicht berücksichtigt werden dürfen, sind: primäre UICC IV-Pat. (auch kurativ therapiert) und Patienten mit vorausgegangenem Tumor (alle Entitäten, inkl. Darm).</t>
    </r>
  </si>
  <si>
    <r>
      <t xml:space="preserve">5)  </t>
    </r>
    <r>
      <rPr>
        <sz val="8"/>
        <rFont val="Arial"/>
        <family val="2"/>
      </rPr>
      <t>In der Regel werden die Follow-Up-Daten entweder extern (Krebsregister) oder durch das Zentrum eingeholt. Eine Kombination ist jedoch möglich (keine doppelte Zuordnung!).</t>
    </r>
  </si>
  <si>
    <r>
      <t xml:space="preserve">6)  </t>
    </r>
    <r>
      <rPr>
        <sz val="8"/>
        <rFont val="Arial"/>
        <family val="2"/>
      </rPr>
      <t>Krebsregister können in der Regel keine Follow-Up-Daten zu Patienten außerhalb des Einzugsgebietes einholen.</t>
    </r>
  </si>
  <si>
    <r>
      <t xml:space="preserve">7)  </t>
    </r>
    <r>
      <rPr>
        <sz val="8"/>
        <rFont val="Arial"/>
        <family val="2"/>
      </rPr>
      <t xml:space="preserve">Zusätzlich können hier Patienten mit Ereignis ohne exakte Lokalisationsangabe eingetragen werden, die keiner der drei Spalten R - T genau zuzuordnen sind. </t>
    </r>
  </si>
  <si>
    <r>
      <t xml:space="preserve">8)  </t>
    </r>
    <r>
      <rPr>
        <sz val="8"/>
        <rFont val="Arial"/>
        <family val="2"/>
      </rPr>
      <t>DFS und OAS sind nicht direkt aus dieser Matrix abzuleiten und können deshalb nach eigener Berechnung hier manuell eingetragen werden. Eine automatische Berechnung durch EXCEL erfolgt nicht.</t>
    </r>
  </si>
  <si>
    <r>
      <rPr>
        <vertAlign val="superscript"/>
        <sz val="8"/>
        <rFont val="Arial"/>
        <family val="2"/>
      </rPr>
      <t>9)</t>
    </r>
    <r>
      <rPr>
        <sz val="8"/>
        <rFont val="Arial"/>
        <family val="2"/>
      </rPr>
      <t xml:space="preserve"> Ausgelöst durch die Follow-Up-Strukturen der Krebsregister (Latenzzeit Vollzähligkeit der Registrierung von Zielereignissen) ist es für die letzten beiden Kalenderjahre ausreichend, die 
aufgeschlüsselten Primärfälle (Spalte D-G) anzugeben.</t>
    </r>
  </si>
  <si>
    <t xml:space="preserve">2017, </t>
  </si>
  <si>
    <t>Auditjahr 2019 / Kennzahlenjahr 2018</t>
  </si>
  <si>
    <t>&lt; 50%</t>
  </si>
  <si>
    <t>------</t>
  </si>
  <si>
    <t>≥ 85%</t>
  </si>
  <si>
    <t>10</t>
  </si>
  <si>
    <r>
      <t>2017</t>
    </r>
    <r>
      <rPr>
        <vertAlign val="superscript"/>
        <sz val="8"/>
        <rFont val="Arial"/>
        <family val="2"/>
      </rPr>
      <t xml:space="preserve"> </t>
    </r>
    <r>
      <rPr>
        <vertAlign val="superscript"/>
        <sz val="9"/>
        <rFont val="Arial"/>
        <family val="2"/>
      </rPr>
      <t>9)</t>
    </r>
  </si>
  <si>
    <r>
      <t>2018</t>
    </r>
    <r>
      <rPr>
        <sz val="9"/>
        <rFont val="Arial"/>
        <family val="2"/>
      </rPr>
      <t xml:space="preserve"> </t>
    </r>
    <r>
      <rPr>
        <vertAlign val="superscript"/>
        <sz val="9"/>
        <rFont val="Arial"/>
        <family val="2"/>
      </rPr>
      <t>9)</t>
    </r>
  </si>
  <si>
    <r>
      <t xml:space="preserve">2017 </t>
    </r>
    <r>
      <rPr>
        <vertAlign val="superscript"/>
        <sz val="9"/>
        <rFont val="Arial"/>
        <family val="2"/>
      </rPr>
      <t>9)</t>
    </r>
  </si>
  <si>
    <t xml:space="preserve">2018, </t>
  </si>
  <si>
    <t>2013,</t>
  </si>
  <si>
    <t>Ausnahme</t>
  </si>
  <si>
    <r>
      <t xml:space="preserve">4)  </t>
    </r>
    <r>
      <rPr>
        <sz val="8"/>
        <rFont val="Arial"/>
        <family val="2"/>
      </rPr>
      <t>Die Daten müssen patientenbezogen rückverfolgbar sein. Es werden Follow-Up-Daten aus dem vorletzten Kalenderjahr vor dem Auditjahr betrachtet (Auditjahr 2019 =&gt; Follow-Up Daten aus dem Zeitraum 01.01.2017-31.12.2017).</t>
    </r>
  </si>
  <si>
    <t>Alle Patienten ab dem Folgejahr der EZ sind im Follow-Up zu berücksichtigen; erstmalig ist die Matrix zum ÜA2 verbindlich zu bearbeiten.</t>
  </si>
  <si>
    <t>ODSeasy / ODSeasyNet</t>
  </si>
  <si>
    <t>Stand 31.10.2018</t>
  </si>
  <si>
    <t>Basic Data Colorectal</t>
  </si>
  <si>
    <t xml:space="preserve">Explanations in regards to the indicators can be found under:
</t>
  </si>
  <si>
    <t>www.xml-oncobox.de/en</t>
  </si>
  <si>
    <t>Reg. No.</t>
  </si>
  <si>
    <t>Centre</t>
  </si>
  <si>
    <t>Location</t>
  </si>
  <si>
    <t>Contact</t>
  </si>
  <si>
    <t>Date of initial certification</t>
  </si>
  <si>
    <t>Indicator year</t>
  </si>
  <si>
    <t>Tumour documentation system</t>
  </si>
  <si>
    <t>XML-OncoBox Colorectal</t>
  </si>
  <si>
    <r>
      <t xml:space="preserve">Primary cases
</t>
    </r>
    <r>
      <rPr>
        <sz val="8"/>
        <color indexed="8"/>
        <rFont val="Arial"/>
        <family val="2"/>
      </rPr>
      <t>Definition in accordance with CoR</t>
    </r>
  </si>
  <si>
    <t>Primary cases</t>
  </si>
  <si>
    <t>Non-surgical</t>
  </si>
  <si>
    <t>Total</t>
  </si>
  <si>
    <r>
      <t>Colon</t>
    </r>
    <r>
      <rPr>
        <vertAlign val="superscript"/>
        <sz val="9"/>
        <color indexed="8"/>
        <rFont val="Arial"/>
        <family val="2"/>
      </rPr>
      <t xml:space="preserve"> </t>
    </r>
    <r>
      <rPr>
        <vertAlign val="superscript"/>
        <sz val="9"/>
        <color theme="1"/>
        <rFont val="Arial"/>
        <family val="2"/>
      </rPr>
      <t>3)</t>
    </r>
  </si>
  <si>
    <r>
      <t>Rectum</t>
    </r>
    <r>
      <rPr>
        <vertAlign val="superscript"/>
        <sz val="9"/>
        <color indexed="8"/>
        <rFont val="Arial"/>
        <family val="2"/>
      </rPr>
      <t xml:space="preserve"> </t>
    </r>
    <r>
      <rPr>
        <vertAlign val="superscript"/>
        <sz val="9"/>
        <color theme="1"/>
        <rFont val="Arial"/>
        <family val="2"/>
      </rPr>
      <t>3)</t>
    </r>
  </si>
  <si>
    <t>Not listed</t>
  </si>
  <si>
    <t>Data Sheet Colorectal</t>
  </si>
  <si>
    <t>OK</t>
  </si>
  <si>
    <t>Plausible</t>
  </si>
  <si>
    <t>Plausibility unclear</t>
  </si>
  <si>
    <t>Target value not met</t>
  </si>
  <si>
    <t>Incorrect</t>
  </si>
  <si>
    <t>Incomplete</t>
  </si>
  <si>
    <t>Processing 
quality</t>
  </si>
  <si>
    <t>OK (Plausibility unclear)</t>
  </si>
  <si>
    <t>Exception (Plausibility unclear)</t>
  </si>
  <si>
    <t>optional - OK</t>
  </si>
  <si>
    <t>optional - OK (Plausibility unclear)</t>
  </si>
  <si>
    <t>optional - Target value not met</t>
  </si>
  <si>
    <t>optional - incorrect</t>
  </si>
  <si>
    <t>optional - incomplete</t>
  </si>
  <si>
    <t>optional - Exception (Plausibility unclear)</t>
  </si>
  <si>
    <t>Sum</t>
  </si>
  <si>
    <t>Sum Plausibility unclear</t>
  </si>
  <si>
    <t>Indicator definition</t>
  </si>
  <si>
    <t>Indicator target</t>
  </si>
  <si>
    <t>Numerator</t>
  </si>
  <si>
    <t>Population
(= denominator)</t>
  </si>
  <si>
    <t>Target value</t>
  </si>
  <si>
    <t>Current value</t>
  </si>
  <si>
    <t>Data quality</t>
  </si>
  <si>
    <t>Verification Centre</t>
  </si>
  <si>
    <t>If target value/ plausibility border is not met please give reasons / cause
(min. 30 characters / max. 500 characters)</t>
  </si>
  <si>
    <t>Action taken/planned
(if reasons are plausible, no action is required)</t>
  </si>
  <si>
    <t>Patients of the denominator presented at an interdisciplinary tumour board before therapy</t>
  </si>
  <si>
    <t>Post-operative presentation of all primary-case patients</t>
  </si>
  <si>
    <t>Surgical and endoscopic primary cases</t>
  </si>
  <si>
    <t>Social services counselling</t>
  </si>
  <si>
    <t>Inclusion of as many patients as possible in studies</t>
  </si>
  <si>
    <t>Total primary cases</t>
  </si>
  <si>
    <t>Colorectal carcinoma patients with a recorded family history</t>
  </si>
  <si>
    <t>Genetic counselling</t>
  </si>
  <si>
    <t>Primary-case patients of the denominator advised to seek genetic counselling</t>
  </si>
  <si>
    <t>RAS and BRAF determination at the start of first-line treatment for metastasised colorectal carcinoma</t>
  </si>
  <si>
    <t>Complication rate therapeutic colonoscopies</t>
  </si>
  <si>
    <t>Colonoscopies of the denominator with complications (bleeding requiring re-intervention (recolonoscopy, operation) or a transfusion and/or perforation)</t>
  </si>
  <si>
    <t>Information on distance to mesorectal fascia in the diagnostic report (RC of the lower and middle third)</t>
  </si>
  <si>
    <t>Provide information as frequently as possible in the diagnostic findings report</t>
  </si>
  <si>
    <t>Patients of the denominator with information on distance to mesorectal fascia in the diagnostic report</t>
  </si>
  <si>
    <t>Patients with rectal carcinoma of the middle and lower third and MRI or thin slice CT of the pelvis</t>
  </si>
  <si>
    <t>Surgical primary cases: colon</t>
  </si>
  <si>
    <t>See target value</t>
  </si>
  <si>
    <t>Surgical primary cases: colon (please note attached definition of primary case)</t>
  </si>
  <si>
    <t>Surgical primary cases: rectum</t>
  </si>
  <si>
    <t>Surgical primary cases: rectum, incl. transanal wall resection (please note attached definition of primary case)</t>
  </si>
  <si>
    <t>Revision surgery: colon</t>
  </si>
  <si>
    <t>Elective colon surgery</t>
  </si>
  <si>
    <t>Revision Surgery: rectum</t>
  </si>
  <si>
    <t>Anastomotic insufficiency: colon</t>
  </si>
  <si>
    <t>Patients of the denominator with colon anastomotic insufficiencies requiring reintervention after surgery</t>
  </si>
  <si>
    <t>Patients with colon carcinoma in whom anastomosis was performed in an elective tumour resection</t>
  </si>
  <si>
    <t>Anastomotic insufficiency: rectum</t>
  </si>
  <si>
    <t>Patients with rectal carcinoma in whom anastomosis was performed in an elective tumour resection (without transanal wall resection)</t>
  </si>
  <si>
    <t>Post-operative mortality</t>
  </si>
  <si>
    <t>Patients of the denominator who died within 30d post-operative</t>
  </si>
  <si>
    <t>Electively operated patients (without transanal wall resection)</t>
  </si>
  <si>
    <t>Local R0 resections: rectum</t>
  </si>
  <si>
    <t>Surgeries of the denominator with local R0 resections – after completion of surgical treatment</t>
  </si>
  <si>
    <t>Elective rectum surgery  (operative), without transanal wall resection</t>
  </si>
  <si>
    <t>Marking of stoma position</t>
  </si>
  <si>
    <t>Patients of the denominator with pre-operative marking of stoma position</t>
  </si>
  <si>
    <t>Patients with rectal carcinoma who had elective surgery to install a stoma (without transanal wall resection)</t>
  </si>
  <si>
    <t>Adjuvant chemotherapies: colon (UICC stage III)</t>
  </si>
  <si>
    <t>Patients of the denominator who received adjuvant chemotherapy</t>
  </si>
  <si>
    <t>Patients ≤ 75 years with a UICC stage lll colon carcinoma who had a R0 resection of the primary tumour</t>
  </si>
  <si>
    <t>Combination chemotherapy for metastasised colorectal carcinoma with systemic first-line treatment</t>
  </si>
  <si>
    <t>Patients of the denominator with combination chemotherapy</t>
  </si>
  <si>
    <t xml:space="preserve">Patients with metastasised colorectal carcinoma, ECOG 0-1 and systemic first-line chemotherapy </t>
  </si>
  <si>
    <t>Quality of the TME rectum specimen (information from pathology)</t>
  </si>
  <si>
    <t>As many patients as possible with good to moderate quality TME rectum samples</t>
  </si>
  <si>
    <t>Patients of the denominator with good to moderate quality (grade 1: mesorectal fascia or grade 2: intramesorectal excisions) TME</t>
  </si>
  <si>
    <t>Diagnostic report after surgical resection of colorectal carcinoma</t>
  </si>
  <si>
    <t xml:space="preserve">Patients of the denominator with diagnostic report with details of:
• Tumour type according to WHO classification and
• Tumour invasion depth (pT classification) and
• Status of regional lymph nodes (pN classification) and
• Number of lymph nodes examined and
• Grading and
• Distance from resection margins (also circumference in the case of rectal carcinoma) and
• R classification  </t>
  </si>
  <si>
    <t>Patients with colorectal carcinoma and surgical resection</t>
  </si>
  <si>
    <t>Lymph node examination</t>
  </si>
  <si>
    <t>≥ 12 lymph nodes are pathologically examined in &gt;95% of the patients with lymphadenectomy</t>
  </si>
  <si>
    <t>Patients of the denominator with pathological examination of lymph nodes ≥12</t>
  </si>
  <si>
    <t>Patients with colorectal carcinona who had elective surgery and underwent a lymphadenectomy (without transanal wall resection)</t>
  </si>
  <si>
    <t>Start of adjuvant chemotherapy</t>
  </si>
  <si>
    <t>As often as possible start of adjuvant chemotherapy within the stipulated period</t>
  </si>
  <si>
    <t>Patients of the denominator with start of chemotherapy within 8 weeks of surgery</t>
  </si>
  <si>
    <t>Denominator</t>
  </si>
  <si>
    <t>Number</t>
  </si>
  <si>
    <t>Processing remarks:</t>
  </si>
  <si>
    <t>1) Plausibility unclear
In comparison to the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depict a negative care situation (e.g. surplus care). The result of this check is to be explained in more detail by the Centre in the Data Sheet in the column "Reasons/Cause". Where appropriate, specific actions should be defined and carried out in line with the procedure "Failure to meet the target value".
2) Target value not met
The relevant indicators are to be analysed. The result is to be documented in the spreadsheet Data Sheet (IS). The document "Specifications Data Quality" contains more detailed information about this.
3) Incomplete
If any indicators have the status "incomplete", then they are either to be supplied at a later stage or a clear statement is to be made about the possibility of future presentation ("incomplete indicators" always constitute a potential deviation).</t>
  </si>
  <si>
    <t>Unknown</t>
  </si>
  <si>
    <t>In-house development (MS Excel, MS Access etc.)</t>
  </si>
  <si>
    <t>Cancer register not yet established / no cancer register existent</t>
  </si>
  <si>
    <t>No cooperation</t>
  </si>
  <si>
    <t>Little / only selective cooperation</t>
  </si>
  <si>
    <t>Intensive / regular cooperation</t>
  </si>
  <si>
    <t>Tumour documentation is mainly done by cancer register</t>
  </si>
  <si>
    <t>List: countries of the world</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</si>
  <si>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</si>
  <si>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</si>
  <si>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</si>
  <si>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</si>
  <si>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</si>
  <si>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</si>
  <si>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</si>
  <si>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</si>
  <si>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</si>
  <si>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</si>
  <si>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</si>
  <si>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</si>
  <si>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</si>
  <si>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</si>
  <si>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</si>
  <si>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</si>
  <si>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</si>
  <si>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</si>
  <si>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</si>
  <si>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</si>
  <si>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</si>
  <si>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</si>
  <si>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</si>
  <si>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</si>
  <si>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</si>
  <si>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</si>
  <si>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</si>
  <si>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</si>
  <si>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</si>
  <si>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</si>
  <si>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</si>
  <si>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</si>
  <si>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</si>
  <si>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</si>
  <si>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</si>
  <si>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</si>
  <si>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</si>
  <si>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</si>
  <si>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</si>
  <si>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</si>
  <si>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</si>
  <si>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</si>
  <si>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</si>
  <si>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</si>
  <si>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</si>
  <si>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</si>
  <si>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</si>
  <si>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</si>
  <si>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</si>
  <si>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</si>
  <si>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</si>
  <si>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</si>
  <si>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</si>
  <si>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</si>
  <si>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</si>
  <si>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</si>
  <si>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</si>
  <si>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</si>
  <si>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</si>
  <si>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</si>
  <si>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</si>
  <si>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</si>
  <si>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</si>
  <si>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</si>
  <si>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</si>
  <si>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</si>
  <si>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</si>
  <si>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</si>
  <si>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</si>
  <si>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</si>
  <si>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</si>
  <si>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</si>
  <si>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</si>
  <si>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</si>
  <si>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</si>
  <si>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</si>
  <si>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</si>
  <si>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</si>
  <si>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</si>
  <si>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</si>
  <si>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</si>
  <si>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</si>
  <si>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</si>
  <si>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</si>
  <si>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</si>
  <si>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</si>
  <si>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</si>
  <si>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</si>
  <si>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</si>
  <si>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</si>
  <si>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</si>
  <si>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</si>
  <si>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</si>
  <si>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</si>
  <si>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</si>
  <si>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</si>
  <si>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</si>
  <si>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</si>
  <si>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</si>
  <si>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</si>
  <si>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</si>
  <si>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</si>
  <si>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</si>
  <si>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</si>
  <si>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</si>
  <si>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</si>
  <si>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</si>
  <si>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</si>
  <si>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</si>
  <si>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</si>
  <si>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</si>
  <si>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</si>
  <si>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</si>
  <si>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</si>
  <si>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</si>
  <si>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</si>
  <si>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</si>
  <si>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</si>
  <si>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</si>
  <si>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</si>
  <si>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</si>
  <si>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</si>
  <si>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</si>
  <si>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</si>
  <si>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</si>
  <si>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</si>
  <si>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</si>
  <si>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</si>
  <si>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</si>
  <si>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</si>
  <si>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</si>
  <si>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</si>
  <si>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</si>
  <si>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</si>
  <si>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</si>
  <si>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</si>
  <si>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</si>
  <si>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</si>
  <si>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</si>
  <si>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</si>
  <si>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</si>
  <si>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</si>
  <si>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</si>
  <si>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</si>
  <si>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</si>
  <si>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</si>
  <si>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</si>
  <si>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</si>
  <si>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</si>
  <si>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</si>
  <si>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</si>
  <si>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</si>
  <si>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</si>
  <si>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</si>
  <si>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</si>
  <si>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</si>
  <si>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</si>
  <si>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</si>
  <si>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</si>
  <si>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</si>
  <si>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</si>
  <si>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</si>
  <si>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</si>
  <si>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</si>
  <si>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</si>
  <si>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</si>
  <si>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</si>
  <si>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</si>
  <si>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</si>
  <si>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</si>
  <si>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</si>
  <si>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</si>
  <si>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</si>
  <si>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</si>
  <si>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</si>
  <si>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</si>
  <si>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</si>
  <si>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</si>
  <si>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</si>
  <si>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</si>
  <si>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</si>
  <si>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</si>
  <si>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</si>
  <si>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</si>
  <si>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</si>
  <si>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</si>
  <si>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</si>
  <si>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</si>
  <si>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</si>
  <si>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</si>
  <si>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</si>
  <si>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</si>
  <si>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</si>
  <si>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</si>
  <si>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</si>
  <si>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</si>
  <si>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Country</t>
  </si>
  <si>
    <t>No target value</t>
  </si>
  <si>
    <t>Transanal wall resection (TWR)</t>
  </si>
  <si>
    <t>Elective rectum surgery (without transanal wall resection)</t>
  </si>
  <si>
    <t>1.7.6</t>
  </si>
  <si>
    <t>5.2.4</t>
  </si>
  <si>
    <t>Resection</t>
  </si>
  <si>
    <r>
      <t xml:space="preserve">Elective </t>
    </r>
    <r>
      <rPr>
        <vertAlign val="superscript"/>
        <sz val="10"/>
        <rFont val="Arial"/>
        <family val="2"/>
      </rPr>
      <t>2)</t>
    </r>
  </si>
  <si>
    <r>
      <t xml:space="preserve">Surgical </t>
    </r>
    <r>
      <rPr>
        <vertAlign val="superscript"/>
        <sz val="10"/>
        <rFont val="Arial"/>
        <family val="2"/>
      </rPr>
      <t>1)</t>
    </r>
  </si>
  <si>
    <r>
      <t xml:space="preserve">Emergency </t>
    </r>
    <r>
      <rPr>
        <vertAlign val="superscript"/>
        <sz val="10"/>
        <rFont val="Arial"/>
        <family val="2"/>
      </rPr>
      <t>2)</t>
    </r>
  </si>
  <si>
    <r>
      <t xml:space="preserve">Endoscopically (exept TWR) </t>
    </r>
    <r>
      <rPr>
        <vertAlign val="superscript"/>
        <sz val="10"/>
        <rFont val="Arial"/>
        <family val="2"/>
      </rPr>
      <t>1)</t>
    </r>
  </si>
  <si>
    <r>
      <t xml:space="preserve">palliative </t>
    </r>
    <r>
      <rPr>
        <vertAlign val="superscript"/>
        <sz val="10"/>
        <rFont val="Arial"/>
        <family val="2"/>
      </rPr>
      <t>1)</t>
    </r>
  </si>
  <si>
    <r>
      <t xml:space="preserve">Watch and Wait (not endoscopically
 curative) </t>
    </r>
    <r>
      <rPr>
        <vertAlign val="superscript"/>
        <sz val="9"/>
        <rFont val="Arial"/>
        <family val="2"/>
      </rPr>
      <t xml:space="preserve">1) </t>
    </r>
    <r>
      <rPr>
        <vertAlign val="superscript"/>
        <sz val="9"/>
        <color theme="1"/>
        <rFont val="Arial"/>
        <family val="2"/>
      </rPr>
      <t>4)</t>
    </r>
  </si>
  <si>
    <r>
      <rPr>
        <b/>
        <u/>
        <sz val="8"/>
        <rFont val="Arial"/>
        <family val="2"/>
      </rPr>
      <t>Processing remarks:</t>
    </r>
    <r>
      <rPr>
        <sz val="8"/>
        <rFont val="Arial"/>
        <family val="2"/>
      </rPr>
      <t xml:space="preserve">
Definitions of the terms used in the table are in principal written down in the Excel sheet “Data fields” of the specification document which can be downloaded under www.xml-oncobox.de/en in its most recent version.
1) Data field C1
2) Data field G4 (E= elective, N= emergency)
3) Data field D6
Moreover the above mentioned document also provided information for counting primary caces (appendices) and the definition of all indicators.
4) Watch &amp; Wait patients are patients that have been newly diagnosed with a rectum carcinoma, which were pre-treated with radio-therapy and/or chemo-therapy with a clinical full remission which were not yet treated surgically. If  these patients have a tumour recurrence or other reasons for secondary surgical treatment, they can be counted as surgical primary case.
Some of the fields are inter-dependent. Each line should, therefore, be completely processed from left to right and continuously from top to bottom. Grey fields must be processed. The processing of the Excel template should be done with Microsoft Office 2010 or one of the later versions. Microsoft Office 2007 can be used with some constraints (e.g. information buttons are not displayed). Earlier versions of Microsoft Office 2007 are not suitable for processing the Excel template. All numbers and texts must be entered manually (not using copy/paste function; the exception are data which are entered by the OncoBox). Each change to the basic data leads to a change in the Indicator Sheet. The document "Specifications Data Quality" contains the main foundations for data assessment as part of the audit process. In particular details are given of how to deal with indicators where the target value is not achieved (download from www.onkozert.de; section Instructions).</t>
    </r>
  </si>
  <si>
    <t xml:space="preserve">           Date recorded</t>
  </si>
  <si>
    <t>Plausi-bility  unclear</t>
  </si>
  <si>
    <t>Plausi-bility unclear</t>
  </si>
  <si>
    <t>Primärfälle Darmkrebs</t>
  </si>
  <si>
    <t>Operativ Elektiv Resektion</t>
  </si>
  <si>
    <t>Operativ Elektiv Transanale Vollwand-exzision</t>
  </si>
  <si>
    <t>Operativ Notfall</t>
  </si>
  <si>
    <t>Endoskopisch</t>
  </si>
  <si>
    <t>Nicht operativ palliativ</t>
  </si>
  <si>
    <t>Nicht operativ Watch and Wait</t>
  </si>
  <si>
    <t>Gesamt</t>
  </si>
  <si>
    <t>Primärfälle</t>
  </si>
  <si>
    <t>Kolon</t>
  </si>
  <si>
    <t>Rektum</t>
  </si>
  <si>
    <t>CR/ GL</t>
  </si>
  <si>
    <t>Patients with new recurrence and/or distant metastases</t>
  </si>
  <si>
    <t>2a</t>
  </si>
  <si>
    <t>2b</t>
  </si>
  <si>
    <t>GL QI</t>
  </si>
  <si>
    <t>1</t>
  </si>
  <si>
    <t>Patients with new recurrence and/or distant metastases 
(= Indicator 1)</t>
  </si>
  <si>
    <t>Total primary cases + patients with new recurrence and/or metastases (= Indicator 1)</t>
  </si>
  <si>
    <t>Patients of the denominator who received counselling by social services in an inpatient or outpatient setting</t>
  </si>
  <si>
    <t>Total primary cases + patients with new recurrence and/or  metastases (= Indicator 1)</t>
  </si>
  <si>
    <t>Rate of documented family history as high as possible</t>
  </si>
  <si>
    <t>Genetic counselling rate as high as possible</t>
  </si>
  <si>
    <t>As often as possible KRAS and BRAF determination prior to first-line treatment</t>
  </si>
  <si>
    <t>Complication rate among therapeutic colonoscopies as low as possible</t>
  </si>
  <si>
    <t>Rate of revision surgery after elective surgery as low as possible</t>
  </si>
  <si>
    <t>Surgeries of the denominator with revision surgery due to perioperative complications within 30 d of surgery (not to be counted: diagnostic irrigation laparoscopies)</t>
  </si>
  <si>
    <t>Rate of anastomotic insufficiency  after elective colon surgery as low as possible</t>
  </si>
  <si>
    <t>Rate of anastomotic insufficiency after elective rectum surgery as low as possible</t>
  </si>
  <si>
    <t>Rate of local R0 resections as high as possible</t>
  </si>
  <si>
    <t>Rate of pre-operative marking of stoma position as high as possible</t>
  </si>
  <si>
    <t>Liver metastasis resection</t>
  </si>
  <si>
    <t>Rate of liver metastasis resection as high as possible</t>
  </si>
  <si>
    <t>Patients of the denominator who have had a liver metastasis resection</t>
  </si>
  <si>
    <t>Liver metastasis resection at the surgical site of the Colorectal Cancer Centre</t>
  </si>
  <si>
    <t>Liver metastasis resection outside the surgical site of the Colorectal Cancer Centre</t>
  </si>
  <si>
    <t>As frequent as possible combination chemotherapy for metastasised colorectal carcinoma with systemic first-line treatment</t>
  </si>
  <si>
    <t>As frequent as possible complete diagnostic report after complete resection</t>
  </si>
  <si>
    <t>As few postoperative events as possible</t>
  </si>
  <si>
    <t>&gt; 10%</t>
  </si>
  <si>
    <t>27</t>
  </si>
  <si>
    <t>Pre-therapeutic tumour board</t>
  </si>
  <si>
    <t>Pre-therapeutic tumour board: recurrences/meta-chronous metastases</t>
  </si>
  <si>
    <t>Pre-therapeutic presentation of all patients with recurrence/meta-chronous metastases in the tumour board</t>
  </si>
  <si>
    <t>Patients of the denominator  presented at the pre-therapeutic tumour board</t>
  </si>
  <si>
    <t>Post-operative presentation of all primary-case patients in tumour board</t>
  </si>
  <si>
    <t>Primary cases of the denominator presented at the post-operative tumour board</t>
  </si>
  <si>
    <t xml:space="preserve">                        </t>
  </si>
  <si>
    <t xml:space="preserve">                         Target value not met</t>
  </si>
  <si>
    <t xml:space="preserve">         Erroneous</t>
  </si>
  <si>
    <t>SHGHoncoDoc</t>
  </si>
  <si>
    <t>Note:</t>
  </si>
  <si>
    <t xml:space="preserve">For reasons of easy readability, the term “patient” expressly covers all gender attributions (female, male, other). </t>
  </si>
  <si>
    <t>The respective entry or change "number / numerator / denominator" (dotted fields) is only possible in the spreadsheet "Basic data", carry-over is automatic.
The numerator is always a subset of the denominator (exception: Indicator 6 - Share of studies patients).</t>
  </si>
  <si>
    <t>IN</t>
  </si>
  <si>
    <t>Yes</t>
  </si>
  <si>
    <t>Adequate rate of psycho-oncological distress-screening</t>
  </si>
  <si>
    <t>≥ 65%</t>
  </si>
  <si>
    <t>Adequate rate of social counselling</t>
  </si>
  <si>
    <t xml:space="preserve">22a
</t>
  </si>
  <si>
    <t xml:space="preserve">22b
</t>
  </si>
  <si>
    <t xml:space="preserve">22c
</t>
  </si>
  <si>
    <t xml:space="preserve">29
</t>
  </si>
  <si>
    <t>Patients with metastasised colorectal carcinoma and systhemic first-line treatment</t>
  </si>
  <si>
    <t>Patients with elective radically operated RC in the middle or lower third  (without transanal wall resection)</t>
  </si>
  <si>
    <t>Patients with UICC stage III colon carcinoma who had received adjuvant chemotherapy 
(= numerator of indicator 23)</t>
  </si>
  <si>
    <t>MTL22 Indicator (mortality, transfer, postoperative hospital stay)</t>
  </si>
  <si>
    <t>Electively operated patients 
(= denominator of indicator 19)</t>
  </si>
  <si>
    <t>22a</t>
  </si>
  <si>
    <t>22b</t>
  </si>
  <si>
    <t>22c</t>
  </si>
  <si>
    <t>24</t>
  </si>
  <si>
    <t>26</t>
  </si>
  <si>
    <t>≥ 50%</t>
  </si>
  <si>
    <t>Data quality indicators</t>
  </si>
  <si>
    <t>Liver metastasis resection performed outside the surgical site of the Colorectal Cancer Centre (subset of numerator 22a)</t>
  </si>
  <si>
    <t>Surgeries of the denominator with revision surgery due to perioperative complications within 30 d of  surgery (not to be counted: diagnostic irrigation laparoscopies, endoscopic insert vacuum sponge)</t>
  </si>
  <si>
    <t>Patients of the denominator who
 - died within 30 d postoperatively (numerator of indicator 19) or
- transferred to another acute care hospital, or
- had a hospital stay &gt; 22d after tumour resection</t>
  </si>
  <si>
    <t>Patients included in a study with ethics vote or colorectal prevention study</t>
  </si>
  <si>
    <t xml:space="preserve">Patients enrolled in a study </t>
  </si>
  <si>
    <t>Pre-therapeutic tumour board presentation of all patients with UICC stage IV colon and rectum carcinoma</t>
  </si>
  <si>
    <t>Psycho-oncological distress-screening</t>
  </si>
  <si>
    <t>Primary-case patients in the denominator with a completed patient questionnaire (https://ecc-cert.org/certification-system/document-collection/)</t>
  </si>
  <si>
    <t>Elective patients with rectal carcinoma and all elective patients with stage IV colon carcinoma</t>
  </si>
  <si>
    <t>Patients of the denominator with grade B (requiring antibiotic administration but not interventional drainage or transanal lavage/drainage or grade C (re-)laparotomy) anastomotic insufficiency</t>
  </si>
  <si>
    <t>Rate of post-operative deaths after elective surgery as low as possible</t>
  </si>
  <si>
    <t>Liver metastasis resection performed at the surgical site of the Colorectal Cancer Centre (subset of numerator 22a)</t>
  </si>
  <si>
    <t>Rate of chemotherapies in patients with UICC stage III colon carcinoma as high as possible</t>
  </si>
  <si>
    <t>Patients of the denominator who were psycho-oncologically screened</t>
  </si>
  <si>
    <t>Patients of the Centre with metastatic colorectal carcinoma and
1. exclusive liver metastasis (primary or newly occurring in the indicator year) without liver-specific chemotherapy (date of counting: date of diagnosis of the liver metastasis)
or
2. exclusive liver metastasis, who have received chemotherapy for liver metastasis (date of counting: end of chemotherapy in the indicator year)</t>
  </si>
  <si>
    <t>Institution identification (II) number</t>
  </si>
  <si>
    <t>Clinical sites number</t>
  </si>
  <si>
    <t>List of studies</t>
  </si>
  <si>
    <t xml:space="preserve">                Total:</t>
  </si>
  <si>
    <t>The list of accredited degree programmes that can be counted towards the study quota can be found at www.studybox.de.</t>
  </si>
  <si>
    <r>
      <rPr>
        <u/>
        <sz val="8"/>
        <color theme="1"/>
        <rFont val="Arial"/>
        <family val="2"/>
      </rPr>
      <t>Please note</t>
    </r>
    <r>
      <rPr>
        <sz val="8"/>
        <color theme="1"/>
        <rFont val="Arial"/>
        <family val="2"/>
      </rPr>
      <t>: Study patients can be counted for 2 centres, provided that the sending centre itself conducts at least one study for patients of the Colorectal Cancer Centre. If this method of counting is chosen (optional), the centre must show how many patients are included in studies in its own centre, sent to other centres/clinics for study participation and transferred from other centres/clinics for study participation.</t>
    </r>
  </si>
  <si>
    <t>Responsible co-operation partner</t>
  </si>
  <si>
    <t>Name of the study</t>
  </si>
  <si>
    <t>Number of study patients in the indicator year</t>
  </si>
  <si>
    <t>who were included in a study at their own centre</t>
  </si>
  <si>
    <t>who were included in a study at their own centre by other centres/clinics</t>
  </si>
  <si>
    <t>who were included in a study in other centres/clinics</t>
  </si>
  <si>
    <t>No</t>
  </si>
  <si>
    <t>Verantwortlicher Kooperationspartner</t>
  </si>
  <si>
    <t>Name der Studie</t>
  </si>
  <si>
    <t>im eigenen Zentrum in eine Studie eingeschlossen wurden</t>
  </si>
  <si>
    <t>von anderen Zentren/ Kliniken in eine Studie im eigenen Zentrum eingeschlossen wurden</t>
  </si>
  <si>
    <t>in anderen Zentren/ Kliniken in eine Studie eingeschlossen wurden</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</si>
  <si>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</si>
  <si>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</si>
  <si>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</si>
  <si>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</si>
  <si>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</si>
  <si>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</si>
  <si>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</si>
  <si>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</si>
  <si>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Table of examiners (qualification according to CR 2.2.1)</t>
  </si>
  <si>
    <r>
      <t>Please note:</t>
    </r>
    <r>
      <rPr>
        <sz val="8"/>
        <color theme="1"/>
        <rFont val="Arial"/>
        <family val="2"/>
      </rPr>
      <t xml:space="preserve"> If the examiners did not perform any examinations during the period under review, enter ‘0’.</t>
    </r>
    <r>
      <rPr>
        <u/>
        <sz val="8"/>
        <color theme="1"/>
        <rFont val="Arial"/>
        <family val="2"/>
      </rPr>
      <t xml:space="preserve">
</t>
    </r>
  </si>
  <si>
    <t>Title, Surname, First Name</t>
  </si>
  <si>
    <t>Basic qualification fulfilled 
yes/ no</t>
  </si>
  <si>
    <t>Basic qualification fulfilled yes/ no</t>
  </si>
  <si>
    <t>Status examiner</t>
  </si>
  <si>
    <t>Colonoscopy unit
(practice/ clinic department)</t>
  </si>
  <si>
    <t>Time period from ... to in the indicator year</t>
  </si>
  <si>
    <t>Number of colonoscopies
≥ 200 patients per year</t>
  </si>
  <si>
    <t>Number of polypectomies (loop only) ≥ 25 patients per year</t>
  </si>
  <si>
    <t>Reason/ cause</t>
  </si>
  <si>
    <t>Designated surgeon</t>
  </si>
  <si>
    <t>Non-designated surgeon</t>
  </si>
  <si>
    <t xml:space="preserve">   Summe:</t>
  </si>
  <si>
    <r>
      <t>Please note:</t>
    </r>
    <r>
      <rPr>
        <sz val="8"/>
        <color theme="1"/>
        <rFont val="Arial"/>
        <family val="2"/>
      </rPr>
      <t xml:space="preserve"> If the surgeons did not perform any operations during the period under review, enter ‘0’.</t>
    </r>
  </si>
  <si>
    <t>Table of surgeons (qualification according to CR 5.2.5)</t>
  </si>
  <si>
    <t>Status of surgeon</t>
  </si>
  <si>
    <t>Clinical sites/ centre</t>
  </si>
  <si>
    <t>Number of surgeries
Colon ≥ 15</t>
  </si>
  <si>
    <t>Number of surgeries
Rectum ≥ 10</t>
  </si>
  <si>
    <t>Designated examiner</t>
  </si>
  <si>
    <t>Non-designated examiner</t>
  </si>
  <si>
    <t>Senior surgeon</t>
  </si>
  <si>
    <t>Primary cases with a positive patient questionnaire and /or
abnormal IHC (MSH2/ MSH6/ PMS2 positive in &lt; 10% of tumour cells) and/or MSI, with MLH1 in &lt;10% of tumour cells and BRAF-wt and exclusion of MLH1 promoter methylation</t>
  </si>
  <si>
    <t>Immunohistochemical determination of MMR proteins</t>
  </si>
  <si>
    <t xml:space="preserve">Highest possible rate of immunohistochemical determination of MMR proteins and, if necessary, molecular MSI analysis in patients with CRC </t>
  </si>
  <si>
    <t>Patients of the denominator with immunohisto-chemical assessment of mismatch repair (MMR) proteins and, if necessary, molecular MSI analysis</t>
  </si>
  <si>
    <t>Patients with initial colorectal carcinoma diagnosis</t>
  </si>
  <si>
    <t>Patients of the denominator with IHC of MMR-Proteine and determination RAS (= KRAS and NRAS mutations) and BRAF mutation at the start of first-line treatment</t>
  </si>
  <si>
    <t>Therapeutic colonoscopies per colonoscopy unit (not only CrCC patients)</t>
  </si>
  <si>
    <t>≥ 80%</t>
  </si>
  <si>
    <t>Annex CR Version P1.1  (Audit year 2026 / Indicator year 2025)</t>
  </si>
  <si>
    <t>Clinic WinData</t>
  </si>
  <si>
    <t>D-Flow Onco (vormals OncoAssist)</t>
  </si>
  <si>
    <t>Stand 29.09.2025</t>
  </si>
  <si>
    <t xml:space="preserve">8
</t>
  </si>
  <si>
    <t xml:space="preserve">9
</t>
  </si>
  <si>
    <t xml:space="preserve">Ausnahme </t>
  </si>
  <si>
    <t xml:space="preserve">11
</t>
  </si>
  <si>
    <t>The Catalogue of Requirements is based on the TNM classification of malignant tumours, 8th edition 2017, ICD classification ICD-10-GM 2025 (BfARM) and the OPS classification OPS 2025 (BfARM).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</si>
</sst>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45" x14ac:knownFonts="1">
    <font>
      <sz val="11"/>
      <color theme="1"/>
      <name val="Calibri"/>
      <family val="2"/>
      <scheme val="minor"/>
    </font>
    <font>
      <sz val="11"/>
      <color indexed="8"/>
      <name val="Calibri"/>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vertAlign val="superscript"/>
      <sz val="8"/>
      <name val="Arial"/>
      <family val="2"/>
    </font>
    <font>
      <sz val="7"/>
      <name val="Arial"/>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8"/>
      <color indexed="8"/>
      <name val="Calibri"/>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12"/>
      <color indexed="8"/>
      <name val="Arial"/>
      <family val="2"/>
    </font>
    <font>
      <sz val="6"/>
      <color indexed="8"/>
      <name val="Arial"/>
      <family val="2"/>
    </font>
    <font>
      <sz val="6"/>
      <name val="Arial"/>
      <family val="2"/>
    </font>
    <font>
      <sz val="9"/>
      <color indexed="81"/>
      <name val="Arial"/>
      <family val="2"/>
    </font>
    <font>
      <sz val="11"/>
      <color indexed="8"/>
      <name val="Calibri"/>
      <family val="2"/>
    </font>
    <font>
      <sz val="11"/>
      <color indexed="10"/>
      <name val="Arial"/>
      <family val="2"/>
    </font>
    <font>
      <b/>
      <sz val="18"/>
      <color indexed="56"/>
      <name val="Cambria"/>
      <family val="2"/>
    </font>
    <font>
      <b/>
      <sz val="15"/>
      <color indexed="56"/>
      <name val="Calibri"/>
      <family val="2"/>
    </font>
    <font>
      <b/>
      <sz val="11"/>
      <color indexed="56"/>
      <name val="Calibri"/>
      <family val="2"/>
    </font>
    <font>
      <sz val="11"/>
      <color indexed="10"/>
      <name val="Calibri"/>
      <family val="2"/>
    </font>
    <font>
      <b/>
      <sz val="13"/>
      <color indexed="56"/>
      <name val="Calibri"/>
      <family val="2"/>
    </font>
    <font>
      <b/>
      <sz val="14"/>
      <color indexed="53"/>
      <name val="Arial"/>
      <family val="2"/>
    </font>
    <font>
      <sz val="8"/>
      <color indexed="81"/>
      <name val="Arial"/>
      <family val="2"/>
    </font>
    <font>
      <b/>
      <sz val="8"/>
      <color indexed="8"/>
      <name val="Calibri"/>
      <family val="2"/>
    </font>
    <font>
      <b/>
      <u/>
      <sz val="8"/>
      <color indexed="8"/>
      <name val="Arial"/>
      <family val="2"/>
    </font>
    <font>
      <sz val="8"/>
      <color indexed="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1"/>
      <color indexed="23"/>
      <name val="Arial"/>
      <family val="2"/>
    </font>
    <font>
      <sz val="8"/>
      <name val="Arial Narrow"/>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8"/>
      <color indexed="8"/>
      <name val="Calibri"/>
      <family val="2"/>
    </font>
    <font>
      <b/>
      <sz val="18"/>
      <color indexed="62"/>
      <name val="Cambria"/>
      <family val="2"/>
    </font>
    <font>
      <sz val="11"/>
      <color indexed="53"/>
      <name val="Calibri"/>
      <family val="2"/>
    </font>
    <font>
      <b/>
      <sz val="10"/>
      <color indexed="53"/>
      <name val="Arial"/>
      <family val="2"/>
    </font>
    <font>
      <sz val="10"/>
      <color indexed="8"/>
      <name val="Arial"/>
      <family val="2"/>
    </font>
    <font>
      <sz val="9"/>
      <color indexed="8"/>
      <name val="Arial"/>
      <family val="2"/>
    </font>
    <font>
      <sz val="8"/>
      <color indexed="8"/>
      <name val="Arial"/>
      <family val="2"/>
    </font>
    <font>
      <sz val="11"/>
      <color indexed="8"/>
      <name val="Arial"/>
      <family val="2"/>
    </font>
    <font>
      <b/>
      <sz val="9"/>
      <color indexed="8"/>
      <name val="Arial"/>
      <family val="2"/>
    </font>
    <font>
      <b/>
      <sz val="8"/>
      <color indexed="8"/>
      <name val="Arial"/>
      <family val="2"/>
    </font>
    <font>
      <b/>
      <sz val="10"/>
      <color indexed="8"/>
      <name val="Arial"/>
      <family val="2"/>
    </font>
    <font>
      <b/>
      <sz val="8"/>
      <color indexed="53"/>
      <name val="Arial"/>
      <family val="2"/>
    </font>
    <font>
      <sz val="8"/>
      <color indexed="53"/>
      <name val="Arial"/>
      <family val="2"/>
    </font>
    <font>
      <sz val="8"/>
      <name val="Calibri"/>
      <family val="2"/>
    </font>
    <font>
      <sz val="6"/>
      <name val="Calibri"/>
      <family val="2"/>
    </font>
    <font>
      <sz val="9"/>
      <color indexed="8"/>
      <name val="Calibri"/>
      <family val="2"/>
    </font>
    <font>
      <sz val="8"/>
      <color indexed="30"/>
      <name val="Arial"/>
      <family val="2"/>
    </font>
    <font>
      <sz val="11"/>
      <color indexed="30"/>
      <name val="Arial"/>
      <family val="2"/>
    </font>
    <font>
      <b/>
      <sz val="11"/>
      <color indexed="8"/>
      <name val="Arial"/>
      <family val="2"/>
    </font>
    <font>
      <sz val="8"/>
      <color indexed="8"/>
      <name val="Arial"/>
      <family val="2"/>
    </font>
    <font>
      <sz val="8"/>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11"/>
      <color rgb="FFFF0000"/>
      <name val="Calibri"/>
      <family val="2"/>
    </font>
    <font>
      <sz val="11"/>
      <color rgb="FFFF0000"/>
      <name val="Arial"/>
      <family val="2"/>
    </font>
    <font>
      <sz val="10"/>
      <color rgb="FFFF0000"/>
      <name val="Arial"/>
      <family val="2"/>
    </font>
    <font>
      <sz val="8"/>
      <color rgb="FFFF0000"/>
      <name val="Arial"/>
      <family val="2"/>
    </font>
    <font>
      <sz val="9"/>
      <color rgb="FFFF0000"/>
      <name val="Arial"/>
      <family val="2"/>
    </font>
    <font>
      <sz val="8"/>
      <color theme="1"/>
      <name val="Arial"/>
      <family val="2"/>
    </font>
    <font>
      <sz val="8"/>
      <color theme="1"/>
      <name val="Calibri"/>
      <family val="2"/>
    </font>
    <font>
      <b/>
      <sz val="8"/>
      <color theme="1"/>
      <name val="Arial"/>
      <family val="2"/>
    </font>
    <font>
      <sz val="11"/>
      <color theme="1"/>
      <name val="Calibri"/>
      <family val="2"/>
    </font>
    <font>
      <vertAlign val="superscript"/>
      <sz val="8"/>
      <color rgb="FFFF0000"/>
      <name val="Arial"/>
      <family val="2"/>
    </font>
    <font>
      <sz val="8"/>
      <color theme="0" tint="-0.499984740745262"/>
      <name val="Arial"/>
      <family val="2"/>
    </font>
    <font>
      <b/>
      <sz val="8"/>
      <color theme="0" tint="-0.499984740745262"/>
      <name val="Arial"/>
      <family val="2"/>
    </font>
    <font>
      <sz val="6"/>
      <color theme="0" tint="-0.499984740745262"/>
      <name val="Arial"/>
      <family val="2"/>
    </font>
    <font>
      <vertAlign val="superscript"/>
      <sz val="9"/>
      <name val="Arial"/>
      <family val="2"/>
    </font>
    <font>
      <b/>
      <sz val="9"/>
      <color indexed="81"/>
      <name val="Arial"/>
      <family val="2"/>
    </font>
    <font>
      <b/>
      <sz val="9.5500000000000007"/>
      <color indexed="81"/>
      <name val="Arial"/>
      <family val="2"/>
    </font>
    <font>
      <sz val="8"/>
      <color theme="0" tint="-0.499984740745262"/>
      <name val="Calibri"/>
      <family val="2"/>
    </font>
    <font>
      <sz val="8"/>
      <color indexed="23"/>
      <name val="Arial"/>
      <family val="2"/>
    </font>
    <font>
      <sz val="11"/>
      <color theme="1"/>
      <name val="Arial"/>
      <family val="2"/>
    </font>
    <font>
      <b/>
      <sz val="8"/>
      <name val="Calibri"/>
      <family val="2"/>
    </font>
    <font>
      <vertAlign val="superscript"/>
      <sz val="9"/>
      <color theme="1"/>
      <name val="Arial"/>
      <family val="2"/>
    </font>
    <font>
      <vertAlign val="superscript"/>
      <sz val="9"/>
      <color indexed="8"/>
      <name val="Arial"/>
      <family val="2"/>
    </font>
    <font>
      <b/>
      <sz val="8"/>
      <name val="Arial Narrow"/>
      <family val="2"/>
    </font>
    <font>
      <sz val="11"/>
      <name val="Calibri"/>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11"/>
      <color indexed="53"/>
      <name val="Calibri"/>
      <family val="2"/>
      <scheme val="minor"/>
    </font>
    <font>
      <b/>
      <sz val="11"/>
      <color indexed="8"/>
      <name val="Calibri"/>
      <family val="2"/>
      <scheme val="minor"/>
    </font>
    <font>
      <vertAlign val="superscript"/>
      <sz val="10"/>
      <name val="Arial"/>
      <family val="2"/>
    </font>
    <font>
      <b/>
      <u/>
      <sz val="8"/>
      <name val="Arial"/>
      <family val="2"/>
    </font>
    <font>
      <sz val="11"/>
      <name val="Calibri"/>
      <family val="2"/>
      <scheme val="minor"/>
    </font>
    <font>
      <sz val="8"/>
      <color theme="1"/>
      <name val="Arial Narrow"/>
      <family val="2"/>
    </font>
    <font>
      <sz val="9"/>
      <color indexed="81"/>
      <name val="Tahoma"/>
      <family val="2"/>
    </font>
    <font>
      <sz val="10"/>
      <color theme="1"/>
      <name val="Arial"/>
      <family val="2"/>
    </font>
    <font>
      <b/>
      <sz val="12"/>
      <color theme="1"/>
      <name val="Arial"/>
      <family val="2"/>
    </font>
    <font>
      <b/>
      <sz val="10"/>
      <color theme="1"/>
      <name val="Arial"/>
      <family val="2"/>
    </font>
    <font>
      <u/>
      <sz val="8"/>
      <color theme="1"/>
      <name val="Arial"/>
      <family val="2"/>
    </font>
    <font>
      <b/>
      <sz val="9"/>
      <color theme="1"/>
      <name val="Arial"/>
      <family val="2"/>
    </font>
    <font>
      <sz val="8"/>
      <name val="Calibri"/>
      <family val="2"/>
      <scheme val="minor"/>
    </font>
    <font>
      <sz val="6"/>
      <color theme="1"/>
      <name val="Arial"/>
      <family val="2"/>
    </font>
    <font>
      <sz val="9"/>
      <color theme="1"/>
      <name val="Arial"/>
      <family val="2"/>
    </font>
    <font>
      <sz val="6"/>
      <color theme="1"/>
      <name val="Calibri"/>
      <family val="2"/>
    </font>
  </fonts>
  <fills count="92">
    <fill>
      <patternFill patternType="none"/>
    </fill>
    <fill>
      <patternFill patternType="gray125"/>
    </fill>
    <fill>
      <patternFill patternType="solid">
        <fgColor indexed="44"/>
      </patternFill>
    </fill>
    <fill>
      <patternFill patternType="solid">
        <fgColor indexed="31"/>
      </patternFill>
    </fill>
    <fill>
      <patternFill patternType="solid">
        <fgColor indexed="4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3"/>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10"/>
        <bgColor indexed="64"/>
      </patternFill>
    </fill>
    <fill>
      <patternFill patternType="solid">
        <fgColor indexed="9"/>
        <bgColor indexed="64"/>
      </patternFill>
    </fill>
    <fill>
      <patternFill patternType="gray0625">
        <fgColor indexed="23"/>
        <bgColor indexed="9"/>
      </patternFill>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11"/>
        <bgColor indexed="64"/>
      </patternFill>
    </fill>
    <fill>
      <patternFill patternType="solid">
        <fgColor indexed="44"/>
        <bgColor indexed="64"/>
      </patternFill>
    </fill>
    <fill>
      <patternFill patternType="solid">
        <fgColor indexed="44"/>
        <bgColor indexed="9"/>
      </patternFill>
    </fill>
    <fill>
      <patternFill patternType="solid">
        <fgColor indexed="13"/>
        <bgColor indexed="64"/>
      </patternFill>
    </fill>
    <fill>
      <patternFill patternType="solid">
        <fgColor indexed="47"/>
        <bgColor indexed="64"/>
      </patternFill>
    </fill>
    <fill>
      <patternFill patternType="solid">
        <fgColor indexed="45"/>
        <bgColor indexed="64"/>
      </patternFill>
    </fill>
    <fill>
      <patternFill patternType="gray0625">
        <bgColor indexed="9"/>
      </patternFill>
    </fill>
    <fill>
      <patternFill patternType="gray0625">
        <bgColor indexed="44"/>
      </patternFill>
    </fill>
    <fill>
      <patternFill patternType="gray0625">
        <fgColor indexed="23"/>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00"/>
        <bgColor indexed="64"/>
      </patternFill>
    </fill>
    <fill>
      <patternFill patternType="solid">
        <fgColor rgb="FF808080"/>
        <bgColor indexed="64"/>
      </patternFill>
    </fill>
    <fill>
      <patternFill patternType="solid">
        <fgColor theme="0" tint="-0.34998626667073579"/>
        <bgColor indexed="64"/>
      </patternFill>
    </fill>
    <fill>
      <patternFill patternType="solid">
        <fgColor theme="9" tint="0.59999389629810485"/>
        <bgColor indexed="64"/>
      </patternFill>
    </fill>
    <fill>
      <patternFill patternType="lightUp"/>
    </fill>
    <fill>
      <patternFill patternType="solid">
        <fgColor rgb="FFFFFF99"/>
        <bgColor indexed="64"/>
      </patternFill>
    </fill>
    <fill>
      <patternFill patternType="solid">
        <fgColor theme="9" tint="0.39997558519241921"/>
        <bgColor indexed="64"/>
      </patternFill>
    </fill>
    <fill>
      <patternFill patternType="solid">
        <fgColor rgb="FFDCE6F1"/>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5"/>
      </patternFill>
    </fill>
    <fill>
      <patternFill patternType="solid">
        <fgColor theme="4" tint="0.79998168889431442"/>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bgColor indexed="64"/>
      </patternFill>
    </fill>
    <fill>
      <patternFill patternType="gray0625">
        <bgColor rgb="FFDCE6F1"/>
      </patternFill>
    </fill>
    <fill>
      <patternFill patternType="solid">
        <fgColor rgb="FFC1C1C1"/>
        <bgColor indexed="64"/>
      </patternFill>
    </fill>
  </fills>
  <borders count="97">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44"/>
      </bottom>
      <diagonal/>
    </border>
    <border>
      <left/>
      <right/>
      <top/>
      <bottom style="thick">
        <color indexed="41"/>
      </bottom>
      <diagonal/>
    </border>
    <border>
      <left/>
      <right/>
      <top/>
      <bottom style="medium">
        <color indexed="44"/>
      </bottom>
      <diagonal/>
    </border>
    <border>
      <left/>
      <right/>
      <top/>
      <bottom style="medium">
        <color indexed="4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medium">
        <color indexed="64"/>
      </bottom>
      <diagonal/>
    </border>
    <border>
      <left/>
      <right style="medium">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medium">
        <color indexed="64"/>
      </left>
      <right style="medium">
        <color indexed="64"/>
      </right>
      <top style="medium">
        <color indexed="64"/>
      </top>
      <bottom/>
      <diagonal/>
    </border>
    <border>
      <left style="thick">
        <color indexed="64"/>
      </left>
      <right style="thick">
        <color indexed="64"/>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top style="thick">
        <color indexed="64"/>
      </top>
      <bottom/>
      <diagonal/>
    </border>
    <border>
      <left style="thin">
        <color indexed="64"/>
      </left>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bottom style="thick">
        <color indexed="64"/>
      </bottom>
      <diagonal/>
    </border>
    <border>
      <left style="medium">
        <color indexed="64"/>
      </left>
      <right style="medium">
        <color indexed="64"/>
      </right>
      <top style="thick">
        <color indexed="64"/>
      </top>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s>
  <cellStyleXfs count="1160">
    <xf numFmtId="0" fontId="0" fillId="0" borderId="0"/>
    <xf numFmtId="0" fontId="83" fillId="3" borderId="0" applyNumberFormat="0" applyBorder="0" applyAlignment="0" applyProtection="0"/>
    <xf numFmtId="0" fontId="83" fillId="3" borderId="0" applyNumberFormat="0" applyBorder="0" applyAlignment="0" applyProtection="0"/>
    <xf numFmtId="0" fontId="83" fillId="42" borderId="0" applyNumberFormat="0" applyBorder="0" applyAlignment="0" applyProtection="0"/>
    <xf numFmtId="0" fontId="83" fillId="42"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83" fillId="6" borderId="0" applyNumberFormat="0" applyBorder="0" applyAlignment="0" applyProtection="0"/>
    <xf numFmtId="0" fontId="83" fillId="6"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83" fillId="8" borderId="0" applyNumberFormat="0" applyBorder="0" applyAlignment="0" applyProtection="0"/>
    <xf numFmtId="0" fontId="83" fillId="8"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83"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83"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46" borderId="0" applyNumberFormat="0" applyBorder="0" applyAlignment="0" applyProtection="0"/>
    <xf numFmtId="0" fontId="83" fillId="46" borderId="0" applyNumberFormat="0" applyBorder="0" applyAlignment="0" applyProtection="0"/>
    <xf numFmtId="0" fontId="83" fillId="2" borderId="0" applyNumberFormat="0" applyBorder="0" applyAlignment="0" applyProtection="0"/>
    <xf numFmtId="0" fontId="83" fillId="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3" fillId="4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4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3" fillId="14" borderId="0" applyNumberFormat="0" applyBorder="0" applyAlignment="0" applyProtection="0"/>
    <xf numFmtId="0" fontId="83" fillId="14" borderId="0" applyNumberFormat="0" applyBorder="0" applyAlignment="0" applyProtection="0"/>
    <xf numFmtId="0" fontId="83" fillId="50" borderId="0" applyNumberFormat="0" applyBorder="0" applyAlignment="0" applyProtection="0"/>
    <xf numFmtId="0" fontId="83" fillId="50"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4"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4" fillId="54" borderId="0" applyNumberFormat="0" applyBorder="0" applyAlignment="0" applyProtection="0"/>
    <xf numFmtId="0" fontId="84" fillId="54" borderId="0" applyNumberFormat="0" applyBorder="0" applyAlignment="0" applyProtection="0"/>
    <xf numFmtId="0" fontId="84" fillId="2" borderId="0" applyNumberFormat="0" applyBorder="0" applyAlignment="0" applyProtection="0"/>
    <xf numFmtId="0" fontId="84" fillId="4"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84" fillId="55"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84" fillId="5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57" borderId="0" applyNumberFormat="0" applyBorder="0" applyAlignment="0" applyProtection="0"/>
    <xf numFmtId="0" fontId="84" fillId="57"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84" fillId="58" borderId="0" applyNumberFormat="0" applyBorder="0" applyAlignment="0" applyProtection="0"/>
    <xf numFmtId="0" fontId="84" fillId="58" borderId="0" applyNumberFormat="0" applyBorder="0" applyAlignment="0" applyProtection="0"/>
    <xf numFmtId="0" fontId="84" fillId="2" borderId="0" applyNumberFormat="0" applyBorder="0" applyAlignment="0" applyProtection="0"/>
    <xf numFmtId="0" fontId="84" fillId="4"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84" fillId="20" borderId="0" applyNumberFormat="0" applyBorder="0" applyAlignment="0" applyProtection="0"/>
    <xf numFmtId="0" fontId="84" fillId="20" borderId="0" applyNumberFormat="0" applyBorder="0" applyAlignment="0" applyProtection="0"/>
    <xf numFmtId="0" fontId="84" fillId="59" borderId="0" applyNumberFormat="0" applyBorder="0" applyAlignment="0" applyProtection="0"/>
    <xf numFmtId="0" fontId="84" fillId="59"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84" fillId="60"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46" fillId="23" borderId="0" applyNumberFormat="0" applyBorder="0" applyAlignment="0" applyProtection="0"/>
    <xf numFmtId="0" fontId="84" fillId="22" borderId="0" applyNumberFormat="0" applyBorder="0" applyAlignment="0" applyProtection="0"/>
    <xf numFmtId="0" fontId="46" fillId="24" borderId="0" applyNumberFormat="0" applyBorder="0" applyAlignment="0" applyProtection="0"/>
    <xf numFmtId="0" fontId="46" fillId="18" borderId="0" applyNumberFormat="0" applyBorder="0" applyAlignment="0" applyProtection="0"/>
    <xf numFmtId="0" fontId="84" fillId="62" borderId="0" applyNumberFormat="0" applyBorder="0" applyAlignment="0" applyProtection="0"/>
    <xf numFmtId="0" fontId="84" fillId="25" borderId="0" applyNumberFormat="0" applyBorder="0" applyAlignment="0" applyProtection="0"/>
    <xf numFmtId="0" fontId="84" fillId="25"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23" borderId="0" applyNumberFormat="0" applyBorder="0" applyAlignment="0" applyProtection="0"/>
    <xf numFmtId="0" fontId="84" fillId="61" borderId="0" applyNumberFormat="0" applyBorder="0" applyAlignment="0" applyProtection="0"/>
    <xf numFmtId="0" fontId="84" fillId="61" borderId="0" applyNumberFormat="0" applyBorder="0" applyAlignment="0" applyProtection="0"/>
    <xf numFmtId="0" fontId="84" fillId="61"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18"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3" borderId="0" applyNumberFormat="0" applyBorder="0" applyAlignment="0" applyProtection="0"/>
    <xf numFmtId="0" fontId="84" fillId="64" borderId="0" applyNumberFormat="0" applyBorder="0" applyAlignment="0" applyProtection="0"/>
    <xf numFmtId="0" fontId="84" fillId="64" borderId="0" applyNumberFormat="0" applyBorder="0" applyAlignment="0" applyProtection="0"/>
    <xf numFmtId="0" fontId="84" fillId="64" borderId="0" applyNumberFormat="0" applyBorder="0" applyAlignment="0" applyProtection="0"/>
    <xf numFmtId="0" fontId="85" fillId="15" borderId="75" applyNumberFormat="0" applyAlignment="0" applyProtection="0"/>
    <xf numFmtId="0" fontId="85" fillId="15" borderId="75" applyNumberFormat="0" applyAlignment="0" applyProtection="0"/>
    <xf numFmtId="0" fontId="85" fillId="15" borderId="75" applyNumberFormat="0" applyAlignment="0" applyProtection="0"/>
    <xf numFmtId="0" fontId="58" fillId="15" borderId="2" applyNumberFormat="0" applyAlignment="0" applyProtection="0"/>
    <xf numFmtId="0" fontId="85" fillId="65" borderId="75" applyNumberFormat="0" applyAlignment="0" applyProtection="0"/>
    <xf numFmtId="0" fontId="85" fillId="65" borderId="75" applyNumberFormat="0" applyAlignment="0" applyProtection="0"/>
    <xf numFmtId="0" fontId="85" fillId="9" borderId="75" applyNumberFormat="0" applyAlignment="0" applyProtection="0"/>
    <xf numFmtId="0" fontId="58" fillId="9" borderId="2" applyNumberFormat="0" applyAlignment="0" applyProtection="0"/>
    <xf numFmtId="0" fontId="85" fillId="15" borderId="75" applyNumberFormat="0" applyAlignment="0" applyProtection="0"/>
    <xf numFmtId="0" fontId="58" fillId="9" borderId="2" applyNumberFormat="0" applyAlignment="0" applyProtection="0"/>
    <xf numFmtId="0" fontId="85" fillId="15" borderId="75" applyNumberFormat="0" applyAlignment="0" applyProtection="0"/>
    <xf numFmtId="0" fontId="85" fillId="15" borderId="75" applyNumberFormat="0" applyAlignment="0" applyProtection="0"/>
    <xf numFmtId="0" fontId="58" fillId="15" borderId="2" applyNumberFormat="0" applyAlignment="0" applyProtection="0"/>
    <xf numFmtId="0" fontId="47" fillId="15" borderId="1" applyNumberFormat="0" applyAlignment="0" applyProtection="0"/>
    <xf numFmtId="0" fontId="47" fillId="15" borderId="1" applyNumberFormat="0" applyAlignment="0" applyProtection="0"/>
    <xf numFmtId="0" fontId="47" fillId="15" borderId="1" applyNumberFormat="0" applyAlignment="0" applyProtection="0"/>
    <xf numFmtId="0" fontId="85" fillId="15" borderId="75" applyNumberFormat="0" applyAlignment="0" applyProtection="0"/>
    <xf numFmtId="0" fontId="47" fillId="15" borderId="1" applyNumberFormat="0" applyAlignment="0" applyProtection="0"/>
    <xf numFmtId="0" fontId="58" fillId="15" borderId="2" applyNumberFormat="0" applyAlignment="0" applyProtection="0"/>
    <xf numFmtId="0" fontId="85" fillId="15" borderId="75" applyNumberFormat="0" applyAlignment="0" applyProtection="0"/>
    <xf numFmtId="0" fontId="85" fillId="15" borderId="75" applyNumberFormat="0" applyAlignment="0" applyProtection="0"/>
    <xf numFmtId="0" fontId="85" fillId="15" borderId="75" applyNumberFormat="0" applyAlignment="0" applyProtection="0"/>
    <xf numFmtId="0" fontId="47" fillId="15" borderId="1" applyNumberFormat="0" applyAlignment="0" applyProtection="0"/>
    <xf numFmtId="0" fontId="52" fillId="6" borderId="0" applyNumberFormat="0" applyBorder="0" applyAlignment="0" applyProtection="0"/>
    <xf numFmtId="0" fontId="87" fillId="15" borderId="76" applyNumberFormat="0" applyAlignment="0" applyProtection="0"/>
    <xf numFmtId="0" fontId="87" fillId="15" borderId="76" applyNumberFormat="0" applyAlignment="0" applyProtection="0"/>
    <xf numFmtId="0" fontId="87" fillId="65" borderId="76" applyNumberFormat="0" applyAlignment="0" applyProtection="0"/>
    <xf numFmtId="0" fontId="87" fillId="65" borderId="76" applyNumberFormat="0" applyAlignment="0" applyProtection="0"/>
    <xf numFmtId="0" fontId="87" fillId="9" borderId="76" applyNumberFormat="0" applyAlignment="0" applyProtection="0"/>
    <xf numFmtId="0" fontId="87" fillId="9" borderId="76" applyNumberFormat="0" applyAlignment="0" applyProtection="0"/>
    <xf numFmtId="0" fontId="87" fillId="9" borderId="76" applyNumberFormat="0" applyAlignment="0" applyProtection="0"/>
    <xf numFmtId="0" fontId="87" fillId="15" borderId="76" applyNumberFormat="0" applyAlignment="0" applyProtection="0"/>
    <xf numFmtId="0" fontId="48" fillId="15" borderId="3" applyNumberFormat="0" applyAlignment="0" applyProtection="0"/>
    <xf numFmtId="0" fontId="48" fillId="15" borderId="3" applyNumberFormat="0" applyAlignment="0" applyProtection="0"/>
    <xf numFmtId="0" fontId="48" fillId="15" borderId="3" applyNumberFormat="0" applyAlignment="0" applyProtection="0"/>
    <xf numFmtId="0" fontId="87" fillId="15" borderId="76" applyNumberFormat="0" applyAlignment="0" applyProtection="0"/>
    <xf numFmtId="0" fontId="48" fillId="15" borderId="3" applyNumberFormat="0" applyAlignment="0" applyProtection="0"/>
    <xf numFmtId="0" fontId="87" fillId="15" borderId="76" applyNumberFormat="0" applyAlignment="0" applyProtection="0"/>
    <xf numFmtId="0" fontId="48" fillId="15" borderId="3" applyNumberFormat="0" applyAlignment="0" applyProtection="0"/>
    <xf numFmtId="0" fontId="48" fillId="15" borderId="3" applyNumberFormat="0" applyAlignment="0" applyProtection="0"/>
    <xf numFmtId="0" fontId="54" fillId="26" borderId="4" applyNumberFormat="0" applyAlignment="0" applyProtection="0"/>
    <xf numFmtId="0" fontId="88" fillId="67" borderId="77" applyNumberFormat="0" applyAlignment="0" applyProtection="0"/>
    <xf numFmtId="0" fontId="88" fillId="67" borderId="5" applyNumberFormat="0" applyAlignment="0" applyProtection="0"/>
    <xf numFmtId="0" fontId="89" fillId="68" borderId="76"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49" fillId="5" borderId="3" applyNumberFormat="0" applyAlignment="0" applyProtection="0"/>
    <xf numFmtId="0" fontId="90" fillId="0" borderId="6" applyNumberFormat="0" applyFill="0" applyAlignment="0" applyProtection="0"/>
    <xf numFmtId="0" fontId="90" fillId="0" borderId="6" applyNumberFormat="0" applyFill="0" applyAlignment="0" applyProtection="0"/>
    <xf numFmtId="0" fontId="90" fillId="0" borderId="6" applyNumberFormat="0" applyFill="0" applyAlignment="0" applyProtection="0"/>
    <xf numFmtId="0" fontId="90" fillId="0" borderId="6" applyNumberFormat="0" applyFill="0" applyAlignment="0" applyProtection="0"/>
    <xf numFmtId="0" fontId="90" fillId="0" borderId="78" applyNumberFormat="0" applyFill="0" applyAlignment="0" applyProtection="0"/>
    <xf numFmtId="0" fontId="90" fillId="0" borderId="78" applyNumberFormat="0" applyFill="0" applyAlignment="0" applyProtection="0"/>
    <xf numFmtId="0" fontId="90" fillId="0" borderId="7" applyNumberFormat="0" applyFill="0" applyAlignment="0" applyProtection="0"/>
    <xf numFmtId="0" fontId="90" fillId="0" borderId="7" applyNumberFormat="0" applyFill="0" applyAlignment="0" applyProtection="0"/>
    <xf numFmtId="0" fontId="90" fillId="0" borderId="7" applyNumberFormat="0" applyFill="0" applyAlignment="0" applyProtection="0"/>
    <xf numFmtId="0" fontId="90" fillId="0" borderId="6" applyNumberFormat="0" applyFill="0" applyAlignment="0" applyProtection="0"/>
    <xf numFmtId="0" fontId="90"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90" fillId="0" borderId="6"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90" fillId="0" borderId="6" applyNumberFormat="0" applyFill="0" applyAlignment="0" applyProtection="0"/>
    <xf numFmtId="0" fontId="13" fillId="0" borderId="6" applyNumberFormat="0" applyFill="0" applyAlignment="0" applyProtection="0"/>
    <xf numFmtId="0" fontId="90" fillId="0" borderId="6" applyNumberFormat="0" applyFill="0" applyAlignment="0" applyProtection="0"/>
    <xf numFmtId="0" fontId="13" fillId="0" borderId="6" applyNumberFormat="0" applyFill="0" applyAlignment="0" applyProtection="0"/>
    <xf numFmtId="0" fontId="91"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8"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3" fillId="0" borderId="79" applyNumberFormat="0" applyFill="0" applyAlignment="0" applyProtection="0"/>
    <xf numFmtId="0" fontId="59" fillId="0" borderId="8" applyNumberFormat="0" applyFill="0" applyAlignment="0" applyProtection="0"/>
    <xf numFmtId="0" fontId="59" fillId="0" borderId="8" applyNumberFormat="0" applyFill="0" applyAlignment="0" applyProtection="0"/>
    <xf numFmtId="0" fontId="94" fillId="0" borderId="80" applyNumberFormat="0" applyFill="0" applyAlignment="0" applyProtection="0"/>
    <xf numFmtId="0" fontId="60" fillId="0" borderId="9" applyNumberFormat="0" applyFill="0" applyAlignment="0" applyProtection="0"/>
    <xf numFmtId="0" fontId="60" fillId="0" borderId="10" applyNumberFormat="0" applyFill="0" applyAlignment="0" applyProtection="0"/>
    <xf numFmtId="0" fontId="95" fillId="0" borderId="81" applyNumberFormat="0" applyFill="0" applyAlignment="0" applyProtection="0"/>
    <xf numFmtId="0" fontId="61" fillId="0" borderId="11" applyNumberFormat="0" applyFill="0" applyAlignment="0" applyProtection="0"/>
    <xf numFmtId="0" fontId="61" fillId="0" borderId="12" applyNumberFormat="0" applyFill="0" applyAlignment="0" applyProtection="0"/>
    <xf numFmtId="0" fontId="9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9" fillId="5" borderId="3" applyNumberFormat="0" applyAlignment="0" applyProtection="0"/>
    <xf numFmtId="0" fontId="53" fillId="0" borderId="13" applyNumberFormat="0" applyFill="0" applyAlignment="0" applyProtection="0"/>
    <xf numFmtId="0" fontId="97" fillId="70" borderId="0" applyNumberFormat="0" applyBorder="0" applyAlignment="0" applyProtection="0"/>
    <xf numFmtId="0" fontId="83" fillId="0" borderId="0"/>
    <xf numFmtId="0" fontId="3" fillId="7" borderId="14" applyNumberFormat="0" applyFont="0" applyAlignment="0" applyProtection="0"/>
    <xf numFmtId="0" fontId="3" fillId="7" borderId="14"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7" fillId="71" borderId="83" applyNumberFormat="0" applyFont="0" applyAlignment="0" applyProtection="0"/>
    <xf numFmtId="0" fontId="12" fillId="71" borderId="83" applyNumberFormat="0" applyFont="0" applyAlignment="0" applyProtection="0"/>
    <xf numFmtId="0" fontId="12" fillId="71" borderId="83" applyNumberFormat="0" applyFont="0" applyAlignment="0" applyProtection="0"/>
    <xf numFmtId="0" fontId="34"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7"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7" fillId="71" borderId="83" applyNumberFormat="0" applyFont="0" applyAlignment="0" applyProtection="0"/>
    <xf numFmtId="0" fontId="57"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57"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34"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47" fillId="15" borderId="1" applyNumberFormat="0" applyAlignment="0" applyProtection="0"/>
    <xf numFmtId="9" fontId="12"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86" fillId="66" borderId="0" applyNumberFormat="0" applyBorder="0" applyAlignment="0" applyProtection="0"/>
    <xf numFmtId="0" fontId="86" fillId="66" borderId="0" applyNumberFormat="0" applyBorder="0" applyAlignment="0" applyProtection="0"/>
    <xf numFmtId="0" fontId="86" fillId="66" borderId="0" applyNumberFormat="0" applyBorder="0" applyAlignment="0" applyProtection="0"/>
    <xf numFmtId="0" fontId="3" fillId="0" borderId="0"/>
    <xf numFmtId="0" fontId="83" fillId="0" borderId="0"/>
    <xf numFmtId="0" fontId="83" fillId="0" borderId="0"/>
    <xf numFmtId="0" fontId="98" fillId="0" borderId="0"/>
    <xf numFmtId="0" fontId="3" fillId="0" borderId="0"/>
    <xf numFmtId="0" fontId="83" fillId="0" borderId="0"/>
    <xf numFmtId="0" fontId="83" fillId="0" borderId="0"/>
    <xf numFmtId="0" fontId="98" fillId="0" borderId="0"/>
    <xf numFmtId="0" fontId="2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83" fillId="0" borderId="0"/>
    <xf numFmtId="0" fontId="3" fillId="0" borderId="0"/>
    <xf numFmtId="0" fontId="3" fillId="0" borderId="0"/>
    <xf numFmtId="0" fontId="3" fillId="0" borderId="0"/>
    <xf numFmtId="0" fontId="3" fillId="0" borderId="0"/>
    <xf numFmtId="0" fontId="9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3" fillId="0" borderId="6" applyNumberFormat="0" applyFill="0" applyAlignment="0" applyProtection="0"/>
    <xf numFmtId="0" fontId="36" fillId="0" borderId="0" applyNumberFormat="0" applyFill="0" applyBorder="0" applyAlignment="0" applyProtection="0"/>
    <xf numFmtId="0" fontId="37" fillId="0" borderId="15" applyNumberFormat="0" applyFill="0" applyAlignment="0" applyProtection="0"/>
    <xf numFmtId="0" fontId="37" fillId="0" borderId="15" applyNumberFormat="0" applyFill="0" applyAlignment="0" applyProtection="0"/>
    <xf numFmtId="0" fontId="37" fillId="0" borderId="15"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40" fillId="0" borderId="16" applyNumberFormat="0" applyFill="0" applyAlignment="0" applyProtection="0"/>
    <xf numFmtId="0" fontId="38" fillId="0" borderId="17" applyNumberFormat="0" applyFill="0" applyAlignment="0" applyProtection="0"/>
    <xf numFmtId="0" fontId="38" fillId="0" borderId="17" applyNumberFormat="0" applyFill="0" applyAlignment="0" applyProtection="0"/>
    <xf numFmtId="0" fontId="38" fillId="0" borderId="17"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6" fillId="0" borderId="82" applyNumberFormat="0" applyFill="0" applyAlignment="0" applyProtection="0"/>
    <xf numFmtId="0" fontId="96" fillId="0" borderId="82" applyNumberFormat="0" applyFill="0" applyAlignment="0" applyProtection="0"/>
    <xf numFmtId="0" fontId="96" fillId="0" borderId="82"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64"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88" fillId="67" borderId="77" applyNumberFormat="0" applyAlignment="0" applyProtection="0"/>
    <xf numFmtId="0" fontId="88" fillId="67" borderId="5" applyNumberFormat="0" applyAlignment="0" applyProtection="0"/>
    <xf numFmtId="0" fontId="88" fillId="67" borderId="77" applyNumberFormat="0" applyAlignment="0" applyProtection="0"/>
    <xf numFmtId="0" fontId="88" fillId="67" borderId="77" applyNumberFormat="0" applyAlignment="0" applyProtection="0"/>
    <xf numFmtId="0" fontId="88" fillId="67" borderId="5" applyNumberFormat="0" applyAlignment="0" applyProtection="0"/>
    <xf numFmtId="0" fontId="83" fillId="42" borderId="0" applyNumberFormat="0" applyBorder="0" applyAlignment="0" applyProtection="0"/>
    <xf numFmtId="0" fontId="83" fillId="43" borderId="0" applyNumberFormat="0" applyBorder="0" applyAlignment="0" applyProtection="0"/>
    <xf numFmtId="0" fontId="83" fillId="44" borderId="0" applyNumberFormat="0" applyBorder="0" applyAlignment="0" applyProtection="0"/>
    <xf numFmtId="0" fontId="83" fillId="45" borderId="0" applyNumberFormat="0" applyBorder="0" applyAlignment="0" applyProtection="0"/>
    <xf numFmtId="0" fontId="83" fillId="46" borderId="0" applyNumberFormat="0" applyBorder="0" applyAlignment="0" applyProtection="0"/>
    <xf numFmtId="0" fontId="83" fillId="50" borderId="0" applyNumberFormat="0" applyBorder="0" applyAlignment="0" applyProtection="0"/>
    <xf numFmtId="0" fontId="83" fillId="51" borderId="0" applyNumberFormat="0" applyBorder="0" applyAlignment="0" applyProtection="0"/>
    <xf numFmtId="0" fontId="83" fillId="53" borderId="0" applyNumberFormat="0" applyBorder="0" applyAlignment="0" applyProtection="0"/>
    <xf numFmtId="0" fontId="84" fillId="54" borderId="0" applyNumberFormat="0" applyBorder="0" applyAlignment="0" applyProtection="0"/>
    <xf numFmtId="0" fontId="84" fillId="57" borderId="0" applyNumberFormat="0" applyBorder="0" applyAlignment="0" applyProtection="0"/>
    <xf numFmtId="0" fontId="84" fillId="58" borderId="0" applyNumberFormat="0" applyBorder="0" applyAlignment="0" applyProtection="0"/>
    <xf numFmtId="0" fontId="84" fillId="59" borderId="0" applyNumberFormat="0" applyBorder="0" applyAlignment="0" applyProtection="0"/>
    <xf numFmtId="0" fontId="84" fillId="60" borderId="0" applyNumberFormat="0" applyBorder="0" applyAlignment="0" applyProtection="0"/>
    <xf numFmtId="0" fontId="84" fillId="21" borderId="0" applyNumberFormat="0" applyBorder="0" applyAlignment="0" applyProtection="0"/>
    <xf numFmtId="0" fontId="84" fillId="83" borderId="0" applyNumberFormat="0" applyBorder="0" applyAlignment="0" applyProtection="0"/>
    <xf numFmtId="0" fontId="84" fillId="23" borderId="0" applyNumberFormat="0" applyBorder="0" applyAlignment="0" applyProtection="0"/>
    <xf numFmtId="0" fontId="84" fillId="62" borderId="0" applyNumberFormat="0" applyBorder="0" applyAlignment="0" applyProtection="0"/>
    <xf numFmtId="0" fontId="84" fillId="18" borderId="0" applyNumberFormat="0" applyBorder="0" applyAlignment="0" applyProtection="0"/>
    <xf numFmtId="0" fontId="13" fillId="15" borderId="2" applyNumberFormat="0" applyAlignment="0" applyProtection="0"/>
    <xf numFmtId="0" fontId="85" fillId="65" borderId="75" applyNumberFormat="0" applyAlignment="0" applyProtection="0"/>
    <xf numFmtId="0" fontId="13" fillId="9" borderId="2" applyNumberFormat="0" applyAlignment="0" applyProtection="0"/>
    <xf numFmtId="0" fontId="13" fillId="9" borderId="2" applyNumberFormat="0" applyAlignment="0" applyProtection="0"/>
    <xf numFmtId="0" fontId="13" fillId="15" borderId="2" applyNumberFormat="0" applyAlignment="0" applyProtection="0"/>
    <xf numFmtId="0" fontId="13" fillId="15" borderId="2" applyNumberFormat="0" applyAlignment="0" applyProtection="0"/>
    <xf numFmtId="0" fontId="85" fillId="15" borderId="75" applyNumberFormat="0" applyAlignment="0" applyProtection="0"/>
    <xf numFmtId="0" fontId="87" fillId="65" borderId="76" applyNumberFormat="0" applyAlignment="0" applyProtection="0"/>
    <xf numFmtId="0" fontId="90" fillId="0" borderId="78" applyNumberFormat="0" applyFill="0" applyAlignment="0" applyProtection="0"/>
    <xf numFmtId="0" fontId="125" fillId="0" borderId="8" applyNumberFormat="0" applyFill="0" applyAlignment="0" applyProtection="0"/>
    <xf numFmtId="0" fontId="93" fillId="0" borderId="79" applyNumberFormat="0" applyFill="0" applyAlignment="0" applyProtection="0"/>
    <xf numFmtId="0" fontId="37" fillId="0" borderId="15" applyNumberFormat="0" applyFill="0" applyAlignment="0" applyProtection="0"/>
    <xf numFmtId="0" fontId="126" fillId="0" borderId="9" applyNumberFormat="0" applyFill="0" applyAlignment="0" applyProtection="0"/>
    <xf numFmtId="0" fontId="94" fillId="0" borderId="80" applyNumberFormat="0" applyFill="0" applyAlignment="0" applyProtection="0"/>
    <xf numFmtId="0" fontId="40" fillId="0" borderId="16" applyNumberFormat="0" applyFill="0" applyAlignment="0" applyProtection="0"/>
    <xf numFmtId="0" fontId="127" fillId="0" borderId="11" applyNumberFormat="0" applyFill="0" applyAlignment="0" applyProtection="0"/>
    <xf numFmtId="0" fontId="95" fillId="0" borderId="81" applyNumberFormat="0" applyFill="0" applyAlignment="0" applyProtection="0"/>
    <xf numFmtId="0" fontId="38" fillId="0" borderId="17" applyNumberFormat="0" applyFill="0" applyAlignment="0" applyProtection="0"/>
    <xf numFmtId="0" fontId="127" fillId="0" borderId="0" applyNumberFormat="0" applyFill="0" applyBorder="0" applyAlignment="0" applyProtection="0"/>
    <xf numFmtId="0" fontId="95" fillId="0" borderId="0" applyNumberFormat="0" applyFill="0" applyBorder="0" applyAlignment="0" applyProtection="0"/>
    <xf numFmtId="0" fontId="38" fillId="0" borderId="0" applyNumberFormat="0" applyFill="0" applyBorder="0" applyAlignment="0" applyProtection="0"/>
    <xf numFmtId="164" fontId="1" fillId="0" borderId="0" applyFont="0" applyFill="0" applyBorder="0" applyAlignment="0" applyProtection="0"/>
    <xf numFmtId="0" fontId="83" fillId="71" borderId="83" applyNumberFormat="0" applyFont="0" applyAlignment="0" applyProtection="0"/>
    <xf numFmtId="0" fontId="1" fillId="71" borderId="83" applyNumberFormat="0" applyFont="0" applyAlignment="0" applyProtection="0"/>
    <xf numFmtId="0" fontId="83"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9" fontId="83"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0" fontId="124" fillId="0" borderId="0"/>
    <xf numFmtId="0" fontId="124" fillId="0" borderId="0"/>
    <xf numFmtId="0" fontId="128" fillId="0" borderId="0" applyNumberFormat="0" applyFill="0" applyBorder="0" applyAlignment="0" applyProtection="0"/>
    <xf numFmtId="0" fontId="99" fillId="0" borderId="0" applyNumberFormat="0" applyFill="0" applyBorder="0" applyAlignment="0" applyProtection="0"/>
    <xf numFmtId="0" fontId="36" fillId="0" borderId="0" applyNumberFormat="0" applyFill="0" applyBorder="0" applyAlignment="0" applyProtection="0"/>
    <xf numFmtId="0" fontId="129" fillId="0" borderId="0" applyNumberFormat="0" applyFill="0" applyBorder="0" applyAlignment="0" applyProtection="0"/>
    <xf numFmtId="0" fontId="64" fillId="0" borderId="0" applyNumberFormat="0" applyFill="0" applyBorder="0" applyAlignment="0" applyProtection="0"/>
    <xf numFmtId="0" fontId="88" fillId="67" borderId="5" applyNumberFormat="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4" fillId="60" borderId="0" applyNumberFormat="0" applyBorder="0" applyAlignment="0" applyProtection="0"/>
    <xf numFmtId="0" fontId="84" fillId="62" borderId="0" applyNumberFormat="0" applyBorder="0" applyAlignment="0" applyProtection="0"/>
    <xf numFmtId="0" fontId="84" fillId="19" borderId="0" applyNumberFormat="0" applyBorder="0" applyAlignment="0" applyProtection="0"/>
    <xf numFmtId="0" fontId="84" fillId="19" borderId="0" applyNumberFormat="0" applyBorder="0" applyAlignment="0" applyProtection="0"/>
    <xf numFmtId="0" fontId="84" fillId="83" borderId="0" applyNumberFormat="0" applyBorder="0" applyAlignment="0" applyProtection="0"/>
    <xf numFmtId="0" fontId="84" fillId="83" borderId="0" applyNumberFormat="0" applyBorder="0" applyAlignment="0" applyProtection="0"/>
    <xf numFmtId="0" fontId="84" fillId="61" borderId="0" applyNumberFormat="0" applyBorder="0" applyAlignment="0" applyProtection="0"/>
    <xf numFmtId="0" fontId="84" fillId="25" borderId="0" applyNumberFormat="0" applyBorder="0" applyAlignment="0" applyProtection="0"/>
    <xf numFmtId="0" fontId="84" fillId="25" borderId="0" applyNumberFormat="0" applyBorder="0" applyAlignment="0" applyProtection="0"/>
    <xf numFmtId="0" fontId="84" fillId="63" borderId="0" applyNumberFormat="0" applyBorder="0" applyAlignment="0" applyProtection="0"/>
    <xf numFmtId="0" fontId="84" fillId="64" borderId="0" applyNumberFormat="0" applyBorder="0" applyAlignment="0" applyProtection="0"/>
    <xf numFmtId="0" fontId="130" fillId="9" borderId="2" applyNumberFormat="0" applyAlignment="0" applyProtection="0"/>
    <xf numFmtId="0" fontId="130" fillId="15" borderId="2" applyNumberFormat="0" applyAlignment="0" applyProtection="0"/>
    <xf numFmtId="0" fontId="130" fillId="15" borderId="2" applyNumberFormat="0" applyAlignment="0" applyProtection="0"/>
    <xf numFmtId="0" fontId="130" fillId="9" borderId="2" applyNumberFormat="0" applyAlignment="0" applyProtection="0"/>
    <xf numFmtId="0" fontId="130" fillId="9" borderId="2" applyNumberFormat="0" applyAlignment="0" applyProtection="0"/>
    <xf numFmtId="0" fontId="130" fillId="15" borderId="2" applyNumberFormat="0" applyAlignment="0" applyProtection="0"/>
    <xf numFmtId="0" fontId="130" fillId="15" borderId="2" applyNumberFormat="0" applyAlignment="0" applyProtection="0"/>
    <xf numFmtId="0" fontId="130" fillId="15" borderId="2" applyNumberFormat="0" applyAlignment="0" applyProtection="0"/>
    <xf numFmtId="0" fontId="52" fillId="6" borderId="0" applyNumberFormat="0" applyBorder="0" applyAlignment="0" applyProtection="0"/>
    <xf numFmtId="0" fontId="54" fillId="26" borderId="4" applyNumberFormat="0" applyAlignment="0" applyProtection="0"/>
    <xf numFmtId="0" fontId="88" fillId="67" borderId="5" applyNumberFormat="0" applyAlignment="0" applyProtection="0"/>
    <xf numFmtId="0" fontId="88" fillId="67" borderId="77" applyNumberFormat="0" applyAlignment="0" applyProtection="0"/>
    <xf numFmtId="0" fontId="88" fillId="67" borderId="77" applyNumberFormat="0" applyAlignment="0" applyProtection="0"/>
    <xf numFmtId="0" fontId="88" fillId="67" borderId="4" applyNumberFormat="0" applyAlignment="0" applyProtection="0"/>
    <xf numFmtId="0" fontId="51" fillId="8" borderId="0" applyNumberFormat="0" applyBorder="0" applyAlignment="0" applyProtection="0"/>
    <xf numFmtId="0" fontId="92" fillId="69" borderId="0" applyNumberFormat="0" applyBorder="0" applyAlignment="0" applyProtection="0"/>
    <xf numFmtId="0" fontId="125" fillId="0" borderId="8" applyNumberFormat="0" applyFill="0" applyAlignment="0" applyProtection="0"/>
    <xf numFmtId="0" fontId="93" fillId="0" borderId="79" applyNumberFormat="0" applyFill="0" applyAlignment="0" applyProtection="0"/>
    <xf numFmtId="0" fontId="126" fillId="0" borderId="10" applyNumberFormat="0" applyFill="0" applyAlignment="0" applyProtection="0"/>
    <xf numFmtId="0" fontId="126" fillId="0" borderId="9" applyNumberFormat="0" applyFill="0" applyAlignment="0" applyProtection="0"/>
    <xf numFmtId="0" fontId="94" fillId="0" borderId="80" applyNumberFormat="0" applyFill="0" applyAlignment="0" applyProtection="0"/>
    <xf numFmtId="0" fontId="127" fillId="0" borderId="12" applyNumberFormat="0" applyFill="0" applyAlignment="0" applyProtection="0"/>
    <xf numFmtId="0" fontId="127" fillId="0" borderId="11" applyNumberFormat="0" applyFill="0" applyAlignment="0" applyProtection="0"/>
    <xf numFmtId="0" fontId="95" fillId="0" borderId="81" applyNumberFormat="0" applyFill="0" applyAlignment="0" applyProtection="0"/>
    <xf numFmtId="0" fontId="127" fillId="0" borderId="0" applyNumberFormat="0" applyFill="0" applyBorder="0" applyAlignment="0" applyProtection="0"/>
    <xf numFmtId="0" fontId="95" fillId="0" borderId="0" applyNumberFormat="0" applyFill="0" applyBorder="0" applyAlignment="0" applyProtection="0"/>
    <xf numFmtId="0" fontId="53" fillId="0" borderId="13" applyNumberFormat="0" applyFill="0" applyAlignment="0" applyProtection="0"/>
    <xf numFmtId="0" fontId="97" fillId="70" borderId="0" applyNumberFormat="0" applyBorder="0" applyAlignment="0" applyProtection="0"/>
    <xf numFmtId="0" fontId="1"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83"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0" fontId="83"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0" fontId="1" fillId="71" borderId="83" applyNumberFormat="0" applyFont="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8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6" fillId="6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28" fillId="0" borderId="0" applyNumberFormat="0" applyFill="0" applyBorder="0" applyAlignment="0" applyProtection="0"/>
    <xf numFmtId="0" fontId="99" fillId="0" borderId="0" applyNumberFormat="0" applyFill="0" applyBorder="0" applyAlignment="0" applyProtection="0"/>
    <xf numFmtId="0" fontId="128" fillId="0" borderId="0" applyNumberFormat="0" applyFill="0" applyBorder="0" applyAlignment="0" applyProtection="0"/>
    <xf numFmtId="0" fontId="125" fillId="0" borderId="8" applyNumberFormat="0" applyFill="0" applyAlignment="0" applyProtection="0"/>
    <xf numFmtId="0" fontId="125" fillId="0" borderId="8" applyNumberFormat="0" applyFill="0" applyAlignment="0" applyProtection="0"/>
    <xf numFmtId="0" fontId="126" fillId="0" borderId="10" applyNumberFormat="0" applyFill="0" applyAlignment="0" applyProtection="0"/>
    <xf numFmtId="0" fontId="126" fillId="0" borderId="10" applyNumberFormat="0" applyFill="0" applyAlignment="0" applyProtection="0"/>
    <xf numFmtId="0" fontId="127" fillId="0" borderId="12" applyNumberFormat="0" applyFill="0" applyAlignment="0" applyProtection="0"/>
    <xf numFmtId="0" fontId="127" fillId="0" borderId="12" applyNumberFormat="0" applyFill="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8" fillId="0" borderId="0" applyNumberFormat="0" applyFill="0" applyBorder="0" applyAlignment="0" applyProtection="0"/>
    <xf numFmtId="0" fontId="96" fillId="0" borderId="82" applyNumberFormat="0" applyFill="0" applyAlignment="0" applyProtection="0"/>
    <xf numFmtId="0" fontId="88" fillId="67" borderId="5" applyNumberFormat="0" applyAlignment="0" applyProtection="0"/>
    <xf numFmtId="0" fontId="88" fillId="67" borderId="5" applyNumberFormat="0" applyAlignment="0" applyProtection="0"/>
    <xf numFmtId="0" fontId="88" fillId="67" borderId="77" applyNumberFormat="0" applyAlignment="0" applyProtection="0"/>
    <xf numFmtId="0" fontId="84" fillId="19" borderId="0" applyNumberFormat="0" applyBorder="0" applyAlignment="0" applyProtection="0"/>
    <xf numFmtId="0" fontId="84" fillId="25" borderId="0" applyNumberFormat="0" applyBorder="0" applyAlignment="0" applyProtection="0"/>
    <xf numFmtId="0" fontId="84" fillId="23" borderId="0" applyNumberFormat="0" applyBorder="0" applyAlignment="0" applyProtection="0"/>
    <xf numFmtId="0" fontId="13" fillId="15" borderId="2" applyNumberFormat="0" applyAlignment="0" applyProtection="0"/>
    <xf numFmtId="0" fontId="13" fillId="9" borderId="2" applyNumberFormat="0" applyAlignment="0" applyProtection="0"/>
    <xf numFmtId="0" fontId="13" fillId="9" borderId="2" applyNumberFormat="0" applyAlignment="0" applyProtection="0"/>
    <xf numFmtId="0" fontId="13" fillId="15" borderId="2" applyNumberFormat="0" applyAlignment="0" applyProtection="0"/>
    <xf numFmtId="0" fontId="88" fillId="67" borderId="5" applyNumberFormat="0" applyAlignment="0" applyProtection="0"/>
    <xf numFmtId="0" fontId="59" fillId="0" borderId="8" applyNumberFormat="0" applyFill="0" applyAlignment="0" applyProtection="0"/>
    <xf numFmtId="0" fontId="59" fillId="0" borderId="8" applyNumberFormat="0" applyFill="0" applyAlignment="0" applyProtection="0"/>
    <xf numFmtId="0" fontId="60" fillId="0" borderId="9" applyNumberFormat="0" applyFill="0" applyAlignment="0" applyProtection="0"/>
    <xf numFmtId="0" fontId="60" fillId="0" borderId="10" applyNumberFormat="0" applyFill="0" applyAlignment="0" applyProtection="0"/>
    <xf numFmtId="0" fontId="61" fillId="0" borderId="11" applyNumberFormat="0" applyFill="0" applyAlignment="0" applyProtection="0"/>
    <xf numFmtId="0" fontId="61" fillId="0" borderId="1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71" borderId="8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64" fontId="1" fillId="0" borderId="0" applyFont="0" applyFill="0" applyBorder="0" applyAlignment="0" applyProtection="0"/>
  </cellStyleXfs>
  <cellXfs count="893">
    <xf numFmtId="0" fontId="0" fillId="0" borderId="0" xfId="0"/>
    <xf numFmtId="0" fontId="7" fillId="0" borderId="18" xfId="0" applyFont="1" applyBorder="1" applyAlignment="1">
      <alignment horizontal="center" vertical="center" wrapText="1"/>
    </xf>
    <xf numFmtId="0" fontId="8" fillId="0" borderId="0" xfId="0" applyFont="1" applyAlignment="1">
      <alignment horizontal="left"/>
    </xf>
    <xf numFmtId="0" fontId="8" fillId="0" borderId="0" xfId="0" applyFont="1"/>
    <xf numFmtId="0" fontId="7" fillId="0" borderId="0" xfId="0" applyFont="1"/>
    <xf numFmtId="0" fontId="7" fillId="0" borderId="0" xfId="509" applyFont="1" applyAlignment="1">
      <alignment horizontal="center"/>
    </xf>
    <xf numFmtId="0" fontId="7" fillId="0" borderId="0" xfId="510" applyFont="1"/>
    <xf numFmtId="0" fontId="7" fillId="0" borderId="0" xfId="0" applyFont="1" applyAlignment="1">
      <alignment wrapText="1"/>
    </xf>
    <xf numFmtId="0" fontId="19" fillId="0" borderId="0" xfId="0" applyFont="1"/>
    <xf numFmtId="0" fontId="23" fillId="0" borderId="0" xfId="0" applyFont="1"/>
    <xf numFmtId="0" fontId="4" fillId="0" borderId="0" xfId="477" applyFont="1"/>
    <xf numFmtId="0" fontId="14" fillId="0" borderId="0" xfId="0" applyFont="1"/>
    <xf numFmtId="0" fontId="23" fillId="0" borderId="0" xfId="0" applyFont="1" applyAlignment="1">
      <alignment vertical="center"/>
    </xf>
    <xf numFmtId="14" fontId="14" fillId="0" borderId="0" xfId="0" applyNumberFormat="1" applyFont="1" applyAlignment="1">
      <alignment horizontal="left"/>
    </xf>
    <xf numFmtId="14" fontId="14" fillId="27" borderId="0" xfId="0" applyNumberFormat="1" applyFont="1" applyFill="1" applyAlignment="1">
      <alignment horizontal="left"/>
    </xf>
    <xf numFmtId="0" fontId="19" fillId="0" borderId="0" xfId="0" applyFont="1" applyAlignment="1">
      <alignment horizontal="center"/>
    </xf>
    <xf numFmtId="0" fontId="19" fillId="0" borderId="0" xfId="0" applyFont="1" applyAlignment="1">
      <alignment horizontal="center" vertical="center"/>
    </xf>
    <xf numFmtId="0" fontId="3" fillId="0" borderId="0" xfId="0" applyFont="1"/>
    <xf numFmtId="0" fontId="21" fillId="0" borderId="0" xfId="0" applyFont="1"/>
    <xf numFmtId="0" fontId="5" fillId="0" borderId="0" xfId="0" applyFont="1"/>
    <xf numFmtId="0" fontId="6" fillId="0" borderId="0" xfId="0" applyFont="1"/>
    <xf numFmtId="0" fontId="3" fillId="0" borderId="0" xfId="477"/>
    <xf numFmtId="0" fontId="24" fillId="0" borderId="0" xfId="0" applyFont="1"/>
    <xf numFmtId="0" fontId="15" fillId="0" borderId="0" xfId="0" applyFont="1"/>
    <xf numFmtId="0" fontId="27" fillId="0" borderId="0" xfId="0" applyFont="1"/>
    <xf numFmtId="0" fontId="3" fillId="0" borderId="0" xfId="477" applyAlignment="1">
      <alignment horizontal="left"/>
    </xf>
    <xf numFmtId="0" fontId="16" fillId="0" borderId="0" xfId="0" applyFont="1"/>
    <xf numFmtId="0" fontId="18" fillId="0" borderId="0" xfId="477" applyFont="1"/>
    <xf numFmtId="0" fontId="4" fillId="0" borderId="0" xfId="477" applyFont="1" applyAlignment="1">
      <alignment horizontal="left"/>
    </xf>
    <xf numFmtId="0" fontId="18" fillId="0" borderId="0" xfId="477" applyFont="1" applyAlignment="1">
      <alignment vertical="center"/>
    </xf>
    <xf numFmtId="0" fontId="23" fillId="28" borderId="0" xfId="0" applyFont="1" applyFill="1"/>
    <xf numFmtId="0" fontId="3" fillId="0" borderId="0" xfId="0" applyFont="1" applyAlignment="1">
      <alignment wrapText="1"/>
    </xf>
    <xf numFmtId="0" fontId="22" fillId="0" borderId="0" xfId="0" applyFont="1"/>
    <xf numFmtId="0" fontId="20" fillId="0" borderId="0" xfId="0" applyFont="1"/>
    <xf numFmtId="0" fontId="14" fillId="0" borderId="19" xfId="0" applyFont="1" applyBorder="1" applyAlignment="1">
      <alignment horizontal="center" vertical="center" wrapText="1"/>
    </xf>
    <xf numFmtId="0" fontId="14" fillId="0" borderId="0" xfId="0" applyFont="1" applyAlignment="1">
      <alignment vertical="center"/>
    </xf>
    <xf numFmtId="0" fontId="26" fillId="0" borderId="0" xfId="0" applyFont="1"/>
    <xf numFmtId="14" fontId="29" fillId="29" borderId="19" xfId="0" applyNumberFormat="1" applyFont="1" applyFill="1" applyBorder="1" applyAlignment="1">
      <alignment horizontal="center" vertical="center"/>
    </xf>
    <xf numFmtId="0" fontId="11" fillId="29" borderId="19" xfId="477" applyFont="1" applyFill="1" applyBorder="1" applyAlignment="1">
      <alignment vertical="center"/>
    </xf>
    <xf numFmtId="0" fontId="23" fillId="30" borderId="20" xfId="0" applyFont="1" applyFill="1" applyBorder="1" applyAlignment="1">
      <alignment horizontal="center" vertical="center"/>
    </xf>
    <xf numFmtId="0" fontId="19" fillId="0" borderId="0" xfId="0" applyFont="1" applyAlignment="1">
      <alignment horizontal="center" vertical="center" wrapText="1"/>
    </xf>
    <xf numFmtId="0" fontId="35" fillId="0" borderId="0" xfId="0" applyFont="1"/>
    <xf numFmtId="0" fontId="31" fillId="0" borderId="0" xfId="0" applyFont="1"/>
    <xf numFmtId="166" fontId="31" fillId="0" borderId="0" xfId="0" applyNumberFormat="1" applyFont="1"/>
    <xf numFmtId="0" fontId="23" fillId="27" borderId="20" xfId="0" applyFont="1" applyFill="1" applyBorder="1" applyAlignment="1">
      <alignment horizontal="center" vertical="center"/>
    </xf>
    <xf numFmtId="0" fontId="23" fillId="27" borderId="21" xfId="0" applyFont="1" applyFill="1" applyBorder="1" applyAlignment="1">
      <alignment horizontal="center" vertical="center"/>
    </xf>
    <xf numFmtId="49" fontId="19" fillId="0" borderId="0" xfId="0" applyNumberFormat="1" applyFont="1" applyAlignment="1">
      <alignment horizontal="center" vertical="center"/>
    </xf>
    <xf numFmtId="0" fontId="41" fillId="0" borderId="0" xfId="0" applyFont="1" applyAlignment="1">
      <alignment horizontal="left" vertical="top"/>
    </xf>
    <xf numFmtId="0" fontId="65" fillId="0" borderId="0" xfId="477" applyFont="1"/>
    <xf numFmtId="0" fontId="7" fillId="0" borderId="22" xfId="0" applyFont="1" applyBorder="1" applyAlignment="1">
      <alignment textRotation="90" wrapText="1"/>
    </xf>
    <xf numFmtId="0" fontId="19" fillId="0" borderId="23" xfId="0" applyFont="1" applyBorder="1"/>
    <xf numFmtId="0" fontId="7" fillId="0" borderId="24" xfId="0" applyFont="1" applyBorder="1" applyAlignment="1">
      <alignment horizontal="center" vertical="center" wrapText="1"/>
    </xf>
    <xf numFmtId="165" fontId="7" fillId="0" borderId="25" xfId="399" applyNumberFormat="1" applyFont="1" applyFill="1" applyBorder="1" applyAlignment="1" applyProtection="1">
      <alignment horizontal="center" vertical="center"/>
    </xf>
    <xf numFmtId="0" fontId="9" fillId="0" borderId="0" xfId="477" applyFont="1" applyAlignment="1">
      <alignment horizontal="left"/>
    </xf>
    <xf numFmtId="165" fontId="3" fillId="0" borderId="0" xfId="477" applyNumberFormat="1"/>
    <xf numFmtId="165" fontId="31" fillId="0" borderId="0" xfId="399" applyNumberFormat="1" applyFont="1" applyProtection="1"/>
    <xf numFmtId="10" fontId="31" fillId="0" borderId="0" xfId="399" applyNumberFormat="1" applyFont="1" applyProtection="1"/>
    <xf numFmtId="9" fontId="31" fillId="0" borderId="0" xfId="0" applyNumberFormat="1" applyFont="1"/>
    <xf numFmtId="165" fontId="18" fillId="31" borderId="20" xfId="399" applyNumberFormat="1" applyFont="1" applyFill="1" applyBorder="1" applyAlignment="1" applyProtection="1">
      <alignment horizontal="center" vertical="center" wrapText="1"/>
    </xf>
    <xf numFmtId="14" fontId="7" fillId="30" borderId="0" xfId="0" applyNumberFormat="1" applyFont="1" applyFill="1" applyAlignment="1">
      <alignment horizontal="left"/>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32" borderId="28" xfId="0" applyFont="1" applyFill="1" applyBorder="1" applyAlignment="1">
      <alignment horizontal="center" wrapText="1"/>
    </xf>
    <xf numFmtId="0" fontId="3" fillId="0" borderId="0" xfId="477" applyAlignment="1">
      <alignment vertical="center"/>
    </xf>
    <xf numFmtId="0" fontId="23" fillId="31" borderId="29" xfId="0" applyFont="1" applyFill="1" applyBorder="1" applyAlignment="1">
      <alignment horizontal="center" vertical="center" wrapText="1"/>
    </xf>
    <xf numFmtId="0" fontId="23" fillId="30" borderId="29" xfId="0" applyFont="1" applyFill="1" applyBorder="1" applyAlignment="1">
      <alignment horizontal="center" vertical="center"/>
    </xf>
    <xf numFmtId="0" fontId="10" fillId="0" borderId="25" xfId="0" applyFont="1" applyBorder="1" applyAlignment="1">
      <alignment horizontal="center" vertical="center"/>
    </xf>
    <xf numFmtId="0" fontId="10" fillId="0" borderId="32" xfId="0" applyFont="1" applyBorder="1" applyAlignment="1">
      <alignment horizontal="center" vertical="center"/>
    </xf>
    <xf numFmtId="0" fontId="10" fillId="0" borderId="18" xfId="0" applyFont="1" applyBorder="1" applyAlignment="1">
      <alignment horizontal="center" vertical="center"/>
    </xf>
    <xf numFmtId="0" fontId="32" fillId="0" borderId="33"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35" xfId="0" applyFont="1" applyBorder="1" applyAlignment="1">
      <alignment horizontal="center" vertical="center" wrapText="1"/>
    </xf>
    <xf numFmtId="0" fontId="44" fillId="0" borderId="0" xfId="0" applyFont="1" applyAlignment="1">
      <alignment vertical="center"/>
    </xf>
    <xf numFmtId="0" fontId="67" fillId="33" borderId="20" xfId="0" applyFont="1" applyFill="1" applyBorder="1" applyAlignment="1">
      <alignment horizontal="center" vertical="center"/>
    </xf>
    <xf numFmtId="1" fontId="14" fillId="34" borderId="27" xfId="0" applyNumberFormat="1" applyFont="1" applyFill="1" applyBorder="1" applyAlignment="1" applyProtection="1">
      <alignment horizontal="center" vertical="center"/>
      <protection locked="0"/>
    </xf>
    <xf numFmtId="1" fontId="14" fillId="34" borderId="36"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32" fillId="0" borderId="37" xfId="0" applyFont="1" applyBorder="1" applyAlignment="1">
      <alignment horizontal="center" vertical="center" wrapText="1"/>
    </xf>
    <xf numFmtId="0" fontId="10" fillId="0" borderId="38" xfId="0" applyFont="1" applyBorder="1" applyAlignment="1">
      <alignment horizontal="center" vertical="center"/>
    </xf>
    <xf numFmtId="0" fontId="7" fillId="0" borderId="28" xfId="0" applyFont="1" applyBorder="1" applyAlignment="1">
      <alignment horizontal="center" vertical="center"/>
    </xf>
    <xf numFmtId="1" fontId="14" fillId="34" borderId="28" xfId="0" applyNumberFormat="1" applyFont="1" applyFill="1" applyBorder="1" applyAlignment="1" applyProtection="1">
      <alignment horizontal="center" vertical="center"/>
      <protection locked="0"/>
    </xf>
    <xf numFmtId="0" fontId="7" fillId="32" borderId="28" xfId="0" applyFont="1" applyFill="1" applyBorder="1" applyAlignment="1">
      <alignment horizontal="center" vertical="top" wrapText="1"/>
    </xf>
    <xf numFmtId="0" fontId="68" fillId="0" borderId="0" xfId="0" applyFont="1"/>
    <xf numFmtId="0" fontId="14" fillId="0" borderId="39" xfId="0" applyFont="1" applyBorder="1"/>
    <xf numFmtId="0" fontId="14" fillId="0" borderId="40" xfId="0" applyFont="1" applyBorder="1"/>
    <xf numFmtId="0" fontId="67" fillId="27" borderId="29" xfId="0" applyFont="1" applyFill="1" applyBorder="1" applyAlignment="1">
      <alignment horizontal="center" vertical="center"/>
    </xf>
    <xf numFmtId="0" fontId="67" fillId="27" borderId="31" xfId="0" applyFont="1" applyFill="1" applyBorder="1" applyAlignment="1">
      <alignment horizontal="center" vertical="center"/>
    </xf>
    <xf numFmtId="0" fontId="14" fillId="28" borderId="0" xfId="0" applyFont="1" applyFill="1" applyAlignment="1">
      <alignment horizontal="right" vertical="center"/>
    </xf>
    <xf numFmtId="0" fontId="14" fillId="28" borderId="0" xfId="0" applyFont="1" applyFill="1"/>
    <xf numFmtId="0" fontId="14" fillId="0" borderId="0" xfId="0" applyFont="1" applyAlignment="1">
      <alignment horizontal="right" vertical="center"/>
    </xf>
    <xf numFmtId="0" fontId="26" fillId="0" borderId="0" xfId="0" applyFont="1" applyAlignment="1">
      <alignment vertical="center"/>
    </xf>
    <xf numFmtId="0" fontId="26" fillId="0" borderId="19" xfId="0" applyFont="1" applyBorder="1" applyAlignment="1">
      <alignment horizontal="center" vertical="center" wrapText="1"/>
    </xf>
    <xf numFmtId="0" fontId="17" fillId="0" borderId="41" xfId="0" applyFont="1" applyBorder="1"/>
    <xf numFmtId="0" fontId="17" fillId="0" borderId="42" xfId="0" applyFont="1" applyBorder="1"/>
    <xf numFmtId="0" fontId="14" fillId="0" borderId="19" xfId="0" applyFont="1" applyBorder="1" applyAlignment="1">
      <alignment horizontal="center" vertical="center"/>
    </xf>
    <xf numFmtId="0" fontId="14" fillId="0" borderId="41" xfId="0" applyFont="1" applyBorder="1" applyAlignment="1">
      <alignment vertical="center"/>
    </xf>
    <xf numFmtId="0" fontId="17" fillId="0" borderId="41" xfId="0" applyFont="1" applyBorder="1" applyAlignment="1">
      <alignment vertical="center"/>
    </xf>
    <xf numFmtId="0" fontId="14" fillId="0" borderId="40" xfId="0" applyFont="1" applyBorder="1" applyAlignment="1">
      <alignment vertical="center"/>
    </xf>
    <xf numFmtId="0" fontId="17" fillId="0" borderId="40" xfId="0" applyFont="1" applyBorder="1" applyAlignment="1">
      <alignment vertical="center"/>
    </xf>
    <xf numFmtId="0" fontId="17" fillId="0" borderId="40" xfId="0" applyFont="1" applyBorder="1"/>
    <xf numFmtId="0" fontId="17" fillId="0" borderId="43" xfId="0" applyFont="1" applyBorder="1"/>
    <xf numFmtId="0" fontId="14" fillId="0" borderId="43" xfId="0" applyFont="1" applyBorder="1"/>
    <xf numFmtId="0" fontId="14" fillId="0" borderId="40" xfId="0" applyFont="1" applyBorder="1" applyAlignment="1">
      <alignment horizontal="left" vertical="center"/>
    </xf>
    <xf numFmtId="0" fontId="26" fillId="0" borderId="43" xfId="0" applyFont="1" applyBorder="1" applyAlignment="1">
      <alignment horizontal="center" vertical="center"/>
    </xf>
    <xf numFmtId="1" fontId="68" fillId="0" borderId="0" xfId="0" applyNumberFormat="1" applyFont="1"/>
    <xf numFmtId="14" fontId="68" fillId="0" borderId="0" xfId="0" applyNumberFormat="1" applyFont="1" applyAlignment="1">
      <alignment horizontal="left" vertical="center"/>
    </xf>
    <xf numFmtId="14" fontId="68" fillId="0" borderId="0" xfId="0" applyNumberFormat="1" applyFont="1"/>
    <xf numFmtId="14" fontId="68" fillId="0" borderId="0" xfId="0" applyNumberFormat="1" applyFont="1" applyAlignment="1">
      <alignment horizontal="center"/>
    </xf>
    <xf numFmtId="0" fontId="68" fillId="36" borderId="19" xfId="0" applyFont="1" applyFill="1" applyBorder="1" applyAlignment="1">
      <alignment horizontal="center" vertical="center"/>
    </xf>
    <xf numFmtId="9" fontId="14" fillId="36" borderId="19" xfId="399" applyFont="1" applyFill="1" applyBorder="1" applyAlignment="1" applyProtection="1">
      <alignment horizontal="center" vertical="center"/>
    </xf>
    <xf numFmtId="167" fontId="14" fillId="36" borderId="19" xfId="399" applyNumberFormat="1" applyFont="1" applyFill="1" applyBorder="1" applyAlignment="1" applyProtection="1">
      <alignment horizontal="center" vertical="center"/>
    </xf>
    <xf numFmtId="0" fontId="68" fillId="0" borderId="43" xfId="0" applyFont="1" applyBorder="1" applyAlignment="1">
      <alignment horizontal="center" vertical="center"/>
    </xf>
    <xf numFmtId="167" fontId="14" fillId="36" borderId="43" xfId="399" applyNumberFormat="1" applyFont="1" applyFill="1" applyBorder="1" applyAlignment="1" applyProtection="1">
      <alignment horizontal="center" vertical="center"/>
    </xf>
    <xf numFmtId="167" fontId="14" fillId="0" borderId="43" xfId="399" applyNumberFormat="1" applyFont="1" applyBorder="1" applyAlignment="1" applyProtection="1">
      <alignment horizontal="center" vertical="center"/>
    </xf>
    <xf numFmtId="0" fontId="68" fillId="0" borderId="0" xfId="0" applyFont="1" applyAlignment="1">
      <alignment horizontal="center" vertical="center"/>
    </xf>
    <xf numFmtId="10" fontId="14" fillId="34" borderId="27" xfId="399" applyNumberFormat="1" applyFont="1" applyFill="1" applyBorder="1" applyAlignment="1" applyProtection="1">
      <alignment horizontal="center" vertical="center"/>
      <protection locked="0"/>
    </xf>
    <xf numFmtId="10" fontId="14" fillId="34" borderId="44" xfId="399" applyNumberFormat="1" applyFont="1" applyFill="1" applyBorder="1" applyAlignment="1" applyProtection="1">
      <alignment horizontal="center" vertical="center"/>
      <protection locked="0"/>
    </xf>
    <xf numFmtId="0" fontId="14" fillId="0" borderId="27" xfId="0" applyFont="1" applyBorder="1" applyAlignment="1">
      <alignment vertical="center" wrapText="1"/>
    </xf>
    <xf numFmtId="1" fontId="26" fillId="29" borderId="27" xfId="0" applyNumberFormat="1" applyFont="1" applyFill="1" applyBorder="1" applyAlignment="1">
      <alignment horizontal="center" vertical="center" wrapText="1"/>
    </xf>
    <xf numFmtId="0" fontId="55" fillId="0" borderId="0" xfId="0" applyFont="1"/>
    <xf numFmtId="0" fontId="26" fillId="0" borderId="19" xfId="0" applyFont="1" applyBorder="1" applyAlignment="1">
      <alignment horizontal="center" vertical="center"/>
    </xf>
    <xf numFmtId="0" fontId="14" fillId="0" borderId="19" xfId="0" applyFont="1" applyBorder="1" applyAlignment="1">
      <alignment horizontal="left" vertical="center" wrapText="1"/>
    </xf>
    <xf numFmtId="0" fontId="14" fillId="0" borderId="0" xfId="0" applyFont="1" applyAlignment="1">
      <alignment horizontal="left" vertical="center"/>
    </xf>
    <xf numFmtId="0" fontId="26" fillId="0" borderId="0" xfId="0" applyFont="1" applyAlignment="1">
      <alignment horizontal="left" vertical="center"/>
    </xf>
    <xf numFmtId="0" fontId="7" fillId="0" borderId="0" xfId="0" applyFont="1" applyAlignment="1">
      <alignment horizontal="center" vertical="center"/>
    </xf>
    <xf numFmtId="0" fontId="7" fillId="0" borderId="19" xfId="0" applyFont="1" applyBorder="1" applyAlignment="1">
      <alignment horizontal="center" vertical="center"/>
    </xf>
    <xf numFmtId="9" fontId="26" fillId="0" borderId="19" xfId="399" applyFont="1" applyBorder="1" applyAlignment="1" applyProtection="1">
      <alignment horizontal="center" vertical="center"/>
    </xf>
    <xf numFmtId="9" fontId="14" fillId="0" borderId="19" xfId="399" applyFont="1" applyBorder="1" applyAlignment="1" applyProtection="1">
      <alignment horizontal="center" vertical="center"/>
    </xf>
    <xf numFmtId="167" fontId="14" fillId="0" borderId="19" xfId="399" applyNumberFormat="1" applyFont="1" applyBorder="1" applyAlignment="1" applyProtection="1">
      <alignment horizontal="center" vertical="center"/>
    </xf>
    <xf numFmtId="165" fontId="7" fillId="31" borderId="20" xfId="399" applyNumberFormat="1" applyFont="1" applyFill="1" applyBorder="1" applyAlignment="1" applyProtection="1">
      <alignment horizontal="center" vertical="center" wrapText="1"/>
    </xf>
    <xf numFmtId="0" fontId="45" fillId="0" borderId="19" xfId="0" applyFont="1" applyBorder="1" applyAlignment="1">
      <alignment vertical="center"/>
    </xf>
    <xf numFmtId="0" fontId="14" fillId="36" borderId="19" xfId="0" applyFont="1" applyFill="1" applyBorder="1" applyAlignment="1">
      <alignment vertical="center"/>
    </xf>
    <xf numFmtId="9" fontId="68" fillId="36" borderId="19" xfId="0" applyNumberFormat="1" applyFont="1" applyFill="1" applyBorder="1" applyAlignment="1">
      <alignment horizontal="center" vertical="center"/>
    </xf>
    <xf numFmtId="0" fontId="68" fillId="0" borderId="43" xfId="0" applyFont="1" applyBorder="1" applyAlignment="1">
      <alignment vertical="center"/>
    </xf>
    <xf numFmtId="0" fontId="68" fillId="0" borderId="0" xfId="0" applyFont="1" applyAlignment="1">
      <alignment vertical="center"/>
    </xf>
    <xf numFmtId="0" fontId="68" fillId="0" borderId="46" xfId="0" applyFont="1" applyBorder="1" applyAlignment="1">
      <alignment vertical="center"/>
    </xf>
    <xf numFmtId="0" fontId="68" fillId="0" borderId="40" xfId="0" applyFont="1" applyBorder="1" applyAlignment="1">
      <alignment vertical="center"/>
    </xf>
    <xf numFmtId="0" fontId="68" fillId="0" borderId="39" xfId="0" applyFont="1" applyBorder="1" applyAlignment="1">
      <alignment vertical="center"/>
    </xf>
    <xf numFmtId="0" fontId="14" fillId="0" borderId="39" xfId="0" applyFont="1" applyBorder="1" applyAlignment="1">
      <alignment vertical="center"/>
    </xf>
    <xf numFmtId="0" fontId="26" fillId="0" borderId="43" xfId="0" applyFont="1" applyBorder="1" applyAlignment="1">
      <alignment vertical="center"/>
    </xf>
    <xf numFmtId="0" fontId="26" fillId="0" borderId="40" xfId="0" applyFont="1" applyBorder="1" applyAlignment="1">
      <alignment vertical="center"/>
    </xf>
    <xf numFmtId="0" fontId="26" fillId="0" borderId="39" xfId="0" applyFont="1" applyBorder="1" applyAlignment="1">
      <alignment vertical="center"/>
    </xf>
    <xf numFmtId="0" fontId="14" fillId="31" borderId="47" xfId="0" applyFont="1" applyFill="1" applyBorder="1" applyAlignment="1">
      <alignment horizontal="center" vertical="center"/>
    </xf>
    <xf numFmtId="0" fontId="14" fillId="31" borderId="48" xfId="0" applyFont="1" applyFill="1" applyBorder="1" applyAlignment="1">
      <alignment horizontal="center" vertical="center"/>
    </xf>
    <xf numFmtId="49" fontId="14" fillId="37" borderId="47" xfId="0" applyNumberFormat="1" applyFont="1" applyFill="1" applyBorder="1" applyAlignment="1">
      <alignment horizontal="center" vertical="center" wrapText="1"/>
    </xf>
    <xf numFmtId="49" fontId="14" fillId="37" borderId="48" xfId="0" applyNumberFormat="1" applyFont="1" applyFill="1" applyBorder="1" applyAlignment="1">
      <alignment horizontal="center" vertical="center" wrapText="1"/>
    </xf>
    <xf numFmtId="49" fontId="14" fillId="0" borderId="26" xfId="0" applyNumberFormat="1" applyFont="1" applyBorder="1" applyAlignment="1">
      <alignment horizontal="center" vertical="center"/>
    </xf>
    <xf numFmtId="49" fontId="14" fillId="0" borderId="19" xfId="0" applyNumberFormat="1" applyFont="1" applyBorder="1" applyAlignment="1">
      <alignment horizontal="center" vertical="center"/>
    </xf>
    <xf numFmtId="0" fontId="67" fillId="0" borderId="0" xfId="0" applyFont="1" applyAlignment="1">
      <alignment horizontal="left" vertical="center"/>
    </xf>
    <xf numFmtId="0" fontId="67" fillId="0" borderId="0" xfId="0" applyFont="1" applyAlignment="1">
      <alignment vertical="center"/>
    </xf>
    <xf numFmtId="0" fontId="67" fillId="0" borderId="0" xfId="0" applyFont="1" applyAlignment="1">
      <alignment horizontal="center" vertical="center"/>
    </xf>
    <xf numFmtId="0" fontId="70" fillId="0" borderId="19" xfId="0" applyFont="1" applyBorder="1" applyAlignment="1">
      <alignment horizontal="center" vertical="center" wrapText="1"/>
    </xf>
    <xf numFmtId="0" fontId="70" fillId="0" borderId="19" xfId="0" applyFont="1" applyBorder="1" applyAlignment="1">
      <alignment horizontal="center" vertical="center"/>
    </xf>
    <xf numFmtId="0" fontId="14" fillId="31" borderId="45" xfId="0" applyFont="1" applyFill="1" applyBorder="1" applyAlignment="1">
      <alignment horizontal="center" vertical="center" wrapText="1"/>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14" fillId="0" borderId="51" xfId="0" applyFont="1" applyBorder="1" applyAlignment="1">
      <alignment horizontal="center" vertical="center" wrapText="1"/>
    </xf>
    <xf numFmtId="49" fontId="14" fillId="0" borderId="19" xfId="0" applyNumberFormat="1" applyFont="1" applyBorder="1" applyAlignment="1">
      <alignment horizontal="center" vertical="center" wrapText="1"/>
    </xf>
    <xf numFmtId="2" fontId="14" fillId="0" borderId="19" xfId="0" applyNumberFormat="1" applyFont="1" applyBorder="1" applyAlignment="1">
      <alignment horizontal="center" vertical="center" wrapText="1"/>
    </xf>
    <xf numFmtId="0" fontId="14" fillId="0" borderId="0" xfId="0" applyFont="1" applyAlignment="1">
      <alignment horizontal="center" vertical="center"/>
    </xf>
    <xf numFmtId="9" fontId="68" fillId="0" borderId="19" xfId="0" applyNumberFormat="1" applyFont="1" applyBorder="1" applyAlignment="1">
      <alignment horizontal="center" vertical="center"/>
    </xf>
    <xf numFmtId="0" fontId="14" fillId="33" borderId="20" xfId="0" applyFont="1" applyFill="1" applyBorder="1" applyAlignment="1">
      <alignment horizontal="center" vertical="center"/>
    </xf>
    <xf numFmtId="0" fontId="14" fillId="30" borderId="20" xfId="0" applyFont="1" applyFill="1" applyBorder="1" applyAlignment="1">
      <alignment horizontal="center" vertical="center"/>
    </xf>
    <xf numFmtId="0" fontId="14" fillId="38" borderId="20" xfId="0" applyFont="1" applyFill="1" applyBorder="1" applyAlignment="1">
      <alignment horizontal="center" vertical="center"/>
    </xf>
    <xf numFmtId="0" fontId="14" fillId="38" borderId="21" xfId="0" applyFont="1" applyFill="1" applyBorder="1" applyAlignment="1">
      <alignment horizontal="center" vertical="center"/>
    </xf>
    <xf numFmtId="0" fontId="45" fillId="0" borderId="0" xfId="0" applyFont="1" applyAlignment="1">
      <alignment vertical="center"/>
    </xf>
    <xf numFmtId="0" fontId="14" fillId="31" borderId="29" xfId="0" applyFont="1" applyFill="1" applyBorder="1" applyAlignment="1">
      <alignment horizontal="center" vertical="center" wrapText="1"/>
    </xf>
    <xf numFmtId="0" fontId="14" fillId="30" borderId="29" xfId="0" applyFont="1" applyFill="1" applyBorder="1" applyAlignment="1">
      <alignment horizontal="center" vertical="center"/>
    </xf>
    <xf numFmtId="0" fontId="14" fillId="38" borderId="29" xfId="0" applyFont="1" applyFill="1" applyBorder="1" applyAlignment="1">
      <alignment horizontal="center" vertical="center"/>
    </xf>
    <xf numFmtId="0" fontId="14" fillId="38" borderId="31" xfId="0" applyFont="1" applyFill="1" applyBorder="1" applyAlignment="1">
      <alignment horizontal="center" vertical="center"/>
    </xf>
    <xf numFmtId="0" fontId="7" fillId="0" borderId="0" xfId="0" applyFont="1" applyAlignment="1">
      <alignment vertical="center"/>
    </xf>
    <xf numFmtId="0" fontId="8" fillId="0" borderId="0" xfId="0" applyFont="1" applyAlignment="1">
      <alignment horizontal="center" vertical="center"/>
    </xf>
    <xf numFmtId="0" fontId="14" fillId="0" borderId="19" xfId="0" applyFont="1" applyBorder="1" applyAlignment="1">
      <alignment vertical="center"/>
    </xf>
    <xf numFmtId="0" fontId="7" fillId="0" borderId="19" xfId="0" applyFont="1" applyBorder="1" applyAlignment="1">
      <alignment vertical="center"/>
    </xf>
    <xf numFmtId="49" fontId="14" fillId="37" borderId="52" xfId="0" applyNumberFormat="1" applyFont="1" applyFill="1" applyBorder="1" applyAlignment="1">
      <alignment horizontal="center" vertical="center" wrapText="1"/>
    </xf>
    <xf numFmtId="0" fontId="15" fillId="0" borderId="0" xfId="0" applyFont="1" applyAlignment="1">
      <alignment vertical="center"/>
    </xf>
    <xf numFmtId="0" fontId="66" fillId="0" borderId="19" xfId="0" applyFont="1" applyBorder="1" applyAlignment="1">
      <alignment horizontal="left" vertical="center"/>
    </xf>
    <xf numFmtId="0" fontId="66" fillId="0" borderId="0" xfId="0" applyFont="1" applyAlignment="1">
      <alignment vertical="center"/>
    </xf>
    <xf numFmtId="0" fontId="4" fillId="0" borderId="0" xfId="477" applyFont="1" applyAlignment="1">
      <alignment vertical="center"/>
    </xf>
    <xf numFmtId="14" fontId="66" fillId="0" borderId="19" xfId="0" applyNumberFormat="1" applyFont="1" applyBorder="1" applyAlignment="1">
      <alignment horizontal="left" vertical="center"/>
    </xf>
    <xf numFmtId="0" fontId="66" fillId="0" borderId="31" xfId="0" applyFont="1" applyBorder="1" applyAlignment="1">
      <alignment horizontal="center" vertical="center"/>
    </xf>
    <xf numFmtId="0" fontId="66" fillId="0" borderId="0" xfId="0" applyFont="1" applyAlignment="1">
      <alignment horizontal="center" vertical="center"/>
    </xf>
    <xf numFmtId="0" fontId="0" fillId="0" borderId="0" xfId="0" applyAlignment="1">
      <alignment vertical="center"/>
    </xf>
    <xf numFmtId="0" fontId="67" fillId="0" borderId="0" xfId="0" applyFont="1" applyAlignment="1">
      <alignment horizontal="left" vertical="center" wrapText="1"/>
    </xf>
    <xf numFmtId="0" fontId="14" fillId="0" borderId="19" xfId="0" applyFont="1" applyBorder="1" applyAlignment="1">
      <alignment horizontal="left" vertical="center"/>
    </xf>
    <xf numFmtId="0" fontId="7" fillId="0" borderId="50" xfId="0" applyFont="1" applyBorder="1" applyAlignment="1">
      <alignment vertical="center"/>
    </xf>
    <xf numFmtId="0" fontId="7" fillId="0" borderId="51" xfId="0" applyFont="1" applyBorder="1" applyAlignment="1">
      <alignment vertical="center"/>
    </xf>
    <xf numFmtId="0" fontId="68" fillId="0" borderId="0" xfId="0" applyFont="1" applyAlignment="1">
      <alignment horizontal="left" vertical="center"/>
    </xf>
    <xf numFmtId="0" fontId="68" fillId="0" borderId="41" xfId="0" applyFont="1" applyBorder="1" applyAlignment="1">
      <alignment vertical="center"/>
    </xf>
    <xf numFmtId="0" fontId="68" fillId="0" borderId="50" xfId="0" applyFont="1" applyBorder="1" applyAlignment="1">
      <alignment vertical="center"/>
    </xf>
    <xf numFmtId="0" fontId="7" fillId="0" borderId="49" xfId="0" applyFont="1" applyBorder="1" applyAlignment="1">
      <alignment horizontal="center" vertical="center"/>
    </xf>
    <xf numFmtId="0" fontId="8" fillId="0" borderId="19" xfId="0" applyFont="1" applyBorder="1" applyAlignment="1">
      <alignment horizontal="center" vertical="center" wrapText="1"/>
    </xf>
    <xf numFmtId="0" fontId="71" fillId="0" borderId="0" xfId="0" applyFont="1" applyAlignment="1">
      <alignment vertical="center"/>
    </xf>
    <xf numFmtId="0" fontId="68" fillId="0" borderId="31" xfId="0" applyFont="1" applyBorder="1" applyAlignment="1">
      <alignment vertical="center"/>
    </xf>
    <xf numFmtId="4" fontId="68" fillId="0" borderId="31" xfId="0" applyNumberFormat="1" applyFont="1" applyBorder="1" applyAlignment="1">
      <alignment horizontal="center" vertical="center"/>
    </xf>
    <xf numFmtId="0" fontId="14" fillId="0" borderId="0" xfId="0" applyFont="1" applyAlignment="1">
      <alignment vertical="center" wrapText="1"/>
    </xf>
    <xf numFmtId="0" fontId="68" fillId="0" borderId="0" xfId="0" applyFont="1" applyAlignment="1">
      <alignment vertical="center" wrapText="1"/>
    </xf>
    <xf numFmtId="167" fontId="26" fillId="0" borderId="19" xfId="0" applyNumberFormat="1" applyFont="1" applyBorder="1" applyAlignment="1">
      <alignment horizontal="center" vertical="center" wrapText="1"/>
    </xf>
    <xf numFmtId="167" fontId="68" fillId="0" borderId="19" xfId="0" applyNumberFormat="1" applyFont="1" applyBorder="1" applyAlignment="1">
      <alignment horizontal="center" vertical="center" wrapText="1"/>
    </xf>
    <xf numFmtId="167" fontId="68" fillId="36" borderId="19" xfId="0" applyNumberFormat="1" applyFont="1" applyFill="1" applyBorder="1" applyAlignment="1">
      <alignment horizontal="center" vertical="center" wrapText="1"/>
    </xf>
    <xf numFmtId="167" fontId="14" fillId="0" borderId="19" xfId="399" applyNumberFormat="1" applyFont="1" applyBorder="1" applyAlignment="1" applyProtection="1">
      <alignment horizontal="center" vertical="center" wrapText="1"/>
    </xf>
    <xf numFmtId="0" fontId="68" fillId="0" borderId="19" xfId="0" applyFont="1" applyBorder="1" applyAlignment="1">
      <alignment horizontal="center" vertical="center" wrapText="1"/>
    </xf>
    <xf numFmtId="9" fontId="14" fillId="0" borderId="19" xfId="399" applyFont="1" applyFill="1" applyBorder="1" applyAlignment="1" applyProtection="1">
      <alignment horizontal="center" vertical="center" wrapText="1"/>
    </xf>
    <xf numFmtId="0" fontId="45" fillId="0" borderId="0" xfId="0" applyFont="1" applyAlignment="1">
      <alignment vertical="center" wrapText="1"/>
    </xf>
    <xf numFmtId="167" fontId="14" fillId="36" borderId="19" xfId="399" applyNumberFormat="1" applyFont="1" applyFill="1" applyBorder="1" applyAlignment="1" applyProtection="1">
      <alignment horizontal="center" vertical="center" wrapText="1"/>
    </xf>
    <xf numFmtId="0" fontId="45" fillId="0" borderId="19" xfId="0" applyFont="1" applyBorder="1" applyAlignment="1">
      <alignment vertical="center" wrapText="1"/>
    </xf>
    <xf numFmtId="9" fontId="68" fillId="0" borderId="19" xfId="0" applyNumberFormat="1" applyFont="1" applyBorder="1" applyAlignment="1">
      <alignment horizontal="center" vertical="center" wrapText="1"/>
    </xf>
    <xf numFmtId="0" fontId="68" fillId="0" borderId="0" xfId="0" applyFont="1" applyAlignment="1">
      <alignment horizontal="center" vertical="center" wrapText="1"/>
    </xf>
    <xf numFmtId="167" fontId="14" fillId="36" borderId="43" xfId="399" applyNumberFormat="1" applyFont="1" applyFill="1" applyBorder="1" applyAlignment="1" applyProtection="1">
      <alignment horizontal="center" vertical="center" wrapText="1"/>
    </xf>
    <xf numFmtId="167" fontId="14" fillId="0" borderId="43" xfId="399" applyNumberFormat="1" applyFont="1" applyBorder="1" applyAlignment="1" applyProtection="1">
      <alignment horizontal="center" vertical="center" wrapText="1"/>
    </xf>
    <xf numFmtId="1" fontId="66" fillId="0" borderId="19" xfId="0" applyNumberFormat="1" applyFont="1" applyBorder="1" applyAlignment="1">
      <alignment horizontal="center" vertical="center"/>
    </xf>
    <xf numFmtId="0" fontId="23" fillId="0" borderId="19" xfId="0" applyFont="1" applyBorder="1" applyAlignment="1">
      <alignment horizontal="left" vertical="center"/>
    </xf>
    <xf numFmtId="0" fontId="15" fillId="0" borderId="19" xfId="0" applyFont="1" applyBorder="1" applyAlignment="1">
      <alignment horizontal="center" vertical="center"/>
    </xf>
    <xf numFmtId="0" fontId="66" fillId="0" borderId="19" xfId="0" applyFont="1" applyBorder="1" applyAlignment="1">
      <alignment horizontal="center" vertical="center"/>
    </xf>
    <xf numFmtId="0" fontId="66" fillId="0" borderId="31" xfId="0" applyFont="1" applyBorder="1" applyAlignment="1">
      <alignment horizontal="left" vertical="center" wrapText="1"/>
    </xf>
    <xf numFmtId="0" fontId="66" fillId="0" borderId="19" xfId="0" applyFont="1" applyBorder="1" applyAlignment="1">
      <alignment horizontal="left" vertical="center" wrapText="1"/>
    </xf>
    <xf numFmtId="0" fontId="14" fillId="0" borderId="19" xfId="0" applyFont="1" applyBorder="1" applyAlignment="1">
      <alignment vertical="center" wrapText="1"/>
    </xf>
    <xf numFmtId="0" fontId="68" fillId="0" borderId="19" xfId="0" applyFont="1" applyBorder="1" applyAlignment="1">
      <alignment horizontal="center" vertical="center"/>
    </xf>
    <xf numFmtId="49" fontId="14" fillId="0" borderId="0" xfId="0" applyNumberFormat="1" applyFont="1" applyAlignment="1">
      <alignment horizontal="center" vertical="center"/>
    </xf>
    <xf numFmtId="0" fontId="14" fillId="0" borderId="50" xfId="0" applyFont="1" applyBorder="1" applyAlignment="1">
      <alignment vertical="center"/>
    </xf>
    <xf numFmtId="0" fontId="14" fillId="0" borderId="53" xfId="0" applyFont="1" applyBorder="1" applyAlignment="1">
      <alignment horizontal="center" vertical="center"/>
    </xf>
    <xf numFmtId="0" fontId="7" fillId="0" borderId="49" xfId="0" applyFont="1" applyBorder="1" applyAlignment="1">
      <alignment vertical="center"/>
    </xf>
    <xf numFmtId="0" fontId="14" fillId="0" borderId="49" xfId="0" applyFont="1" applyBorder="1" applyAlignment="1">
      <alignment vertical="center"/>
    </xf>
    <xf numFmtId="0" fontId="14" fillId="0" borderId="54" xfId="0" applyFont="1" applyBorder="1" applyAlignment="1">
      <alignment horizontal="center" vertical="center"/>
    </xf>
    <xf numFmtId="0" fontId="71" fillId="0" borderId="19" xfId="0" applyFont="1" applyBorder="1" applyAlignment="1">
      <alignment horizontal="center" vertical="center" wrapText="1"/>
    </xf>
    <xf numFmtId="0" fontId="14" fillId="37" borderId="19" xfId="0" applyFont="1" applyFill="1" applyBorder="1" applyAlignment="1">
      <alignment horizontal="right" vertical="center"/>
    </xf>
    <xf numFmtId="0" fontId="68" fillId="37" borderId="19" xfId="0" applyFont="1" applyFill="1" applyBorder="1" applyAlignment="1">
      <alignment horizontal="center" vertical="center"/>
    </xf>
    <xf numFmtId="0" fontId="14" fillId="37" borderId="19" xfId="0" applyFont="1" applyFill="1" applyBorder="1" applyAlignment="1">
      <alignment horizontal="center" vertical="center"/>
    </xf>
    <xf numFmtId="0" fontId="14" fillId="33" borderId="19" xfId="0" applyFont="1" applyFill="1" applyBorder="1" applyAlignment="1">
      <alignment horizontal="right" vertical="center"/>
    </xf>
    <xf numFmtId="0" fontId="14" fillId="33" borderId="19" xfId="0" applyFont="1" applyFill="1" applyBorder="1" applyAlignment="1">
      <alignment horizontal="center" vertical="center"/>
    </xf>
    <xf numFmtId="0" fontId="14" fillId="30" borderId="19" xfId="0" applyFont="1" applyFill="1" applyBorder="1" applyAlignment="1">
      <alignment horizontal="right" vertical="center"/>
    </xf>
    <xf numFmtId="0" fontId="14" fillId="30" borderId="19" xfId="0" applyFont="1" applyFill="1" applyBorder="1" applyAlignment="1">
      <alignment horizontal="center" vertical="center"/>
    </xf>
    <xf numFmtId="0" fontId="4" fillId="0" borderId="19" xfId="477" applyFont="1" applyBorder="1" applyAlignment="1">
      <alignment horizontal="left" vertical="center"/>
    </xf>
    <xf numFmtId="0" fontId="72" fillId="0" borderId="19" xfId="0" applyFont="1" applyBorder="1" applyAlignment="1">
      <alignment horizontal="center" vertical="center"/>
    </xf>
    <xf numFmtId="0" fontId="7" fillId="0" borderId="19" xfId="0" applyFont="1" applyBorder="1" applyAlignment="1">
      <alignment horizontal="center" vertical="center" wrapText="1"/>
    </xf>
    <xf numFmtId="0" fontId="68" fillId="0" borderId="20" xfId="0" applyFont="1" applyBorder="1" applyAlignment="1">
      <alignment vertical="center"/>
    </xf>
    <xf numFmtId="0" fontId="68" fillId="0" borderId="19" xfId="0" applyFont="1" applyBorder="1" applyAlignment="1">
      <alignment vertical="center"/>
    </xf>
    <xf numFmtId="0" fontId="14" fillId="0" borderId="55" xfId="0" applyFont="1" applyBorder="1" applyAlignment="1">
      <alignment horizontal="center" vertical="center"/>
    </xf>
    <xf numFmtId="0" fontId="14" fillId="0" borderId="56" xfId="0" applyFont="1" applyBorder="1" applyAlignment="1">
      <alignment horizontal="center" vertical="center"/>
    </xf>
    <xf numFmtId="0" fontId="14" fillId="0" borderId="51" xfId="0" applyFont="1" applyBorder="1" applyAlignment="1">
      <alignment vertical="center"/>
    </xf>
    <xf numFmtId="0" fontId="14" fillId="33" borderId="29" xfId="0" applyFont="1" applyFill="1" applyBorder="1" applyAlignment="1">
      <alignment horizontal="center" vertical="center" wrapText="1"/>
    </xf>
    <xf numFmtId="0" fontId="68" fillId="0" borderId="31" xfId="0" applyFont="1" applyBorder="1" applyAlignment="1">
      <alignment horizontal="center" vertical="center"/>
    </xf>
    <xf numFmtId="0" fontId="68" fillId="0" borderId="21" xfId="0" applyFont="1" applyBorder="1" applyAlignment="1">
      <alignment vertical="center"/>
    </xf>
    <xf numFmtId="0" fontId="7" fillId="0" borderId="57" xfId="0" applyFont="1" applyBorder="1" applyAlignment="1">
      <alignment vertical="center"/>
    </xf>
    <xf numFmtId="0" fontId="14" fillId="0" borderId="21" xfId="0" applyFont="1" applyBorder="1" applyAlignment="1">
      <alignment horizontal="center" vertical="center" wrapText="1"/>
    </xf>
    <xf numFmtId="0" fontId="14" fillId="0" borderId="21" xfId="0" applyFont="1" applyBorder="1" applyAlignment="1">
      <alignment vertical="center"/>
    </xf>
    <xf numFmtId="0" fontId="14" fillId="0" borderId="58" xfId="0" applyFont="1" applyBorder="1" applyAlignment="1">
      <alignment horizontal="center" vertical="center"/>
    </xf>
    <xf numFmtId="0" fontId="14" fillId="30" borderId="47" xfId="0" applyFont="1" applyFill="1" applyBorder="1" applyAlignment="1">
      <alignment horizontal="center" vertical="center" wrapText="1"/>
    </xf>
    <xf numFmtId="0" fontId="14" fillId="0" borderId="57" xfId="0" applyFont="1" applyBorder="1" applyAlignment="1">
      <alignment horizontal="center" vertical="center" wrapText="1"/>
    </xf>
    <xf numFmtId="0" fontId="14" fillId="0" borderId="57" xfId="0" applyFont="1" applyBorder="1" applyAlignment="1">
      <alignment vertical="center"/>
    </xf>
    <xf numFmtId="0" fontId="14" fillId="0" borderId="59" xfId="0" applyFont="1" applyBorder="1" applyAlignment="1">
      <alignment horizontal="center" vertical="center"/>
    </xf>
    <xf numFmtId="0" fontId="7" fillId="0" borderId="57" xfId="0" applyFont="1" applyBorder="1" applyAlignment="1">
      <alignment horizontal="center" vertical="center"/>
    </xf>
    <xf numFmtId="0" fontId="72" fillId="0" borderId="19" xfId="0" applyFont="1" applyBorder="1" applyAlignment="1">
      <alignment horizontal="center" vertical="center" wrapText="1"/>
    </xf>
    <xf numFmtId="0" fontId="4" fillId="0" borderId="19" xfId="477" applyFont="1" applyBorder="1" applyAlignment="1">
      <alignment horizontal="center" vertical="center" wrapText="1"/>
    </xf>
    <xf numFmtId="0" fontId="68" fillId="0" borderId="0" xfId="0" applyFont="1" applyAlignment="1">
      <alignment horizontal="center"/>
    </xf>
    <xf numFmtId="0" fontId="14" fillId="0" borderId="0" xfId="0" applyFont="1" applyAlignment="1">
      <alignment horizontal="center"/>
    </xf>
    <xf numFmtId="0" fontId="7" fillId="0" borderId="0" xfId="0" applyFont="1" applyAlignment="1">
      <alignment horizontal="center"/>
    </xf>
    <xf numFmtId="0" fontId="26" fillId="0" borderId="0" xfId="0" applyFont="1" applyAlignment="1">
      <alignment horizontal="center"/>
    </xf>
    <xf numFmtId="0" fontId="25" fillId="33" borderId="29" xfId="0" applyFont="1" applyFill="1" applyBorder="1" applyAlignment="1">
      <alignment horizontal="center" vertical="center" wrapText="1"/>
    </xf>
    <xf numFmtId="0" fontId="7" fillId="0" borderId="27" xfId="0" applyFont="1" applyBorder="1" applyAlignment="1">
      <alignment vertical="center" wrapText="1"/>
    </xf>
    <xf numFmtId="0" fontId="14" fillId="0" borderId="40" xfId="0" applyFont="1" applyBorder="1" applyAlignment="1">
      <alignment horizontal="right" vertical="center"/>
    </xf>
    <xf numFmtId="0" fontId="17" fillId="0" borderId="42" xfId="0" applyFont="1" applyBorder="1" applyAlignment="1">
      <alignment vertical="center"/>
    </xf>
    <xf numFmtId="0" fontId="17" fillId="0" borderId="43" xfId="0" applyFont="1" applyBorder="1" applyAlignment="1">
      <alignment vertical="center"/>
    </xf>
    <xf numFmtId="0" fontId="14" fillId="0" borderId="43" xfId="0" applyFont="1" applyBorder="1" applyAlignment="1">
      <alignment vertical="center"/>
    </xf>
    <xf numFmtId="0" fontId="14" fillId="0" borderId="40" xfId="0" applyFont="1" applyBorder="1" applyAlignment="1">
      <alignment horizontal="center" vertical="center"/>
    </xf>
    <xf numFmtId="0" fontId="14" fillId="0" borderId="0" xfId="0" applyFont="1" applyAlignment="1">
      <alignment horizontal="center" vertical="center" wrapText="1"/>
    </xf>
    <xf numFmtId="0" fontId="14" fillId="0" borderId="0" xfId="0" applyFont="1" applyAlignment="1">
      <alignment horizontal="left" vertical="center" wrapText="1"/>
    </xf>
    <xf numFmtId="1" fontId="14" fillId="0" borderId="0" xfId="0" applyNumberFormat="1" applyFont="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68" fillId="0" borderId="0" xfId="0" applyFont="1" applyAlignment="1">
      <alignment vertical="top"/>
    </xf>
    <xf numFmtId="1" fontId="68" fillId="0" borderId="0" xfId="0" applyNumberFormat="1" applyFont="1" applyAlignment="1">
      <alignment horizontal="center" vertical="center" wrapText="1"/>
    </xf>
    <xf numFmtId="0" fontId="68" fillId="36" borderId="19" xfId="0" applyFont="1" applyFill="1" applyBorder="1" applyAlignment="1">
      <alignment vertical="center"/>
    </xf>
    <xf numFmtId="0" fontId="62" fillId="0" borderId="0" xfId="0" applyFont="1" applyAlignment="1">
      <alignment vertical="center"/>
    </xf>
    <xf numFmtId="0" fontId="73" fillId="0" borderId="19" xfId="0" applyFont="1" applyBorder="1" applyAlignment="1">
      <alignment horizontal="center" vertical="center" wrapText="1"/>
    </xf>
    <xf numFmtId="0" fontId="68" fillId="0" borderId="19" xfId="0" applyFont="1" applyBorder="1" applyAlignment="1">
      <alignment vertical="center" wrapText="1"/>
    </xf>
    <xf numFmtId="10" fontId="14" fillId="0" borderId="19" xfId="0" applyNumberFormat="1" applyFont="1" applyBorder="1" applyAlignment="1">
      <alignment horizontal="center" vertical="center" wrapText="1"/>
    </xf>
    <xf numFmtId="0" fontId="7" fillId="0" borderId="19" xfId="0" applyFont="1" applyBorder="1" applyAlignment="1">
      <alignment horizontal="left" vertical="center" wrapText="1"/>
    </xf>
    <xf numFmtId="0" fontId="68" fillId="0" borderId="19" xfId="0" applyFont="1" applyBorder="1" applyAlignment="1">
      <alignment horizontal="left" vertical="center" wrapText="1"/>
    </xf>
    <xf numFmtId="10" fontId="68" fillId="0" borderId="19" xfId="0" applyNumberFormat="1" applyFont="1" applyBorder="1" applyAlignment="1">
      <alignment horizontal="center" vertical="center" wrapText="1"/>
    </xf>
    <xf numFmtId="0" fontId="16" fillId="0" borderId="0" xfId="0" applyFont="1" applyAlignment="1">
      <alignment horizontal="center" vertical="center"/>
    </xf>
    <xf numFmtId="0" fontId="0" fillId="36" borderId="19" xfId="0" applyFill="1" applyBorder="1" applyAlignment="1">
      <alignment horizontal="center" vertical="center"/>
    </xf>
    <xf numFmtId="0" fontId="62" fillId="0" borderId="0" xfId="0" applyFont="1" applyAlignment="1">
      <alignment vertical="center" wrapText="1"/>
    </xf>
    <xf numFmtId="9" fontId="74" fillId="0" borderId="19" xfId="0" quotePrefix="1" applyNumberFormat="1" applyFont="1" applyBorder="1" applyAlignment="1">
      <alignment horizontal="center" vertical="center" wrapText="1"/>
    </xf>
    <xf numFmtId="0" fontId="7" fillId="0" borderId="19" xfId="0" applyFont="1" applyBorder="1"/>
    <xf numFmtId="0" fontId="68" fillId="0" borderId="19" xfId="0" applyFont="1" applyBorder="1"/>
    <xf numFmtId="0" fontId="7" fillId="0" borderId="43" xfId="0" applyFont="1" applyBorder="1"/>
    <xf numFmtId="0" fontId="7" fillId="0" borderId="39" xfId="0" applyFont="1" applyBorder="1"/>
    <xf numFmtId="0" fontId="68" fillId="0" borderId="39" xfId="0" applyFont="1" applyBorder="1"/>
    <xf numFmtId="0" fontId="8" fillId="0" borderId="30" xfId="0" applyFont="1" applyBorder="1"/>
    <xf numFmtId="0" fontId="8" fillId="0" borderId="31" xfId="0" applyFont="1" applyBorder="1"/>
    <xf numFmtId="0" fontId="8" fillId="0" borderId="29" xfId="0" applyFont="1" applyBorder="1"/>
    <xf numFmtId="0" fontId="7" fillId="0" borderId="42" xfId="0" applyFont="1" applyBorder="1"/>
    <xf numFmtId="0" fontId="68" fillId="0" borderId="21" xfId="0" applyFont="1" applyBorder="1"/>
    <xf numFmtId="0" fontId="68" fillId="0" borderId="20" xfId="0" applyFont="1" applyBorder="1"/>
    <xf numFmtId="0" fontId="7" fillId="0" borderId="27" xfId="0" applyFont="1" applyBorder="1" applyAlignment="1">
      <alignment horizontal="center" vertical="center" wrapText="1"/>
    </xf>
    <xf numFmtId="0" fontId="7" fillId="32" borderId="0" xfId="0" applyFont="1" applyFill="1" applyAlignment="1">
      <alignment horizontal="center" vertical="top" wrapText="1"/>
    </xf>
    <xf numFmtId="0" fontId="7" fillId="32" borderId="61" xfId="0" applyFont="1" applyFill="1" applyBorder="1" applyAlignment="1">
      <alignment horizontal="center" wrapText="1"/>
    </xf>
    <xf numFmtId="0" fontId="7" fillId="32" borderId="62" xfId="0" applyFont="1" applyFill="1" applyBorder="1" applyAlignment="1">
      <alignment horizontal="center" vertical="top" wrapText="1"/>
    </xf>
    <xf numFmtId="0" fontId="7" fillId="0" borderId="60" xfId="0" applyFont="1" applyBorder="1" applyAlignment="1">
      <alignment horizontal="center" vertical="center"/>
    </xf>
    <xf numFmtId="0" fontId="7" fillId="32" borderId="0" xfId="0" applyFont="1" applyFill="1" applyAlignment="1">
      <alignment horizontal="center" wrapText="1"/>
    </xf>
    <xf numFmtId="10" fontId="7" fillId="0" borderId="27" xfId="399" applyNumberFormat="1" applyFont="1" applyFill="1" applyBorder="1" applyAlignment="1" applyProtection="1">
      <alignment horizontal="center" vertical="center"/>
    </xf>
    <xf numFmtId="10" fontId="7" fillId="0" borderId="60" xfId="399" applyNumberFormat="1" applyFont="1" applyFill="1" applyBorder="1" applyAlignment="1" applyProtection="1">
      <alignment horizontal="center" vertical="center"/>
    </xf>
    <xf numFmtId="10" fontId="68" fillId="0" borderId="19" xfId="0" applyNumberFormat="1" applyFont="1" applyBorder="1" applyAlignment="1">
      <alignment horizontal="center" vertical="center"/>
    </xf>
    <xf numFmtId="10" fontId="14" fillId="0" borderId="19" xfId="399" applyNumberFormat="1" applyFont="1" applyFill="1" applyBorder="1" applyAlignment="1" applyProtection="1">
      <alignment horizontal="center" vertical="center"/>
    </xf>
    <xf numFmtId="10" fontId="14" fillId="0" borderId="0" xfId="399" applyNumberFormat="1" applyFont="1" applyBorder="1" applyAlignment="1">
      <alignment horizontal="center" vertical="center" wrapText="1"/>
    </xf>
    <xf numFmtId="9" fontId="68" fillId="0" borderId="0" xfId="0" applyNumberFormat="1" applyFont="1" applyAlignment="1">
      <alignment horizontal="center" vertical="center" wrapText="1"/>
    </xf>
    <xf numFmtId="1" fontId="68" fillId="0" borderId="19" xfId="0" applyNumberFormat="1" applyFont="1" applyBorder="1" applyAlignment="1">
      <alignment horizontal="center" vertical="center" wrapText="1"/>
    </xf>
    <xf numFmtId="1" fontId="14" fillId="0" borderId="19" xfId="0" applyNumberFormat="1" applyFont="1" applyBorder="1" applyAlignment="1">
      <alignment horizontal="center" vertical="center" wrapText="1"/>
    </xf>
    <xf numFmtId="9" fontId="14" fillId="0" borderId="19" xfId="0" applyNumberFormat="1" applyFont="1" applyBorder="1" applyAlignment="1">
      <alignment horizontal="center" vertical="center" wrapText="1"/>
    </xf>
    <xf numFmtId="0" fontId="26" fillId="0" borderId="27" xfId="0" applyFont="1" applyBorder="1" applyAlignment="1">
      <alignment horizontal="center" vertical="center" wrapText="1"/>
    </xf>
    <xf numFmtId="0" fontId="7" fillId="32" borderId="46" xfId="0" applyFont="1" applyFill="1" applyBorder="1" applyAlignment="1">
      <alignment horizontal="center" wrapText="1"/>
    </xf>
    <xf numFmtId="0" fontId="7" fillId="0" borderId="25" xfId="0" applyFont="1" applyBorder="1" applyAlignment="1">
      <alignment horizontal="center" vertical="center"/>
    </xf>
    <xf numFmtId="1" fontId="7" fillId="32" borderId="46" xfId="0" applyNumberFormat="1" applyFont="1" applyFill="1" applyBorder="1" applyAlignment="1">
      <alignment horizontal="center" wrapText="1"/>
    </xf>
    <xf numFmtId="0" fontId="7" fillId="37" borderId="27" xfId="0" applyFont="1" applyFill="1" applyBorder="1" applyAlignment="1">
      <alignment horizontal="center" textRotation="90" wrapText="1"/>
    </xf>
    <xf numFmtId="167" fontId="68" fillId="0" borderId="19" xfId="0" applyNumberFormat="1" applyFont="1" applyBorder="1" applyAlignment="1">
      <alignment horizontal="center" vertical="center"/>
    </xf>
    <xf numFmtId="0" fontId="68" fillId="36" borderId="43" xfId="0" applyFont="1" applyFill="1" applyBorder="1" applyAlignment="1">
      <alignment horizontal="center" vertical="center"/>
    </xf>
    <xf numFmtId="167" fontId="68" fillId="36" borderId="19" xfId="0" applyNumberFormat="1" applyFont="1" applyFill="1" applyBorder="1" applyAlignment="1">
      <alignment horizontal="center" vertical="center"/>
    </xf>
    <xf numFmtId="0" fontId="26" fillId="0" borderId="19" xfId="0" applyFont="1" applyBorder="1" applyAlignment="1">
      <alignment vertical="center"/>
    </xf>
    <xf numFmtId="0" fontId="68" fillId="36" borderId="39" xfId="0" applyFont="1" applyFill="1" applyBorder="1" applyAlignment="1">
      <alignment vertical="center"/>
    </xf>
    <xf numFmtId="0" fontId="68" fillId="36" borderId="40" xfId="0" applyFont="1" applyFill="1" applyBorder="1" applyAlignment="1">
      <alignment vertical="center"/>
    </xf>
    <xf numFmtId="2" fontId="66" fillId="0" borderId="19" xfId="0" applyNumberFormat="1" applyFont="1" applyBorder="1" applyAlignment="1">
      <alignment horizontal="center" vertical="center"/>
    </xf>
    <xf numFmtId="0" fontId="7" fillId="0" borderId="25" xfId="0" applyFont="1" applyBorder="1" applyAlignment="1">
      <alignment horizontal="center" vertical="center" wrapText="1"/>
    </xf>
    <xf numFmtId="0" fontId="7" fillId="0" borderId="44" xfId="0" applyFont="1" applyBorder="1" applyAlignment="1">
      <alignment horizontal="center" vertical="center" wrapText="1"/>
    </xf>
    <xf numFmtId="10" fontId="26" fillId="28" borderId="27" xfId="399" applyNumberFormat="1" applyFont="1" applyFill="1" applyBorder="1" applyAlignment="1" applyProtection="1">
      <alignment horizontal="center" vertical="center" wrapText="1"/>
    </xf>
    <xf numFmtId="10" fontId="8" fillId="28" borderId="27" xfId="399" applyNumberFormat="1" applyFont="1" applyFill="1" applyBorder="1" applyAlignment="1" applyProtection="1">
      <alignment horizontal="center" vertical="center" wrapText="1"/>
    </xf>
    <xf numFmtId="0" fontId="14" fillId="36" borderId="0" xfId="0" applyFont="1" applyFill="1" applyAlignment="1">
      <alignment horizontal="center"/>
    </xf>
    <xf numFmtId="0" fontId="80" fillId="0" borderId="0" xfId="0" applyFont="1" applyAlignment="1">
      <alignment vertical="top"/>
    </xf>
    <xf numFmtId="0" fontId="68" fillId="0" borderId="84" xfId="0" applyFont="1" applyBorder="1" applyAlignment="1">
      <alignment horizontal="center"/>
    </xf>
    <xf numFmtId="0" fontId="14" fillId="72" borderId="0" xfId="0" applyFont="1" applyFill="1" applyAlignment="1">
      <alignment horizontal="left"/>
    </xf>
    <xf numFmtId="0" fontId="101" fillId="0" borderId="0" xfId="0" applyFont="1"/>
    <xf numFmtId="0" fontId="102" fillId="0" borderId="0" xfId="0" applyFont="1"/>
    <xf numFmtId="0" fontId="103" fillId="0" borderId="0" xfId="0" applyFont="1"/>
    <xf numFmtId="0" fontId="105" fillId="0" borderId="0" xfId="0" applyFont="1" applyAlignment="1">
      <alignment vertical="center"/>
    </xf>
    <xf numFmtId="0" fontId="104" fillId="0" borderId="0" xfId="0" applyFont="1"/>
    <xf numFmtId="0" fontId="16" fillId="0" borderId="0" xfId="0" applyFont="1" applyAlignment="1">
      <alignment horizontal="left" vertical="center"/>
    </xf>
    <xf numFmtId="0" fontId="16" fillId="0" borderId="0" xfId="0" applyFont="1" applyAlignment="1">
      <alignment vertical="center"/>
    </xf>
    <xf numFmtId="0" fontId="16" fillId="0" borderId="0" xfId="487" applyFont="1" applyAlignment="1">
      <alignment horizontal="left" vertical="center"/>
    </xf>
    <xf numFmtId="0" fontId="81" fillId="0" borderId="31" xfId="0" applyFont="1" applyBorder="1"/>
    <xf numFmtId="0" fontId="82" fillId="0" borderId="29" xfId="0" applyFont="1" applyBorder="1"/>
    <xf numFmtId="1" fontId="14" fillId="0" borderId="0" xfId="0" quotePrefix="1" applyNumberFormat="1" applyFont="1" applyAlignment="1">
      <alignment vertical="center"/>
    </xf>
    <xf numFmtId="1" fontId="14" fillId="0" borderId="0" xfId="0" applyNumberFormat="1" applyFont="1" applyAlignment="1">
      <alignment vertical="center"/>
    </xf>
    <xf numFmtId="0" fontId="98" fillId="0" borderId="0" xfId="0" applyFont="1" applyAlignment="1">
      <alignment horizontal="left" vertical="center"/>
    </xf>
    <xf numFmtId="0" fontId="22"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165" fontId="7" fillId="0" borderId="0" xfId="399" applyNumberFormat="1" applyFont="1" applyFill="1" applyBorder="1" applyAlignment="1" applyProtection="1">
      <alignment horizontal="center" vertical="center" wrapText="1"/>
    </xf>
    <xf numFmtId="10" fontId="7" fillId="0" borderId="0" xfId="399" applyNumberFormat="1" applyFont="1" applyFill="1" applyBorder="1" applyAlignment="1" applyProtection="1">
      <alignment horizontal="center" vertical="center" wrapText="1"/>
    </xf>
    <xf numFmtId="10" fontId="19" fillId="0" borderId="0" xfId="0" applyNumberFormat="1" applyFont="1" applyAlignment="1">
      <alignment vertical="center"/>
    </xf>
    <xf numFmtId="0" fontId="7" fillId="0" borderId="0" xfId="0" applyFont="1" applyAlignment="1">
      <alignment vertical="center" wrapText="1"/>
    </xf>
    <xf numFmtId="0" fontId="30" fillId="0" borderId="0" xfId="0" applyFont="1" applyAlignment="1">
      <alignment vertical="center"/>
    </xf>
    <xf numFmtId="9" fontId="14" fillId="0" borderId="19" xfId="418" applyFont="1" applyBorder="1" applyAlignment="1" applyProtection="1">
      <alignment horizontal="center" vertical="center"/>
    </xf>
    <xf numFmtId="1" fontId="14" fillId="0" borderId="19" xfId="418" applyNumberFormat="1" applyFont="1" applyBorder="1" applyAlignment="1" applyProtection="1">
      <alignment horizontal="center" vertical="center"/>
    </xf>
    <xf numFmtId="0" fontId="19" fillId="0" borderId="19" xfId="0" applyFont="1" applyBorder="1" applyAlignment="1">
      <alignment vertical="center"/>
    </xf>
    <xf numFmtId="1" fontId="14" fillId="0" borderId="19" xfId="418" applyNumberFormat="1" applyFont="1" applyFill="1" applyBorder="1" applyAlignment="1" applyProtection="1">
      <alignment horizontal="center" vertical="center"/>
    </xf>
    <xf numFmtId="9" fontId="19" fillId="0" borderId="0" xfId="389" applyFont="1" applyAlignment="1" applyProtection="1">
      <alignment vertical="center"/>
    </xf>
    <xf numFmtId="9" fontId="19" fillId="28" borderId="19" xfId="418" applyFont="1" applyFill="1" applyBorder="1" applyAlignment="1" applyProtection="1">
      <alignment horizontal="center" vertical="center"/>
    </xf>
    <xf numFmtId="0" fontId="69" fillId="0" borderId="19" xfId="0" applyFont="1" applyBorder="1" applyAlignment="1">
      <alignment horizontal="center" vertical="center"/>
    </xf>
    <xf numFmtId="0" fontId="69" fillId="0" borderId="0" xfId="0" applyFont="1" applyAlignment="1">
      <alignment vertical="center"/>
    </xf>
    <xf numFmtId="0" fontId="109" fillId="0" borderId="0" xfId="0" applyFont="1"/>
    <xf numFmtId="0" fontId="106" fillId="0" borderId="27" xfId="0" applyFont="1" applyBorder="1" applyAlignment="1">
      <alignment vertical="center" wrapText="1"/>
    </xf>
    <xf numFmtId="1" fontId="108" fillId="39" borderId="27" xfId="399" applyNumberFormat="1" applyFont="1" applyFill="1" applyBorder="1" applyAlignment="1" applyProtection="1">
      <alignment horizontal="center" vertical="center" wrapText="1"/>
    </xf>
    <xf numFmtId="10" fontId="108" fillId="28" borderId="27" xfId="399" applyNumberFormat="1" applyFont="1" applyFill="1" applyBorder="1" applyAlignment="1" applyProtection="1">
      <alignment horizontal="center" vertical="center" wrapText="1"/>
    </xf>
    <xf numFmtId="0" fontId="7" fillId="32" borderId="36" xfId="0" applyFont="1" applyFill="1" applyBorder="1" applyAlignment="1">
      <alignment wrapText="1"/>
    </xf>
    <xf numFmtId="0" fontId="7" fillId="32" borderId="63" xfId="0" applyFont="1" applyFill="1" applyBorder="1" applyAlignment="1">
      <alignment wrapText="1"/>
    </xf>
    <xf numFmtId="0" fontId="7" fillId="32" borderId="85" xfId="0" applyFont="1" applyFill="1" applyBorder="1" applyAlignment="1">
      <alignment wrapText="1"/>
    </xf>
    <xf numFmtId="0" fontId="7" fillId="32" borderId="86" xfId="0" applyFont="1" applyFill="1" applyBorder="1" applyAlignment="1">
      <alignment wrapText="1"/>
    </xf>
    <xf numFmtId="0" fontId="7" fillId="32" borderId="86" xfId="0" applyFont="1" applyFill="1" applyBorder="1" applyAlignment="1">
      <alignment vertical="top" wrapText="1"/>
    </xf>
    <xf numFmtId="0" fontId="7" fillId="32" borderId="63" xfId="0" applyFont="1" applyFill="1" applyBorder="1" applyAlignment="1">
      <alignment vertical="top" wrapText="1"/>
    </xf>
    <xf numFmtId="0" fontId="7" fillId="32" borderId="85" xfId="0" applyFont="1" applyFill="1" applyBorder="1" applyAlignment="1">
      <alignment vertical="top" wrapText="1"/>
    </xf>
    <xf numFmtId="0" fontId="110" fillId="0" borderId="0" xfId="477" applyFont="1" applyAlignment="1">
      <alignment vertical="center" wrapText="1"/>
    </xf>
    <xf numFmtId="0" fontId="104" fillId="0" borderId="0" xfId="477" applyFont="1" applyAlignment="1">
      <alignment wrapText="1"/>
    </xf>
    <xf numFmtId="0" fontId="110" fillId="0" borderId="0" xfId="477" applyFont="1" applyAlignment="1">
      <alignment wrapText="1"/>
    </xf>
    <xf numFmtId="0" fontId="16" fillId="0" borderId="19" xfId="0" applyFont="1" applyBorder="1" applyAlignment="1">
      <alignment horizontal="center" vertical="center"/>
    </xf>
    <xf numFmtId="0" fontId="15" fillId="0" borderId="19" xfId="0" applyFont="1" applyBorder="1" applyAlignment="1">
      <alignment horizontal="center" vertical="center" wrapText="1"/>
    </xf>
    <xf numFmtId="0" fontId="15" fillId="0" borderId="19" xfId="0" applyFont="1" applyBorder="1" applyAlignment="1">
      <alignment vertical="center"/>
    </xf>
    <xf numFmtId="0" fontId="16" fillId="0" borderId="19" xfId="0" applyFont="1" applyBorder="1" applyAlignment="1">
      <alignment vertical="center"/>
    </xf>
    <xf numFmtId="14" fontId="16" fillId="0" borderId="19" xfId="0" applyNumberFormat="1" applyFont="1" applyBorder="1" applyAlignment="1">
      <alignment horizontal="left" vertical="center"/>
    </xf>
    <xf numFmtId="0" fontId="15" fillId="0" borderId="19" xfId="487" applyFont="1" applyBorder="1" applyAlignment="1">
      <alignment horizontal="left" vertical="center"/>
    </xf>
    <xf numFmtId="0" fontId="16" fillId="0" borderId="19" xfId="0" applyFont="1" applyBorder="1" applyAlignment="1">
      <alignment horizontal="left" vertical="center"/>
    </xf>
    <xf numFmtId="10" fontId="14" fillId="0" borderId="19" xfId="399" applyNumberFormat="1" applyFont="1" applyBorder="1" applyAlignment="1" applyProtection="1">
      <alignment horizontal="center" vertical="center" wrapText="1"/>
    </xf>
    <xf numFmtId="167" fontId="14" fillId="0" borderId="19" xfId="399" applyNumberFormat="1" applyFont="1" applyFill="1" applyBorder="1" applyAlignment="1" applyProtection="1">
      <alignment horizontal="center" vertical="center" wrapText="1"/>
    </xf>
    <xf numFmtId="167" fontId="14" fillId="0" borderId="19" xfId="0" applyNumberFormat="1" applyFont="1" applyBorder="1" applyAlignment="1">
      <alignment vertical="center" wrapText="1"/>
    </xf>
    <xf numFmtId="167" fontId="68" fillId="0" borderId="0" xfId="0" applyNumberFormat="1" applyFont="1" applyAlignment="1">
      <alignment horizontal="center" vertical="center"/>
    </xf>
    <xf numFmtId="167" fontId="14" fillId="0" borderId="0" xfId="399" applyNumberFormat="1" applyFont="1" applyFill="1" applyBorder="1" applyAlignment="1" applyProtection="1">
      <alignment horizontal="center" vertical="center" wrapText="1"/>
    </xf>
    <xf numFmtId="0" fontId="66" fillId="74" borderId="31" xfId="0" applyFont="1" applyFill="1" applyBorder="1" applyAlignment="1">
      <alignment horizontal="center" vertical="center"/>
    </xf>
    <xf numFmtId="167" fontId="7" fillId="0" borderId="19" xfId="0" applyNumberFormat="1" applyFont="1" applyBorder="1" applyAlignment="1">
      <alignment vertical="center"/>
    </xf>
    <xf numFmtId="1" fontId="8" fillId="29" borderId="27" xfId="0" applyNumberFormat="1" applyFont="1" applyFill="1" applyBorder="1" applyAlignment="1">
      <alignment horizontal="center" vertical="center" wrapText="1"/>
    </xf>
    <xf numFmtId="0" fontId="14" fillId="0" borderId="19" xfId="0" quotePrefix="1" applyFont="1" applyBorder="1" applyAlignment="1">
      <alignment horizontal="center" vertical="center" wrapText="1"/>
    </xf>
    <xf numFmtId="0" fontId="30" fillId="0" borderId="0" xfId="0" applyFont="1" applyAlignment="1">
      <alignment horizontal="left" vertical="center"/>
    </xf>
    <xf numFmtId="0" fontId="16" fillId="0" borderId="0" xfId="0" applyFont="1" applyAlignment="1">
      <alignment horizontal="center"/>
    </xf>
    <xf numFmtId="0" fontId="119" fillId="0" borderId="0" xfId="0" applyFont="1"/>
    <xf numFmtId="0" fontId="3" fillId="0" borderId="0" xfId="477" applyAlignment="1">
      <alignment horizontal="left" indent="3"/>
    </xf>
    <xf numFmtId="0" fontId="3" fillId="0" borderId="0" xfId="477" applyAlignment="1">
      <alignment horizontal="left" vertical="center" indent="3"/>
    </xf>
    <xf numFmtId="0" fontId="3" fillId="0" borderId="0" xfId="0" applyFont="1" applyAlignment="1">
      <alignment horizontal="left" indent="3"/>
    </xf>
    <xf numFmtId="0" fontId="16" fillId="28" borderId="0" xfId="0" applyFont="1" applyFill="1" applyAlignment="1">
      <alignment horizontal="center" vertical="center" wrapText="1"/>
    </xf>
    <xf numFmtId="0" fontId="14" fillId="0" borderId="0" xfId="0" applyFont="1" applyAlignment="1">
      <alignment vertical="top" wrapText="1"/>
    </xf>
    <xf numFmtId="0" fontId="7" fillId="0" borderId="0" xfId="477" applyFont="1"/>
    <xf numFmtId="0" fontId="19" fillId="78" borderId="0" xfId="0" applyFont="1" applyFill="1" applyAlignment="1">
      <alignment vertical="center"/>
    </xf>
    <xf numFmtId="0" fontId="119" fillId="0" borderId="0" xfId="0" applyFont="1" applyAlignment="1">
      <alignment horizontal="center" vertical="center"/>
    </xf>
    <xf numFmtId="1" fontId="66" fillId="80" borderId="19" xfId="0" applyNumberFormat="1" applyFont="1" applyFill="1" applyBorder="1" applyAlignment="1">
      <alignment horizontal="center" vertical="center"/>
    </xf>
    <xf numFmtId="1" fontId="3" fillId="80" borderId="19" xfId="0" applyNumberFormat="1" applyFont="1" applyFill="1" applyBorder="1" applyAlignment="1">
      <alignment horizontal="center" vertical="center"/>
    </xf>
    <xf numFmtId="2" fontId="3" fillId="80" borderId="19" xfId="0" applyNumberFormat="1" applyFont="1" applyFill="1" applyBorder="1" applyAlignment="1">
      <alignment horizontal="center" vertical="center"/>
    </xf>
    <xf numFmtId="2" fontId="66" fillId="80" borderId="19" xfId="0" applyNumberFormat="1" applyFont="1" applyFill="1" applyBorder="1" applyAlignment="1">
      <alignment horizontal="center" vertical="center"/>
    </xf>
    <xf numFmtId="49" fontId="14" fillId="81" borderId="19" xfId="0" applyNumberFormat="1" applyFont="1" applyFill="1" applyBorder="1" applyAlignment="1">
      <alignment horizontal="center" vertical="center"/>
    </xf>
    <xf numFmtId="0" fontId="14" fillId="81" borderId="19" xfId="0" applyFont="1" applyFill="1" applyBorder="1" applyAlignment="1">
      <alignment horizontal="center" vertical="center"/>
    </xf>
    <xf numFmtId="9" fontId="14" fillId="81" borderId="19" xfId="418" applyFont="1" applyFill="1" applyBorder="1" applyAlignment="1" applyProtection="1">
      <alignment horizontal="center" vertical="center"/>
    </xf>
    <xf numFmtId="1" fontId="14" fillId="81" borderId="19" xfId="418" applyNumberFormat="1" applyFont="1" applyFill="1" applyBorder="1" applyAlignment="1" applyProtection="1">
      <alignment horizontal="center" vertical="center"/>
    </xf>
    <xf numFmtId="0" fontId="14" fillId="81" borderId="19" xfId="418" applyNumberFormat="1" applyFont="1" applyFill="1" applyBorder="1" applyAlignment="1" applyProtection="1">
      <alignment horizontal="center" vertical="center"/>
    </xf>
    <xf numFmtId="10" fontId="14" fillId="81" borderId="19" xfId="418" applyNumberFormat="1" applyFont="1" applyFill="1" applyBorder="1" applyAlignment="1" applyProtection="1">
      <alignment horizontal="center" vertical="center"/>
    </xf>
    <xf numFmtId="0" fontId="66" fillId="0" borderId="19" xfId="0" applyFont="1" applyBorder="1" applyAlignment="1">
      <alignment vertical="center"/>
    </xf>
    <xf numFmtId="1" fontId="66" fillId="0" borderId="43" xfId="0" applyNumberFormat="1" applyFont="1" applyBorder="1" applyAlignment="1">
      <alignment horizontal="center" vertical="center"/>
    </xf>
    <xf numFmtId="0" fontId="75" fillId="0" borderId="0" xfId="0" applyFont="1" applyAlignment="1">
      <alignment horizontal="center" vertical="center"/>
    </xf>
    <xf numFmtId="0" fontId="120" fillId="0" borderId="0" xfId="0" applyFont="1" applyAlignment="1">
      <alignment horizontal="center" vertical="center"/>
    </xf>
    <xf numFmtId="0" fontId="120" fillId="0" borderId="0" xfId="0" applyFont="1" applyAlignment="1">
      <alignment horizontal="center" vertical="center" wrapText="1"/>
    </xf>
    <xf numFmtId="49" fontId="14" fillId="75" borderId="19" xfId="0" applyNumberFormat="1" applyFont="1" applyFill="1" applyBorder="1" applyAlignment="1">
      <alignment horizontal="center" vertical="center"/>
    </xf>
    <xf numFmtId="0" fontId="14" fillId="75" borderId="19" xfId="0" applyFont="1" applyFill="1" applyBorder="1" applyAlignment="1">
      <alignment horizontal="center" vertical="center"/>
    </xf>
    <xf numFmtId="9" fontId="14" fillId="75" borderId="19" xfId="418" applyFont="1" applyFill="1" applyBorder="1" applyAlignment="1" applyProtection="1">
      <alignment horizontal="center" vertical="center"/>
    </xf>
    <xf numFmtId="1" fontId="14" fillId="75" borderId="19" xfId="418" applyNumberFormat="1" applyFont="1" applyFill="1" applyBorder="1" applyAlignment="1" applyProtection="1">
      <alignment horizontal="center" vertical="center"/>
    </xf>
    <xf numFmtId="0" fontId="14" fillId="75" borderId="19" xfId="418" applyNumberFormat="1" applyFont="1" applyFill="1" applyBorder="1" applyAlignment="1" applyProtection="1">
      <alignment horizontal="center" vertical="center"/>
    </xf>
    <xf numFmtId="2" fontId="66" fillId="75" borderId="19" xfId="0" applyNumberFormat="1" applyFont="1" applyFill="1" applyBorder="1" applyAlignment="1">
      <alignment horizontal="center" vertical="center"/>
    </xf>
    <xf numFmtId="0" fontId="22" fillId="81" borderId="0" xfId="0" applyFont="1" applyFill="1" applyAlignment="1">
      <alignment vertical="center"/>
    </xf>
    <xf numFmtId="0" fontId="19" fillId="81" borderId="0" xfId="0" applyFont="1" applyFill="1" applyAlignment="1">
      <alignment vertical="center"/>
    </xf>
    <xf numFmtId="0" fontId="7" fillId="81" borderId="0" xfId="0" applyFont="1" applyFill="1" applyAlignment="1">
      <alignment vertical="center" wrapText="1"/>
    </xf>
    <xf numFmtId="14" fontId="106" fillId="0" borderId="0" xfId="0" applyNumberFormat="1" applyFont="1" applyAlignment="1">
      <alignment vertical="center"/>
    </xf>
    <xf numFmtId="0" fontId="7" fillId="0" borderId="74" xfId="0" applyFont="1" applyBorder="1" applyAlignment="1">
      <alignment horizontal="center" vertical="center" wrapText="1"/>
    </xf>
    <xf numFmtId="0" fontId="7" fillId="0" borderId="39" xfId="510" applyFont="1" applyBorder="1"/>
    <xf numFmtId="0" fontId="15" fillId="82" borderId="19" xfId="487" applyFont="1" applyFill="1" applyBorder="1" applyAlignment="1">
      <alignment horizontal="left" vertical="center"/>
    </xf>
    <xf numFmtId="0" fontId="16" fillId="82" borderId="19" xfId="0" applyFont="1" applyFill="1" applyBorder="1" applyAlignment="1">
      <alignment horizontal="left" vertical="center"/>
    </xf>
    <xf numFmtId="0" fontId="14" fillId="0" borderId="19" xfId="0" applyFont="1" applyBorder="1"/>
    <xf numFmtId="0" fontId="106" fillId="0" borderId="0" xfId="0" applyFont="1" applyAlignment="1">
      <alignment wrapText="1"/>
    </xf>
    <xf numFmtId="0" fontId="16" fillId="0" borderId="31" xfId="0" applyFont="1" applyBorder="1" applyAlignment="1">
      <alignment horizontal="center" vertical="center"/>
    </xf>
    <xf numFmtId="0" fontId="16" fillId="76" borderId="31" xfId="0" applyFont="1" applyFill="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wrapText="1"/>
    </xf>
    <xf numFmtId="0" fontId="16" fillId="0" borderId="21" xfId="0" applyFont="1" applyBorder="1" applyAlignment="1">
      <alignment horizontal="left" vertical="center" wrapText="1"/>
    </xf>
    <xf numFmtId="0" fontId="16" fillId="0" borderId="19" xfId="0" applyFont="1" applyBorder="1" applyAlignment="1">
      <alignment horizontal="left" indent="2"/>
    </xf>
    <xf numFmtId="0" fontId="3" fillId="0" borderId="19" xfId="477" applyBorder="1" applyAlignment="1">
      <alignment horizontal="center" vertical="center"/>
    </xf>
    <xf numFmtId="0" fontId="3" fillId="0" borderId="0" xfId="477" applyAlignment="1">
      <alignment horizontal="center"/>
    </xf>
    <xf numFmtId="0" fontId="3" fillId="0" borderId="0" xfId="477" applyAlignment="1">
      <alignment horizontal="center" vertical="center"/>
    </xf>
    <xf numFmtId="0" fontId="15" fillId="81" borderId="19" xfId="0" applyFont="1" applyFill="1" applyBorder="1" applyAlignment="1">
      <alignment horizontal="center" vertical="center"/>
    </xf>
    <xf numFmtId="9" fontId="14" fillId="0" borderId="19" xfId="418" applyFont="1" applyFill="1" applyBorder="1" applyAlignment="1" applyProtection="1">
      <alignment horizontal="center" vertical="center"/>
    </xf>
    <xf numFmtId="1" fontId="16" fillId="0" borderId="19" xfId="0" applyNumberFormat="1" applyFont="1" applyBorder="1" applyAlignment="1">
      <alignment horizontal="center" vertical="center"/>
    </xf>
    <xf numFmtId="1" fontId="23" fillId="75" borderId="19" xfId="0" applyNumberFormat="1" applyFont="1" applyFill="1" applyBorder="1" applyAlignment="1">
      <alignment horizontal="center" vertical="center"/>
    </xf>
    <xf numFmtId="0" fontId="69" fillId="0" borderId="19" xfId="0" applyFont="1" applyBorder="1" applyAlignment="1">
      <alignment vertical="center"/>
    </xf>
    <xf numFmtId="0" fontId="7" fillId="0" borderId="36" xfId="0" applyFont="1" applyBorder="1" applyAlignment="1">
      <alignment vertical="center" wrapText="1"/>
    </xf>
    <xf numFmtId="165" fontId="7" fillId="0" borderId="0" xfId="916" applyNumberFormat="1" applyFont="1" applyFill="1" applyBorder="1" applyAlignment="1" applyProtection="1">
      <alignment vertical="center"/>
    </xf>
    <xf numFmtId="165" fontId="7" fillId="85" borderId="18" xfId="916" applyNumberFormat="1" applyFont="1" applyFill="1" applyBorder="1" applyAlignment="1" applyProtection="1">
      <alignment horizontal="center" vertical="center"/>
    </xf>
    <xf numFmtId="9" fontId="7" fillId="85" borderId="27" xfId="916" applyFont="1" applyFill="1" applyBorder="1" applyAlignment="1" applyProtection="1">
      <alignment horizontal="center" vertical="center"/>
    </xf>
    <xf numFmtId="165" fontId="7" fillId="86" borderId="32" xfId="916" applyNumberFormat="1" applyFont="1" applyFill="1" applyBorder="1" applyAlignment="1" applyProtection="1">
      <alignment horizontal="center" vertical="center"/>
    </xf>
    <xf numFmtId="165" fontId="7" fillId="86" borderId="36" xfId="916" applyNumberFormat="1" applyFont="1" applyFill="1" applyBorder="1" applyAlignment="1" applyProtection="1">
      <alignment horizontal="center" vertical="center"/>
    </xf>
    <xf numFmtId="165" fontId="7" fillId="0" borderId="0" xfId="916" applyNumberFormat="1" applyFont="1" applyFill="1" applyBorder="1" applyAlignment="1" applyProtection="1">
      <alignment vertical="center" wrapText="1"/>
    </xf>
    <xf numFmtId="165" fontId="7" fillId="0" borderId="18" xfId="916" applyNumberFormat="1" applyFont="1" applyFill="1" applyBorder="1" applyAlignment="1" applyProtection="1">
      <alignment horizontal="center" vertical="center"/>
    </xf>
    <xf numFmtId="165" fontId="7" fillId="0" borderId="60" xfId="916" applyNumberFormat="1" applyFont="1" applyFill="1" applyBorder="1" applyAlignment="1" applyProtection="1">
      <alignment horizontal="center" vertical="top" wrapText="1"/>
    </xf>
    <xf numFmtId="165" fontId="7" fillId="88" borderId="25" xfId="916" applyNumberFormat="1" applyFont="1" applyFill="1" applyBorder="1" applyAlignment="1" applyProtection="1">
      <alignment horizontal="center" vertical="center"/>
    </xf>
    <xf numFmtId="165" fontId="7" fillId="88" borderId="60" xfId="916" applyNumberFormat="1" applyFont="1" applyFill="1" applyBorder="1" applyAlignment="1" applyProtection="1">
      <alignment horizontal="center" vertical="center"/>
    </xf>
    <xf numFmtId="165" fontId="7" fillId="88" borderId="18" xfId="916" applyNumberFormat="1" applyFont="1" applyFill="1" applyBorder="1" applyAlignment="1" applyProtection="1">
      <alignment horizontal="center" vertical="center"/>
    </xf>
    <xf numFmtId="165" fontId="7" fillId="88" borderId="27" xfId="916" applyNumberFormat="1" applyFont="1" applyFill="1" applyBorder="1" applyAlignment="1" applyProtection="1">
      <alignment horizontal="center" vertical="center"/>
    </xf>
    <xf numFmtId="0" fontId="124" fillId="0" borderId="0" xfId="0" applyFont="1"/>
    <xf numFmtId="0" fontId="133" fillId="0" borderId="0" xfId="0" applyFont="1"/>
    <xf numFmtId="0" fontId="111" fillId="89" borderId="0" xfId="0" applyFont="1" applyFill="1" applyAlignment="1">
      <alignment horizontal="left" vertical="center" wrapText="1"/>
    </xf>
    <xf numFmtId="0" fontId="111" fillId="89" borderId="0" xfId="0" applyFont="1" applyFill="1" applyAlignment="1">
      <alignment vertical="center" wrapText="1"/>
    </xf>
    <xf numFmtId="10" fontId="112" fillId="89" borderId="0" xfId="399" applyNumberFormat="1" applyFont="1" applyFill="1" applyBorder="1" applyAlignment="1" applyProtection="1">
      <alignment horizontal="center" vertical="center" wrapText="1"/>
    </xf>
    <xf numFmtId="0" fontId="113" fillId="89" borderId="0" xfId="0" applyFont="1" applyFill="1" applyAlignment="1">
      <alignment horizontal="center" vertical="center" wrapText="1"/>
    </xf>
    <xf numFmtId="0" fontId="117" fillId="89" borderId="0" xfId="0" applyFont="1" applyFill="1" applyAlignment="1">
      <alignment horizontal="center" vertical="center" wrapText="1"/>
    </xf>
    <xf numFmtId="0" fontId="117" fillId="89" borderId="0" xfId="0" applyFont="1" applyFill="1" applyAlignment="1">
      <alignment vertical="center" wrapText="1"/>
    </xf>
    <xf numFmtId="1" fontId="14" fillId="0" borderId="0" xfId="0" applyNumberFormat="1" applyFont="1" applyAlignment="1">
      <alignment vertical="center" wrapText="1"/>
    </xf>
    <xf numFmtId="1" fontId="8" fillId="29" borderId="60" xfId="0" applyNumberFormat="1" applyFont="1" applyFill="1" applyBorder="1" applyAlignment="1">
      <alignment horizontal="center" vertical="center" wrapText="1"/>
    </xf>
    <xf numFmtId="0" fontId="14" fillId="0" borderId="45" xfId="0" applyFont="1" applyBorder="1" applyAlignment="1">
      <alignment vertical="center" wrapText="1"/>
    </xf>
    <xf numFmtId="10" fontId="26" fillId="28" borderId="36" xfId="399" applyNumberFormat="1" applyFont="1" applyFill="1" applyBorder="1" applyAlignment="1" applyProtection="1">
      <alignment horizontal="center" vertical="center" wrapText="1"/>
    </xf>
    <xf numFmtId="1" fontId="26" fillId="29" borderId="60" xfId="0" applyNumberFormat="1" applyFont="1" applyFill="1" applyBorder="1" applyAlignment="1">
      <alignment horizontal="center" vertical="center" wrapText="1"/>
    </xf>
    <xf numFmtId="0" fontId="7" fillId="0" borderId="45" xfId="0" applyFont="1" applyBorder="1" applyAlignment="1">
      <alignment vertical="center" wrapText="1"/>
    </xf>
    <xf numFmtId="10" fontId="8" fillId="28" borderId="60" xfId="399" applyNumberFormat="1" applyFont="1" applyFill="1" applyBorder="1" applyAlignment="1" applyProtection="1">
      <alignment horizontal="center" vertical="center" wrapText="1"/>
    </xf>
    <xf numFmtId="10" fontId="8" fillId="28" borderId="36" xfId="399" applyNumberFormat="1" applyFont="1" applyFill="1" applyBorder="1" applyAlignment="1" applyProtection="1">
      <alignment horizontal="center" vertical="center" wrapText="1"/>
    </xf>
    <xf numFmtId="10" fontId="8" fillId="0" borderId="63" xfId="399" applyNumberFormat="1" applyFont="1" applyFill="1" applyBorder="1" applyAlignment="1" applyProtection="1">
      <alignment horizontal="center" vertical="center" wrapText="1"/>
    </xf>
    <xf numFmtId="0" fontId="3" fillId="35" borderId="19" xfId="477" applyFill="1" applyBorder="1" applyAlignment="1" applyProtection="1">
      <alignment horizontal="center" vertical="center"/>
      <protection locked="0"/>
    </xf>
    <xf numFmtId="1" fontId="26" fillId="34" borderId="60" xfId="0" applyNumberFormat="1" applyFont="1" applyFill="1" applyBorder="1" applyAlignment="1" applyProtection="1">
      <alignment horizontal="center" vertical="center"/>
      <protection locked="0"/>
    </xf>
    <xf numFmtId="1" fontId="26" fillId="34" borderId="27" xfId="0" applyNumberFormat="1" applyFont="1" applyFill="1" applyBorder="1" applyAlignment="1" applyProtection="1">
      <alignment horizontal="center" vertical="center"/>
      <protection locked="0"/>
    </xf>
    <xf numFmtId="1" fontId="8" fillId="34" borderId="27" xfId="0" applyNumberFormat="1" applyFont="1" applyFill="1" applyBorder="1" applyAlignment="1" applyProtection="1">
      <alignment horizontal="center" vertical="center"/>
      <protection locked="0"/>
    </xf>
    <xf numFmtId="0" fontId="18" fillId="0" borderId="0" xfId="477" applyFont="1" applyAlignment="1">
      <alignment horizontal="center" vertical="center"/>
    </xf>
    <xf numFmtId="0" fontId="106" fillId="0" borderId="0" xfId="0" applyFont="1" applyAlignment="1">
      <alignment horizontal="center" vertical="center"/>
    </xf>
    <xf numFmtId="0" fontId="136" fillId="0" borderId="0" xfId="0" applyFont="1"/>
    <xf numFmtId="0" fontId="137" fillId="0" borderId="0" xfId="0" applyFont="1"/>
    <xf numFmtId="0" fontId="138" fillId="0" borderId="0" xfId="0" applyFont="1" applyAlignment="1">
      <alignment vertical="center"/>
    </xf>
    <xf numFmtId="0" fontId="138" fillId="0" borderId="27" xfId="0" applyFont="1" applyBorder="1" applyAlignment="1">
      <alignment horizontal="center" vertical="center"/>
    </xf>
    <xf numFmtId="0" fontId="106" fillId="0" borderId="0" xfId="0" applyFont="1" applyAlignment="1">
      <alignment vertical="center"/>
    </xf>
    <xf numFmtId="0" fontId="140" fillId="0" borderId="50" xfId="0" applyFont="1" applyBorder="1" applyAlignment="1">
      <alignment horizontal="center" vertical="center" wrapText="1"/>
    </xf>
    <xf numFmtId="0" fontId="140" fillId="0" borderId="53" xfId="0" applyFont="1" applyBorder="1" applyAlignment="1">
      <alignment horizontal="center" vertical="center" wrapText="1"/>
    </xf>
    <xf numFmtId="49" fontId="18" fillId="35" borderId="91" xfId="477" applyNumberFormat="1" applyFont="1" applyFill="1" applyBorder="1" applyAlignment="1" applyProtection="1">
      <alignment horizontal="left" vertical="center" wrapText="1"/>
      <protection locked="0"/>
    </xf>
    <xf numFmtId="49" fontId="18" fillId="35" borderId="31" xfId="477" applyNumberFormat="1" applyFont="1" applyFill="1" applyBorder="1" applyAlignment="1" applyProtection="1">
      <alignment horizontal="left" vertical="center" wrapText="1"/>
      <protection locked="0"/>
    </xf>
    <xf numFmtId="1" fontId="18" fillId="35" borderId="31" xfId="477" applyNumberFormat="1" applyFont="1" applyFill="1" applyBorder="1" applyAlignment="1" applyProtection="1">
      <alignment horizontal="center" vertical="center"/>
      <protection locked="0"/>
    </xf>
    <xf numFmtId="1" fontId="18" fillId="35" borderId="92" xfId="477" applyNumberFormat="1" applyFont="1" applyFill="1" applyBorder="1" applyAlignment="1" applyProtection="1">
      <alignment horizontal="center" vertical="center"/>
      <protection locked="0"/>
    </xf>
    <xf numFmtId="49" fontId="18" fillId="35" borderId="93" xfId="477" applyNumberFormat="1" applyFont="1" applyFill="1" applyBorder="1" applyAlignment="1" applyProtection="1">
      <alignment horizontal="left" vertical="center" wrapText="1"/>
      <protection locked="0"/>
    </xf>
    <xf numFmtId="49" fontId="18" fillId="35" borderId="19" xfId="477" applyNumberFormat="1" applyFont="1" applyFill="1" applyBorder="1" applyAlignment="1" applyProtection="1">
      <alignment horizontal="left" vertical="center" wrapText="1"/>
      <protection locked="0"/>
    </xf>
    <xf numFmtId="1" fontId="18" fillId="35" borderId="19" xfId="477" applyNumberFormat="1" applyFont="1" applyFill="1" applyBorder="1" applyAlignment="1" applyProtection="1">
      <alignment horizontal="center" vertical="center"/>
      <protection locked="0"/>
    </xf>
    <xf numFmtId="1" fontId="18" fillId="35" borderId="55" xfId="477" applyNumberFormat="1" applyFont="1" applyFill="1" applyBorder="1" applyAlignment="1" applyProtection="1">
      <alignment horizontal="center" vertical="center"/>
      <protection locked="0"/>
    </xf>
    <xf numFmtId="49" fontId="18" fillId="35" borderId="90" xfId="477" applyNumberFormat="1" applyFont="1" applyFill="1" applyBorder="1" applyAlignment="1" applyProtection="1">
      <alignment horizontal="left" vertical="center" wrapText="1"/>
      <protection locked="0"/>
    </xf>
    <xf numFmtId="1" fontId="18" fillId="35" borderId="50" xfId="477" applyNumberFormat="1" applyFont="1" applyFill="1" applyBorder="1" applyAlignment="1" applyProtection="1">
      <alignment horizontal="center" vertical="center"/>
      <protection locked="0"/>
    </xf>
    <xf numFmtId="1" fontId="18" fillId="35" borderId="53" xfId="477" applyNumberFormat="1" applyFont="1" applyFill="1" applyBorder="1" applyAlignment="1" applyProtection="1">
      <alignment horizontal="center" vertical="center"/>
      <protection locked="0"/>
    </xf>
    <xf numFmtId="0" fontId="136" fillId="0" borderId="19" xfId="0" applyFont="1" applyBorder="1" applyAlignment="1">
      <alignment horizontal="left" vertical="center" wrapText="1"/>
    </xf>
    <xf numFmtId="0" fontId="136" fillId="0" borderId="19" xfId="0" applyFont="1" applyBorder="1"/>
    <xf numFmtId="0" fontId="136" fillId="0" borderId="19" xfId="0" applyFont="1" applyBorder="1" applyAlignment="1">
      <alignment horizontal="left" vertical="center"/>
    </xf>
    <xf numFmtId="0" fontId="0" fillId="91" borderId="19" xfId="0" applyFill="1" applyBorder="1"/>
    <xf numFmtId="0" fontId="140" fillId="0" borderId="94" xfId="0" applyFont="1" applyBorder="1" applyAlignment="1">
      <alignment horizontal="center" vertical="center" wrapText="1"/>
    </xf>
    <xf numFmtId="0" fontId="140" fillId="0" borderId="95" xfId="0" applyFont="1" applyBorder="1" applyAlignment="1">
      <alignment horizontal="center" vertical="center" wrapText="1"/>
    </xf>
    <xf numFmtId="0" fontId="140" fillId="0" borderId="49" xfId="0" applyFont="1" applyBorder="1" applyAlignment="1">
      <alignment horizontal="center" vertical="center" wrapText="1"/>
    </xf>
    <xf numFmtId="0" fontId="140" fillId="0" borderId="54" xfId="0" applyFont="1" applyBorder="1" applyAlignment="1">
      <alignment horizontal="center" vertical="center" wrapText="1"/>
    </xf>
    <xf numFmtId="49" fontId="7" fillId="35" borderId="91" xfId="477" applyNumberFormat="1" applyFont="1" applyFill="1" applyBorder="1" applyAlignment="1" applyProtection="1">
      <alignment vertical="center" wrapText="1"/>
      <protection locked="0"/>
    </xf>
    <xf numFmtId="49" fontId="7" fillId="35" borderId="30" xfId="477" applyNumberFormat="1" applyFont="1" applyFill="1" applyBorder="1" applyAlignment="1" applyProtection="1">
      <alignment horizontal="center" vertical="center"/>
      <protection locked="0"/>
    </xf>
    <xf numFmtId="49" fontId="7" fillId="35" borderId="30" xfId="477" applyNumberFormat="1" applyFont="1" applyFill="1" applyBorder="1" applyAlignment="1" applyProtection="1">
      <alignment horizontal="left" vertical="center"/>
      <protection locked="0"/>
    </xf>
    <xf numFmtId="49" fontId="7" fillId="35" borderId="31" xfId="477" applyNumberFormat="1" applyFont="1" applyFill="1" applyBorder="1" applyAlignment="1" applyProtection="1">
      <alignment vertical="center" wrapText="1"/>
      <protection locked="0"/>
    </xf>
    <xf numFmtId="49" fontId="7" fillId="35" borderId="31" xfId="477" applyNumberFormat="1" applyFont="1" applyFill="1" applyBorder="1" applyAlignment="1" applyProtection="1">
      <alignment horizontal="center" vertical="center" wrapText="1"/>
      <protection locked="0"/>
    </xf>
    <xf numFmtId="1" fontId="7" fillId="35" borderId="31" xfId="477" applyNumberFormat="1" applyFont="1" applyFill="1" applyBorder="1" applyAlignment="1" applyProtection="1">
      <alignment horizontal="center" vertical="center"/>
      <protection locked="0"/>
    </xf>
    <xf numFmtId="49" fontId="7" fillId="35" borderId="90" xfId="477" applyNumberFormat="1" applyFont="1" applyFill="1" applyBorder="1" applyAlignment="1" applyProtection="1">
      <alignment vertical="center" wrapText="1"/>
      <protection locked="0"/>
    </xf>
    <xf numFmtId="49" fontId="7" fillId="35" borderId="96" xfId="477" applyNumberFormat="1" applyFont="1" applyFill="1" applyBorder="1" applyAlignment="1" applyProtection="1">
      <alignment horizontal="center" vertical="center"/>
      <protection locked="0"/>
    </xf>
    <xf numFmtId="49" fontId="7" fillId="35" borderId="96" xfId="477" applyNumberFormat="1" applyFont="1" applyFill="1" applyBorder="1" applyAlignment="1" applyProtection="1">
      <alignment horizontal="left" vertical="center"/>
      <protection locked="0"/>
    </xf>
    <xf numFmtId="49" fontId="7" fillId="35" borderId="50" xfId="477" applyNumberFormat="1" applyFont="1" applyFill="1" applyBorder="1" applyAlignment="1" applyProtection="1">
      <alignment vertical="center" wrapText="1"/>
      <protection locked="0"/>
    </xf>
    <xf numFmtId="49" fontId="7" fillId="35" borderId="50" xfId="477" applyNumberFormat="1" applyFont="1" applyFill="1" applyBorder="1" applyAlignment="1" applyProtection="1">
      <alignment horizontal="center" vertical="center" wrapText="1"/>
      <protection locked="0"/>
    </xf>
    <xf numFmtId="1" fontId="7" fillId="35" borderId="50" xfId="477" applyNumberFormat="1" applyFont="1" applyFill="1" applyBorder="1" applyAlignment="1" applyProtection="1">
      <alignment horizontal="center" vertical="center"/>
      <protection locked="0"/>
    </xf>
    <xf numFmtId="0" fontId="139" fillId="0" borderId="0" xfId="0" applyFont="1"/>
    <xf numFmtId="0" fontId="140" fillId="0" borderId="0" xfId="0" applyFont="1" applyAlignment="1">
      <alignment vertical="center"/>
    </xf>
    <xf numFmtId="1" fontId="106" fillId="0" borderId="60" xfId="0" applyNumberFormat="1" applyFont="1" applyBorder="1" applyAlignment="1">
      <alignment horizontal="center" vertical="center"/>
    </xf>
    <xf numFmtId="1" fontId="106" fillId="0" borderId="25" xfId="0" applyNumberFormat="1" applyFont="1" applyBorder="1" applyAlignment="1">
      <alignment horizontal="center" vertical="center"/>
    </xf>
    <xf numFmtId="49" fontId="18" fillId="35" borderId="50" xfId="477" applyNumberFormat="1" applyFont="1" applyFill="1" applyBorder="1" applyAlignment="1" applyProtection="1">
      <alignment horizontal="left" vertical="center" wrapText="1"/>
      <protection locked="0"/>
    </xf>
    <xf numFmtId="0" fontId="139" fillId="0" borderId="0" xfId="0" applyFont="1" applyAlignment="1">
      <alignment vertical="top"/>
    </xf>
    <xf numFmtId="1" fontId="7" fillId="35" borderId="92" xfId="477" applyNumberFormat="1" applyFont="1" applyFill="1" applyBorder="1" applyAlignment="1" applyProtection="1">
      <alignment horizontal="left" vertical="center" wrapText="1"/>
      <protection locked="0"/>
    </xf>
    <xf numFmtId="1" fontId="7" fillId="35" borderId="53" xfId="477" applyNumberFormat="1" applyFont="1" applyFill="1" applyBorder="1" applyAlignment="1" applyProtection="1">
      <alignment horizontal="left" vertical="center" wrapText="1"/>
      <protection locked="0"/>
    </xf>
    <xf numFmtId="0" fontId="66" fillId="72" borderId="19" xfId="0" applyFont="1" applyFill="1" applyBorder="1" applyAlignment="1">
      <alignment horizontal="left" vertical="center"/>
    </xf>
    <xf numFmtId="1" fontId="108" fillId="34" borderId="27" xfId="0" applyNumberFormat="1" applyFont="1" applyFill="1" applyBorder="1" applyAlignment="1" applyProtection="1">
      <alignment horizontal="center" vertical="center"/>
      <protection locked="0"/>
    </xf>
    <xf numFmtId="10" fontId="108" fillId="28" borderId="36" xfId="399" applyNumberFormat="1" applyFont="1" applyFill="1" applyBorder="1" applyAlignment="1" applyProtection="1">
      <alignment horizontal="center" vertical="center" wrapText="1"/>
    </xf>
    <xf numFmtId="0" fontId="106" fillId="0" borderId="45" xfId="0" applyFont="1" applyBorder="1" applyAlignment="1">
      <alignment vertical="center" wrapText="1"/>
    </xf>
    <xf numFmtId="10" fontId="108" fillId="28" borderId="60" xfId="399" applyNumberFormat="1" applyFont="1" applyFill="1" applyBorder="1" applyAlignment="1" applyProtection="1">
      <alignment horizontal="center" vertical="center" wrapText="1"/>
    </xf>
    <xf numFmtId="0" fontId="7" fillId="0" borderId="0" xfId="0" applyFont="1" applyAlignment="1">
      <alignment horizontal="justify" wrapText="1"/>
    </xf>
    <xf numFmtId="0" fontId="7" fillId="0" borderId="0" xfId="0" applyFont="1" applyAlignment="1">
      <alignment horizontal="justify"/>
    </xf>
    <xf numFmtId="0" fontId="3" fillId="0" borderId="39" xfId="477" applyBorder="1" applyAlignment="1">
      <alignment horizontal="center" vertical="center" wrapText="1"/>
    </xf>
    <xf numFmtId="0" fontId="3" fillId="0" borderId="40" xfId="477" applyBorder="1" applyAlignment="1">
      <alignment horizontal="center" vertical="center" wrapText="1"/>
    </xf>
    <xf numFmtId="0" fontId="3" fillId="0" borderId="43" xfId="477" applyBorder="1" applyAlignment="1">
      <alignment horizontal="center" vertical="center" wrapText="1"/>
    </xf>
    <xf numFmtId="0" fontId="15" fillId="0" borderId="41" xfId="0" applyFont="1" applyBorder="1" applyAlignment="1">
      <alignment horizontal="center" vertical="center" wrapText="1"/>
    </xf>
    <xf numFmtId="0" fontId="15" fillId="0" borderId="0" xfId="0" applyFont="1" applyAlignment="1">
      <alignment horizontal="center" vertical="center" wrapText="1"/>
    </xf>
    <xf numFmtId="0" fontId="15" fillId="0" borderId="74" xfId="0" applyFont="1" applyBorder="1" applyAlignment="1">
      <alignment horizontal="center" vertical="center" wrapText="1"/>
    </xf>
    <xf numFmtId="0" fontId="3" fillId="35" borderId="39" xfId="477" applyFill="1" applyBorder="1" applyAlignment="1" applyProtection="1">
      <alignment horizontal="center" vertical="center"/>
      <protection locked="0"/>
    </xf>
    <xf numFmtId="0" fontId="3" fillId="35" borderId="40" xfId="477" applyFill="1" applyBorder="1" applyAlignment="1" applyProtection="1">
      <alignment horizontal="center" vertical="center"/>
      <protection locked="0"/>
    </xf>
    <xf numFmtId="0" fontId="3" fillId="0" borderId="39" xfId="477" applyBorder="1" applyAlignment="1">
      <alignment horizontal="center" vertical="center"/>
    </xf>
    <xf numFmtId="0" fontId="3" fillId="0" borderId="40" xfId="477" applyBorder="1" applyAlignment="1">
      <alignment horizontal="center" vertical="center"/>
    </xf>
    <xf numFmtId="0" fontId="3" fillId="0" borderId="43" xfId="477" applyBorder="1" applyAlignment="1">
      <alignment horizontal="center" vertical="center"/>
    </xf>
    <xf numFmtId="0" fontId="3" fillId="0" borderId="2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20" xfId="477" applyBorder="1" applyAlignment="1">
      <alignment horizontal="center" vertical="center"/>
    </xf>
    <xf numFmtId="0" fontId="3" fillId="0" borderId="42" xfId="477" applyBorder="1" applyAlignment="1">
      <alignment horizontal="center" vertical="center"/>
    </xf>
    <xf numFmtId="0" fontId="3" fillId="28" borderId="19" xfId="477" applyFill="1" applyBorder="1" applyAlignment="1">
      <alignment horizontal="center" vertical="center" wrapText="1"/>
    </xf>
    <xf numFmtId="0" fontId="104" fillId="0" borderId="0" xfId="0" applyFont="1" applyAlignment="1">
      <alignment horizontal="left" vertical="center" wrapText="1"/>
    </xf>
    <xf numFmtId="0" fontId="3" fillId="0" borderId="19" xfId="0" applyFont="1" applyBorder="1" applyAlignment="1">
      <alignment horizontal="center" vertical="center"/>
    </xf>
    <xf numFmtId="0" fontId="3" fillId="0" borderId="19" xfId="477" applyBorder="1" applyAlignment="1">
      <alignment horizontal="center" vertical="center"/>
    </xf>
    <xf numFmtId="0" fontId="3" fillId="0" borderId="21" xfId="477" applyBorder="1" applyAlignment="1">
      <alignment horizontal="center" vertical="center" wrapText="1"/>
    </xf>
    <xf numFmtId="0" fontId="3" fillId="0" borderId="31" xfId="477" applyBorder="1" applyAlignment="1">
      <alignment horizontal="center" vertical="center" wrapText="1"/>
    </xf>
    <xf numFmtId="0" fontId="3" fillId="0" borderId="87" xfId="477" applyBorder="1" applyAlignment="1">
      <alignment horizontal="center" vertical="center" wrapText="1"/>
    </xf>
    <xf numFmtId="0" fontId="3" fillId="0" borderId="31" xfId="0" applyFont="1" applyBorder="1" applyAlignment="1">
      <alignment horizontal="center" vertical="center"/>
    </xf>
    <xf numFmtId="0" fontId="16" fillId="0" borderId="21" xfId="0" applyFont="1" applyBorder="1" applyAlignment="1">
      <alignment horizontal="center" vertical="center"/>
    </xf>
    <xf numFmtId="0" fontId="16" fillId="0" borderId="87" xfId="0" applyFont="1" applyBorder="1" applyAlignment="1">
      <alignment horizontal="center" vertical="center"/>
    </xf>
    <xf numFmtId="0" fontId="16" fillId="0" borderId="31" xfId="0" applyFont="1" applyBorder="1" applyAlignment="1">
      <alignment horizontal="center" vertical="center"/>
    </xf>
    <xf numFmtId="0" fontId="65" fillId="0" borderId="0" xfId="0" applyFont="1" applyAlignment="1">
      <alignment horizontal="justify" vertical="top" wrapText="1"/>
    </xf>
    <xf numFmtId="0" fontId="119" fillId="0" borderId="0" xfId="0" applyFont="1" applyAlignment="1">
      <alignment horizontal="justify" vertical="top" wrapText="1"/>
    </xf>
    <xf numFmtId="0" fontId="3" fillId="35" borderId="39" xfId="477" applyFill="1" applyBorder="1" applyAlignment="1" applyProtection="1">
      <alignment horizontal="left" vertical="center"/>
      <protection locked="0"/>
    </xf>
    <xf numFmtId="0" fontId="3" fillId="35" borderId="43" xfId="477" applyFill="1" applyBorder="1" applyAlignment="1" applyProtection="1">
      <alignment horizontal="left" vertical="center"/>
      <protection locked="0"/>
    </xf>
    <xf numFmtId="0" fontId="3" fillId="0" borderId="39" xfId="477" applyBorder="1" applyAlignment="1">
      <alignment vertical="center"/>
    </xf>
    <xf numFmtId="0" fontId="16" fillId="0" borderId="40" xfId="0" applyFont="1" applyBorder="1" applyAlignment="1">
      <alignment vertical="center"/>
    </xf>
    <xf numFmtId="0" fontId="16" fillId="0" borderId="43" xfId="0" applyFont="1" applyBorder="1" applyAlignment="1">
      <alignment vertical="center"/>
    </xf>
    <xf numFmtId="0" fontId="118" fillId="0" borderId="0" xfId="0" applyFont="1" applyAlignment="1">
      <alignment horizontal="center" vertical="center"/>
    </xf>
    <xf numFmtId="0" fontId="7" fillId="0" borderId="41" xfId="477" applyFont="1" applyBorder="1" applyAlignment="1">
      <alignment horizontal="center" vertical="center"/>
    </xf>
    <xf numFmtId="0" fontId="3" fillId="84" borderId="39" xfId="477" applyFill="1" applyBorder="1" applyAlignment="1" applyProtection="1">
      <alignment horizontal="center" vertical="center"/>
      <protection locked="0"/>
    </xf>
    <xf numFmtId="0" fontId="3" fillId="84" borderId="40" xfId="477" applyFill="1" applyBorder="1" applyAlignment="1" applyProtection="1">
      <alignment horizontal="center" vertical="center"/>
      <protection locked="0"/>
    </xf>
    <xf numFmtId="0" fontId="3" fillId="84" borderId="43" xfId="477" applyFill="1" applyBorder="1" applyAlignment="1" applyProtection="1">
      <alignment horizontal="center" vertical="center"/>
      <protection locked="0"/>
    </xf>
    <xf numFmtId="0" fontId="3" fillId="0" borderId="0" xfId="477" applyAlignment="1">
      <alignment horizontal="center" vertical="center" wrapText="1"/>
    </xf>
    <xf numFmtId="14" fontId="3" fillId="35" borderId="39" xfId="477" applyNumberFormat="1" applyFill="1" applyBorder="1" applyAlignment="1" applyProtection="1">
      <alignment horizontal="center" vertical="center"/>
      <protection locked="0"/>
    </xf>
    <xf numFmtId="14" fontId="3" fillId="35" borderId="43" xfId="477" applyNumberFormat="1" applyFill="1" applyBorder="1" applyAlignment="1" applyProtection="1">
      <alignment horizontal="center" vertical="center"/>
      <protection locked="0"/>
    </xf>
    <xf numFmtId="14" fontId="3" fillId="0" borderId="39" xfId="477" applyNumberFormat="1" applyBorder="1" applyAlignment="1">
      <alignment horizontal="center" vertical="center"/>
    </xf>
    <xf numFmtId="14" fontId="3" fillId="0" borderId="43" xfId="477" applyNumberFormat="1" applyBorder="1" applyAlignment="1">
      <alignment horizontal="center" vertical="center"/>
    </xf>
    <xf numFmtId="0" fontId="16" fillId="28" borderId="19" xfId="0" applyFont="1" applyFill="1" applyBorder="1" applyAlignment="1">
      <alignment horizontal="center" vertical="center" wrapText="1"/>
    </xf>
    <xf numFmtId="2" fontId="3" fillId="35" borderId="39" xfId="477" applyNumberFormat="1" applyFill="1" applyBorder="1" applyAlignment="1" applyProtection="1">
      <alignment horizontal="left" vertical="center"/>
      <protection locked="0"/>
    </xf>
    <xf numFmtId="2" fontId="3" fillId="35" borderId="40" xfId="477" applyNumberFormat="1" applyFill="1" applyBorder="1" applyAlignment="1" applyProtection="1">
      <alignment horizontal="left" vertical="center"/>
      <protection locked="0"/>
    </xf>
    <xf numFmtId="2" fontId="3" fillId="35" borderId="43" xfId="477" applyNumberFormat="1" applyFill="1" applyBorder="1" applyAlignment="1" applyProtection="1">
      <alignment horizontal="left" vertical="center"/>
      <protection locked="0"/>
    </xf>
    <xf numFmtId="0" fontId="3" fillId="0" borderId="0" xfId="477" applyAlignment="1">
      <alignment horizontal="center" vertical="center"/>
    </xf>
    <xf numFmtId="49" fontId="3" fillId="35" borderId="39" xfId="477" applyNumberFormat="1" applyFill="1" applyBorder="1" applyAlignment="1" applyProtection="1">
      <alignment horizontal="left" vertical="center"/>
      <protection locked="0"/>
    </xf>
    <xf numFmtId="49" fontId="3" fillId="35" borderId="40" xfId="477" applyNumberFormat="1" applyFill="1" applyBorder="1" applyAlignment="1" applyProtection="1">
      <alignment horizontal="left" vertical="center"/>
      <protection locked="0"/>
    </xf>
    <xf numFmtId="49" fontId="3" fillId="35" borderId="43" xfId="477" applyNumberFormat="1" applyFill="1" applyBorder="1" applyAlignment="1" applyProtection="1">
      <alignment horizontal="left" vertical="center"/>
      <protection locked="0"/>
    </xf>
    <xf numFmtId="0" fontId="16" fillId="0" borderId="0" xfId="0" applyFont="1" applyAlignment="1">
      <alignment horizontal="left" vertical="center" wrapText="1"/>
    </xf>
    <xf numFmtId="0" fontId="106" fillId="0" borderId="0" xfId="0" applyFont="1" applyAlignment="1">
      <alignment horizontal="left" wrapText="1"/>
    </xf>
    <xf numFmtId="0" fontId="0" fillId="0" borderId="0" xfId="0" applyAlignment="1">
      <alignment horizontal="left" wrapText="1"/>
    </xf>
    <xf numFmtId="0" fontId="140" fillId="0" borderId="89" xfId="0" applyFont="1" applyBorder="1" applyAlignment="1">
      <alignment horizontal="center" vertical="center" wrapText="1"/>
    </xf>
    <xf numFmtId="0" fontId="140" fillId="0" borderId="90" xfId="0" applyFont="1" applyBorder="1" applyAlignment="1">
      <alignment horizontal="center" vertical="center" wrapText="1"/>
    </xf>
    <xf numFmtId="0" fontId="140" fillId="0" borderId="51" xfId="0" applyFont="1" applyBorder="1" applyAlignment="1">
      <alignment horizontal="center" vertical="center" wrapText="1"/>
    </xf>
    <xf numFmtId="0" fontId="140" fillId="0" borderId="50" xfId="0" applyFont="1" applyBorder="1" applyAlignment="1">
      <alignment horizontal="center" vertical="center" wrapText="1"/>
    </xf>
    <xf numFmtId="0" fontId="140" fillId="0" borderId="56" xfId="0" applyFont="1" applyBorder="1" applyAlignment="1">
      <alignment horizontal="center" vertical="center" wrapText="1"/>
    </xf>
    <xf numFmtId="0" fontId="7" fillId="0" borderId="48" xfId="0" applyFont="1" applyBorder="1" applyAlignment="1">
      <alignment vertical="center" wrapText="1"/>
    </xf>
    <xf numFmtId="0" fontId="75" fillId="0" borderId="32" xfId="0" applyFont="1" applyBorder="1" applyAlignment="1">
      <alignment vertical="center" wrapText="1"/>
    </xf>
    <xf numFmtId="0" fontId="75" fillId="0" borderId="52" xfId="0" applyFont="1" applyBorder="1" applyAlignment="1">
      <alignment vertical="center" wrapText="1"/>
    </xf>
    <xf numFmtId="0" fontId="75" fillId="0" borderId="26" xfId="0" applyFont="1" applyBorder="1" applyAlignment="1">
      <alignment vertical="center" wrapText="1"/>
    </xf>
    <xf numFmtId="0" fontId="75" fillId="0" borderId="47" xfId="0" applyFont="1" applyBorder="1" applyAlignment="1">
      <alignment vertical="center" wrapText="1"/>
    </xf>
    <xf numFmtId="0" fontId="75" fillId="0" borderId="25" xfId="0" applyFont="1" applyBorder="1" applyAlignment="1">
      <alignment vertical="center" wrapText="1"/>
    </xf>
    <xf numFmtId="0" fontId="106" fillId="0" borderId="48" xfId="0" applyFont="1" applyBorder="1" applyAlignment="1">
      <alignment vertical="center" wrapText="1"/>
    </xf>
    <xf numFmtId="0" fontId="107" fillId="0" borderId="32" xfId="0" applyFont="1" applyBorder="1" applyAlignment="1">
      <alignment vertical="center" wrapText="1"/>
    </xf>
    <xf numFmtId="0" fontId="107" fillId="0" borderId="52" xfId="0" applyFont="1" applyBorder="1" applyAlignment="1">
      <alignment vertical="center" wrapText="1"/>
    </xf>
    <xf numFmtId="0" fontId="107" fillId="0" borderId="26" xfId="0" applyFont="1" applyBorder="1" applyAlignment="1">
      <alignment vertical="center" wrapText="1"/>
    </xf>
    <xf numFmtId="0" fontId="107" fillId="0" borderId="47" xfId="0" applyFont="1" applyBorder="1" applyAlignment="1">
      <alignment vertical="center" wrapText="1"/>
    </xf>
    <xf numFmtId="0" fontId="107" fillId="0" borderId="25" xfId="0" applyFont="1" applyBorder="1" applyAlignment="1">
      <alignment vertical="center" wrapText="1"/>
    </xf>
    <xf numFmtId="0" fontId="134" fillId="0" borderId="36" xfId="0" applyFont="1" applyBorder="1" applyAlignment="1">
      <alignment horizontal="center" vertical="center" wrapText="1"/>
    </xf>
    <xf numFmtId="0" fontId="134" fillId="0" borderId="63" xfId="0" applyFont="1" applyBorder="1" applyAlignment="1">
      <alignment horizontal="center" vertical="center" wrapText="1"/>
    </xf>
    <xf numFmtId="0" fontId="134" fillId="0" borderId="60" xfId="0" applyFont="1" applyBorder="1" applyAlignment="1">
      <alignment horizontal="center" vertical="center" wrapText="1"/>
    </xf>
    <xf numFmtId="0" fontId="31" fillId="33" borderId="18" xfId="0" applyFont="1" applyFill="1" applyBorder="1" applyAlignment="1">
      <alignment horizontal="center" vertical="center" wrapText="1"/>
    </xf>
    <xf numFmtId="0" fontId="56" fillId="0" borderId="48"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47" xfId="0" applyFont="1" applyBorder="1" applyAlignment="1">
      <alignment horizontal="center" vertical="center" wrapText="1"/>
    </xf>
    <xf numFmtId="0" fontId="134" fillId="0" borderId="48" xfId="0" applyFont="1" applyBorder="1" applyAlignment="1">
      <alignment horizontal="center" vertical="center" wrapText="1"/>
    </xf>
    <xf numFmtId="0" fontId="134" fillId="0" borderId="32" xfId="0" applyFont="1" applyBorder="1" applyAlignment="1">
      <alignment horizontal="center" vertical="center" wrapText="1"/>
    </xf>
    <xf numFmtId="0" fontId="134" fillId="0" borderId="52" xfId="0" applyFont="1" applyBorder="1" applyAlignment="1">
      <alignment horizontal="center" vertical="center" wrapText="1"/>
    </xf>
    <xf numFmtId="0" fontId="134" fillId="0" borderId="26" xfId="0" applyFont="1" applyBorder="1" applyAlignment="1">
      <alignment horizontal="center" vertical="center" wrapText="1"/>
    </xf>
    <xf numFmtId="0" fontId="134" fillId="0" borderId="47" xfId="0" applyFont="1" applyBorder="1" applyAlignment="1">
      <alignment horizontal="center" vertical="center" wrapText="1"/>
    </xf>
    <xf numFmtId="0" fontId="134" fillId="0" borderId="25" xfId="0" applyFont="1" applyBorder="1" applyAlignment="1">
      <alignment horizontal="center" vertical="center" wrapText="1"/>
    </xf>
    <xf numFmtId="0" fontId="31" fillId="33" borderId="36" xfId="0" applyFont="1" applyFill="1" applyBorder="1" applyAlignment="1">
      <alignment horizontal="center" vertical="center" wrapText="1"/>
    </xf>
    <xf numFmtId="0" fontId="31" fillId="33" borderId="63" xfId="0" applyFont="1" applyFill="1" applyBorder="1" applyAlignment="1">
      <alignment horizontal="center" vertical="center" wrapText="1"/>
    </xf>
    <xf numFmtId="0" fontId="31" fillId="33" borderId="60" xfId="0" applyFont="1" applyFill="1" applyBorder="1" applyAlignment="1">
      <alignment horizontal="center" vertical="center" wrapText="1"/>
    </xf>
    <xf numFmtId="0" fontId="56" fillId="0" borderId="32" xfId="0" applyFont="1" applyBorder="1" applyAlignment="1">
      <alignment horizontal="center" vertical="center" wrapText="1"/>
    </xf>
    <xf numFmtId="0" fontId="56" fillId="0" borderId="26" xfId="0" applyFont="1" applyBorder="1" applyAlignment="1">
      <alignment horizontal="center" vertical="center" wrapText="1"/>
    </xf>
    <xf numFmtId="0" fontId="56" fillId="0" borderId="25" xfId="0" applyFont="1" applyBorder="1" applyAlignment="1">
      <alignment horizontal="center" vertical="center" wrapText="1"/>
    </xf>
    <xf numFmtId="0" fontId="56" fillId="0" borderId="36" xfId="0" applyFont="1" applyBorder="1" applyAlignment="1">
      <alignment horizontal="center" vertical="center" wrapText="1"/>
    </xf>
    <xf numFmtId="0" fontId="56" fillId="0" borderId="63" xfId="0" applyFont="1" applyBorder="1" applyAlignment="1">
      <alignment horizontal="center" vertical="center" wrapText="1"/>
    </xf>
    <xf numFmtId="0" fontId="56" fillId="0" borderId="60" xfId="0" applyFont="1" applyBorder="1" applyAlignment="1">
      <alignment horizontal="center" vertical="center" wrapText="1"/>
    </xf>
    <xf numFmtId="9" fontId="56" fillId="0" borderId="36" xfId="0" applyNumberFormat="1" applyFont="1" applyBorder="1" applyAlignment="1">
      <alignment horizontal="center" vertical="center" wrapText="1"/>
    </xf>
    <xf numFmtId="9" fontId="134" fillId="0" borderId="36" xfId="0" applyNumberFormat="1" applyFont="1" applyBorder="1" applyAlignment="1">
      <alignment horizontal="center" vertical="center" wrapText="1"/>
    </xf>
    <xf numFmtId="0" fontId="31" fillId="33" borderId="32" xfId="0" applyFont="1" applyFill="1" applyBorder="1" applyAlignment="1">
      <alignment horizontal="center" vertical="center" wrapText="1"/>
    </xf>
    <xf numFmtId="0" fontId="14" fillId="0" borderId="0" xfId="0" applyFont="1" applyAlignment="1">
      <alignment horizontal="justify" vertical="justify" wrapText="1"/>
    </xf>
    <xf numFmtId="0" fontId="7" fillId="0" borderId="36" xfId="0" applyFont="1" applyBorder="1" applyAlignment="1">
      <alignment vertical="center" wrapText="1"/>
    </xf>
    <xf numFmtId="0" fontId="75" fillId="0" borderId="63" xfId="0" applyFont="1" applyBorder="1" applyAlignment="1">
      <alignment vertical="center" wrapText="1"/>
    </xf>
    <xf numFmtId="0" fontId="75" fillId="0" borderId="60" xfId="0" applyFont="1" applyBorder="1" applyAlignment="1">
      <alignment vertical="center" wrapText="1"/>
    </xf>
    <xf numFmtId="0" fontId="7" fillId="0" borderId="36" xfId="0" applyFont="1" applyBorder="1" applyAlignment="1">
      <alignment horizontal="center" vertical="center" wrapText="1"/>
    </xf>
    <xf numFmtId="0" fontId="75" fillId="0" borderId="63" xfId="0" applyFont="1" applyBorder="1" applyAlignment="1">
      <alignment horizontal="center" vertical="center" wrapText="1"/>
    </xf>
    <xf numFmtId="0" fontId="75" fillId="0" borderId="60" xfId="0" applyFont="1" applyBorder="1" applyAlignment="1">
      <alignment horizontal="center" vertical="center" wrapText="1"/>
    </xf>
    <xf numFmtId="0" fontId="32" fillId="0" borderId="36" xfId="0" applyFont="1" applyBorder="1" applyAlignment="1">
      <alignment horizontal="center" vertical="center" wrapText="1"/>
    </xf>
    <xf numFmtId="0" fontId="76" fillId="0" borderId="63" xfId="0" applyFont="1" applyBorder="1" applyAlignment="1">
      <alignment horizontal="center" vertical="center" wrapText="1"/>
    </xf>
    <xf numFmtId="0" fontId="76" fillId="0" borderId="60" xfId="0" applyFont="1" applyBorder="1" applyAlignment="1">
      <alignment horizontal="center" vertical="center" wrapText="1"/>
    </xf>
    <xf numFmtId="1" fontId="8" fillId="29" borderId="63" xfId="0" applyNumberFormat="1" applyFont="1" applyFill="1" applyBorder="1" applyAlignment="1">
      <alignment horizontal="center" vertical="center" wrapText="1"/>
    </xf>
    <xf numFmtId="1" fontId="8" fillId="29" borderId="60" xfId="0" applyNumberFormat="1" applyFont="1" applyFill="1" applyBorder="1" applyAlignment="1">
      <alignment horizontal="center" vertical="center" wrapText="1"/>
    </xf>
    <xf numFmtId="0" fontId="32" fillId="0" borderId="63" xfId="0" applyFont="1" applyBorder="1" applyAlignment="1">
      <alignment horizontal="center" vertical="center" wrapText="1"/>
    </xf>
    <xf numFmtId="49" fontId="32" fillId="0" borderId="36" xfId="0" applyNumberFormat="1" applyFont="1" applyBorder="1" applyAlignment="1">
      <alignment horizontal="center" vertical="center" wrapText="1"/>
    </xf>
    <xf numFmtId="49" fontId="76" fillId="0" borderId="63" xfId="0" applyNumberFormat="1" applyFont="1" applyBorder="1" applyAlignment="1">
      <alignment horizontal="center" vertical="center" wrapText="1"/>
    </xf>
    <xf numFmtId="49" fontId="76" fillId="0" borderId="60" xfId="0" applyNumberFormat="1" applyFont="1" applyBorder="1" applyAlignment="1">
      <alignment horizontal="center" vertical="center" wrapText="1"/>
    </xf>
    <xf numFmtId="0" fontId="7" fillId="0" borderId="32" xfId="0" applyFont="1" applyBorder="1" applyAlignment="1">
      <alignment vertical="center" wrapText="1"/>
    </xf>
    <xf numFmtId="0" fontId="7" fillId="0" borderId="52" xfId="0" applyFont="1" applyBorder="1" applyAlignment="1">
      <alignment vertical="center" wrapText="1"/>
    </xf>
    <xf numFmtId="0" fontId="7" fillId="0" borderId="26" xfId="0" applyFont="1" applyBorder="1" applyAlignment="1">
      <alignment vertical="center" wrapText="1"/>
    </xf>
    <xf numFmtId="0" fontId="7" fillId="0" borderId="47" xfId="0" applyFont="1" applyBorder="1" applyAlignment="1">
      <alignment vertical="center" wrapText="1"/>
    </xf>
    <xf numFmtId="0" fontId="7" fillId="0" borderId="25" xfId="0" applyFont="1" applyBorder="1" applyAlignment="1">
      <alignment vertical="center" wrapText="1"/>
    </xf>
    <xf numFmtId="0" fontId="23" fillId="34" borderId="36" xfId="0" applyFont="1" applyFill="1" applyBorder="1" applyAlignment="1" applyProtection="1">
      <alignment horizontal="left" vertical="center" wrapText="1"/>
      <protection locked="0"/>
    </xf>
    <xf numFmtId="0" fontId="11" fillId="40" borderId="27" xfId="0" applyFont="1" applyFill="1" applyBorder="1" applyAlignment="1" applyProtection="1">
      <alignment horizontal="left" vertical="center" wrapText="1"/>
      <protection locked="0"/>
    </xf>
    <xf numFmtId="0" fontId="32" fillId="0" borderId="32" xfId="0" applyFont="1" applyBorder="1" applyAlignment="1">
      <alignment horizontal="center" vertical="center" wrapText="1"/>
    </xf>
    <xf numFmtId="0" fontId="32" fillId="0" borderId="26" xfId="0" applyFont="1" applyBorder="1" applyAlignment="1">
      <alignment horizontal="center" vertical="center" wrapText="1"/>
    </xf>
    <xf numFmtId="1" fontId="8" fillId="34" borderId="36" xfId="0" applyNumberFormat="1" applyFont="1" applyFill="1" applyBorder="1" applyAlignment="1" applyProtection="1">
      <alignment horizontal="center" vertical="center"/>
      <protection locked="0"/>
    </xf>
    <xf numFmtId="1" fontId="8" fillId="34" borderId="63" xfId="0" applyNumberFormat="1" applyFont="1" applyFill="1" applyBorder="1" applyAlignment="1" applyProtection="1">
      <alignment horizontal="center" vertical="center"/>
      <protection locked="0"/>
    </xf>
    <xf numFmtId="1" fontId="8" fillId="34" borderId="60" xfId="0" applyNumberFormat="1" applyFont="1" applyFill="1" applyBorder="1" applyAlignment="1" applyProtection="1">
      <alignment horizontal="center" vertical="center"/>
      <protection locked="0"/>
    </xf>
    <xf numFmtId="0" fontId="31" fillId="33" borderId="27" xfId="0" applyFont="1" applyFill="1" applyBorder="1" applyAlignment="1">
      <alignment horizontal="center" vertical="center" wrapText="1"/>
    </xf>
    <xf numFmtId="0" fontId="23" fillId="79" borderId="36" xfId="0" applyFont="1" applyFill="1" applyBorder="1" applyAlignment="1" applyProtection="1">
      <alignment horizontal="left" vertical="center" wrapText="1"/>
      <protection locked="0"/>
    </xf>
    <xf numFmtId="0" fontId="11" fillId="90" borderId="27" xfId="0" applyFont="1" applyFill="1" applyBorder="1" applyAlignment="1" applyProtection="1">
      <alignment horizontal="left" vertical="center" wrapText="1"/>
      <protection locked="0"/>
    </xf>
    <xf numFmtId="0" fontId="7" fillId="0" borderId="48"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63" xfId="0" applyFont="1" applyBorder="1" applyAlignment="1">
      <alignment horizontal="center" vertical="center" wrapText="1"/>
    </xf>
    <xf numFmtId="0" fontId="7" fillId="0" borderId="60" xfId="0" applyFont="1" applyBorder="1" applyAlignment="1">
      <alignment horizontal="center" vertical="center" wrapText="1"/>
    </xf>
    <xf numFmtId="1" fontId="8" fillId="29" borderId="36" xfId="0" applyNumberFormat="1" applyFont="1" applyFill="1" applyBorder="1" applyAlignment="1">
      <alignment horizontal="center" vertical="center" wrapText="1"/>
    </xf>
    <xf numFmtId="0" fontId="106" fillId="0" borderId="36" xfId="0" applyFont="1" applyBorder="1" applyAlignment="1">
      <alignment horizontal="center" vertical="center" wrapText="1"/>
    </xf>
    <xf numFmtId="0" fontId="107" fillId="0" borderId="63" xfId="0" applyFont="1" applyBorder="1" applyAlignment="1">
      <alignment horizontal="center" vertical="center" wrapText="1"/>
    </xf>
    <xf numFmtId="0" fontId="107" fillId="0" borderId="60" xfId="0" applyFont="1" applyBorder="1" applyAlignment="1">
      <alignment horizontal="center" vertical="center" wrapText="1"/>
    </xf>
    <xf numFmtId="0" fontId="106" fillId="0" borderId="36" xfId="0" applyFont="1" applyBorder="1" applyAlignment="1">
      <alignment vertical="center" wrapText="1"/>
    </xf>
    <xf numFmtId="0" fontId="107" fillId="0" borderId="63" xfId="0" applyFont="1" applyBorder="1" applyAlignment="1">
      <alignment vertical="center" wrapText="1"/>
    </xf>
    <xf numFmtId="0" fontId="107" fillId="0" borderId="60" xfId="0" applyFont="1" applyBorder="1" applyAlignment="1">
      <alignment vertical="center" wrapText="1"/>
    </xf>
    <xf numFmtId="0" fontId="142" fillId="0" borderId="36" xfId="0" applyFont="1" applyBorder="1" applyAlignment="1">
      <alignment horizontal="center" vertical="center" wrapText="1"/>
    </xf>
    <xf numFmtId="0" fontId="144" fillId="0" borderId="63" xfId="0" applyFont="1" applyBorder="1" applyAlignment="1">
      <alignment horizontal="center" vertical="center" wrapText="1"/>
    </xf>
    <xf numFmtId="0" fontId="144" fillId="0" borderId="60" xfId="0" applyFont="1" applyBorder="1" applyAlignment="1">
      <alignment horizontal="center" vertical="center" wrapText="1"/>
    </xf>
    <xf numFmtId="0" fontId="18" fillId="79" borderId="36" xfId="0" applyFont="1" applyFill="1" applyBorder="1" applyAlignment="1" applyProtection="1">
      <alignment horizontal="left" vertical="center" wrapText="1"/>
      <protection locked="0"/>
    </xf>
    <xf numFmtId="0" fontId="18" fillId="34" borderId="36" xfId="0" applyFont="1" applyFill="1" applyBorder="1" applyAlignment="1" applyProtection="1">
      <alignment horizontal="left" vertical="center" wrapText="1"/>
      <protection locked="0"/>
    </xf>
    <xf numFmtId="0" fontId="29" fillId="0" borderId="45" xfId="0" applyFont="1" applyBorder="1" applyAlignment="1">
      <alignment horizontal="center" vertical="center"/>
    </xf>
    <xf numFmtId="0" fontId="29" fillId="0" borderId="18" xfId="0" applyFont="1" applyBorder="1" applyAlignment="1">
      <alignment horizontal="center" vertical="center"/>
    </xf>
    <xf numFmtId="0" fontId="29" fillId="0" borderId="48" xfId="0" applyFont="1" applyBorder="1" applyAlignment="1">
      <alignment horizontal="center" vertical="center" wrapText="1"/>
    </xf>
    <xf numFmtId="0" fontId="29" fillId="0" borderId="32"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27" xfId="0" applyFont="1" applyBorder="1" applyAlignment="1">
      <alignment horizontal="center" vertical="center" wrapText="1"/>
    </xf>
    <xf numFmtId="0" fontId="0" fillId="0" borderId="27" xfId="0" applyBorder="1" applyAlignment="1">
      <alignment horizontal="center" vertical="center" wrapText="1"/>
    </xf>
    <xf numFmtId="0" fontId="23" fillId="0" borderId="27" xfId="0" applyFont="1" applyBorder="1" applyAlignment="1">
      <alignment horizontal="center" vertical="center" wrapText="1"/>
    </xf>
    <xf numFmtId="0" fontId="123" fillId="0" borderId="27" xfId="0" applyFont="1" applyBorder="1" applyAlignment="1">
      <alignment horizontal="center" vertical="center" wrapText="1"/>
    </xf>
    <xf numFmtId="0" fontId="56" fillId="0" borderId="27" xfId="0" applyFont="1" applyBorder="1" applyAlignment="1">
      <alignment horizontal="center" vertical="center" wrapText="1"/>
    </xf>
    <xf numFmtId="0" fontId="123" fillId="0" borderId="36" xfId="0" applyFont="1" applyBorder="1" applyAlignment="1">
      <alignment horizontal="center" vertical="center" wrapText="1"/>
    </xf>
    <xf numFmtId="0" fontId="123" fillId="0" borderId="60"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26"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52" xfId="0" applyFont="1" applyBorder="1" applyAlignment="1">
      <alignment horizontal="center" vertical="center" wrapText="1"/>
    </xf>
    <xf numFmtId="0" fontId="14" fillId="0" borderId="47" xfId="0" applyFont="1" applyBorder="1" applyAlignment="1">
      <alignment horizontal="center" vertical="center" wrapText="1"/>
    </xf>
    <xf numFmtId="1" fontId="26" fillId="34" borderId="36" xfId="0" applyNumberFormat="1" applyFont="1" applyFill="1" applyBorder="1" applyAlignment="1" applyProtection="1">
      <alignment horizontal="center" vertical="center"/>
      <protection locked="0"/>
    </xf>
    <xf numFmtId="1" fontId="26" fillId="34" borderId="63" xfId="0" applyNumberFormat="1" applyFont="1" applyFill="1" applyBorder="1" applyAlignment="1" applyProtection="1">
      <alignment horizontal="center" vertical="center"/>
      <protection locked="0"/>
    </xf>
    <xf numFmtId="1" fontId="26" fillId="34" borderId="60" xfId="0" applyNumberFormat="1" applyFont="1" applyFill="1" applyBorder="1" applyAlignment="1" applyProtection="1">
      <alignment horizontal="center" vertical="center"/>
      <protection locked="0"/>
    </xf>
    <xf numFmtId="0" fontId="29" fillId="0" borderId="36" xfId="0" applyFont="1" applyBorder="1" applyAlignment="1">
      <alignment horizontal="center" vertical="center" wrapText="1"/>
    </xf>
    <xf numFmtId="0" fontId="23" fillId="0" borderId="60" xfId="0" applyFont="1" applyBorder="1" applyAlignment="1">
      <alignment horizontal="center" vertical="center" wrapText="1"/>
    </xf>
    <xf numFmtId="0" fontId="29" fillId="0" borderId="60" xfId="0" applyFont="1" applyBorder="1" applyAlignment="1">
      <alignment horizontal="center" vertical="center" wrapText="1"/>
    </xf>
    <xf numFmtId="0" fontId="7" fillId="0" borderId="36" xfId="0" applyFont="1" applyBorder="1" applyAlignment="1">
      <alignment horizontal="left" vertical="center" wrapText="1"/>
    </xf>
    <xf numFmtId="0" fontId="7" fillId="0" borderId="63" xfId="0" applyFont="1" applyBorder="1" applyAlignment="1">
      <alignment horizontal="left" vertical="center" wrapText="1"/>
    </xf>
    <xf numFmtId="0" fontId="7" fillId="0" borderId="60" xfId="0" applyFont="1" applyBorder="1" applyAlignment="1">
      <alignment horizontal="left" vertical="center" wrapText="1"/>
    </xf>
    <xf numFmtId="0" fontId="7" fillId="0" borderId="48" xfId="0" quotePrefix="1" applyFont="1" applyBorder="1" applyAlignment="1">
      <alignment horizontal="left" vertical="center" wrapText="1"/>
    </xf>
    <xf numFmtId="0" fontId="7" fillId="0" borderId="32" xfId="0" applyFont="1" applyBorder="1" applyAlignment="1">
      <alignment horizontal="left" vertical="center" wrapText="1"/>
    </xf>
    <xf numFmtId="0" fontId="7" fillId="0" borderId="52" xfId="0" applyFont="1" applyBorder="1" applyAlignment="1">
      <alignment horizontal="left" vertical="center" wrapText="1"/>
    </xf>
    <xf numFmtId="0" fontId="7" fillId="0" borderId="26" xfId="0" applyFont="1" applyBorder="1" applyAlignment="1">
      <alignment horizontal="left" vertical="center" wrapText="1"/>
    </xf>
    <xf numFmtId="0" fontId="7" fillId="0" borderId="47" xfId="0" applyFont="1" applyBorder="1" applyAlignment="1">
      <alignment horizontal="left" vertical="center" wrapText="1"/>
    </xf>
    <xf numFmtId="0" fontId="7" fillId="0" borderId="25" xfId="0" applyFont="1" applyBorder="1" applyAlignment="1">
      <alignment horizontal="left" vertical="center" wrapText="1"/>
    </xf>
    <xf numFmtId="0" fontId="7" fillId="0" borderId="48" xfId="0" applyFont="1" applyBorder="1" applyAlignment="1">
      <alignment horizontal="left" vertical="center" wrapText="1"/>
    </xf>
    <xf numFmtId="0" fontId="14" fillId="0" borderId="0" xfId="0" applyFont="1" applyAlignment="1">
      <alignment horizontal="justify" vertical="top" wrapText="1"/>
    </xf>
    <xf numFmtId="0" fontId="19" fillId="0" borderId="0" xfId="0" applyFont="1" applyAlignment="1">
      <alignment horizontal="justify" vertical="top"/>
    </xf>
    <xf numFmtId="0" fontId="14" fillId="0" borderId="0" xfId="0" applyFont="1" applyAlignment="1">
      <alignment horizontal="justify" vertical="center" wrapText="1"/>
    </xf>
    <xf numFmtId="165" fontId="7" fillId="85" borderId="48" xfId="916" applyNumberFormat="1" applyFont="1" applyFill="1" applyBorder="1" applyAlignment="1" applyProtection="1">
      <alignment horizontal="center" vertical="center"/>
    </xf>
    <xf numFmtId="165" fontId="7" fillId="85" borderId="32" xfId="916" applyNumberFormat="1" applyFont="1" applyFill="1" applyBorder="1" applyAlignment="1" applyProtection="1">
      <alignment horizontal="center" vertical="center"/>
    </xf>
    <xf numFmtId="165" fontId="7" fillId="85" borderId="52" xfId="916" applyNumberFormat="1" applyFont="1" applyFill="1" applyBorder="1" applyAlignment="1" applyProtection="1">
      <alignment horizontal="center" vertical="center"/>
    </xf>
    <xf numFmtId="165" fontId="7" fillId="85" borderId="26" xfId="916" applyNumberFormat="1" applyFont="1" applyFill="1" applyBorder="1" applyAlignment="1" applyProtection="1">
      <alignment horizontal="center" vertical="center"/>
    </xf>
    <xf numFmtId="165" fontId="7" fillId="0" borderId="27" xfId="916" applyNumberFormat="1" applyFont="1" applyFill="1" applyBorder="1" applyAlignment="1" applyProtection="1">
      <alignment horizontal="center" vertical="center"/>
    </xf>
    <xf numFmtId="165" fontId="7" fillId="0" borderId="36" xfId="916" applyNumberFormat="1" applyFont="1" applyFill="1" applyBorder="1" applyAlignment="1" applyProtection="1">
      <alignment horizontal="center" wrapText="1"/>
    </xf>
    <xf numFmtId="165" fontId="7" fillId="0" borderId="63" xfId="916" applyNumberFormat="1" applyFont="1" applyFill="1" applyBorder="1" applyAlignment="1" applyProtection="1">
      <alignment horizontal="center" wrapText="1"/>
    </xf>
    <xf numFmtId="165" fontId="7" fillId="87" borderId="45" xfId="916" applyNumberFormat="1" applyFont="1" applyFill="1" applyBorder="1" applyAlignment="1" applyProtection="1">
      <alignment horizontal="left" vertical="center" wrapText="1"/>
    </xf>
    <xf numFmtId="165" fontId="7" fillId="87" borderId="88" xfId="916" applyNumberFormat="1" applyFont="1" applyFill="1" applyBorder="1" applyAlignment="1" applyProtection="1">
      <alignment horizontal="left" vertical="center" wrapText="1"/>
    </xf>
    <xf numFmtId="165" fontId="7" fillId="87" borderId="18" xfId="916" applyNumberFormat="1" applyFont="1" applyFill="1" applyBorder="1" applyAlignment="1" applyProtection="1">
      <alignment horizontal="left" vertical="center" wrapText="1"/>
    </xf>
    <xf numFmtId="165" fontId="7" fillId="88" borderId="48" xfId="916" applyNumberFormat="1" applyFont="1" applyFill="1" applyBorder="1" applyAlignment="1" applyProtection="1">
      <alignment horizontal="center" vertical="center"/>
    </xf>
    <xf numFmtId="165" fontId="7" fillId="88" borderId="32" xfId="916" applyNumberFormat="1" applyFont="1" applyFill="1" applyBorder="1" applyAlignment="1" applyProtection="1">
      <alignment horizontal="center" vertical="center"/>
    </xf>
    <xf numFmtId="165" fontId="7" fillId="88" borderId="47" xfId="916" applyNumberFormat="1" applyFont="1" applyFill="1" applyBorder="1" applyAlignment="1" applyProtection="1">
      <alignment horizontal="center" vertical="center"/>
    </xf>
    <xf numFmtId="165" fontId="7" fillId="88" borderId="25" xfId="916" applyNumberFormat="1" applyFont="1" applyFill="1" applyBorder="1" applyAlignment="1" applyProtection="1">
      <alignment horizontal="center" vertical="center"/>
    </xf>
    <xf numFmtId="0" fontId="7" fillId="0" borderId="27" xfId="0" applyFont="1" applyBorder="1" applyAlignment="1">
      <alignment vertical="center" wrapText="1"/>
    </xf>
    <xf numFmtId="49" fontId="142" fillId="0" borderId="36" xfId="0" applyNumberFormat="1" applyFont="1" applyBorder="1" applyAlignment="1">
      <alignment horizontal="center" vertical="center" wrapText="1"/>
    </xf>
    <xf numFmtId="49" fontId="144" fillId="0" borderId="63" xfId="0" applyNumberFormat="1" applyFont="1" applyBorder="1" applyAlignment="1">
      <alignment horizontal="center" vertical="center" wrapText="1"/>
    </xf>
    <xf numFmtId="49" fontId="144" fillId="0" borderId="60" xfId="0" applyNumberFormat="1" applyFont="1" applyBorder="1" applyAlignment="1">
      <alignment horizontal="center" vertical="center" wrapText="1"/>
    </xf>
    <xf numFmtId="0" fontId="143" fillId="79" borderId="36" xfId="0" applyFont="1" applyFill="1" applyBorder="1" applyAlignment="1" applyProtection="1">
      <alignment horizontal="left" vertical="center" wrapText="1"/>
      <protection locked="0"/>
    </xf>
    <xf numFmtId="0" fontId="140" fillId="90" borderId="27" xfId="0" applyFont="1" applyFill="1" applyBorder="1" applyAlignment="1" applyProtection="1">
      <alignment horizontal="left" vertical="center" wrapText="1"/>
      <protection locked="0"/>
    </xf>
    <xf numFmtId="0" fontId="142" fillId="33" borderId="36" xfId="0" applyFont="1" applyFill="1" applyBorder="1" applyAlignment="1">
      <alignment horizontal="center" vertical="center" wrapText="1"/>
    </xf>
    <xf numFmtId="0" fontId="142" fillId="33" borderId="63" xfId="0" applyFont="1" applyFill="1" applyBorder="1" applyAlignment="1">
      <alignment horizontal="center" vertical="center" wrapText="1"/>
    </xf>
    <xf numFmtId="0" fontId="142" fillId="33" borderId="60" xfId="0" applyFont="1" applyFill="1" applyBorder="1" applyAlignment="1">
      <alignment horizontal="center" vertical="center" wrapText="1"/>
    </xf>
    <xf numFmtId="0" fontId="143" fillId="34" borderId="36" xfId="0" applyFont="1" applyFill="1" applyBorder="1" applyAlignment="1" applyProtection="1">
      <alignment horizontal="left" vertical="center" wrapText="1"/>
      <protection locked="0"/>
    </xf>
    <xf numFmtId="0" fontId="143" fillId="34" borderId="63" xfId="0" applyFont="1" applyFill="1" applyBorder="1" applyAlignment="1" applyProtection="1">
      <alignment horizontal="left" vertical="center" wrapText="1"/>
      <protection locked="0"/>
    </xf>
    <xf numFmtId="0" fontId="143" fillId="34" borderId="60" xfId="0" applyFont="1" applyFill="1" applyBorder="1" applyAlignment="1" applyProtection="1">
      <alignment horizontal="left" vertical="center" wrapText="1"/>
      <protection locked="0"/>
    </xf>
    <xf numFmtId="9" fontId="56" fillId="0" borderId="63" xfId="0" applyNumberFormat="1" applyFont="1" applyBorder="1" applyAlignment="1">
      <alignment horizontal="center" vertical="center" wrapText="1"/>
    </xf>
    <xf numFmtId="9" fontId="56" fillId="0" borderId="60" xfId="0" applyNumberFormat="1" applyFont="1" applyBorder="1" applyAlignment="1">
      <alignment horizontal="center" vertical="center" wrapText="1"/>
    </xf>
    <xf numFmtId="0" fontId="31" fillId="33" borderId="26" xfId="0" applyFont="1" applyFill="1" applyBorder="1" applyAlignment="1">
      <alignment horizontal="center" vertical="center" wrapText="1"/>
    </xf>
    <xf numFmtId="0" fontId="11" fillId="29" borderId="19" xfId="477" applyFont="1" applyFill="1" applyBorder="1" applyAlignment="1">
      <alignment horizontal="left" vertical="center"/>
    </xf>
    <xf numFmtId="0" fontId="32" fillId="33" borderId="36" xfId="0" applyFont="1" applyFill="1" applyBorder="1" applyAlignment="1">
      <alignment horizontal="center" vertical="center" wrapText="1"/>
    </xf>
    <xf numFmtId="0" fontId="32" fillId="33" borderId="63" xfId="0" applyFont="1" applyFill="1" applyBorder="1" applyAlignment="1">
      <alignment horizontal="center" vertical="center" wrapText="1"/>
    </xf>
    <xf numFmtId="0" fontId="32" fillId="33" borderId="60" xfId="0" applyFont="1" applyFill="1" applyBorder="1" applyAlignment="1">
      <alignment horizontal="center" vertical="center" wrapText="1"/>
    </xf>
    <xf numFmtId="0" fontId="142" fillId="33" borderId="32" xfId="0" applyFont="1" applyFill="1" applyBorder="1" applyAlignment="1">
      <alignment horizontal="center" vertical="center" wrapText="1"/>
    </xf>
    <xf numFmtId="0" fontId="142" fillId="33" borderId="26" xfId="0" applyFont="1" applyFill="1" applyBorder="1" applyAlignment="1">
      <alignment horizontal="center" vertical="center" wrapText="1"/>
    </xf>
    <xf numFmtId="0" fontId="11" fillId="29" borderId="39" xfId="477" applyFont="1" applyFill="1" applyBorder="1" applyAlignment="1">
      <alignment vertical="center"/>
    </xf>
    <xf numFmtId="0" fontId="0" fillId="0" borderId="40" xfId="0" applyBorder="1"/>
    <xf numFmtId="0" fontId="0" fillId="0" borderId="43" xfId="0" applyBorder="1"/>
    <xf numFmtId="0" fontId="0" fillId="0" borderId="40" xfId="0" applyBorder="1" applyAlignment="1">
      <alignment vertical="center"/>
    </xf>
    <xf numFmtId="0" fontId="26" fillId="0" borderId="0" xfId="0" applyFont="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13" fillId="0" borderId="0" xfId="0" applyFont="1" applyAlignment="1">
      <alignment horizontal="center" vertical="center" wrapText="1"/>
    </xf>
    <xf numFmtId="0" fontId="14" fillId="0" borderId="19" xfId="0" applyFont="1" applyBorder="1" applyAlignment="1">
      <alignment horizontal="center" vertical="center"/>
    </xf>
    <xf numFmtId="0" fontId="17" fillId="0" borderId="19" xfId="0" applyFont="1" applyBorder="1" applyAlignment="1">
      <alignment vertical="center"/>
    </xf>
    <xf numFmtId="0" fontId="14" fillId="0" borderId="39" xfId="0" applyFont="1" applyBorder="1" applyAlignment="1">
      <alignment horizontal="center" vertical="center"/>
    </xf>
    <xf numFmtId="0" fontId="62" fillId="0" borderId="40" xfId="0" applyFont="1" applyBorder="1" applyAlignment="1">
      <alignment horizontal="center" vertical="center"/>
    </xf>
    <xf numFmtId="0" fontId="62" fillId="0" borderId="43" xfId="0" applyFont="1" applyBorder="1" applyAlignment="1">
      <alignment horizontal="center" vertical="center"/>
    </xf>
    <xf numFmtId="0" fontId="14" fillId="31" borderId="19" xfId="0" applyFont="1" applyFill="1" applyBorder="1" applyAlignment="1">
      <alignment horizontal="center" vertical="center" wrapText="1"/>
    </xf>
    <xf numFmtId="0" fontId="17" fillId="31" borderId="19" xfId="0" applyFont="1" applyFill="1" applyBorder="1" applyAlignment="1">
      <alignment horizontal="center" vertical="center" wrapText="1"/>
    </xf>
    <xf numFmtId="0" fontId="14" fillId="0" borderId="40" xfId="0" applyFont="1" applyBorder="1" applyAlignment="1">
      <alignment horizontal="center" vertical="center"/>
    </xf>
    <xf numFmtId="0" fontId="14" fillId="0" borderId="43" xfId="0" applyFont="1" applyBorder="1" applyAlignment="1">
      <alignment horizontal="center" vertical="center"/>
    </xf>
    <xf numFmtId="0" fontId="14" fillId="31" borderId="39" xfId="0" applyFont="1" applyFill="1" applyBorder="1" applyAlignment="1">
      <alignment horizontal="center" vertical="center" wrapText="1"/>
    </xf>
    <xf numFmtId="0" fontId="14" fillId="31" borderId="40" xfId="0" applyFont="1" applyFill="1" applyBorder="1" applyAlignment="1">
      <alignment horizontal="center" vertical="center" wrapText="1"/>
    </xf>
    <xf numFmtId="0" fontId="14" fillId="31" borderId="43" xfId="0" applyFont="1" applyFill="1" applyBorder="1" applyAlignment="1">
      <alignment horizontal="center" vertical="center" wrapText="1"/>
    </xf>
    <xf numFmtId="0" fontId="14" fillId="77" borderId="19" xfId="0" applyFont="1" applyFill="1" applyBorder="1" applyAlignment="1">
      <alignment horizontal="center" vertical="center" wrapText="1"/>
    </xf>
    <xf numFmtId="0" fontId="17" fillId="77" borderId="19" xfId="0" applyFont="1" applyFill="1" applyBorder="1" applyAlignment="1">
      <alignment horizontal="center" vertical="center" wrapText="1"/>
    </xf>
    <xf numFmtId="0" fontId="14" fillId="27" borderId="19" xfId="0" applyFont="1" applyFill="1" applyBorder="1" applyAlignment="1">
      <alignment horizontal="center" vertical="center" wrapText="1"/>
    </xf>
    <xf numFmtId="0" fontId="17" fillId="27" borderId="19" xfId="0" applyFont="1" applyFill="1" applyBorder="1" applyAlignment="1">
      <alignment horizontal="center" vertical="center" wrapText="1"/>
    </xf>
    <xf numFmtId="0" fontId="26" fillId="0" borderId="20" xfId="0" applyFont="1" applyBorder="1" applyAlignment="1">
      <alignment vertical="center"/>
    </xf>
    <xf numFmtId="0" fontId="17" fillId="0" borderId="41" xfId="0" applyFont="1" applyBorder="1" applyAlignment="1">
      <alignment vertical="center"/>
    </xf>
    <xf numFmtId="0" fontId="17" fillId="0" borderId="42" xfId="0" applyFont="1" applyBorder="1" applyAlignment="1">
      <alignment vertical="center"/>
    </xf>
    <xf numFmtId="0" fontId="17" fillId="0" borderId="39" xfId="0" applyFont="1" applyBorder="1" applyAlignment="1">
      <alignment vertical="center"/>
    </xf>
    <xf numFmtId="1" fontId="26" fillId="32" borderId="39" xfId="0" applyNumberFormat="1" applyFont="1" applyFill="1" applyBorder="1" applyAlignment="1">
      <alignment horizontal="center" vertical="center"/>
    </xf>
    <xf numFmtId="1" fontId="26" fillId="32" borderId="40" xfId="0" applyNumberFormat="1" applyFont="1" applyFill="1" applyBorder="1" applyAlignment="1">
      <alignment horizontal="center" vertical="center"/>
    </xf>
    <xf numFmtId="1" fontId="26" fillId="32" borderId="43" xfId="0" applyNumberFormat="1" applyFont="1" applyFill="1" applyBorder="1" applyAlignment="1">
      <alignment horizontal="center" vertical="center"/>
    </xf>
    <xf numFmtId="0" fontId="14" fillId="27" borderId="31" xfId="0" applyFont="1" applyFill="1" applyBorder="1" applyAlignment="1">
      <alignment horizontal="center" vertical="center" wrapText="1"/>
    </xf>
    <xf numFmtId="0" fontId="17" fillId="27" borderId="31" xfId="0" applyFont="1" applyFill="1" applyBorder="1" applyAlignment="1">
      <alignment horizontal="center" vertical="center" wrapText="1"/>
    </xf>
    <xf numFmtId="0" fontId="108" fillId="73" borderId="20" xfId="0" applyFont="1" applyFill="1" applyBorder="1" applyAlignment="1">
      <alignment horizontal="center" vertical="center"/>
    </xf>
    <xf numFmtId="0" fontId="107" fillId="73" borderId="41" xfId="0" applyFont="1" applyFill="1" applyBorder="1" applyAlignment="1">
      <alignment vertical="center"/>
    </xf>
    <xf numFmtId="0" fontId="107" fillId="73" borderId="42" xfId="0" applyFont="1" applyFill="1" applyBorder="1" applyAlignment="1">
      <alignment vertical="center"/>
    </xf>
    <xf numFmtId="0" fontId="26" fillId="0" borderId="19" xfId="0" applyFont="1" applyBorder="1" applyAlignment="1">
      <alignment horizontal="center" vertical="center"/>
    </xf>
    <xf numFmtId="0" fontId="26" fillId="0" borderId="39" xfId="0" applyFont="1" applyBorder="1" applyAlignment="1">
      <alignment horizontal="center" vertical="center"/>
    </xf>
    <xf numFmtId="0" fontId="43" fillId="0" borderId="40" xfId="0" applyFont="1" applyBorder="1" applyAlignment="1">
      <alignment vertical="center"/>
    </xf>
    <xf numFmtId="0" fontId="43" fillId="0" borderId="43" xfId="0" applyFont="1" applyBorder="1" applyAlignment="1">
      <alignment vertical="center"/>
    </xf>
    <xf numFmtId="0" fontId="7" fillId="0" borderId="28" xfId="0" applyFont="1" applyBorder="1" applyAlignment="1">
      <alignment horizontal="center" vertical="center"/>
    </xf>
    <xf numFmtId="165" fontId="7" fillId="0" borderId="28" xfId="399" applyNumberFormat="1" applyFont="1" applyFill="1" applyBorder="1" applyAlignment="1" applyProtection="1">
      <alignment vertical="center"/>
    </xf>
    <xf numFmtId="165" fontId="7" fillId="0" borderId="71" xfId="399" applyNumberFormat="1" applyFont="1" applyFill="1" applyBorder="1" applyAlignment="1" applyProtection="1">
      <alignment vertical="center"/>
    </xf>
    <xf numFmtId="0" fontId="8" fillId="28" borderId="72" xfId="0" applyFont="1" applyFill="1" applyBorder="1" applyAlignment="1">
      <alignment horizontal="center" textRotation="90" wrapText="1"/>
    </xf>
    <xf numFmtId="0" fontId="8" fillId="28" borderId="73" xfId="0" applyFont="1" applyFill="1" applyBorder="1" applyAlignment="1">
      <alignment horizontal="center" textRotation="90" wrapText="1"/>
    </xf>
    <xf numFmtId="0" fontId="7" fillId="37" borderId="27" xfId="0" applyFont="1" applyFill="1" applyBorder="1" applyAlignment="1">
      <alignment horizontal="center" vertical="center" wrapText="1"/>
    </xf>
    <xf numFmtId="0" fontId="8" fillId="28" borderId="36" xfId="0" applyFont="1" applyFill="1" applyBorder="1" applyAlignment="1">
      <alignment horizontal="center" textRotation="90" wrapText="1"/>
    </xf>
    <xf numFmtId="0" fontId="8" fillId="28" borderId="60" xfId="0" applyFont="1" applyFill="1" applyBorder="1" applyAlignment="1">
      <alignment horizontal="center" textRotation="90" wrapText="1"/>
    </xf>
    <xf numFmtId="0" fontId="7" fillId="0" borderId="36" xfId="0" applyFont="1" applyBorder="1" applyAlignment="1">
      <alignment horizontal="center" textRotation="90" wrapText="1"/>
    </xf>
    <xf numFmtId="0" fontId="7" fillId="0" borderId="60" xfId="0" applyFont="1" applyBorder="1" applyAlignment="1">
      <alignment horizontal="center" textRotation="90" wrapText="1"/>
    </xf>
    <xf numFmtId="0" fontId="8" fillId="0" borderId="36" xfId="0" applyFont="1" applyBorder="1" applyAlignment="1">
      <alignment horizontal="center" textRotation="90" wrapText="1"/>
    </xf>
    <xf numFmtId="0" fontId="8" fillId="0" borderId="60" xfId="0" applyFont="1" applyBorder="1" applyAlignment="1">
      <alignment horizontal="center" textRotation="90" wrapText="1"/>
    </xf>
    <xf numFmtId="0" fontId="7" fillId="0" borderId="36" xfId="477" applyFont="1" applyBorder="1" applyAlignment="1">
      <alignment horizontal="center" textRotation="90" wrapText="1"/>
    </xf>
    <xf numFmtId="0" fontId="0" fillId="0" borderId="60" xfId="0" applyBorder="1" applyAlignment="1">
      <alignment horizontal="center" textRotation="90" wrapText="1"/>
    </xf>
    <xf numFmtId="0" fontId="7" fillId="0" borderId="70" xfId="477" applyFont="1" applyBorder="1" applyAlignment="1">
      <alignment horizontal="center" textRotation="90" wrapText="1"/>
    </xf>
    <xf numFmtId="0" fontId="0" fillId="0" borderId="59" xfId="0" applyBorder="1" applyAlignment="1">
      <alignment horizontal="center" textRotation="90" wrapText="1"/>
    </xf>
    <xf numFmtId="0" fontId="78" fillId="0" borderId="36" xfId="0" applyFont="1" applyBorder="1" applyAlignment="1">
      <alignment horizontal="center" textRotation="90" wrapText="1"/>
    </xf>
    <xf numFmtId="0" fontId="79" fillId="0" borderId="60" xfId="0" applyFont="1" applyBorder="1" applyAlignment="1">
      <alignment horizontal="center" textRotation="90" wrapText="1"/>
    </xf>
    <xf numFmtId="0" fontId="7" fillId="37" borderId="36" xfId="0" applyFont="1" applyFill="1" applyBorder="1" applyAlignment="1">
      <alignment horizontal="center" textRotation="90" wrapText="1"/>
    </xf>
    <xf numFmtId="0" fontId="7" fillId="28" borderId="36" xfId="0" applyFont="1" applyFill="1" applyBorder="1" applyAlignment="1">
      <alignment horizontal="center" textRotation="90" wrapText="1"/>
    </xf>
    <xf numFmtId="0" fontId="7" fillId="28" borderId="60" xfId="0" applyFont="1" applyFill="1" applyBorder="1" applyAlignment="1">
      <alignment horizontal="center" textRotation="90" wrapText="1"/>
    </xf>
    <xf numFmtId="0" fontId="7" fillId="0" borderId="60" xfId="477" applyFont="1" applyBorder="1" applyAlignment="1">
      <alignment horizontal="center" textRotation="90" wrapText="1"/>
    </xf>
    <xf numFmtId="0" fontId="7" fillId="0" borderId="68" xfId="0" applyFont="1" applyBorder="1" applyAlignment="1">
      <alignment horizontal="center" textRotation="90" wrapText="1"/>
    </xf>
    <xf numFmtId="0" fontId="7" fillId="0" borderId="69" xfId="0" applyFont="1" applyBorder="1" applyAlignment="1">
      <alignment horizontal="center" textRotation="90" wrapText="1"/>
    </xf>
    <xf numFmtId="0" fontId="29" fillId="29" borderId="40" xfId="0" applyFont="1" applyFill="1" applyBorder="1" applyAlignment="1">
      <alignment vertical="center"/>
    </xf>
    <xf numFmtId="0" fontId="29" fillId="0" borderId="40" xfId="0" applyFont="1" applyBorder="1" applyAlignment="1">
      <alignment vertical="center"/>
    </xf>
    <xf numFmtId="0" fontId="29" fillId="41" borderId="39" xfId="0" applyFont="1" applyFill="1" applyBorder="1" applyAlignment="1">
      <alignment vertical="center"/>
    </xf>
    <xf numFmtId="0" fontId="29" fillId="41" borderId="40" xfId="0" applyFont="1" applyFill="1" applyBorder="1" applyAlignment="1">
      <alignment vertical="center"/>
    </xf>
    <xf numFmtId="14" fontId="29" fillId="29" borderId="39" xfId="0" applyNumberFormat="1" applyFont="1" applyFill="1" applyBorder="1" applyAlignment="1">
      <alignment horizontal="center" vertical="center"/>
    </xf>
    <xf numFmtId="0" fontId="29" fillId="0" borderId="40" xfId="0" applyFont="1" applyBorder="1" applyAlignment="1">
      <alignment horizontal="center" vertical="center"/>
    </xf>
    <xf numFmtId="0" fontId="23" fillId="33" borderId="21" xfId="0" applyFont="1" applyFill="1" applyBorder="1" applyAlignment="1">
      <alignment horizontal="center" vertical="center"/>
    </xf>
    <xf numFmtId="0" fontId="0" fillId="0" borderId="21" xfId="0" applyBorder="1" applyAlignment="1">
      <alignment horizontal="center" vertical="center"/>
    </xf>
    <xf numFmtId="0" fontId="23" fillId="31" borderId="21" xfId="0" applyFont="1" applyFill="1" applyBorder="1" applyAlignment="1">
      <alignment horizontal="center" vertical="center"/>
    </xf>
    <xf numFmtId="0" fontId="0" fillId="0" borderId="21" xfId="0" applyBorder="1"/>
    <xf numFmtId="0" fontId="67" fillId="30" borderId="21" xfId="0" applyFont="1" applyFill="1" applyBorder="1" applyAlignment="1">
      <alignment horizontal="center" vertical="center"/>
    </xf>
    <xf numFmtId="0" fontId="69" fillId="30" borderId="21" xfId="0" applyFont="1" applyFill="1" applyBorder="1"/>
    <xf numFmtId="0" fontId="23" fillId="27" borderId="21" xfId="0" applyFont="1" applyFill="1" applyBorder="1" applyAlignment="1">
      <alignment horizontal="center" vertical="center"/>
    </xf>
    <xf numFmtId="0" fontId="77" fillId="0" borderId="21" xfId="0" applyFont="1" applyBorder="1" applyAlignment="1">
      <alignment horizontal="center" vertical="center"/>
    </xf>
    <xf numFmtId="0" fontId="105" fillId="0" borderId="0" xfId="0" applyFont="1" applyAlignment="1">
      <alignment horizontal="left" vertical="center"/>
    </xf>
    <xf numFmtId="0" fontId="7" fillId="28" borderId="64" xfId="0" applyFont="1" applyFill="1" applyBorder="1" applyAlignment="1">
      <alignment horizontal="center" vertical="center" wrapText="1"/>
    </xf>
    <xf numFmtId="0" fontId="0" fillId="0" borderId="64" xfId="0" applyBorder="1" applyAlignment="1">
      <alignment wrapText="1"/>
    </xf>
    <xf numFmtId="0" fontId="7" fillId="0" borderId="65"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67" xfId="0" applyFont="1" applyBorder="1" applyAlignment="1">
      <alignment horizontal="center" vertical="center" wrapText="1"/>
    </xf>
    <xf numFmtId="0" fontId="25" fillId="33" borderId="31" xfId="0" applyFont="1" applyFill="1" applyBorder="1" applyAlignment="1">
      <alignment horizontal="center" vertical="center" wrapText="1"/>
    </xf>
    <xf numFmtId="0" fontId="0" fillId="0" borderId="31" xfId="0" applyBorder="1" applyAlignment="1">
      <alignment horizontal="center" vertical="center" wrapText="1"/>
    </xf>
    <xf numFmtId="0" fontId="23" fillId="31" borderId="31" xfId="0" applyFont="1" applyFill="1" applyBorder="1" applyAlignment="1">
      <alignment horizontal="center" vertical="center"/>
    </xf>
    <xf numFmtId="0" fontId="0" fillId="0" borderId="31" xfId="0" applyBorder="1"/>
    <xf numFmtId="0" fontId="67" fillId="30" borderId="31" xfId="0" applyFont="1" applyFill="1" applyBorder="1" applyAlignment="1">
      <alignment horizontal="center" vertical="center"/>
    </xf>
    <xf numFmtId="0" fontId="69" fillId="0" borderId="31" xfId="0" applyFont="1" applyBorder="1"/>
    <xf numFmtId="0" fontId="23" fillId="27" borderId="31" xfId="0" applyFont="1" applyFill="1" applyBorder="1" applyAlignment="1">
      <alignment horizontal="center" vertical="center"/>
    </xf>
    <xf numFmtId="0" fontId="0" fillId="0" borderId="31" xfId="0" applyBorder="1" applyAlignment="1">
      <alignment horizontal="center" vertical="center"/>
    </xf>
    <xf numFmtId="0" fontId="9" fillId="0" borderId="0" xfId="477" applyFont="1" applyAlignment="1">
      <alignment horizontal="justify" vertical="center"/>
    </xf>
    <xf numFmtId="0" fontId="9" fillId="0" borderId="0" xfId="477" applyFont="1" applyAlignment="1">
      <alignment horizontal="justify" vertical="center" wrapText="1"/>
    </xf>
    <xf numFmtId="0" fontId="7" fillId="0" borderId="0" xfId="477" applyFont="1" applyAlignment="1">
      <alignment horizontal="justify" vertical="center" wrapText="1"/>
    </xf>
    <xf numFmtId="0" fontId="26" fillId="0" borderId="20" xfId="0" applyFont="1" applyBorder="1" applyAlignment="1">
      <alignment horizontal="center" vertical="center" wrapText="1"/>
    </xf>
    <xf numFmtId="0" fontId="26" fillId="0" borderId="29" xfId="0" applyFont="1" applyBorder="1" applyAlignment="1">
      <alignment horizontal="center" vertical="center"/>
    </xf>
    <xf numFmtId="0" fontId="26" fillId="0" borderId="21" xfId="0" applyFont="1" applyBorder="1" applyAlignment="1">
      <alignment horizontal="center" vertical="center" wrapText="1"/>
    </xf>
    <xf numFmtId="0" fontId="68" fillId="0" borderId="31" xfId="0" applyFont="1" applyBorder="1" applyAlignment="1">
      <alignment horizontal="center" vertical="center"/>
    </xf>
    <xf numFmtId="0" fontId="26" fillId="0" borderId="21" xfId="0" applyFont="1" applyBorder="1" applyAlignment="1">
      <alignment horizontal="center" vertical="center"/>
    </xf>
    <xf numFmtId="0" fontId="26" fillId="0" borderId="31" xfId="0" applyFont="1" applyBorder="1" applyAlignment="1">
      <alignment horizontal="center" vertical="center"/>
    </xf>
    <xf numFmtId="0" fontId="14" fillId="31" borderId="52" xfId="0" applyFont="1" applyFill="1" applyBorder="1" applyAlignment="1">
      <alignment horizontal="center" vertical="center"/>
    </xf>
    <xf numFmtId="49" fontId="14" fillId="37" borderId="52" xfId="0" applyNumberFormat="1" applyFont="1" applyFill="1" applyBorder="1" applyAlignment="1">
      <alignment horizontal="center" vertical="center" wrapText="1"/>
    </xf>
    <xf numFmtId="0" fontId="14" fillId="31" borderId="52" xfId="0" applyFont="1" applyFill="1" applyBorder="1" applyAlignment="1">
      <alignment horizontal="center" vertical="center" wrapText="1"/>
    </xf>
    <xf numFmtId="0" fontId="23" fillId="0" borderId="19"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9" xfId="0" applyBorder="1" applyProtection="1">
      <protection locked="0"/>
    </xf>
    <xf numFmtId="0" fontId="29" fillId="0" borderId="19" xfId="0" applyFont="1" applyBorder="1" applyAlignment="1">
      <alignment horizontal="center" vertical="center" wrapText="1"/>
    </xf>
    <xf numFmtId="0" fontId="13" fillId="0" borderId="19" xfId="0" applyFont="1" applyBorder="1" applyAlignment="1">
      <alignment horizontal="center" vertical="center"/>
    </xf>
    <xf numFmtId="0" fontId="29" fillId="0" borderId="19" xfId="0" applyFont="1" applyBorder="1" applyAlignment="1">
      <alignment horizontal="center" vertical="center"/>
    </xf>
    <xf numFmtId="0" fontId="29" fillId="0" borderId="19" xfId="0" applyFont="1" applyBorder="1" applyAlignment="1">
      <alignment horizontal="left" vertical="center" wrapText="1"/>
    </xf>
    <xf numFmtId="0" fontId="13" fillId="0" borderId="19" xfId="0" applyFont="1" applyBorder="1" applyAlignment="1">
      <alignment horizontal="left" vertical="center"/>
    </xf>
    <xf numFmtId="0" fontId="0" fillId="0" borderId="19" xfId="0" applyBorder="1"/>
    <xf numFmtId="0" fontId="0" fillId="0" borderId="19" xfId="0" applyBorder="1" applyAlignment="1" applyProtection="1">
      <alignment wrapText="1"/>
      <protection locked="0"/>
    </xf>
    <xf numFmtId="0" fontId="14" fillId="27" borderId="39" xfId="0" applyFont="1" applyFill="1" applyBorder="1" applyAlignment="1">
      <alignment horizontal="center" vertical="center" wrapText="1"/>
    </xf>
    <xf numFmtId="0" fontId="14" fillId="27" borderId="40" xfId="0" applyFont="1" applyFill="1" applyBorder="1" applyAlignment="1">
      <alignment horizontal="center" vertical="center" wrapText="1"/>
    </xf>
    <xf numFmtId="0" fontId="14" fillId="27" borderId="43" xfId="0" applyFont="1" applyFill="1" applyBorder="1" applyAlignment="1">
      <alignment horizontal="center" vertical="center" wrapText="1"/>
    </xf>
    <xf numFmtId="0" fontId="26" fillId="0" borderId="39" xfId="0" applyFont="1" applyBorder="1" applyAlignment="1">
      <alignment vertical="center"/>
    </xf>
    <xf numFmtId="0" fontId="26" fillId="0" borderId="40" xfId="0" applyFont="1" applyBorder="1" applyAlignment="1">
      <alignment vertical="center"/>
    </xf>
    <xf numFmtId="0" fontId="26" fillId="0" borderId="43" xfId="0" applyFont="1" applyBorder="1" applyAlignment="1">
      <alignment vertical="center"/>
    </xf>
    <xf numFmtId="0" fontId="26" fillId="0" borderId="40" xfId="0" applyFont="1" applyBorder="1" applyAlignment="1">
      <alignment horizontal="center" vertical="center"/>
    </xf>
    <xf numFmtId="0" fontId="26" fillId="0" borderId="43" xfId="0" applyFont="1" applyBorder="1" applyAlignment="1">
      <alignment horizontal="center" vertical="center"/>
    </xf>
    <xf numFmtId="0" fontId="7" fillId="0" borderId="27" xfId="477" applyFont="1" applyBorder="1" applyAlignment="1">
      <alignment horizontal="center" textRotation="90" wrapText="1"/>
    </xf>
    <xf numFmtId="0" fontId="0" fillId="0" borderId="27" xfId="0" applyBorder="1" applyAlignment="1">
      <alignment horizontal="center" textRotation="90" wrapText="1"/>
    </xf>
    <xf numFmtId="0" fontId="14" fillId="30" borderId="39" xfId="0" applyFont="1" applyFill="1" applyBorder="1" applyAlignment="1">
      <alignment horizontal="center" vertical="center" wrapText="1"/>
    </xf>
    <xf numFmtId="0" fontId="14" fillId="30" borderId="40" xfId="0" applyFont="1" applyFill="1" applyBorder="1" applyAlignment="1">
      <alignment horizontal="center" vertical="center" wrapText="1"/>
    </xf>
    <xf numFmtId="0" fontId="14" fillId="30" borderId="43" xfId="0" applyFont="1" applyFill="1" applyBorder="1" applyAlignment="1">
      <alignment horizontal="center" vertical="center" wrapText="1"/>
    </xf>
    <xf numFmtId="0" fontId="29" fillId="0" borderId="21" xfId="0" applyFont="1" applyBorder="1" applyAlignment="1">
      <alignment horizontal="center" vertical="center" wrapText="1"/>
    </xf>
    <xf numFmtId="0" fontId="29" fillId="0" borderId="31" xfId="0" applyFont="1" applyBorder="1" applyAlignment="1">
      <alignment horizontal="center" vertical="center" wrapText="1"/>
    </xf>
    <xf numFmtId="0" fontId="29" fillId="0" borderId="21" xfId="0" applyFont="1" applyBorder="1" applyAlignment="1">
      <alignment horizontal="center" vertical="center"/>
    </xf>
    <xf numFmtId="0" fontId="29" fillId="0" borderId="31" xfId="0" applyFont="1" applyBorder="1" applyAlignment="1">
      <alignment horizontal="center" vertical="center"/>
    </xf>
    <xf numFmtId="0" fontId="29" fillId="0" borderId="20" xfId="0" applyFont="1" applyBorder="1" applyAlignment="1">
      <alignment horizontal="left" vertical="center" wrapText="1"/>
    </xf>
    <xf numFmtId="0" fontId="29" fillId="0" borderId="41" xfId="0" applyFont="1" applyBorder="1" applyAlignment="1">
      <alignment horizontal="left" vertical="center" wrapText="1"/>
    </xf>
    <xf numFmtId="0" fontId="29" fillId="0" borderId="42" xfId="0" applyFont="1" applyBorder="1" applyAlignment="1">
      <alignment horizontal="left" vertical="center" wrapText="1"/>
    </xf>
    <xf numFmtId="0" fontId="29" fillId="0" borderId="29" xfId="0" applyFont="1" applyBorder="1" applyAlignment="1">
      <alignment horizontal="left" vertical="center" wrapText="1"/>
    </xf>
    <xf numFmtId="0" fontId="29" fillId="0" borderId="74" xfId="0" applyFont="1" applyBorder="1" applyAlignment="1">
      <alignment horizontal="left" vertical="center" wrapText="1"/>
    </xf>
    <xf numFmtId="0" fontId="29" fillId="0" borderId="30" xfId="0" applyFont="1" applyBorder="1" applyAlignment="1">
      <alignment horizontal="left" vertical="center" wrapText="1"/>
    </xf>
    <xf numFmtId="0" fontId="7" fillId="0" borderId="0" xfId="0" applyFont="1" applyFill="1" applyAlignment="1">
      <alignment horizontal="justify" vertical="center" wrapText="1"/>
    </xf>
    <xf numFmtId="0" fontId="7" fillId="0" borderId="0" xfId="0" applyFont="1" applyFill="1" applyAlignment="1">
      <alignment horizontal="justify" vertical="center"/>
    </xf>
  </cellXfs>
  <cellStyles count="1160">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546" xr:uid="{00000000-0005-0000-0000-000005000000}"/>
    <cellStyle name="20 % - Akzent1 2 3 3" xfId="6" xr:uid="{00000000-0005-0000-0000-000006000000}"/>
    <cellStyle name="20 % - Akzent1 2 4" xfId="7" xr:uid="{00000000-0005-0000-0000-000007000000}"/>
    <cellStyle name="20 % - Akzent1 3" xfId="8" xr:uid="{00000000-0005-0000-0000-000008000000}"/>
    <cellStyle name="20 % - Akzent1 3 2" xfId="9" xr:uid="{00000000-0005-0000-0000-000009000000}"/>
    <cellStyle name="20 % - Akzent1 3 2 2" xfId="611" xr:uid="{00000000-0005-0000-0000-00000A000000}"/>
    <cellStyle name="20 % - Akzent1 3 2 3" xfId="612" xr:uid="{00000000-0005-0000-0000-00000B000000}"/>
    <cellStyle name="20 % - Akzent1 3 2 4" xfId="613" xr:uid="{00000000-0005-0000-0000-00000C000000}"/>
    <cellStyle name="20 % - Akzent1 3 3" xfId="10" xr:uid="{00000000-0005-0000-0000-00000D000000}"/>
    <cellStyle name="20 % - Akzent1 3 4" xfId="614" xr:uid="{00000000-0005-0000-0000-00000E000000}"/>
    <cellStyle name="20 % - Akzent1 3 5" xfId="615" xr:uid="{00000000-0005-0000-0000-00000F000000}"/>
    <cellStyle name="20 % - Akzent1 4" xfId="11" xr:uid="{00000000-0005-0000-0000-000010000000}"/>
    <cellStyle name="20 % - Akzent1 4 2" xfId="12" xr:uid="{00000000-0005-0000-0000-000011000000}"/>
    <cellStyle name="20 % - Akzent1 4 2 2" xfId="616" xr:uid="{00000000-0005-0000-0000-000012000000}"/>
    <cellStyle name="20 % - Akzent1 4 2 3" xfId="617" xr:uid="{00000000-0005-0000-0000-000013000000}"/>
    <cellStyle name="20 % - Akzent1 4 2 4" xfId="618" xr:uid="{00000000-0005-0000-0000-000014000000}"/>
    <cellStyle name="20 % - Akzent1 4 3" xfId="13" xr:uid="{00000000-0005-0000-0000-000015000000}"/>
    <cellStyle name="20 % - Akzent1 4 4" xfId="619" xr:uid="{00000000-0005-0000-0000-000016000000}"/>
    <cellStyle name="20 % - Akzent1 4 5" xfId="620" xr:uid="{00000000-0005-0000-0000-000017000000}"/>
    <cellStyle name="20 % - Akzent1 5" xfId="14" xr:uid="{00000000-0005-0000-0000-000018000000}"/>
    <cellStyle name="20 % - Akzent1 5 2" xfId="621" xr:uid="{00000000-0005-0000-0000-000019000000}"/>
    <cellStyle name="20 % - Akzent1 5 3" xfId="622" xr:uid="{00000000-0005-0000-0000-00001A000000}"/>
    <cellStyle name="20 % - Akzent1 5 4" xfId="623" xr:uid="{00000000-0005-0000-0000-00001B000000}"/>
    <cellStyle name="20 % - Akzent1 6" xfId="15" xr:uid="{00000000-0005-0000-0000-00001C000000}"/>
    <cellStyle name="20 % - Akzent1 7" xfId="16" xr:uid="{00000000-0005-0000-0000-00001D000000}"/>
    <cellStyle name="20 % - Akzent2 2" xfId="17" xr:uid="{00000000-0005-0000-0000-00001E000000}"/>
    <cellStyle name="20 % - Akzent2 2 2" xfId="18" xr:uid="{00000000-0005-0000-0000-00001F000000}"/>
    <cellStyle name="20 % - Akzent2 2 3" xfId="19" xr:uid="{00000000-0005-0000-0000-000020000000}"/>
    <cellStyle name="20 % - Akzent2 2 3 2" xfId="20" xr:uid="{00000000-0005-0000-0000-000021000000}"/>
    <cellStyle name="20 % - Akzent2 2 3 2 2" xfId="21" xr:uid="{00000000-0005-0000-0000-000022000000}"/>
    <cellStyle name="20 % - Akzent2 2 3 2 3" xfId="547" xr:uid="{00000000-0005-0000-0000-000023000000}"/>
    <cellStyle name="20 % - Akzent2 2 3 3" xfId="22" xr:uid="{00000000-0005-0000-0000-000024000000}"/>
    <cellStyle name="20 % - Akzent2 2 4" xfId="23" xr:uid="{00000000-0005-0000-0000-000025000000}"/>
    <cellStyle name="20 % - Akzent2 3" xfId="24" xr:uid="{00000000-0005-0000-0000-000026000000}"/>
    <cellStyle name="20 % - Akzent2 3 2" xfId="25" xr:uid="{00000000-0005-0000-0000-000027000000}"/>
    <cellStyle name="20 % - Akzent2 3 2 2" xfId="624" xr:uid="{00000000-0005-0000-0000-000028000000}"/>
    <cellStyle name="20 % - Akzent2 3 2 3" xfId="625" xr:uid="{00000000-0005-0000-0000-000029000000}"/>
    <cellStyle name="20 % - Akzent2 3 2 4" xfId="626" xr:uid="{00000000-0005-0000-0000-00002A000000}"/>
    <cellStyle name="20 % - Akzent2 3 3" xfId="26" xr:uid="{00000000-0005-0000-0000-00002B000000}"/>
    <cellStyle name="20 % - Akzent2 3 4" xfId="627" xr:uid="{00000000-0005-0000-0000-00002C000000}"/>
    <cellStyle name="20 % - Akzent2 3 5" xfId="628" xr:uid="{00000000-0005-0000-0000-00002D000000}"/>
    <cellStyle name="20 % - Akzent2 4" xfId="27" xr:uid="{00000000-0005-0000-0000-00002E000000}"/>
    <cellStyle name="20 % - Akzent2 4 2" xfId="28" xr:uid="{00000000-0005-0000-0000-00002F000000}"/>
    <cellStyle name="20 % - Akzent2 4 2 2" xfId="629" xr:uid="{00000000-0005-0000-0000-000030000000}"/>
    <cellStyle name="20 % - Akzent2 4 2 3" xfId="630" xr:uid="{00000000-0005-0000-0000-000031000000}"/>
    <cellStyle name="20 % - Akzent2 4 2 4" xfId="631" xr:uid="{00000000-0005-0000-0000-000032000000}"/>
    <cellStyle name="20 % - Akzent2 4 3" xfId="29" xr:uid="{00000000-0005-0000-0000-000033000000}"/>
    <cellStyle name="20 % - Akzent2 4 4" xfId="632" xr:uid="{00000000-0005-0000-0000-000034000000}"/>
    <cellStyle name="20 % - Akzent2 4 5" xfId="633" xr:uid="{00000000-0005-0000-0000-000035000000}"/>
    <cellStyle name="20 % - Akzent2 5" xfId="30" xr:uid="{00000000-0005-0000-0000-000036000000}"/>
    <cellStyle name="20 % - Akzent2 5 2" xfId="634" xr:uid="{00000000-0005-0000-0000-000037000000}"/>
    <cellStyle name="20 % - Akzent2 5 3" xfId="635" xr:uid="{00000000-0005-0000-0000-000038000000}"/>
    <cellStyle name="20 % - Akzent2 5 4" xfId="636" xr:uid="{00000000-0005-0000-0000-000039000000}"/>
    <cellStyle name="20 % - Akzent2 6" xfId="31" xr:uid="{00000000-0005-0000-0000-00003A000000}"/>
    <cellStyle name="20 % - Akzent2 7" xfId="32" xr:uid="{00000000-0005-0000-0000-00003B000000}"/>
    <cellStyle name="20 % - Akzent3 2" xfId="33" xr:uid="{00000000-0005-0000-0000-00003C000000}"/>
    <cellStyle name="20 % - Akzent3 2 2" xfId="34" xr:uid="{00000000-0005-0000-0000-00003D000000}"/>
    <cellStyle name="20 % - Akzent3 2 3" xfId="35" xr:uid="{00000000-0005-0000-0000-00003E000000}"/>
    <cellStyle name="20 % - Akzent3 2 3 2" xfId="36" xr:uid="{00000000-0005-0000-0000-00003F000000}"/>
    <cellStyle name="20 % - Akzent3 2 3 2 2" xfId="37" xr:uid="{00000000-0005-0000-0000-000040000000}"/>
    <cellStyle name="20 % - Akzent3 2 3 2 3" xfId="548" xr:uid="{00000000-0005-0000-0000-000041000000}"/>
    <cellStyle name="20 % - Akzent3 2 3 3" xfId="38" xr:uid="{00000000-0005-0000-0000-000042000000}"/>
    <cellStyle name="20 % - Akzent3 2 4" xfId="39" xr:uid="{00000000-0005-0000-0000-000043000000}"/>
    <cellStyle name="20 % - Akzent3 3" xfId="40" xr:uid="{00000000-0005-0000-0000-000044000000}"/>
    <cellStyle name="20 % - Akzent3 3 2" xfId="41" xr:uid="{00000000-0005-0000-0000-000045000000}"/>
    <cellStyle name="20 % - Akzent3 3 2 2" xfId="637" xr:uid="{00000000-0005-0000-0000-000046000000}"/>
    <cellStyle name="20 % - Akzent3 3 2 3" xfId="638" xr:uid="{00000000-0005-0000-0000-000047000000}"/>
    <cellStyle name="20 % - Akzent3 3 2 4" xfId="639" xr:uid="{00000000-0005-0000-0000-000048000000}"/>
    <cellStyle name="20 % - Akzent3 3 3" xfId="42" xr:uid="{00000000-0005-0000-0000-000049000000}"/>
    <cellStyle name="20 % - Akzent3 3 4" xfId="640" xr:uid="{00000000-0005-0000-0000-00004A000000}"/>
    <cellStyle name="20 % - Akzent3 3 5" xfId="641" xr:uid="{00000000-0005-0000-0000-00004B000000}"/>
    <cellStyle name="20 % - Akzent3 4" xfId="43" xr:uid="{00000000-0005-0000-0000-00004C000000}"/>
    <cellStyle name="20 % - Akzent3 4 2" xfId="44" xr:uid="{00000000-0005-0000-0000-00004D000000}"/>
    <cellStyle name="20 % - Akzent3 4 2 2" xfId="642" xr:uid="{00000000-0005-0000-0000-00004E000000}"/>
    <cellStyle name="20 % - Akzent3 4 2 3" xfId="643" xr:uid="{00000000-0005-0000-0000-00004F000000}"/>
    <cellStyle name="20 % - Akzent3 4 2 4" xfId="644" xr:uid="{00000000-0005-0000-0000-000050000000}"/>
    <cellStyle name="20 % - Akzent3 4 3" xfId="45" xr:uid="{00000000-0005-0000-0000-000051000000}"/>
    <cellStyle name="20 % - Akzent3 4 4" xfId="645" xr:uid="{00000000-0005-0000-0000-000052000000}"/>
    <cellStyle name="20 % - Akzent3 4 5" xfId="646" xr:uid="{00000000-0005-0000-0000-000053000000}"/>
    <cellStyle name="20 % - Akzent3 5" xfId="46" xr:uid="{00000000-0005-0000-0000-000054000000}"/>
    <cellStyle name="20 % - Akzent3 5 2" xfId="647" xr:uid="{00000000-0005-0000-0000-000055000000}"/>
    <cellStyle name="20 % - Akzent3 5 3" xfId="648" xr:uid="{00000000-0005-0000-0000-000056000000}"/>
    <cellStyle name="20 % - Akzent3 5 4" xfId="649" xr:uid="{00000000-0005-0000-0000-000057000000}"/>
    <cellStyle name="20 % - Akzent3 6" xfId="47" xr:uid="{00000000-0005-0000-0000-000058000000}"/>
    <cellStyle name="20 % - Akzent3 7" xfId="48" xr:uid="{00000000-0005-0000-0000-000059000000}"/>
    <cellStyle name="20 % - Akzent4 2" xfId="49" xr:uid="{00000000-0005-0000-0000-00005A000000}"/>
    <cellStyle name="20 % - Akzent4 2 2" xfId="50" xr:uid="{00000000-0005-0000-0000-00005B000000}"/>
    <cellStyle name="20 % - Akzent4 2 3" xfId="51" xr:uid="{00000000-0005-0000-0000-00005C000000}"/>
    <cellStyle name="20 % - Akzent4 2 3 2" xfId="52" xr:uid="{00000000-0005-0000-0000-00005D000000}"/>
    <cellStyle name="20 % - Akzent4 2 3 2 2" xfId="53" xr:uid="{00000000-0005-0000-0000-00005E000000}"/>
    <cellStyle name="20 % - Akzent4 2 3 2 3" xfId="549" xr:uid="{00000000-0005-0000-0000-00005F000000}"/>
    <cellStyle name="20 % - Akzent4 2 3 3" xfId="54" xr:uid="{00000000-0005-0000-0000-000060000000}"/>
    <cellStyle name="20 % - Akzent4 2 4" xfId="55" xr:uid="{00000000-0005-0000-0000-000061000000}"/>
    <cellStyle name="20 % - Akzent4 3" xfId="56" xr:uid="{00000000-0005-0000-0000-000062000000}"/>
    <cellStyle name="20 % - Akzent4 3 2" xfId="57" xr:uid="{00000000-0005-0000-0000-000063000000}"/>
    <cellStyle name="20 % - Akzent4 3 2 2" xfId="650" xr:uid="{00000000-0005-0000-0000-000064000000}"/>
    <cellStyle name="20 % - Akzent4 3 2 3" xfId="651" xr:uid="{00000000-0005-0000-0000-000065000000}"/>
    <cellStyle name="20 % - Akzent4 3 2 4" xfId="652" xr:uid="{00000000-0005-0000-0000-000066000000}"/>
    <cellStyle name="20 % - Akzent4 3 3" xfId="58" xr:uid="{00000000-0005-0000-0000-000067000000}"/>
    <cellStyle name="20 % - Akzent4 3 4" xfId="653" xr:uid="{00000000-0005-0000-0000-000068000000}"/>
    <cellStyle name="20 % - Akzent4 3 5" xfId="654" xr:uid="{00000000-0005-0000-0000-000069000000}"/>
    <cellStyle name="20 % - Akzent4 4" xfId="59" xr:uid="{00000000-0005-0000-0000-00006A000000}"/>
    <cellStyle name="20 % - Akzent4 4 2" xfId="60" xr:uid="{00000000-0005-0000-0000-00006B000000}"/>
    <cellStyle name="20 % - Akzent4 4 2 2" xfId="655" xr:uid="{00000000-0005-0000-0000-00006C000000}"/>
    <cellStyle name="20 % - Akzent4 4 2 3" xfId="656" xr:uid="{00000000-0005-0000-0000-00006D000000}"/>
    <cellStyle name="20 % - Akzent4 4 2 4" xfId="657" xr:uid="{00000000-0005-0000-0000-00006E000000}"/>
    <cellStyle name="20 % - Akzent4 4 3" xfId="61" xr:uid="{00000000-0005-0000-0000-00006F000000}"/>
    <cellStyle name="20 % - Akzent4 4 4" xfId="658" xr:uid="{00000000-0005-0000-0000-000070000000}"/>
    <cellStyle name="20 % - Akzent4 4 5" xfId="659" xr:uid="{00000000-0005-0000-0000-000071000000}"/>
    <cellStyle name="20 % - Akzent4 5" xfId="62" xr:uid="{00000000-0005-0000-0000-000072000000}"/>
    <cellStyle name="20 % - Akzent4 5 2" xfId="660" xr:uid="{00000000-0005-0000-0000-000073000000}"/>
    <cellStyle name="20 % - Akzent4 5 3" xfId="661" xr:uid="{00000000-0005-0000-0000-000074000000}"/>
    <cellStyle name="20 % - Akzent4 5 4" xfId="662" xr:uid="{00000000-0005-0000-0000-000075000000}"/>
    <cellStyle name="20 % - Akzent4 6" xfId="63" xr:uid="{00000000-0005-0000-0000-000076000000}"/>
    <cellStyle name="20 % - Akzent4 7" xfId="64" xr:uid="{00000000-0005-0000-0000-000077000000}"/>
    <cellStyle name="20 % - Akzent5 2" xfId="65" xr:uid="{00000000-0005-0000-0000-000078000000}"/>
    <cellStyle name="20 % - Akzent5 2 2" xfId="66" xr:uid="{00000000-0005-0000-0000-000079000000}"/>
    <cellStyle name="20 % - Akzent5 2 2 2" xfId="67" xr:uid="{00000000-0005-0000-0000-00007A000000}"/>
    <cellStyle name="20 % - Akzent5 2 2 3" xfId="550" xr:uid="{00000000-0005-0000-0000-00007B000000}"/>
    <cellStyle name="20 % - Akzent5 2 3" xfId="68" xr:uid="{00000000-0005-0000-0000-00007C000000}"/>
    <cellStyle name="20 % - Akzent5 3" xfId="69" xr:uid="{00000000-0005-0000-0000-00007D000000}"/>
    <cellStyle name="20 % - Akzent5 3 2" xfId="70" xr:uid="{00000000-0005-0000-0000-00007E000000}"/>
    <cellStyle name="20 % - Akzent5 3 2 2" xfId="663" xr:uid="{00000000-0005-0000-0000-00007F000000}"/>
    <cellStyle name="20 % - Akzent5 3 2 3" xfId="664" xr:uid="{00000000-0005-0000-0000-000080000000}"/>
    <cellStyle name="20 % - Akzent5 3 2 4" xfId="665" xr:uid="{00000000-0005-0000-0000-000081000000}"/>
    <cellStyle name="20 % - Akzent5 3 3" xfId="71" xr:uid="{00000000-0005-0000-0000-000082000000}"/>
    <cellStyle name="20 % - Akzent5 3 4" xfId="666" xr:uid="{00000000-0005-0000-0000-000083000000}"/>
    <cellStyle name="20 % - Akzent5 3 5" xfId="667" xr:uid="{00000000-0005-0000-0000-000084000000}"/>
    <cellStyle name="20 % - Akzent5 4" xfId="72" xr:uid="{00000000-0005-0000-0000-000085000000}"/>
    <cellStyle name="20 % - Akzent5 4 2" xfId="73" xr:uid="{00000000-0005-0000-0000-000086000000}"/>
    <cellStyle name="20 % - Akzent5 4 2 2" xfId="668" xr:uid="{00000000-0005-0000-0000-000087000000}"/>
    <cellStyle name="20 % - Akzent5 4 2 3" xfId="669" xr:uid="{00000000-0005-0000-0000-000088000000}"/>
    <cellStyle name="20 % - Akzent5 4 2 4" xfId="670" xr:uid="{00000000-0005-0000-0000-000089000000}"/>
    <cellStyle name="20 % - Akzent5 4 3" xfId="74" xr:uid="{00000000-0005-0000-0000-00008A000000}"/>
    <cellStyle name="20 % - Akzent5 4 4" xfId="671" xr:uid="{00000000-0005-0000-0000-00008B000000}"/>
    <cellStyle name="20 % - Akzent5 4 5" xfId="672" xr:uid="{00000000-0005-0000-0000-00008C000000}"/>
    <cellStyle name="20 % - Akzent5 5" xfId="75" xr:uid="{00000000-0005-0000-0000-00008D000000}"/>
    <cellStyle name="20 % - Akzent5 5 2" xfId="673" xr:uid="{00000000-0005-0000-0000-00008E000000}"/>
    <cellStyle name="20 % - Akzent5 5 3" xfId="674" xr:uid="{00000000-0005-0000-0000-00008F000000}"/>
    <cellStyle name="20 % - Akzent5 5 4" xfId="675" xr:uid="{00000000-0005-0000-0000-000090000000}"/>
    <cellStyle name="20 % - Akzent5 6" xfId="76" xr:uid="{00000000-0005-0000-0000-000091000000}"/>
    <cellStyle name="20 % - Akzent5 7" xfId="77" xr:uid="{00000000-0005-0000-0000-000092000000}"/>
    <cellStyle name="20 % - Akzent6 2" xfId="78" xr:uid="{00000000-0005-0000-0000-000093000000}"/>
    <cellStyle name="20 % - Akzent6 3" xfId="79" xr:uid="{00000000-0005-0000-0000-000094000000}"/>
    <cellStyle name="20 % - Akzent6 3 2" xfId="80" xr:uid="{00000000-0005-0000-0000-000095000000}"/>
    <cellStyle name="20 % - Akzent6 3 2 2" xfId="676" xr:uid="{00000000-0005-0000-0000-000096000000}"/>
    <cellStyle name="20 % - Akzent6 3 2 3" xfId="677" xr:uid="{00000000-0005-0000-0000-000097000000}"/>
    <cellStyle name="20 % - Akzent6 3 2 4" xfId="678" xr:uid="{00000000-0005-0000-0000-000098000000}"/>
    <cellStyle name="20 % - Akzent6 3 3" xfId="81" xr:uid="{00000000-0005-0000-0000-000099000000}"/>
    <cellStyle name="20 % - Akzent6 3 4" xfId="679" xr:uid="{00000000-0005-0000-0000-00009A000000}"/>
    <cellStyle name="20 % - Akzent6 3 5" xfId="680" xr:uid="{00000000-0005-0000-0000-00009B000000}"/>
    <cellStyle name="20 % - Akzent6 4" xfId="82" xr:uid="{00000000-0005-0000-0000-00009C000000}"/>
    <cellStyle name="20 % - Akzent6 4 2" xfId="83" xr:uid="{00000000-0005-0000-0000-00009D000000}"/>
    <cellStyle name="20 % - Akzent6 4 2 2" xfId="681" xr:uid="{00000000-0005-0000-0000-00009E000000}"/>
    <cellStyle name="20 % - Akzent6 4 2 3" xfId="682" xr:uid="{00000000-0005-0000-0000-00009F000000}"/>
    <cellStyle name="20 % - Akzent6 4 2 4" xfId="683" xr:uid="{00000000-0005-0000-0000-0000A0000000}"/>
    <cellStyle name="20 % - Akzent6 4 3" xfId="84" xr:uid="{00000000-0005-0000-0000-0000A1000000}"/>
    <cellStyle name="20 % - Akzent6 4 4" xfId="684" xr:uid="{00000000-0005-0000-0000-0000A2000000}"/>
    <cellStyle name="20 % - Akzent6 4 5" xfId="685" xr:uid="{00000000-0005-0000-0000-0000A3000000}"/>
    <cellStyle name="20 % - Akzent6 5" xfId="85" xr:uid="{00000000-0005-0000-0000-0000A4000000}"/>
    <cellStyle name="20 % - Akzent6 5 2" xfId="686" xr:uid="{00000000-0005-0000-0000-0000A5000000}"/>
    <cellStyle name="20 % - Akzent6 5 3" xfId="687" xr:uid="{00000000-0005-0000-0000-0000A6000000}"/>
    <cellStyle name="20 % - Akzent6 5 4" xfId="688" xr:uid="{00000000-0005-0000-0000-0000A7000000}"/>
    <cellStyle name="20 % - Akzent6 6" xfId="86" xr:uid="{00000000-0005-0000-0000-0000A8000000}"/>
    <cellStyle name="20 % - Akzent6 7" xfId="87" xr:uid="{00000000-0005-0000-0000-0000A9000000}"/>
    <cellStyle name="40 % - Akzent1 2" xfId="88" xr:uid="{00000000-0005-0000-0000-0000AA000000}"/>
    <cellStyle name="40 % - Akzent1 2 2" xfId="89" xr:uid="{00000000-0005-0000-0000-0000AB000000}"/>
    <cellStyle name="40 % - Akzent1 2 3" xfId="90" xr:uid="{00000000-0005-0000-0000-0000AC000000}"/>
    <cellStyle name="40 % - Akzent1 3" xfId="91" xr:uid="{00000000-0005-0000-0000-0000AD000000}"/>
    <cellStyle name="40 % - Akzent1 3 2" xfId="92" xr:uid="{00000000-0005-0000-0000-0000AE000000}"/>
    <cellStyle name="40 % - Akzent1 3 2 2" xfId="689" xr:uid="{00000000-0005-0000-0000-0000AF000000}"/>
    <cellStyle name="40 % - Akzent1 3 2 3" xfId="690" xr:uid="{00000000-0005-0000-0000-0000B0000000}"/>
    <cellStyle name="40 % - Akzent1 3 2 4" xfId="691" xr:uid="{00000000-0005-0000-0000-0000B1000000}"/>
    <cellStyle name="40 % - Akzent1 3 3" xfId="93" xr:uid="{00000000-0005-0000-0000-0000B2000000}"/>
    <cellStyle name="40 % - Akzent1 3 4" xfId="692" xr:uid="{00000000-0005-0000-0000-0000B3000000}"/>
    <cellStyle name="40 % - Akzent1 3 5" xfId="693" xr:uid="{00000000-0005-0000-0000-0000B4000000}"/>
    <cellStyle name="40 % - Akzent1 4" xfId="94" xr:uid="{00000000-0005-0000-0000-0000B5000000}"/>
    <cellStyle name="40 % - Akzent1 4 2" xfId="95" xr:uid="{00000000-0005-0000-0000-0000B6000000}"/>
    <cellStyle name="40 % - Akzent1 4 2 2" xfId="694" xr:uid="{00000000-0005-0000-0000-0000B7000000}"/>
    <cellStyle name="40 % - Akzent1 4 2 3" xfId="695" xr:uid="{00000000-0005-0000-0000-0000B8000000}"/>
    <cellStyle name="40 % - Akzent1 4 2 4" xfId="696" xr:uid="{00000000-0005-0000-0000-0000B9000000}"/>
    <cellStyle name="40 % - Akzent1 4 3" xfId="96" xr:uid="{00000000-0005-0000-0000-0000BA000000}"/>
    <cellStyle name="40 % - Akzent1 4 4" xfId="697" xr:uid="{00000000-0005-0000-0000-0000BB000000}"/>
    <cellStyle name="40 % - Akzent1 4 5" xfId="698" xr:uid="{00000000-0005-0000-0000-0000BC000000}"/>
    <cellStyle name="40 % - Akzent1 5" xfId="97" xr:uid="{00000000-0005-0000-0000-0000BD000000}"/>
    <cellStyle name="40 % - Akzent1 5 2" xfId="699" xr:uid="{00000000-0005-0000-0000-0000BE000000}"/>
    <cellStyle name="40 % - Akzent1 5 3" xfId="700" xr:uid="{00000000-0005-0000-0000-0000BF000000}"/>
    <cellStyle name="40 % - Akzent1 5 4" xfId="701" xr:uid="{00000000-0005-0000-0000-0000C0000000}"/>
    <cellStyle name="40 % - Akzent1 6" xfId="98" xr:uid="{00000000-0005-0000-0000-0000C1000000}"/>
    <cellStyle name="40 % - Akzent1 7" xfId="99" xr:uid="{00000000-0005-0000-0000-0000C2000000}"/>
    <cellStyle name="40 % - Akzent2 2" xfId="100" xr:uid="{00000000-0005-0000-0000-0000C3000000}"/>
    <cellStyle name="40 % - Akzent2 3" xfId="101" xr:uid="{00000000-0005-0000-0000-0000C4000000}"/>
    <cellStyle name="40 % - Akzent2 3 2" xfId="102" xr:uid="{00000000-0005-0000-0000-0000C5000000}"/>
    <cellStyle name="40 % - Akzent2 3 2 2" xfId="702" xr:uid="{00000000-0005-0000-0000-0000C6000000}"/>
    <cellStyle name="40 % - Akzent2 3 2 3" xfId="703" xr:uid="{00000000-0005-0000-0000-0000C7000000}"/>
    <cellStyle name="40 % - Akzent2 3 2 4" xfId="704" xr:uid="{00000000-0005-0000-0000-0000C8000000}"/>
    <cellStyle name="40 % - Akzent2 3 3" xfId="103" xr:uid="{00000000-0005-0000-0000-0000C9000000}"/>
    <cellStyle name="40 % - Akzent2 3 4" xfId="705" xr:uid="{00000000-0005-0000-0000-0000CA000000}"/>
    <cellStyle name="40 % - Akzent2 3 5" xfId="706" xr:uid="{00000000-0005-0000-0000-0000CB000000}"/>
    <cellStyle name="40 % - Akzent2 4" xfId="104" xr:uid="{00000000-0005-0000-0000-0000CC000000}"/>
    <cellStyle name="40 % - Akzent2 4 2" xfId="105" xr:uid="{00000000-0005-0000-0000-0000CD000000}"/>
    <cellStyle name="40 % - Akzent2 4 2 2" xfId="707" xr:uid="{00000000-0005-0000-0000-0000CE000000}"/>
    <cellStyle name="40 % - Akzent2 4 2 3" xfId="708" xr:uid="{00000000-0005-0000-0000-0000CF000000}"/>
    <cellStyle name="40 % - Akzent2 4 2 4" xfId="709" xr:uid="{00000000-0005-0000-0000-0000D0000000}"/>
    <cellStyle name="40 % - Akzent2 4 3" xfId="106" xr:uid="{00000000-0005-0000-0000-0000D1000000}"/>
    <cellStyle name="40 % - Akzent2 4 4" xfId="710" xr:uid="{00000000-0005-0000-0000-0000D2000000}"/>
    <cellStyle name="40 % - Akzent2 4 5" xfId="711" xr:uid="{00000000-0005-0000-0000-0000D3000000}"/>
    <cellStyle name="40 % - Akzent2 5" xfId="107" xr:uid="{00000000-0005-0000-0000-0000D4000000}"/>
    <cellStyle name="40 % - Akzent2 5 2" xfId="712" xr:uid="{00000000-0005-0000-0000-0000D5000000}"/>
    <cellStyle name="40 % - Akzent2 5 3" xfId="713" xr:uid="{00000000-0005-0000-0000-0000D6000000}"/>
    <cellStyle name="40 % - Akzent2 5 4" xfId="714" xr:uid="{00000000-0005-0000-0000-0000D7000000}"/>
    <cellStyle name="40 % - Akzent2 6" xfId="108" xr:uid="{00000000-0005-0000-0000-0000D8000000}"/>
    <cellStyle name="40 % - Akzent2 7" xfId="109" xr:uid="{00000000-0005-0000-0000-0000D9000000}"/>
    <cellStyle name="40 % - Akzent3 2" xfId="110" xr:uid="{00000000-0005-0000-0000-0000DA000000}"/>
    <cellStyle name="40 % - Akzent3 2 2" xfId="111" xr:uid="{00000000-0005-0000-0000-0000DB000000}"/>
    <cellStyle name="40 % - Akzent3 2 3" xfId="112" xr:uid="{00000000-0005-0000-0000-0000DC000000}"/>
    <cellStyle name="40 % - Akzent3 2 3 2" xfId="113" xr:uid="{00000000-0005-0000-0000-0000DD000000}"/>
    <cellStyle name="40 % - Akzent3 2 3 2 2" xfId="114" xr:uid="{00000000-0005-0000-0000-0000DE000000}"/>
    <cellStyle name="40 % - Akzent3 2 3 2 3" xfId="551" xr:uid="{00000000-0005-0000-0000-0000DF000000}"/>
    <cellStyle name="40 % - Akzent3 2 3 3" xfId="115" xr:uid="{00000000-0005-0000-0000-0000E0000000}"/>
    <cellStyle name="40 % - Akzent3 2 4" xfId="116" xr:uid="{00000000-0005-0000-0000-0000E1000000}"/>
    <cellStyle name="40 % - Akzent3 3" xfId="117" xr:uid="{00000000-0005-0000-0000-0000E2000000}"/>
    <cellStyle name="40 % - Akzent3 3 2" xfId="118" xr:uid="{00000000-0005-0000-0000-0000E3000000}"/>
    <cellStyle name="40 % - Akzent3 3 2 2" xfId="715" xr:uid="{00000000-0005-0000-0000-0000E4000000}"/>
    <cellStyle name="40 % - Akzent3 3 2 3" xfId="716" xr:uid="{00000000-0005-0000-0000-0000E5000000}"/>
    <cellStyle name="40 % - Akzent3 3 2 4" xfId="717" xr:uid="{00000000-0005-0000-0000-0000E6000000}"/>
    <cellStyle name="40 % - Akzent3 3 3" xfId="119" xr:uid="{00000000-0005-0000-0000-0000E7000000}"/>
    <cellStyle name="40 % - Akzent3 3 4" xfId="718" xr:uid="{00000000-0005-0000-0000-0000E8000000}"/>
    <cellStyle name="40 % - Akzent3 3 5" xfId="719" xr:uid="{00000000-0005-0000-0000-0000E9000000}"/>
    <cellStyle name="40 % - Akzent3 4" xfId="120" xr:uid="{00000000-0005-0000-0000-0000EA000000}"/>
    <cellStyle name="40 % - Akzent3 4 2" xfId="121" xr:uid="{00000000-0005-0000-0000-0000EB000000}"/>
    <cellStyle name="40 % - Akzent3 4 2 2" xfId="720" xr:uid="{00000000-0005-0000-0000-0000EC000000}"/>
    <cellStyle name="40 % - Akzent3 4 2 3" xfId="721" xr:uid="{00000000-0005-0000-0000-0000ED000000}"/>
    <cellStyle name="40 % - Akzent3 4 2 4" xfId="722" xr:uid="{00000000-0005-0000-0000-0000EE000000}"/>
    <cellStyle name="40 % - Akzent3 4 3" xfId="122" xr:uid="{00000000-0005-0000-0000-0000EF000000}"/>
    <cellStyle name="40 % - Akzent3 4 4" xfId="723" xr:uid="{00000000-0005-0000-0000-0000F0000000}"/>
    <cellStyle name="40 % - Akzent3 4 5" xfId="724" xr:uid="{00000000-0005-0000-0000-0000F1000000}"/>
    <cellStyle name="40 % - Akzent3 5" xfId="123" xr:uid="{00000000-0005-0000-0000-0000F2000000}"/>
    <cellStyle name="40 % - Akzent3 5 2" xfId="725" xr:uid="{00000000-0005-0000-0000-0000F3000000}"/>
    <cellStyle name="40 % - Akzent3 5 3" xfId="726" xr:uid="{00000000-0005-0000-0000-0000F4000000}"/>
    <cellStyle name="40 % - Akzent3 5 4" xfId="727" xr:uid="{00000000-0005-0000-0000-0000F5000000}"/>
    <cellStyle name="40 % - Akzent3 6" xfId="124" xr:uid="{00000000-0005-0000-0000-0000F6000000}"/>
    <cellStyle name="40 % - Akzent3 7" xfId="125" xr:uid="{00000000-0005-0000-0000-0000F7000000}"/>
    <cellStyle name="40 % - Akzent4 2" xfId="126" xr:uid="{00000000-0005-0000-0000-0000F8000000}"/>
    <cellStyle name="40 % - Akzent4 2 2" xfId="127" xr:uid="{00000000-0005-0000-0000-0000F9000000}"/>
    <cellStyle name="40 % - Akzent4 2 2 2" xfId="128" xr:uid="{00000000-0005-0000-0000-0000FA000000}"/>
    <cellStyle name="40 % - Akzent4 2 2 3" xfId="552" xr:uid="{00000000-0005-0000-0000-0000FB000000}"/>
    <cellStyle name="40 % - Akzent4 2 3" xfId="129" xr:uid="{00000000-0005-0000-0000-0000FC000000}"/>
    <cellStyle name="40 % - Akzent4 3" xfId="130" xr:uid="{00000000-0005-0000-0000-0000FD000000}"/>
    <cellStyle name="40 % - Akzent4 3 2" xfId="131" xr:uid="{00000000-0005-0000-0000-0000FE000000}"/>
    <cellStyle name="40 % - Akzent4 3 2 2" xfId="728" xr:uid="{00000000-0005-0000-0000-0000FF000000}"/>
    <cellStyle name="40 % - Akzent4 3 2 3" xfId="729" xr:uid="{00000000-0005-0000-0000-000000010000}"/>
    <cellStyle name="40 % - Akzent4 3 2 4" xfId="730" xr:uid="{00000000-0005-0000-0000-000001010000}"/>
    <cellStyle name="40 % - Akzent4 3 3" xfId="132" xr:uid="{00000000-0005-0000-0000-000002010000}"/>
    <cellStyle name="40 % - Akzent4 3 4" xfId="731" xr:uid="{00000000-0005-0000-0000-000003010000}"/>
    <cellStyle name="40 % - Akzent4 3 5" xfId="732" xr:uid="{00000000-0005-0000-0000-000004010000}"/>
    <cellStyle name="40 % - Akzent4 4" xfId="133" xr:uid="{00000000-0005-0000-0000-000005010000}"/>
    <cellStyle name="40 % - Akzent4 4 2" xfId="134" xr:uid="{00000000-0005-0000-0000-000006010000}"/>
    <cellStyle name="40 % - Akzent4 4 2 2" xfId="733" xr:uid="{00000000-0005-0000-0000-000007010000}"/>
    <cellStyle name="40 % - Akzent4 4 2 3" xfId="734" xr:uid="{00000000-0005-0000-0000-000008010000}"/>
    <cellStyle name="40 % - Akzent4 4 2 4" xfId="735" xr:uid="{00000000-0005-0000-0000-000009010000}"/>
    <cellStyle name="40 % - Akzent4 4 3" xfId="135" xr:uid="{00000000-0005-0000-0000-00000A010000}"/>
    <cellStyle name="40 % - Akzent4 4 4" xfId="736" xr:uid="{00000000-0005-0000-0000-00000B010000}"/>
    <cellStyle name="40 % - Akzent4 4 5" xfId="737" xr:uid="{00000000-0005-0000-0000-00000C010000}"/>
    <cellStyle name="40 % - Akzent4 5" xfId="136" xr:uid="{00000000-0005-0000-0000-00000D010000}"/>
    <cellStyle name="40 % - Akzent4 5 2" xfId="738" xr:uid="{00000000-0005-0000-0000-00000E010000}"/>
    <cellStyle name="40 % - Akzent4 5 3" xfId="739" xr:uid="{00000000-0005-0000-0000-00000F010000}"/>
    <cellStyle name="40 % - Akzent4 5 4" xfId="740" xr:uid="{00000000-0005-0000-0000-000010010000}"/>
    <cellStyle name="40 % - Akzent4 6" xfId="137" xr:uid="{00000000-0005-0000-0000-000011010000}"/>
    <cellStyle name="40 % - Akzent4 7" xfId="138" xr:uid="{00000000-0005-0000-0000-000012010000}"/>
    <cellStyle name="40 % - Akzent5 2" xfId="139" xr:uid="{00000000-0005-0000-0000-000013010000}"/>
    <cellStyle name="40 % - Akzent5 2 2" xfId="140" xr:uid="{00000000-0005-0000-0000-000014010000}"/>
    <cellStyle name="40 % - Akzent5 2 3" xfId="141" xr:uid="{00000000-0005-0000-0000-000015010000}"/>
    <cellStyle name="40 % - Akzent5 3" xfId="142" xr:uid="{00000000-0005-0000-0000-000016010000}"/>
    <cellStyle name="40 % - Akzent5 3 2" xfId="143" xr:uid="{00000000-0005-0000-0000-000017010000}"/>
    <cellStyle name="40 % - Akzent5 3 2 2" xfId="741" xr:uid="{00000000-0005-0000-0000-000018010000}"/>
    <cellStyle name="40 % - Akzent5 3 2 3" xfId="742" xr:uid="{00000000-0005-0000-0000-000019010000}"/>
    <cellStyle name="40 % - Akzent5 3 2 4" xfId="743" xr:uid="{00000000-0005-0000-0000-00001A010000}"/>
    <cellStyle name="40 % - Akzent5 3 3" xfId="144" xr:uid="{00000000-0005-0000-0000-00001B010000}"/>
    <cellStyle name="40 % - Akzent5 3 4" xfId="744" xr:uid="{00000000-0005-0000-0000-00001C010000}"/>
    <cellStyle name="40 % - Akzent5 3 5" xfId="745" xr:uid="{00000000-0005-0000-0000-00001D010000}"/>
    <cellStyle name="40 % - Akzent5 4" xfId="145" xr:uid="{00000000-0005-0000-0000-00001E010000}"/>
    <cellStyle name="40 % - Akzent5 4 2" xfId="146" xr:uid="{00000000-0005-0000-0000-00001F010000}"/>
    <cellStyle name="40 % - Akzent5 4 2 2" xfId="746" xr:uid="{00000000-0005-0000-0000-000020010000}"/>
    <cellStyle name="40 % - Akzent5 4 2 3" xfId="747" xr:uid="{00000000-0005-0000-0000-000021010000}"/>
    <cellStyle name="40 % - Akzent5 4 2 4" xfId="748" xr:uid="{00000000-0005-0000-0000-000022010000}"/>
    <cellStyle name="40 % - Akzent5 4 3" xfId="147" xr:uid="{00000000-0005-0000-0000-000023010000}"/>
    <cellStyle name="40 % - Akzent5 4 4" xfId="749" xr:uid="{00000000-0005-0000-0000-000024010000}"/>
    <cellStyle name="40 % - Akzent5 4 5" xfId="750" xr:uid="{00000000-0005-0000-0000-000025010000}"/>
    <cellStyle name="40 % - Akzent5 5" xfId="148" xr:uid="{00000000-0005-0000-0000-000026010000}"/>
    <cellStyle name="40 % - Akzent5 5 2" xfId="751" xr:uid="{00000000-0005-0000-0000-000027010000}"/>
    <cellStyle name="40 % - Akzent5 5 3" xfId="752" xr:uid="{00000000-0005-0000-0000-000028010000}"/>
    <cellStyle name="40 % - Akzent5 5 4" xfId="753" xr:uid="{00000000-0005-0000-0000-000029010000}"/>
    <cellStyle name="40 % - Akzent5 6" xfId="149" xr:uid="{00000000-0005-0000-0000-00002A010000}"/>
    <cellStyle name="40 % - Akzent5 7" xfId="150" xr:uid="{00000000-0005-0000-0000-00002B010000}"/>
    <cellStyle name="40 % - Akzent6 2" xfId="151" xr:uid="{00000000-0005-0000-0000-00002C010000}"/>
    <cellStyle name="40 % - Akzent6 2 2" xfId="152" xr:uid="{00000000-0005-0000-0000-00002D010000}"/>
    <cellStyle name="40 % - Akzent6 2 2 2" xfId="153" xr:uid="{00000000-0005-0000-0000-00002E010000}"/>
    <cellStyle name="40 % - Akzent6 2 2 3" xfId="553" xr:uid="{00000000-0005-0000-0000-00002F010000}"/>
    <cellStyle name="40 % - Akzent6 2 3" xfId="154" xr:uid="{00000000-0005-0000-0000-000030010000}"/>
    <cellStyle name="40 % - Akzent6 3" xfId="155" xr:uid="{00000000-0005-0000-0000-000031010000}"/>
    <cellStyle name="40 % - Akzent6 3 2" xfId="156" xr:uid="{00000000-0005-0000-0000-000032010000}"/>
    <cellStyle name="40 % - Akzent6 3 2 2" xfId="754" xr:uid="{00000000-0005-0000-0000-000033010000}"/>
    <cellStyle name="40 % - Akzent6 3 2 3" xfId="755" xr:uid="{00000000-0005-0000-0000-000034010000}"/>
    <cellStyle name="40 % - Akzent6 3 2 4" xfId="756" xr:uid="{00000000-0005-0000-0000-000035010000}"/>
    <cellStyle name="40 % - Akzent6 3 3" xfId="157" xr:uid="{00000000-0005-0000-0000-000036010000}"/>
    <cellStyle name="40 % - Akzent6 3 4" xfId="757" xr:uid="{00000000-0005-0000-0000-000037010000}"/>
    <cellStyle name="40 % - Akzent6 3 5" xfId="758" xr:uid="{00000000-0005-0000-0000-000038010000}"/>
    <cellStyle name="40 % - Akzent6 4" xfId="158" xr:uid="{00000000-0005-0000-0000-000039010000}"/>
    <cellStyle name="40 % - Akzent6 4 2" xfId="159" xr:uid="{00000000-0005-0000-0000-00003A010000}"/>
    <cellStyle name="40 % - Akzent6 4 2 2" xfId="759" xr:uid="{00000000-0005-0000-0000-00003B010000}"/>
    <cellStyle name="40 % - Akzent6 4 2 3" xfId="760" xr:uid="{00000000-0005-0000-0000-00003C010000}"/>
    <cellStyle name="40 % - Akzent6 4 2 4" xfId="761" xr:uid="{00000000-0005-0000-0000-00003D010000}"/>
    <cellStyle name="40 % - Akzent6 4 3" xfId="160" xr:uid="{00000000-0005-0000-0000-00003E010000}"/>
    <cellStyle name="40 % - Akzent6 4 4" xfId="762" xr:uid="{00000000-0005-0000-0000-00003F010000}"/>
    <cellStyle name="40 % - Akzent6 4 5" xfId="763" xr:uid="{00000000-0005-0000-0000-000040010000}"/>
    <cellStyle name="40 % - Akzent6 5" xfId="161" xr:uid="{00000000-0005-0000-0000-000041010000}"/>
    <cellStyle name="40 % - Akzent6 5 2" xfId="764" xr:uid="{00000000-0005-0000-0000-000042010000}"/>
    <cellStyle name="40 % - Akzent6 5 3" xfId="765" xr:uid="{00000000-0005-0000-0000-000043010000}"/>
    <cellStyle name="40 % - Akzent6 5 4" xfId="766" xr:uid="{00000000-0005-0000-0000-000044010000}"/>
    <cellStyle name="40 % - Akzent6 6" xfId="162" xr:uid="{00000000-0005-0000-0000-000045010000}"/>
    <cellStyle name="40 % - Akzent6 7" xfId="163" xr:uid="{00000000-0005-0000-0000-000046010000}"/>
    <cellStyle name="60 % - Akzent1 2" xfId="164" xr:uid="{00000000-0005-0000-0000-000047010000}"/>
    <cellStyle name="60 % - Akzent1 2 2" xfId="165" xr:uid="{00000000-0005-0000-0000-000048010000}"/>
    <cellStyle name="60 % - Akzent1 2 2 2" xfId="166" xr:uid="{00000000-0005-0000-0000-000049010000}"/>
    <cellStyle name="60 % - Akzent1 2 2 3" xfId="554" xr:uid="{00000000-0005-0000-0000-00004A010000}"/>
    <cellStyle name="60 % - Akzent1 2 3" xfId="167" xr:uid="{00000000-0005-0000-0000-00004B010000}"/>
    <cellStyle name="60 % - Akzent1 3" xfId="168" xr:uid="{00000000-0005-0000-0000-00004C010000}"/>
    <cellStyle name="60 % - Akzent1 4" xfId="169" xr:uid="{00000000-0005-0000-0000-00004D010000}"/>
    <cellStyle name="60 % - Akzent1 5" xfId="170" xr:uid="{00000000-0005-0000-0000-00004E010000}"/>
    <cellStyle name="60 % - Akzent1 6" xfId="171" xr:uid="{00000000-0005-0000-0000-00004F010000}"/>
    <cellStyle name="60 % - Akzent2 2" xfId="172" xr:uid="{00000000-0005-0000-0000-000050010000}"/>
    <cellStyle name="60 % - Akzent2 3" xfId="173" xr:uid="{00000000-0005-0000-0000-000051010000}"/>
    <cellStyle name="60 % - Akzent2 4" xfId="174" xr:uid="{00000000-0005-0000-0000-000052010000}"/>
    <cellStyle name="60 % - Akzent2 5" xfId="175" xr:uid="{00000000-0005-0000-0000-000053010000}"/>
    <cellStyle name="60 % - Akzent2 6" xfId="176" xr:uid="{00000000-0005-0000-0000-000054010000}"/>
    <cellStyle name="60 % - Akzent3 2" xfId="177" xr:uid="{00000000-0005-0000-0000-000055010000}"/>
    <cellStyle name="60 % - Akzent3 3" xfId="178" xr:uid="{00000000-0005-0000-0000-000056010000}"/>
    <cellStyle name="60 % - Akzent3 4" xfId="179" xr:uid="{00000000-0005-0000-0000-000057010000}"/>
    <cellStyle name="60 % - Akzent3 5" xfId="180" xr:uid="{00000000-0005-0000-0000-000058010000}"/>
    <cellStyle name="60 % - Akzent3 6" xfId="181" xr:uid="{00000000-0005-0000-0000-000059010000}"/>
    <cellStyle name="60 % - Akzent4 2" xfId="182" xr:uid="{00000000-0005-0000-0000-00005A010000}"/>
    <cellStyle name="60 % - Akzent4 2 2" xfId="183" xr:uid="{00000000-0005-0000-0000-00005B010000}"/>
    <cellStyle name="60 % - Akzent4 2 3" xfId="184" xr:uid="{00000000-0005-0000-0000-00005C010000}"/>
    <cellStyle name="60 % - Akzent4 2 3 2" xfId="185" xr:uid="{00000000-0005-0000-0000-00005D010000}"/>
    <cellStyle name="60 % - Akzent4 2 3 2 2" xfId="186" xr:uid="{00000000-0005-0000-0000-00005E010000}"/>
    <cellStyle name="60 % - Akzent4 2 3 2 3" xfId="555" xr:uid="{00000000-0005-0000-0000-00005F010000}"/>
    <cellStyle name="60 % - Akzent4 2 3 3" xfId="187" xr:uid="{00000000-0005-0000-0000-000060010000}"/>
    <cellStyle name="60 % - Akzent4 2 4" xfId="188" xr:uid="{00000000-0005-0000-0000-000061010000}"/>
    <cellStyle name="60 % - Akzent4 3" xfId="189" xr:uid="{00000000-0005-0000-0000-000062010000}"/>
    <cellStyle name="60 % - Akzent4 4" xfId="190" xr:uid="{00000000-0005-0000-0000-000063010000}"/>
    <cellStyle name="60 % - Akzent4 5" xfId="191" xr:uid="{00000000-0005-0000-0000-000064010000}"/>
    <cellStyle name="60 % - Akzent4 6" xfId="192" xr:uid="{00000000-0005-0000-0000-000065010000}"/>
    <cellStyle name="60 % - Akzent5 2" xfId="193" xr:uid="{00000000-0005-0000-0000-000066010000}"/>
    <cellStyle name="60 % - Akzent5 2 2" xfId="194" xr:uid="{00000000-0005-0000-0000-000067010000}"/>
    <cellStyle name="60 % - Akzent5 2 2 2" xfId="195" xr:uid="{00000000-0005-0000-0000-000068010000}"/>
    <cellStyle name="60 % - Akzent5 2 2 3" xfId="556" xr:uid="{00000000-0005-0000-0000-000069010000}"/>
    <cellStyle name="60 % - Akzent5 2 3" xfId="196" xr:uid="{00000000-0005-0000-0000-00006A010000}"/>
    <cellStyle name="60 % - Akzent5 3" xfId="197" xr:uid="{00000000-0005-0000-0000-00006B010000}"/>
    <cellStyle name="60 % - Akzent5 4" xfId="198" xr:uid="{00000000-0005-0000-0000-00006C010000}"/>
    <cellStyle name="60 % - Akzent5 5" xfId="199" xr:uid="{00000000-0005-0000-0000-00006D010000}"/>
    <cellStyle name="60 % - Akzent5 6" xfId="200" xr:uid="{00000000-0005-0000-0000-00006E010000}"/>
    <cellStyle name="60 % - Akzent6 2" xfId="201" xr:uid="{00000000-0005-0000-0000-00006F010000}"/>
    <cellStyle name="60 % - Akzent6 2 2" xfId="202" xr:uid="{00000000-0005-0000-0000-000070010000}"/>
    <cellStyle name="60 % - Akzent6 2 3" xfId="203" xr:uid="{00000000-0005-0000-0000-000071010000}"/>
    <cellStyle name="60 % - Akzent6 2 3 2" xfId="204" xr:uid="{00000000-0005-0000-0000-000072010000}"/>
    <cellStyle name="60 % - Akzent6 2 3 2 2" xfId="205" xr:uid="{00000000-0005-0000-0000-000073010000}"/>
    <cellStyle name="60 % - Akzent6 2 3 2 3" xfId="557" xr:uid="{00000000-0005-0000-0000-000074010000}"/>
    <cellStyle name="60 % - Akzent6 2 3 3" xfId="206" xr:uid="{00000000-0005-0000-0000-000075010000}"/>
    <cellStyle name="60 % - Akzent6 2 4" xfId="207" xr:uid="{00000000-0005-0000-0000-000076010000}"/>
    <cellStyle name="60 % - Akzent6 3" xfId="208" xr:uid="{00000000-0005-0000-0000-000077010000}"/>
    <cellStyle name="60 % - Akzent6 4" xfId="209" xr:uid="{00000000-0005-0000-0000-000078010000}"/>
    <cellStyle name="60 % - Akzent6 5" xfId="210" xr:uid="{00000000-0005-0000-0000-000079010000}"/>
    <cellStyle name="60 % - Akzent6 6" xfId="211" xr:uid="{00000000-0005-0000-0000-00007A010000}"/>
    <cellStyle name="Accent1" xfId="225" xr:uid="{00000000-0005-0000-0000-00007B010000}"/>
    <cellStyle name="Accent1 2" xfId="212" xr:uid="{00000000-0005-0000-0000-00007C010000}"/>
    <cellStyle name="Accent1 3" xfId="213" xr:uid="{00000000-0005-0000-0000-00007D010000}"/>
    <cellStyle name="Accent1 3 2" xfId="214" xr:uid="{00000000-0005-0000-0000-00007E010000}"/>
    <cellStyle name="Accent1 3 3" xfId="558" xr:uid="{00000000-0005-0000-0000-00007F010000}"/>
    <cellStyle name="Accent1 4" xfId="215" xr:uid="{00000000-0005-0000-0000-000080010000}"/>
    <cellStyle name="Accent1 4 2" xfId="1136" xr:uid="{00000000-0005-0000-0000-000081010000}"/>
    <cellStyle name="Accent1 4 3" xfId="767" xr:uid="{00000000-0005-0000-0000-000082010000}"/>
    <cellStyle name="Accent1 5" xfId="559" xr:uid="{00000000-0005-0000-0000-000083010000}"/>
    <cellStyle name="Accent1 6" xfId="769" xr:uid="{00000000-0005-0000-0000-000084010000}"/>
    <cellStyle name="Accent2" xfId="228" xr:uid="{00000000-0005-0000-0000-000085010000}"/>
    <cellStyle name="Accent2 2" xfId="216" xr:uid="{00000000-0005-0000-0000-000086010000}"/>
    <cellStyle name="Accent2 3" xfId="217" xr:uid="{00000000-0005-0000-0000-000087010000}"/>
    <cellStyle name="Accent2 4" xfId="561" xr:uid="{00000000-0005-0000-0000-000088010000}"/>
    <cellStyle name="Accent2 4 2" xfId="771" xr:uid="{00000000-0005-0000-0000-000089010000}"/>
    <cellStyle name="Accent2 5" xfId="1138" xr:uid="{00000000-0005-0000-0000-00008A010000}"/>
    <cellStyle name="Accent2 6" xfId="560" xr:uid="{00000000-0005-0000-0000-00008B010000}"/>
    <cellStyle name="Accent3" xfId="231" xr:uid="{00000000-0005-0000-0000-00008C010000}"/>
    <cellStyle name="Accent3 2" xfId="218" xr:uid="{00000000-0005-0000-0000-00008D010000}"/>
    <cellStyle name="Accent3 3" xfId="773" xr:uid="{00000000-0005-0000-0000-00008E010000}"/>
    <cellStyle name="Accent4" xfId="234" xr:uid="{00000000-0005-0000-0000-00008F010000}"/>
    <cellStyle name="Accent4 2" xfId="219" xr:uid="{00000000-0005-0000-0000-000090010000}"/>
    <cellStyle name="Accent4 3" xfId="220" xr:uid="{00000000-0005-0000-0000-000091010000}"/>
    <cellStyle name="Accent4 3 2" xfId="221" xr:uid="{00000000-0005-0000-0000-000092010000}"/>
    <cellStyle name="Accent4 3 3" xfId="562" xr:uid="{00000000-0005-0000-0000-000093010000}"/>
    <cellStyle name="Accent4 4" xfId="222" xr:uid="{00000000-0005-0000-0000-000094010000}"/>
    <cellStyle name="Accent4 4 2" xfId="1137" xr:uid="{00000000-0005-0000-0000-000095010000}"/>
    <cellStyle name="Accent4 4 3" xfId="768" xr:uid="{00000000-0005-0000-0000-000096010000}"/>
    <cellStyle name="Accent4 5" xfId="563" xr:uid="{00000000-0005-0000-0000-000097010000}"/>
    <cellStyle name="Accent4 6" xfId="774" xr:uid="{00000000-0005-0000-0000-000098010000}"/>
    <cellStyle name="Accent5" xfId="237" xr:uid="{00000000-0005-0000-0000-000099010000}"/>
    <cellStyle name="Accent5 2" xfId="223" xr:uid="{00000000-0005-0000-0000-00009A010000}"/>
    <cellStyle name="Accent5 3" xfId="776" xr:uid="{00000000-0005-0000-0000-00009B010000}"/>
    <cellStyle name="Accent6" xfId="240" xr:uid="{00000000-0005-0000-0000-00009C010000}"/>
    <cellStyle name="Accent6 2" xfId="224" xr:uid="{00000000-0005-0000-0000-00009D010000}"/>
    <cellStyle name="Accent6 3" xfId="777" xr:uid="{00000000-0005-0000-0000-00009E010000}"/>
    <cellStyle name="Akzent1 2" xfId="226" xr:uid="{00000000-0005-0000-0000-00009F010000}"/>
    <cellStyle name="Akzent1 3" xfId="227" xr:uid="{00000000-0005-0000-0000-0000A0010000}"/>
    <cellStyle name="Akzent1 4" xfId="770" xr:uid="{00000000-0005-0000-0000-0000A1010000}"/>
    <cellStyle name="Akzent2 2" xfId="229" xr:uid="{00000000-0005-0000-0000-0000A2010000}"/>
    <cellStyle name="Akzent2 3" xfId="230" xr:uid="{00000000-0005-0000-0000-0000A3010000}"/>
    <cellStyle name="Akzent2 4" xfId="772" xr:uid="{00000000-0005-0000-0000-0000A4010000}"/>
    <cellStyle name="Akzent3 2" xfId="232" xr:uid="{00000000-0005-0000-0000-0000A5010000}"/>
    <cellStyle name="Akzent3 3" xfId="233" xr:uid="{00000000-0005-0000-0000-0000A6010000}"/>
    <cellStyle name="Akzent4 2" xfId="235" xr:uid="{00000000-0005-0000-0000-0000A7010000}"/>
    <cellStyle name="Akzent4 3" xfId="236" xr:uid="{00000000-0005-0000-0000-0000A8010000}"/>
    <cellStyle name="Akzent4 4" xfId="775" xr:uid="{00000000-0005-0000-0000-0000A9010000}"/>
    <cellStyle name="Akzent5 2" xfId="238" xr:uid="{00000000-0005-0000-0000-0000AA010000}"/>
    <cellStyle name="Akzent5 3" xfId="239" xr:uid="{00000000-0005-0000-0000-0000AB010000}"/>
    <cellStyle name="Akzent6 2" xfId="241" xr:uid="{00000000-0005-0000-0000-0000AC010000}"/>
    <cellStyle name="Akzent6 3" xfId="242" xr:uid="{00000000-0005-0000-0000-0000AD010000}"/>
    <cellStyle name="Ausgabe 2" xfId="243" xr:uid="{00000000-0005-0000-0000-0000AE010000}"/>
    <cellStyle name="Ausgabe 2 2" xfId="244" xr:uid="{00000000-0005-0000-0000-0000AF010000}"/>
    <cellStyle name="Ausgabe 2 2 2" xfId="245" xr:uid="{00000000-0005-0000-0000-0000B0010000}"/>
    <cellStyle name="Ausgabe 2 2 3" xfId="246" xr:uid="{00000000-0005-0000-0000-0000B1010000}"/>
    <cellStyle name="Ausgabe 2 2 3 2" xfId="1139" xr:uid="{00000000-0005-0000-0000-0000B2010000}"/>
    <cellStyle name="Ausgabe 2 2 3 3" xfId="780" xr:uid="{00000000-0005-0000-0000-0000B3010000}"/>
    <cellStyle name="Ausgabe 2 2 3 4" xfId="564" xr:uid="{00000000-0005-0000-0000-0000B4010000}"/>
    <cellStyle name="Ausgabe 2 2 4" xfId="779" xr:uid="{00000000-0005-0000-0000-0000B5010000}"/>
    <cellStyle name="Ausgabe 2 3" xfId="247" xr:uid="{00000000-0005-0000-0000-0000B6010000}"/>
    <cellStyle name="Ausgabe 2 3 2" xfId="248" xr:uid="{00000000-0005-0000-0000-0000B7010000}"/>
    <cellStyle name="Ausgabe 2 3 2 2" xfId="249" xr:uid="{00000000-0005-0000-0000-0000B8010000}"/>
    <cellStyle name="Ausgabe 2 3 2 3" xfId="565" xr:uid="{00000000-0005-0000-0000-0000B9010000}"/>
    <cellStyle name="Ausgabe 2 3 3" xfId="250" xr:uid="{00000000-0005-0000-0000-0000BA010000}"/>
    <cellStyle name="Ausgabe 2 3 3 2" xfId="1140" xr:uid="{00000000-0005-0000-0000-0000BB010000}"/>
    <cellStyle name="Ausgabe 2 3 3 3" xfId="781" xr:uid="{00000000-0005-0000-0000-0000BC010000}"/>
    <cellStyle name="Ausgabe 2 3 3 4" xfId="566" xr:uid="{00000000-0005-0000-0000-0000BD010000}"/>
    <cellStyle name="Ausgabe 2 4" xfId="251" xr:uid="{00000000-0005-0000-0000-0000BE010000}"/>
    <cellStyle name="Ausgabe 2 5" xfId="252" xr:uid="{00000000-0005-0000-0000-0000BF010000}"/>
    <cellStyle name="Ausgabe 2 5 2" xfId="1141" xr:uid="{00000000-0005-0000-0000-0000C0010000}"/>
    <cellStyle name="Ausgabe 2 5 3" xfId="782" xr:uid="{00000000-0005-0000-0000-0000C1010000}"/>
    <cellStyle name="Ausgabe 2 5 4" xfId="567" xr:uid="{00000000-0005-0000-0000-0000C2010000}"/>
    <cellStyle name="Ausgabe 2 6" xfId="778" xr:uid="{00000000-0005-0000-0000-0000C3010000}"/>
    <cellStyle name="Ausgabe 3" xfId="253" xr:uid="{00000000-0005-0000-0000-0000C4010000}"/>
    <cellStyle name="Ausgabe 3 2" xfId="254" xr:uid="{00000000-0005-0000-0000-0000C5010000}"/>
    <cellStyle name="Ausgabe 3 3" xfId="255" xr:uid="{00000000-0005-0000-0000-0000C6010000}"/>
    <cellStyle name="Ausgabe 3 3 2" xfId="1142" xr:uid="{00000000-0005-0000-0000-0000C7010000}"/>
    <cellStyle name="Ausgabe 3 3 3" xfId="784" xr:uid="{00000000-0005-0000-0000-0000C8010000}"/>
    <cellStyle name="Ausgabe 3 3 4" xfId="568" xr:uid="{00000000-0005-0000-0000-0000C9010000}"/>
    <cellStyle name="Ausgabe 3 4" xfId="783" xr:uid="{00000000-0005-0000-0000-0000CA010000}"/>
    <cellStyle name="Ausgabe 4" xfId="256" xr:uid="{00000000-0005-0000-0000-0000CB010000}"/>
    <cellStyle name="Ausgabe 5" xfId="257" xr:uid="{00000000-0005-0000-0000-0000CC010000}"/>
    <cellStyle name="Ausgabe 6" xfId="258" xr:uid="{00000000-0005-0000-0000-0000CD010000}"/>
    <cellStyle name="Ausgabe 7" xfId="259" xr:uid="{00000000-0005-0000-0000-0000CE010000}"/>
    <cellStyle name="Ausgabe 7 2" xfId="260" xr:uid="{00000000-0005-0000-0000-0000CF010000}"/>
    <cellStyle name="Ausgabe 7 3" xfId="261" xr:uid="{00000000-0005-0000-0000-0000D0010000}"/>
    <cellStyle name="Ausgabe 7 3 2" xfId="262" xr:uid="{00000000-0005-0000-0000-0000D1010000}"/>
    <cellStyle name="Ausgabe 7 3 3" xfId="569" xr:uid="{00000000-0005-0000-0000-0000D2010000}"/>
    <cellStyle name="Ausgabe 7 3 4" xfId="785" xr:uid="{00000000-0005-0000-0000-0000D3010000}"/>
    <cellStyle name="Ausgabe 7 4" xfId="263" xr:uid="{00000000-0005-0000-0000-0000D4010000}"/>
    <cellStyle name="Ausgabe 8" xfId="264" xr:uid="{00000000-0005-0000-0000-0000D5010000}"/>
    <cellStyle name="Ausgabe 8 2" xfId="265" xr:uid="{00000000-0005-0000-0000-0000D6010000}"/>
    <cellStyle name="Ausgabe 8 3" xfId="570" xr:uid="{00000000-0005-0000-0000-0000D7010000}"/>
    <cellStyle name="Bad" xfId="474" xr:uid="{00000000-0005-0000-0000-0000D8010000}"/>
    <cellStyle name="Bad 2" xfId="266" xr:uid="{00000000-0005-0000-0000-0000D9010000}"/>
    <cellStyle name="Bad 2 2" xfId="786" xr:uid="{00000000-0005-0000-0000-0000DA010000}"/>
    <cellStyle name="Bad 3" xfId="1074" xr:uid="{00000000-0005-0000-0000-0000DB010000}"/>
    <cellStyle name="Berechnung 2" xfId="267" xr:uid="{00000000-0005-0000-0000-0000DC010000}"/>
    <cellStyle name="Berechnung 2 2" xfId="268" xr:uid="{00000000-0005-0000-0000-0000DD010000}"/>
    <cellStyle name="Berechnung 2 3" xfId="269" xr:uid="{00000000-0005-0000-0000-0000DE010000}"/>
    <cellStyle name="Berechnung 2 3 2" xfId="270" xr:uid="{00000000-0005-0000-0000-0000DF010000}"/>
    <cellStyle name="Berechnung 2 3 2 2" xfId="271" xr:uid="{00000000-0005-0000-0000-0000E0010000}"/>
    <cellStyle name="Berechnung 2 3 2 3" xfId="571" xr:uid="{00000000-0005-0000-0000-0000E1010000}"/>
    <cellStyle name="Berechnung 2 3 3" xfId="272" xr:uid="{00000000-0005-0000-0000-0000E2010000}"/>
    <cellStyle name="Berechnung 2 4" xfId="273" xr:uid="{00000000-0005-0000-0000-0000E3010000}"/>
    <cellStyle name="Berechnung 3" xfId="274" xr:uid="{00000000-0005-0000-0000-0000E4010000}"/>
    <cellStyle name="Berechnung 4" xfId="275" xr:uid="{00000000-0005-0000-0000-0000E5010000}"/>
    <cellStyle name="Berechnung 5" xfId="276" xr:uid="{00000000-0005-0000-0000-0000E6010000}"/>
    <cellStyle name="Berechnung 6" xfId="277" xr:uid="{00000000-0005-0000-0000-0000E7010000}"/>
    <cellStyle name="Berechnung 7" xfId="278" xr:uid="{00000000-0005-0000-0000-0000E8010000}"/>
    <cellStyle name="Berechnung 7 2" xfId="279" xr:uid="{00000000-0005-0000-0000-0000E9010000}"/>
    <cellStyle name="Berechnung 7 3" xfId="280" xr:uid="{00000000-0005-0000-0000-0000EA010000}"/>
    <cellStyle name="Berechnung 8" xfId="281" xr:uid="{00000000-0005-0000-0000-0000EB010000}"/>
    <cellStyle name="Calculation 2" xfId="282" xr:uid="{00000000-0005-0000-0000-0000EC010000}"/>
    <cellStyle name="Check Cell" xfId="541" xr:uid="{00000000-0005-0000-0000-0000ED010000}"/>
    <cellStyle name="Check Cell 2" xfId="283" xr:uid="{00000000-0005-0000-0000-0000EE010000}"/>
    <cellStyle name="Check Cell 2 2" xfId="787" xr:uid="{00000000-0005-0000-0000-0000EF010000}"/>
    <cellStyle name="Check Cell 3" xfId="284" xr:uid="{00000000-0005-0000-0000-0000F0010000}"/>
    <cellStyle name="Check Cell 3 2" xfId="789" xr:uid="{00000000-0005-0000-0000-0000F1010000}"/>
    <cellStyle name="Check Cell 3 3" xfId="788" xr:uid="{00000000-0005-0000-0000-0000F2010000}"/>
    <cellStyle name="Check Cell 4" xfId="285" xr:uid="{00000000-0005-0000-0000-0000F3010000}"/>
    <cellStyle name="Check Cell 4 2" xfId="1143" xr:uid="{00000000-0005-0000-0000-0000F4010000}"/>
    <cellStyle name="Check Cell 4 3" xfId="790" xr:uid="{00000000-0005-0000-0000-0000F5010000}"/>
    <cellStyle name="Check Cell 5" xfId="791" xr:uid="{00000000-0005-0000-0000-0000F6010000}"/>
    <cellStyle name="Check Cell 6" xfId="1133" xr:uid="{00000000-0005-0000-0000-0000F7010000}"/>
    <cellStyle name="Eingabe 2" xfId="286" xr:uid="{00000000-0005-0000-0000-0000F8010000}"/>
    <cellStyle name="Eingabe 3" xfId="287" xr:uid="{00000000-0005-0000-0000-0000F9010000}"/>
    <cellStyle name="Eingabe 4" xfId="288" xr:uid="{00000000-0005-0000-0000-0000FA010000}"/>
    <cellStyle name="Eingabe 5" xfId="289" xr:uid="{00000000-0005-0000-0000-0000FB010000}"/>
    <cellStyle name="Eingabe 6" xfId="290" xr:uid="{00000000-0005-0000-0000-0000FC010000}"/>
    <cellStyle name="Eingabe 7" xfId="291" xr:uid="{00000000-0005-0000-0000-0000FD010000}"/>
    <cellStyle name="Ergebnis 2" xfId="292" xr:uid="{00000000-0005-0000-0000-0000FE010000}"/>
    <cellStyle name="Ergebnis 2 2" xfId="293" xr:uid="{00000000-0005-0000-0000-0000FF010000}"/>
    <cellStyle name="Ergebnis 2 2 2" xfId="294" xr:uid="{00000000-0005-0000-0000-000000020000}"/>
    <cellStyle name="Ergebnis 2 3" xfId="295" xr:uid="{00000000-0005-0000-0000-000001020000}"/>
    <cellStyle name="Ergebnis 2 4" xfId="296" xr:uid="{00000000-0005-0000-0000-000002020000}"/>
    <cellStyle name="Ergebnis 2 4 2" xfId="297" xr:uid="{00000000-0005-0000-0000-000003020000}"/>
    <cellStyle name="Ergebnis 2 4 2 2" xfId="298" xr:uid="{00000000-0005-0000-0000-000004020000}"/>
    <cellStyle name="Ergebnis 2 4 2 3" xfId="572" xr:uid="{00000000-0005-0000-0000-000005020000}"/>
    <cellStyle name="Ergebnis 2 4 3" xfId="299" xr:uid="{00000000-0005-0000-0000-000006020000}"/>
    <cellStyle name="Ergebnis 2 5" xfId="300" xr:uid="{00000000-0005-0000-0000-000007020000}"/>
    <cellStyle name="Ergebnis 3" xfId="301" xr:uid="{00000000-0005-0000-0000-000008020000}"/>
    <cellStyle name="Ergebnis 3 2" xfId="302" xr:uid="{00000000-0005-0000-0000-000009020000}"/>
    <cellStyle name="Ergebnis 4" xfId="303" xr:uid="{00000000-0005-0000-0000-00000A020000}"/>
    <cellStyle name="Ergebnis 4 2" xfId="304" xr:uid="{00000000-0005-0000-0000-00000B020000}"/>
    <cellStyle name="Ergebnis 5" xfId="305" xr:uid="{00000000-0005-0000-0000-00000C020000}"/>
    <cellStyle name="Ergebnis 6" xfId="306" xr:uid="{00000000-0005-0000-0000-00000D020000}"/>
    <cellStyle name="Ergebnis 7" xfId="307" xr:uid="{00000000-0005-0000-0000-00000E020000}"/>
    <cellStyle name="Ergebnis 8" xfId="308" xr:uid="{00000000-0005-0000-0000-00000F020000}"/>
    <cellStyle name="Ergebnis 8 2" xfId="309" xr:uid="{00000000-0005-0000-0000-000010020000}"/>
    <cellStyle name="Ergebnis 8 3" xfId="310" xr:uid="{00000000-0005-0000-0000-000011020000}"/>
    <cellStyle name="Ergebnis 9" xfId="311" xr:uid="{00000000-0005-0000-0000-000012020000}"/>
    <cellStyle name="Erklärender Text 2" xfId="312" xr:uid="{00000000-0005-0000-0000-000013020000}"/>
    <cellStyle name="Erklärender Text 3" xfId="313" xr:uid="{00000000-0005-0000-0000-000014020000}"/>
    <cellStyle name="Erklärender Text 4" xfId="314" xr:uid="{00000000-0005-0000-0000-000015020000}"/>
    <cellStyle name="Erklärender Text 5" xfId="315" xr:uid="{00000000-0005-0000-0000-000016020000}"/>
    <cellStyle name="Erklärender Text 6" xfId="316" xr:uid="{00000000-0005-0000-0000-000017020000}"/>
    <cellStyle name="Good" xfId="318" xr:uid="{00000000-0005-0000-0000-000018020000}"/>
    <cellStyle name="Good 2" xfId="317" xr:uid="{00000000-0005-0000-0000-000019020000}"/>
    <cellStyle name="Good 2 2" xfId="792" xr:uid="{00000000-0005-0000-0000-00001A020000}"/>
    <cellStyle name="Good 3" xfId="793" xr:uid="{00000000-0005-0000-0000-00001B020000}"/>
    <cellStyle name="Gut 2" xfId="319" xr:uid="{00000000-0005-0000-0000-00001C020000}"/>
    <cellStyle name="Gut 3" xfId="320" xr:uid="{00000000-0005-0000-0000-00001D020000}"/>
    <cellStyle name="Heading 1" xfId="516" xr:uid="{00000000-0005-0000-0000-00001E020000}"/>
    <cellStyle name="Heading 1 2" xfId="321" xr:uid="{00000000-0005-0000-0000-00001F020000}"/>
    <cellStyle name="Heading 1 2 2" xfId="322" xr:uid="{00000000-0005-0000-0000-000020020000}"/>
    <cellStyle name="Heading 1 2 2 2" xfId="1144" xr:uid="{00000000-0005-0000-0000-000021020000}"/>
    <cellStyle name="Heading 1 2 2 3" xfId="794" xr:uid="{00000000-0005-0000-0000-000022020000}"/>
    <cellStyle name="Heading 1 2 3" xfId="574" xr:uid="{00000000-0005-0000-0000-000023020000}"/>
    <cellStyle name="Heading 1 2 4" xfId="573" xr:uid="{00000000-0005-0000-0000-000024020000}"/>
    <cellStyle name="Heading 1 3" xfId="323" xr:uid="{00000000-0005-0000-0000-000025020000}"/>
    <cellStyle name="Heading 1 3 2" xfId="1145" xr:uid="{00000000-0005-0000-0000-000026020000}"/>
    <cellStyle name="Heading 1 3 3" xfId="795" xr:uid="{00000000-0005-0000-0000-000027020000}"/>
    <cellStyle name="Heading 1 4" xfId="575" xr:uid="{00000000-0005-0000-0000-000028020000}"/>
    <cellStyle name="Heading 1 5" xfId="1123" xr:uid="{00000000-0005-0000-0000-000029020000}"/>
    <cellStyle name="Heading 2" xfId="519" xr:uid="{00000000-0005-0000-0000-00002A020000}"/>
    <cellStyle name="Heading 2 2" xfId="324" xr:uid="{00000000-0005-0000-0000-00002B020000}"/>
    <cellStyle name="Heading 2 2 2" xfId="325" xr:uid="{00000000-0005-0000-0000-00002C020000}"/>
    <cellStyle name="Heading 2 2 2 2" xfId="1146" xr:uid="{00000000-0005-0000-0000-00002D020000}"/>
    <cellStyle name="Heading 2 2 2 3" xfId="797" xr:uid="{00000000-0005-0000-0000-00002E020000}"/>
    <cellStyle name="Heading 2 2 3" xfId="577" xr:uid="{00000000-0005-0000-0000-00002F020000}"/>
    <cellStyle name="Heading 2 2 4" xfId="796" xr:uid="{00000000-0005-0000-0000-000030020000}"/>
    <cellStyle name="Heading 2 2 5" xfId="576" xr:uid="{00000000-0005-0000-0000-000031020000}"/>
    <cellStyle name="Heading 2 3" xfId="326" xr:uid="{00000000-0005-0000-0000-000032020000}"/>
    <cellStyle name="Heading 2 3 2" xfId="1147" xr:uid="{00000000-0005-0000-0000-000033020000}"/>
    <cellStyle name="Heading 2 3 3" xfId="798" xr:uid="{00000000-0005-0000-0000-000034020000}"/>
    <cellStyle name="Heading 2 4" xfId="578" xr:uid="{00000000-0005-0000-0000-000035020000}"/>
    <cellStyle name="Heading 2 5" xfId="1125" xr:uid="{00000000-0005-0000-0000-000036020000}"/>
    <cellStyle name="Heading 3" xfId="522" xr:uid="{00000000-0005-0000-0000-000037020000}"/>
    <cellStyle name="Heading 3 2" xfId="327" xr:uid="{00000000-0005-0000-0000-000038020000}"/>
    <cellStyle name="Heading 3 2 2" xfId="328" xr:uid="{00000000-0005-0000-0000-000039020000}"/>
    <cellStyle name="Heading 3 2 2 2" xfId="1148" xr:uid="{00000000-0005-0000-0000-00003A020000}"/>
    <cellStyle name="Heading 3 2 2 3" xfId="800" xr:uid="{00000000-0005-0000-0000-00003B020000}"/>
    <cellStyle name="Heading 3 2 3" xfId="580" xr:uid="{00000000-0005-0000-0000-00003C020000}"/>
    <cellStyle name="Heading 3 2 4" xfId="799" xr:uid="{00000000-0005-0000-0000-00003D020000}"/>
    <cellStyle name="Heading 3 2 5" xfId="579" xr:uid="{00000000-0005-0000-0000-00003E020000}"/>
    <cellStyle name="Heading 3 3" xfId="329" xr:uid="{00000000-0005-0000-0000-00003F020000}"/>
    <cellStyle name="Heading 3 3 2" xfId="1149" xr:uid="{00000000-0005-0000-0000-000040020000}"/>
    <cellStyle name="Heading 3 3 3" xfId="801" xr:uid="{00000000-0005-0000-0000-000041020000}"/>
    <cellStyle name="Heading 3 4" xfId="581" xr:uid="{00000000-0005-0000-0000-000042020000}"/>
    <cellStyle name="Heading 3 5" xfId="1127" xr:uid="{00000000-0005-0000-0000-000043020000}"/>
    <cellStyle name="Heading 4" xfId="525" xr:uid="{00000000-0005-0000-0000-000044020000}"/>
    <cellStyle name="Heading 4 2" xfId="330" xr:uid="{00000000-0005-0000-0000-000045020000}"/>
    <cellStyle name="Heading 4 2 2" xfId="331" xr:uid="{00000000-0005-0000-0000-000046020000}"/>
    <cellStyle name="Heading 4 2 2 2" xfId="1150" xr:uid="{00000000-0005-0000-0000-000047020000}"/>
    <cellStyle name="Heading 4 2 2 3" xfId="802" xr:uid="{00000000-0005-0000-0000-000048020000}"/>
    <cellStyle name="Heading 4 2 3" xfId="583" xr:uid="{00000000-0005-0000-0000-000049020000}"/>
    <cellStyle name="Heading 4 2 4" xfId="582" xr:uid="{00000000-0005-0000-0000-00004A020000}"/>
    <cellStyle name="Heading 4 3" xfId="332" xr:uid="{00000000-0005-0000-0000-00004B020000}"/>
    <cellStyle name="Heading 4 3 2" xfId="1151" xr:uid="{00000000-0005-0000-0000-00004C020000}"/>
    <cellStyle name="Heading 4 3 3" xfId="803" xr:uid="{00000000-0005-0000-0000-00004D020000}"/>
    <cellStyle name="Heading 4 4" xfId="584" xr:uid="{00000000-0005-0000-0000-00004E020000}"/>
    <cellStyle name="Heading 4 5" xfId="1129" xr:uid="{00000000-0005-0000-0000-00004F020000}"/>
    <cellStyle name="Input 2" xfId="333" xr:uid="{00000000-0005-0000-0000-000050020000}"/>
    <cellStyle name="Komma 2" xfId="585" xr:uid="{00000000-0005-0000-0000-000051020000}"/>
    <cellStyle name="Komma 2 2" xfId="1159" xr:uid="{00000000-0005-0000-0000-000052020000}"/>
    <cellStyle name="Linked Cell" xfId="530" xr:uid="{00000000-0005-0000-0000-000053020000}"/>
    <cellStyle name="Linked Cell 2" xfId="334" xr:uid="{00000000-0005-0000-0000-000054020000}"/>
    <cellStyle name="Linked Cell 2 2" xfId="804" xr:uid="{00000000-0005-0000-0000-000055020000}"/>
    <cellStyle name="Linked Cell 3" xfId="1132" xr:uid="{00000000-0005-0000-0000-000056020000}"/>
    <cellStyle name="Neutral" xfId="335" builtinId="28" customBuiltin="1"/>
    <cellStyle name="Neutral 2" xfId="805" xr:uid="{00000000-0005-0000-0000-000058020000}"/>
    <cellStyle name="Normal" xfId="0" builtinId="0"/>
    <cellStyle name="Normal 2" xfId="336" xr:uid="{00000000-0005-0000-0000-000059020000}"/>
    <cellStyle name="Note" xfId="342" xr:uid="{00000000-0005-0000-0000-00005A020000}"/>
    <cellStyle name="Note 2" xfId="337" xr:uid="{00000000-0005-0000-0000-00005B020000}"/>
    <cellStyle name="Note 2 2" xfId="338" xr:uid="{00000000-0005-0000-0000-00005C020000}"/>
    <cellStyle name="Note 3" xfId="339" xr:uid="{00000000-0005-0000-0000-00005D020000}"/>
    <cellStyle name="Note 3 2" xfId="806" xr:uid="{00000000-0005-0000-0000-00005E020000}"/>
    <cellStyle name="Note 4" xfId="340" xr:uid="{00000000-0005-0000-0000-00005F020000}"/>
    <cellStyle name="Note 4 2" xfId="808" xr:uid="{00000000-0005-0000-0000-000060020000}"/>
    <cellStyle name="Note 4 3" xfId="807" xr:uid="{00000000-0005-0000-0000-000061020000}"/>
    <cellStyle name="Note 5" xfId="341" xr:uid="{00000000-0005-0000-0000-000062020000}"/>
    <cellStyle name="Note 5 2" xfId="809" xr:uid="{00000000-0005-0000-0000-000063020000}"/>
    <cellStyle name="Note 5 3" xfId="587" xr:uid="{00000000-0005-0000-0000-000064020000}"/>
    <cellStyle name="Note 6" xfId="810" xr:uid="{00000000-0005-0000-0000-000065020000}"/>
    <cellStyle name="Note 7" xfId="586" xr:uid="{00000000-0005-0000-0000-000066020000}"/>
    <cellStyle name="Notiz 2" xfId="343" xr:uid="{00000000-0005-0000-0000-000067020000}"/>
    <cellStyle name="Notiz 2 2" xfId="344" xr:uid="{00000000-0005-0000-0000-000068020000}"/>
    <cellStyle name="Notiz 2 2 2" xfId="345" xr:uid="{00000000-0005-0000-0000-000069020000}"/>
    <cellStyle name="Notiz 2 2 2 2" xfId="346" xr:uid="{00000000-0005-0000-0000-00006A020000}"/>
    <cellStyle name="Notiz 2 2 2 2 2" xfId="347" xr:uid="{00000000-0005-0000-0000-00006B020000}"/>
    <cellStyle name="Notiz 2 2 2 2 2 2" xfId="811" xr:uid="{00000000-0005-0000-0000-00006C020000}"/>
    <cellStyle name="Notiz 2 2 2 2 2 3" xfId="812" xr:uid="{00000000-0005-0000-0000-00006D020000}"/>
    <cellStyle name="Notiz 2 2 2 2 2 4" xfId="813" xr:uid="{00000000-0005-0000-0000-00006E020000}"/>
    <cellStyle name="Notiz 2 2 2 2 3" xfId="814" xr:uid="{00000000-0005-0000-0000-00006F020000}"/>
    <cellStyle name="Notiz 2 2 2 2 4" xfId="815" xr:uid="{00000000-0005-0000-0000-000070020000}"/>
    <cellStyle name="Notiz 2 2 2 2 5" xfId="816" xr:uid="{00000000-0005-0000-0000-000071020000}"/>
    <cellStyle name="Notiz 2 2 2 3" xfId="348" xr:uid="{00000000-0005-0000-0000-000072020000}"/>
    <cellStyle name="Notiz 2 2 2 3 2" xfId="817" xr:uid="{00000000-0005-0000-0000-000073020000}"/>
    <cellStyle name="Notiz 2 2 2 3 3" xfId="818" xr:uid="{00000000-0005-0000-0000-000074020000}"/>
    <cellStyle name="Notiz 2 2 2 3 4" xfId="819" xr:uid="{00000000-0005-0000-0000-000075020000}"/>
    <cellStyle name="Notiz 2 2 2 4" xfId="820" xr:uid="{00000000-0005-0000-0000-000076020000}"/>
    <cellStyle name="Notiz 2 2 2 5" xfId="821" xr:uid="{00000000-0005-0000-0000-000077020000}"/>
    <cellStyle name="Notiz 2 2 2 6" xfId="822" xr:uid="{00000000-0005-0000-0000-000078020000}"/>
    <cellStyle name="Notiz 2 2 3" xfId="349" xr:uid="{00000000-0005-0000-0000-000079020000}"/>
    <cellStyle name="Notiz 2 2 3 2" xfId="350" xr:uid="{00000000-0005-0000-0000-00007A020000}"/>
    <cellStyle name="Notiz 2 2 3 2 2" xfId="823" xr:uid="{00000000-0005-0000-0000-00007B020000}"/>
    <cellStyle name="Notiz 2 2 3 2 3" xfId="824" xr:uid="{00000000-0005-0000-0000-00007C020000}"/>
    <cellStyle name="Notiz 2 2 3 2 4" xfId="825" xr:uid="{00000000-0005-0000-0000-00007D020000}"/>
    <cellStyle name="Notiz 2 2 3 3" xfId="826" xr:uid="{00000000-0005-0000-0000-00007E020000}"/>
    <cellStyle name="Notiz 2 2 3 4" xfId="827" xr:uid="{00000000-0005-0000-0000-00007F020000}"/>
    <cellStyle name="Notiz 2 2 3 5" xfId="828" xr:uid="{00000000-0005-0000-0000-000080020000}"/>
    <cellStyle name="Notiz 2 2 4" xfId="351" xr:uid="{00000000-0005-0000-0000-000081020000}"/>
    <cellStyle name="Notiz 2 2 4 2" xfId="352" xr:uid="{00000000-0005-0000-0000-000082020000}"/>
    <cellStyle name="Notiz 2 2 4 3" xfId="353" xr:uid="{00000000-0005-0000-0000-000083020000}"/>
    <cellStyle name="Notiz 2 2 4 3 2" xfId="354" xr:uid="{00000000-0005-0000-0000-000084020000}"/>
    <cellStyle name="Notiz 2 2 4 3 3" xfId="355" xr:uid="{00000000-0005-0000-0000-000085020000}"/>
    <cellStyle name="Notiz 2 2 4 3 4" xfId="829" xr:uid="{00000000-0005-0000-0000-000086020000}"/>
    <cellStyle name="Notiz 2 2 4 4" xfId="356" xr:uid="{00000000-0005-0000-0000-000087020000}"/>
    <cellStyle name="Notiz 2 2 4 4 2" xfId="830" xr:uid="{00000000-0005-0000-0000-000088020000}"/>
    <cellStyle name="Notiz 2 2 4 4 3" xfId="590" xr:uid="{00000000-0005-0000-0000-000089020000}"/>
    <cellStyle name="Notiz 2 2 4 5" xfId="831" xr:uid="{00000000-0005-0000-0000-00008A020000}"/>
    <cellStyle name="Notiz 2 2 4 6" xfId="589" xr:uid="{00000000-0005-0000-0000-00008B020000}"/>
    <cellStyle name="Notiz 2 2 5" xfId="357" xr:uid="{00000000-0005-0000-0000-00008C020000}"/>
    <cellStyle name="Notiz 2 2 5 2" xfId="358" xr:uid="{00000000-0005-0000-0000-00008D020000}"/>
    <cellStyle name="Notiz 2 2 5 3" xfId="359" xr:uid="{00000000-0005-0000-0000-00008E020000}"/>
    <cellStyle name="Notiz 2 2 5 4" xfId="360" xr:uid="{00000000-0005-0000-0000-00008F020000}"/>
    <cellStyle name="Notiz 2 2 5 4 2" xfId="1152" xr:uid="{00000000-0005-0000-0000-000090020000}"/>
    <cellStyle name="Notiz 2 2 5 4 3" xfId="832" xr:uid="{00000000-0005-0000-0000-000091020000}"/>
    <cellStyle name="Notiz 2 2 5 4 4" xfId="592" xr:uid="{00000000-0005-0000-0000-000092020000}"/>
    <cellStyle name="Notiz 2 2 5 5" xfId="591" xr:uid="{00000000-0005-0000-0000-000093020000}"/>
    <cellStyle name="Notiz 2 2 6" xfId="833" xr:uid="{00000000-0005-0000-0000-000094020000}"/>
    <cellStyle name="Notiz 2 2 7" xfId="588" xr:uid="{00000000-0005-0000-0000-000095020000}"/>
    <cellStyle name="Notiz 2 3" xfId="361" xr:uid="{00000000-0005-0000-0000-000096020000}"/>
    <cellStyle name="Notiz 2 3 2" xfId="362" xr:uid="{00000000-0005-0000-0000-000097020000}"/>
    <cellStyle name="Notiz 2 3 2 2" xfId="363" xr:uid="{00000000-0005-0000-0000-000098020000}"/>
    <cellStyle name="Notiz 2 3 2 2 2" xfId="834" xr:uid="{00000000-0005-0000-0000-000099020000}"/>
    <cellStyle name="Notiz 2 3 2 2 3" xfId="835" xr:uid="{00000000-0005-0000-0000-00009A020000}"/>
    <cellStyle name="Notiz 2 3 2 2 4" xfId="836" xr:uid="{00000000-0005-0000-0000-00009B020000}"/>
    <cellStyle name="Notiz 2 3 2 3" xfId="837" xr:uid="{00000000-0005-0000-0000-00009C020000}"/>
    <cellStyle name="Notiz 2 3 2 4" xfId="838" xr:uid="{00000000-0005-0000-0000-00009D020000}"/>
    <cellStyle name="Notiz 2 3 2 5" xfId="839" xr:uid="{00000000-0005-0000-0000-00009E020000}"/>
    <cellStyle name="Notiz 2 3 3" xfId="364" xr:uid="{00000000-0005-0000-0000-00009F020000}"/>
    <cellStyle name="Notiz 2 3 3 2" xfId="840" xr:uid="{00000000-0005-0000-0000-0000A0020000}"/>
    <cellStyle name="Notiz 2 3 3 3" xfId="841" xr:uid="{00000000-0005-0000-0000-0000A1020000}"/>
    <cellStyle name="Notiz 2 3 3 4" xfId="842" xr:uid="{00000000-0005-0000-0000-0000A2020000}"/>
    <cellStyle name="Notiz 2 3 4" xfId="843" xr:uid="{00000000-0005-0000-0000-0000A3020000}"/>
    <cellStyle name="Notiz 2 3 5" xfId="844" xr:uid="{00000000-0005-0000-0000-0000A4020000}"/>
    <cellStyle name="Notiz 2 3 6" xfId="845" xr:uid="{00000000-0005-0000-0000-0000A5020000}"/>
    <cellStyle name="Notiz 2 4" xfId="365" xr:uid="{00000000-0005-0000-0000-0000A6020000}"/>
    <cellStyle name="Notiz 2 4 2" xfId="366" xr:uid="{00000000-0005-0000-0000-0000A7020000}"/>
    <cellStyle name="Notiz 2 4 2 2" xfId="846" xr:uid="{00000000-0005-0000-0000-0000A8020000}"/>
    <cellStyle name="Notiz 2 4 2 3" xfId="847" xr:uid="{00000000-0005-0000-0000-0000A9020000}"/>
    <cellStyle name="Notiz 2 4 2 4" xfId="848" xr:uid="{00000000-0005-0000-0000-0000AA020000}"/>
    <cellStyle name="Notiz 2 4 3" xfId="849" xr:uid="{00000000-0005-0000-0000-0000AB020000}"/>
    <cellStyle name="Notiz 2 4 4" xfId="850" xr:uid="{00000000-0005-0000-0000-0000AC020000}"/>
    <cellStyle name="Notiz 2 4 5" xfId="851" xr:uid="{00000000-0005-0000-0000-0000AD020000}"/>
    <cellStyle name="Notiz 2 5" xfId="367" xr:uid="{00000000-0005-0000-0000-0000AE020000}"/>
    <cellStyle name="Notiz 2 5 2" xfId="852" xr:uid="{00000000-0005-0000-0000-0000AF020000}"/>
    <cellStyle name="Notiz 2 5 3" xfId="853" xr:uid="{00000000-0005-0000-0000-0000B0020000}"/>
    <cellStyle name="Notiz 2 5 4" xfId="854" xr:uid="{00000000-0005-0000-0000-0000B1020000}"/>
    <cellStyle name="Notiz 2 6" xfId="855" xr:uid="{00000000-0005-0000-0000-0000B2020000}"/>
    <cellStyle name="Notiz 2 7" xfId="856" xr:uid="{00000000-0005-0000-0000-0000B3020000}"/>
    <cellStyle name="Notiz 2 8" xfId="857" xr:uid="{00000000-0005-0000-0000-0000B4020000}"/>
    <cellStyle name="Notiz 3" xfId="368" xr:uid="{00000000-0005-0000-0000-0000B5020000}"/>
    <cellStyle name="Notiz 3 2" xfId="369" xr:uid="{00000000-0005-0000-0000-0000B6020000}"/>
    <cellStyle name="Notiz 3 2 2" xfId="370" xr:uid="{00000000-0005-0000-0000-0000B7020000}"/>
    <cellStyle name="Notiz 3 2 2 2" xfId="371" xr:uid="{00000000-0005-0000-0000-0000B8020000}"/>
    <cellStyle name="Notiz 3 2 2 2 2" xfId="858" xr:uid="{00000000-0005-0000-0000-0000B9020000}"/>
    <cellStyle name="Notiz 3 2 2 2 3" xfId="859" xr:uid="{00000000-0005-0000-0000-0000BA020000}"/>
    <cellStyle name="Notiz 3 2 2 2 4" xfId="860" xr:uid="{00000000-0005-0000-0000-0000BB020000}"/>
    <cellStyle name="Notiz 3 2 2 3" xfId="861" xr:uid="{00000000-0005-0000-0000-0000BC020000}"/>
    <cellStyle name="Notiz 3 2 2 4" xfId="862" xr:uid="{00000000-0005-0000-0000-0000BD020000}"/>
    <cellStyle name="Notiz 3 2 2 5" xfId="863" xr:uid="{00000000-0005-0000-0000-0000BE020000}"/>
    <cellStyle name="Notiz 3 2 3" xfId="372" xr:uid="{00000000-0005-0000-0000-0000BF020000}"/>
    <cellStyle name="Notiz 3 2 3 2" xfId="864" xr:uid="{00000000-0005-0000-0000-0000C0020000}"/>
    <cellStyle name="Notiz 3 2 3 3" xfId="865" xr:uid="{00000000-0005-0000-0000-0000C1020000}"/>
    <cellStyle name="Notiz 3 2 3 4" xfId="866" xr:uid="{00000000-0005-0000-0000-0000C2020000}"/>
    <cellStyle name="Notiz 3 2 4" xfId="867" xr:uid="{00000000-0005-0000-0000-0000C3020000}"/>
    <cellStyle name="Notiz 3 2 5" xfId="868" xr:uid="{00000000-0005-0000-0000-0000C4020000}"/>
    <cellStyle name="Notiz 3 2 6" xfId="869" xr:uid="{00000000-0005-0000-0000-0000C5020000}"/>
    <cellStyle name="Notiz 3 3" xfId="373" xr:uid="{00000000-0005-0000-0000-0000C6020000}"/>
    <cellStyle name="Notiz 3 3 2" xfId="374" xr:uid="{00000000-0005-0000-0000-0000C7020000}"/>
    <cellStyle name="Notiz 3 3 2 2" xfId="870" xr:uid="{00000000-0005-0000-0000-0000C8020000}"/>
    <cellStyle name="Notiz 3 3 2 3" xfId="871" xr:uid="{00000000-0005-0000-0000-0000C9020000}"/>
    <cellStyle name="Notiz 3 3 2 4" xfId="872" xr:uid="{00000000-0005-0000-0000-0000CA020000}"/>
    <cellStyle name="Notiz 3 3 3" xfId="873" xr:uid="{00000000-0005-0000-0000-0000CB020000}"/>
    <cellStyle name="Notiz 3 3 4" xfId="874" xr:uid="{00000000-0005-0000-0000-0000CC020000}"/>
    <cellStyle name="Notiz 3 3 5" xfId="875" xr:uid="{00000000-0005-0000-0000-0000CD020000}"/>
    <cellStyle name="Notiz 3 4" xfId="375" xr:uid="{00000000-0005-0000-0000-0000CE020000}"/>
    <cellStyle name="Notiz 3 4 2" xfId="876" xr:uid="{00000000-0005-0000-0000-0000CF020000}"/>
    <cellStyle name="Notiz 3 4 3" xfId="877" xr:uid="{00000000-0005-0000-0000-0000D0020000}"/>
    <cellStyle name="Notiz 3 4 4" xfId="878" xr:uid="{00000000-0005-0000-0000-0000D1020000}"/>
    <cellStyle name="Notiz 3 5" xfId="879" xr:uid="{00000000-0005-0000-0000-0000D2020000}"/>
    <cellStyle name="Notiz 3 6" xfId="880" xr:uid="{00000000-0005-0000-0000-0000D3020000}"/>
    <cellStyle name="Notiz 3 7" xfId="881" xr:uid="{00000000-0005-0000-0000-0000D4020000}"/>
    <cellStyle name="Notiz 4" xfId="376" xr:uid="{00000000-0005-0000-0000-0000D5020000}"/>
    <cellStyle name="Notiz 4 2" xfId="377" xr:uid="{00000000-0005-0000-0000-0000D6020000}"/>
    <cellStyle name="Notiz 4 2 2" xfId="378" xr:uid="{00000000-0005-0000-0000-0000D7020000}"/>
    <cellStyle name="Notiz 4 2 2 2" xfId="882" xr:uid="{00000000-0005-0000-0000-0000D8020000}"/>
    <cellStyle name="Notiz 4 2 2 3" xfId="883" xr:uid="{00000000-0005-0000-0000-0000D9020000}"/>
    <cellStyle name="Notiz 4 2 2 4" xfId="884" xr:uid="{00000000-0005-0000-0000-0000DA020000}"/>
    <cellStyle name="Notiz 4 2 3" xfId="885" xr:uid="{00000000-0005-0000-0000-0000DB020000}"/>
    <cellStyle name="Notiz 4 2 4" xfId="886" xr:uid="{00000000-0005-0000-0000-0000DC020000}"/>
    <cellStyle name="Notiz 4 2 5" xfId="887" xr:uid="{00000000-0005-0000-0000-0000DD020000}"/>
    <cellStyle name="Notiz 4 3" xfId="379" xr:uid="{00000000-0005-0000-0000-0000DE020000}"/>
    <cellStyle name="Notiz 4 3 2" xfId="888" xr:uid="{00000000-0005-0000-0000-0000DF020000}"/>
    <cellStyle name="Notiz 4 3 3" xfId="889" xr:uid="{00000000-0005-0000-0000-0000E0020000}"/>
    <cellStyle name="Notiz 4 3 4" xfId="890" xr:uid="{00000000-0005-0000-0000-0000E1020000}"/>
    <cellStyle name="Notiz 4 4" xfId="891" xr:uid="{00000000-0005-0000-0000-0000E2020000}"/>
    <cellStyle name="Notiz 4 5" xfId="892" xr:uid="{00000000-0005-0000-0000-0000E3020000}"/>
    <cellStyle name="Notiz 4 6" xfId="893" xr:uid="{00000000-0005-0000-0000-0000E4020000}"/>
    <cellStyle name="Notiz 5" xfId="380" xr:uid="{00000000-0005-0000-0000-0000E5020000}"/>
    <cellStyle name="Notiz 5 2" xfId="381" xr:uid="{00000000-0005-0000-0000-0000E6020000}"/>
    <cellStyle name="Notiz 5 2 2" xfId="382" xr:uid="{00000000-0005-0000-0000-0000E7020000}"/>
    <cellStyle name="Notiz 5 2 2 2" xfId="894" xr:uid="{00000000-0005-0000-0000-0000E8020000}"/>
    <cellStyle name="Notiz 5 2 2 3" xfId="895" xr:uid="{00000000-0005-0000-0000-0000E9020000}"/>
    <cellStyle name="Notiz 5 2 2 4" xfId="896" xr:uid="{00000000-0005-0000-0000-0000EA020000}"/>
    <cellStyle name="Notiz 5 2 3" xfId="897" xr:uid="{00000000-0005-0000-0000-0000EB020000}"/>
    <cellStyle name="Notiz 5 2 4" xfId="898" xr:uid="{00000000-0005-0000-0000-0000EC020000}"/>
    <cellStyle name="Notiz 5 2 5" xfId="899" xr:uid="{00000000-0005-0000-0000-0000ED020000}"/>
    <cellStyle name="Notiz 5 3" xfId="383" xr:uid="{00000000-0005-0000-0000-0000EE020000}"/>
    <cellStyle name="Notiz 5 3 2" xfId="900" xr:uid="{00000000-0005-0000-0000-0000EF020000}"/>
    <cellStyle name="Notiz 5 3 3" xfId="901" xr:uid="{00000000-0005-0000-0000-0000F0020000}"/>
    <cellStyle name="Notiz 5 3 4" xfId="902" xr:uid="{00000000-0005-0000-0000-0000F1020000}"/>
    <cellStyle name="Notiz 5 4" xfId="903" xr:uid="{00000000-0005-0000-0000-0000F2020000}"/>
    <cellStyle name="Notiz 5 5" xfId="904" xr:uid="{00000000-0005-0000-0000-0000F3020000}"/>
    <cellStyle name="Notiz 5 6" xfId="905" xr:uid="{00000000-0005-0000-0000-0000F4020000}"/>
    <cellStyle name="Notiz 6" xfId="384" xr:uid="{00000000-0005-0000-0000-0000F5020000}"/>
    <cellStyle name="Notiz 6 2" xfId="385" xr:uid="{00000000-0005-0000-0000-0000F6020000}"/>
    <cellStyle name="Notiz 6 2 2" xfId="906" xr:uid="{00000000-0005-0000-0000-0000F7020000}"/>
    <cellStyle name="Notiz 6 2 3" xfId="907" xr:uid="{00000000-0005-0000-0000-0000F8020000}"/>
    <cellStyle name="Notiz 6 2 4" xfId="908" xr:uid="{00000000-0005-0000-0000-0000F9020000}"/>
    <cellStyle name="Notiz 6 3" xfId="909" xr:uid="{00000000-0005-0000-0000-0000FA020000}"/>
    <cellStyle name="Notiz 6 4" xfId="910" xr:uid="{00000000-0005-0000-0000-0000FB020000}"/>
    <cellStyle name="Notiz 6 5" xfId="911" xr:uid="{00000000-0005-0000-0000-0000FC020000}"/>
    <cellStyle name="Notiz 7" xfId="386" xr:uid="{00000000-0005-0000-0000-0000FD020000}"/>
    <cellStyle name="Notiz 7 2" xfId="912" xr:uid="{00000000-0005-0000-0000-0000FE020000}"/>
    <cellStyle name="Notiz 7 3" xfId="913" xr:uid="{00000000-0005-0000-0000-0000FF020000}"/>
    <cellStyle name="Notiz 7 4" xfId="914" xr:uid="{00000000-0005-0000-0000-000000030000}"/>
    <cellStyle name="Notiz 8" xfId="387" xr:uid="{00000000-0005-0000-0000-000001030000}"/>
    <cellStyle name="Notiz 9" xfId="915" xr:uid="{00000000-0005-0000-0000-000002030000}"/>
    <cellStyle name="Output 2" xfId="388" xr:uid="{00000000-0005-0000-0000-000003030000}"/>
    <cellStyle name="Percent" xfId="389" builtinId="5"/>
    <cellStyle name="Percent 2" xfId="916" xr:uid="{00000000-0005-0000-0000-000004030000}"/>
    <cellStyle name="Prozent 10" xfId="390" xr:uid="{00000000-0005-0000-0000-000006030000}"/>
    <cellStyle name="Prozent 10 2" xfId="391" xr:uid="{00000000-0005-0000-0000-000007030000}"/>
    <cellStyle name="Prozent 10 3" xfId="392" xr:uid="{00000000-0005-0000-0000-000008030000}"/>
    <cellStyle name="Prozent 10 3 2" xfId="918" xr:uid="{00000000-0005-0000-0000-000009030000}"/>
    <cellStyle name="Prozent 10 3 3" xfId="917" xr:uid="{00000000-0005-0000-0000-00000A030000}"/>
    <cellStyle name="Prozent 10 4" xfId="393" xr:uid="{00000000-0005-0000-0000-00000B030000}"/>
    <cellStyle name="Prozent 10 4 2" xfId="1153" xr:uid="{00000000-0005-0000-0000-00000C030000}"/>
    <cellStyle name="Prozent 10 4 3" xfId="919" xr:uid="{00000000-0005-0000-0000-00000D030000}"/>
    <cellStyle name="Prozent 10 4 4" xfId="594" xr:uid="{00000000-0005-0000-0000-00000E030000}"/>
    <cellStyle name="Prozent 10 5" xfId="593" xr:uid="{00000000-0005-0000-0000-00000F030000}"/>
    <cellStyle name="Prozent 11" xfId="394" xr:uid="{00000000-0005-0000-0000-000010030000}"/>
    <cellStyle name="Prozent 12" xfId="395" xr:uid="{00000000-0005-0000-0000-000011030000}"/>
    <cellStyle name="Prozent 13" xfId="920" xr:uid="{00000000-0005-0000-0000-000012030000}"/>
    <cellStyle name="Prozent 2" xfId="396" xr:uid="{00000000-0005-0000-0000-000013030000}"/>
    <cellStyle name="Prozent 3" xfId="397" xr:uid="{00000000-0005-0000-0000-000014030000}"/>
    <cellStyle name="Prozent 3 2" xfId="398" xr:uid="{00000000-0005-0000-0000-000015030000}"/>
    <cellStyle name="Prozent 3 2 2" xfId="399" xr:uid="{00000000-0005-0000-0000-000016030000}"/>
    <cellStyle name="Prozent 3 2 2 2" xfId="400" xr:uid="{00000000-0005-0000-0000-000017030000}"/>
    <cellStyle name="Prozent 3 2 2 2 2" xfId="401" xr:uid="{00000000-0005-0000-0000-000018030000}"/>
    <cellStyle name="Prozent 3 2 2 2 2 2" xfId="921" xr:uid="{00000000-0005-0000-0000-000019030000}"/>
    <cellStyle name="Prozent 3 2 2 2 2 3" xfId="922" xr:uid="{00000000-0005-0000-0000-00001A030000}"/>
    <cellStyle name="Prozent 3 2 2 2 2 4" xfId="923" xr:uid="{00000000-0005-0000-0000-00001B030000}"/>
    <cellStyle name="Prozent 3 2 2 2 3" xfId="924" xr:uid="{00000000-0005-0000-0000-00001C030000}"/>
    <cellStyle name="Prozent 3 2 2 2 4" xfId="925" xr:uid="{00000000-0005-0000-0000-00001D030000}"/>
    <cellStyle name="Prozent 3 2 2 2 5" xfId="926" xr:uid="{00000000-0005-0000-0000-00001E030000}"/>
    <cellStyle name="Prozent 3 2 2 3" xfId="402" xr:uid="{00000000-0005-0000-0000-00001F030000}"/>
    <cellStyle name="Prozent 3 2 2 3 2" xfId="927" xr:uid="{00000000-0005-0000-0000-000020030000}"/>
    <cellStyle name="Prozent 3 2 2 3 3" xfId="928" xr:uid="{00000000-0005-0000-0000-000021030000}"/>
    <cellStyle name="Prozent 3 2 2 3 4" xfId="929" xr:uid="{00000000-0005-0000-0000-000022030000}"/>
    <cellStyle name="Prozent 3 2 2 4" xfId="930" xr:uid="{00000000-0005-0000-0000-000023030000}"/>
    <cellStyle name="Prozent 3 2 2 5" xfId="931" xr:uid="{00000000-0005-0000-0000-000024030000}"/>
    <cellStyle name="Prozent 3 2 2 6" xfId="932" xr:uid="{00000000-0005-0000-0000-000025030000}"/>
    <cellStyle name="Prozent 3 2 3" xfId="403" xr:uid="{00000000-0005-0000-0000-000026030000}"/>
    <cellStyle name="Prozent 3 2 3 2" xfId="404" xr:uid="{00000000-0005-0000-0000-000027030000}"/>
    <cellStyle name="Prozent 3 2 3 2 2" xfId="933" xr:uid="{00000000-0005-0000-0000-000028030000}"/>
    <cellStyle name="Prozent 3 2 3 2 3" xfId="934" xr:uid="{00000000-0005-0000-0000-000029030000}"/>
    <cellStyle name="Prozent 3 2 3 2 4" xfId="935" xr:uid="{00000000-0005-0000-0000-00002A030000}"/>
    <cellStyle name="Prozent 3 2 3 3" xfId="936" xr:uid="{00000000-0005-0000-0000-00002B030000}"/>
    <cellStyle name="Prozent 3 2 3 4" xfId="937" xr:uid="{00000000-0005-0000-0000-00002C030000}"/>
    <cellStyle name="Prozent 3 2 3 5" xfId="938" xr:uid="{00000000-0005-0000-0000-00002D030000}"/>
    <cellStyle name="Prozent 3 2 4" xfId="405" xr:uid="{00000000-0005-0000-0000-00002E030000}"/>
    <cellStyle name="Prozent 3 2 4 2" xfId="406" xr:uid="{00000000-0005-0000-0000-00002F030000}"/>
    <cellStyle name="Prozent 3 2 4 3" xfId="407" xr:uid="{00000000-0005-0000-0000-000030030000}"/>
    <cellStyle name="Prozent 3 2 4 4" xfId="939" xr:uid="{00000000-0005-0000-0000-000031030000}"/>
    <cellStyle name="Prozent 3 2 4 5" xfId="940" xr:uid="{00000000-0005-0000-0000-000032030000}"/>
    <cellStyle name="Prozent 3 2 5" xfId="408" xr:uid="{00000000-0005-0000-0000-000033030000}"/>
    <cellStyle name="Prozent 3 3" xfId="409" xr:uid="{00000000-0005-0000-0000-000034030000}"/>
    <cellStyle name="Prozent 3 3 2" xfId="410" xr:uid="{00000000-0005-0000-0000-000035030000}"/>
    <cellStyle name="Prozent 3 3 2 2" xfId="411" xr:uid="{00000000-0005-0000-0000-000036030000}"/>
    <cellStyle name="Prozent 3 3 2 2 2" xfId="941" xr:uid="{00000000-0005-0000-0000-000037030000}"/>
    <cellStyle name="Prozent 3 3 2 2 3" xfId="942" xr:uid="{00000000-0005-0000-0000-000038030000}"/>
    <cellStyle name="Prozent 3 3 2 2 4" xfId="943" xr:uid="{00000000-0005-0000-0000-000039030000}"/>
    <cellStyle name="Prozent 3 3 2 3" xfId="944" xr:uid="{00000000-0005-0000-0000-00003A030000}"/>
    <cellStyle name="Prozent 3 3 2 4" xfId="945" xr:uid="{00000000-0005-0000-0000-00003B030000}"/>
    <cellStyle name="Prozent 3 3 2 5" xfId="946" xr:uid="{00000000-0005-0000-0000-00003C030000}"/>
    <cellStyle name="Prozent 3 3 3" xfId="412" xr:uid="{00000000-0005-0000-0000-00003D030000}"/>
    <cellStyle name="Prozent 3 3 3 2" xfId="947" xr:uid="{00000000-0005-0000-0000-00003E030000}"/>
    <cellStyle name="Prozent 3 3 3 3" xfId="948" xr:uid="{00000000-0005-0000-0000-00003F030000}"/>
    <cellStyle name="Prozent 3 3 3 4" xfId="949" xr:uid="{00000000-0005-0000-0000-000040030000}"/>
    <cellStyle name="Prozent 3 3 4" xfId="950" xr:uid="{00000000-0005-0000-0000-000041030000}"/>
    <cellStyle name="Prozent 3 3 5" xfId="951" xr:uid="{00000000-0005-0000-0000-000042030000}"/>
    <cellStyle name="Prozent 3 3 6" xfId="952" xr:uid="{00000000-0005-0000-0000-000043030000}"/>
    <cellStyle name="Prozent 3 4" xfId="413" xr:uid="{00000000-0005-0000-0000-000044030000}"/>
    <cellStyle name="Prozent 3 4 2" xfId="414" xr:uid="{00000000-0005-0000-0000-000045030000}"/>
    <cellStyle name="Prozent 3 4 2 2" xfId="953" xr:uid="{00000000-0005-0000-0000-000046030000}"/>
    <cellStyle name="Prozent 3 4 2 3" xfId="954" xr:uid="{00000000-0005-0000-0000-000047030000}"/>
    <cellStyle name="Prozent 3 4 2 4" xfId="955" xr:uid="{00000000-0005-0000-0000-000048030000}"/>
    <cellStyle name="Prozent 3 4 3" xfId="956" xr:uid="{00000000-0005-0000-0000-000049030000}"/>
    <cellStyle name="Prozent 3 4 4" xfId="957" xr:uid="{00000000-0005-0000-0000-00004A030000}"/>
    <cellStyle name="Prozent 3 4 5" xfId="958" xr:uid="{00000000-0005-0000-0000-00004B030000}"/>
    <cellStyle name="Prozent 3 5" xfId="415" xr:uid="{00000000-0005-0000-0000-00004C030000}"/>
    <cellStyle name="Prozent 3 5 2" xfId="959" xr:uid="{00000000-0005-0000-0000-00004D030000}"/>
    <cellStyle name="Prozent 3 5 3" xfId="960" xr:uid="{00000000-0005-0000-0000-00004E030000}"/>
    <cellStyle name="Prozent 3 5 4" xfId="961" xr:uid="{00000000-0005-0000-0000-00004F030000}"/>
    <cellStyle name="Prozent 3 6" xfId="962" xr:uid="{00000000-0005-0000-0000-000050030000}"/>
    <cellStyle name="Prozent 3 7" xfId="963" xr:uid="{00000000-0005-0000-0000-000051030000}"/>
    <cellStyle name="Prozent 3 8" xfId="964" xr:uid="{00000000-0005-0000-0000-000052030000}"/>
    <cellStyle name="Prozent 4" xfId="416" xr:uid="{00000000-0005-0000-0000-000053030000}"/>
    <cellStyle name="Prozent 4 2" xfId="417" xr:uid="{00000000-0005-0000-0000-000054030000}"/>
    <cellStyle name="Prozent 4 2 2" xfId="418" xr:uid="{00000000-0005-0000-0000-000055030000}"/>
    <cellStyle name="Prozent 4 2 2 2" xfId="419" xr:uid="{00000000-0005-0000-0000-000056030000}"/>
    <cellStyle name="Prozent 4 2 2 2 2" xfId="420" xr:uid="{00000000-0005-0000-0000-000057030000}"/>
    <cellStyle name="Prozent 4 2 2 2 2 2" xfId="965" xr:uid="{00000000-0005-0000-0000-000058030000}"/>
    <cellStyle name="Prozent 4 2 2 2 2 3" xfId="966" xr:uid="{00000000-0005-0000-0000-000059030000}"/>
    <cellStyle name="Prozent 4 2 2 2 2 4" xfId="967" xr:uid="{00000000-0005-0000-0000-00005A030000}"/>
    <cellStyle name="Prozent 4 2 2 2 3" xfId="968" xr:uid="{00000000-0005-0000-0000-00005B030000}"/>
    <cellStyle name="Prozent 4 2 2 2 4" xfId="969" xr:uid="{00000000-0005-0000-0000-00005C030000}"/>
    <cellStyle name="Prozent 4 2 2 2 5" xfId="970" xr:uid="{00000000-0005-0000-0000-00005D030000}"/>
    <cellStyle name="Prozent 4 2 2 3" xfId="421" xr:uid="{00000000-0005-0000-0000-00005E030000}"/>
    <cellStyle name="Prozent 4 2 2 3 2" xfId="971" xr:uid="{00000000-0005-0000-0000-00005F030000}"/>
    <cellStyle name="Prozent 4 2 2 3 3" xfId="972" xr:uid="{00000000-0005-0000-0000-000060030000}"/>
    <cellStyle name="Prozent 4 2 2 3 4" xfId="973" xr:uid="{00000000-0005-0000-0000-000061030000}"/>
    <cellStyle name="Prozent 4 2 2 4" xfId="974" xr:uid="{00000000-0005-0000-0000-000062030000}"/>
    <cellStyle name="Prozent 4 2 2 5" xfId="975" xr:uid="{00000000-0005-0000-0000-000063030000}"/>
    <cellStyle name="Prozent 4 2 2 6" xfId="976" xr:uid="{00000000-0005-0000-0000-000064030000}"/>
    <cellStyle name="Prozent 4 2 3" xfId="422" xr:uid="{00000000-0005-0000-0000-000065030000}"/>
    <cellStyle name="Prozent 4 2 3 2" xfId="423" xr:uid="{00000000-0005-0000-0000-000066030000}"/>
    <cellStyle name="Prozent 4 2 3 2 2" xfId="977" xr:uid="{00000000-0005-0000-0000-000067030000}"/>
    <cellStyle name="Prozent 4 2 3 2 3" xfId="978" xr:uid="{00000000-0005-0000-0000-000068030000}"/>
    <cellStyle name="Prozent 4 2 3 2 4" xfId="979" xr:uid="{00000000-0005-0000-0000-000069030000}"/>
    <cellStyle name="Prozent 4 2 3 3" xfId="980" xr:uid="{00000000-0005-0000-0000-00006A030000}"/>
    <cellStyle name="Prozent 4 2 3 4" xfId="981" xr:uid="{00000000-0005-0000-0000-00006B030000}"/>
    <cellStyle name="Prozent 4 2 3 5" xfId="982" xr:uid="{00000000-0005-0000-0000-00006C030000}"/>
    <cellStyle name="Prozent 4 2 4" xfId="424" xr:uid="{00000000-0005-0000-0000-00006D030000}"/>
    <cellStyle name="Prozent 4 2 4 2" xfId="983" xr:uid="{00000000-0005-0000-0000-00006E030000}"/>
    <cellStyle name="Prozent 4 2 4 3" xfId="984" xr:uid="{00000000-0005-0000-0000-00006F030000}"/>
    <cellStyle name="Prozent 4 2 4 4" xfId="985" xr:uid="{00000000-0005-0000-0000-000070030000}"/>
    <cellStyle name="Prozent 4 2 5" xfId="986" xr:uid="{00000000-0005-0000-0000-000071030000}"/>
    <cellStyle name="Prozent 4 2 6" xfId="987" xr:uid="{00000000-0005-0000-0000-000072030000}"/>
    <cellStyle name="Prozent 4 2 7" xfId="988" xr:uid="{00000000-0005-0000-0000-000073030000}"/>
    <cellStyle name="Prozent 4 3" xfId="425" xr:uid="{00000000-0005-0000-0000-000074030000}"/>
    <cellStyle name="Prozent 4 3 2" xfId="426" xr:uid="{00000000-0005-0000-0000-000075030000}"/>
    <cellStyle name="Prozent 4 3 2 2" xfId="427" xr:uid="{00000000-0005-0000-0000-000076030000}"/>
    <cellStyle name="Prozent 4 3 2 2 2" xfId="989" xr:uid="{00000000-0005-0000-0000-000077030000}"/>
    <cellStyle name="Prozent 4 3 2 2 3" xfId="990" xr:uid="{00000000-0005-0000-0000-000078030000}"/>
    <cellStyle name="Prozent 4 3 2 2 4" xfId="991" xr:uid="{00000000-0005-0000-0000-000079030000}"/>
    <cellStyle name="Prozent 4 3 2 3" xfId="992" xr:uid="{00000000-0005-0000-0000-00007A030000}"/>
    <cellStyle name="Prozent 4 3 2 4" xfId="993" xr:uid="{00000000-0005-0000-0000-00007B030000}"/>
    <cellStyle name="Prozent 4 3 2 5" xfId="994" xr:uid="{00000000-0005-0000-0000-00007C030000}"/>
    <cellStyle name="Prozent 4 3 3" xfId="428" xr:uid="{00000000-0005-0000-0000-00007D030000}"/>
    <cellStyle name="Prozent 4 3 3 2" xfId="429" xr:uid="{00000000-0005-0000-0000-00007E030000}"/>
    <cellStyle name="Prozent 4 3 3 2 2" xfId="995" xr:uid="{00000000-0005-0000-0000-00007F030000}"/>
    <cellStyle name="Prozent 4 3 3 2 3" xfId="996" xr:uid="{00000000-0005-0000-0000-000080030000}"/>
    <cellStyle name="Prozent 4 3 3 2 4" xfId="997" xr:uid="{00000000-0005-0000-0000-000081030000}"/>
    <cellStyle name="Prozent 4 3 3 3" xfId="998" xr:uid="{00000000-0005-0000-0000-000082030000}"/>
    <cellStyle name="Prozent 4 3 3 4" xfId="999" xr:uid="{00000000-0005-0000-0000-000083030000}"/>
    <cellStyle name="Prozent 4 3 3 5" xfId="1000" xr:uid="{00000000-0005-0000-0000-000084030000}"/>
    <cellStyle name="Prozent 4 3 4" xfId="430" xr:uid="{00000000-0005-0000-0000-000085030000}"/>
    <cellStyle name="Prozent 4 3 4 2" xfId="431" xr:uid="{00000000-0005-0000-0000-000086030000}"/>
    <cellStyle name="Prozent 4 3 4 3" xfId="432" xr:uid="{00000000-0005-0000-0000-000087030000}"/>
    <cellStyle name="Prozent 4 3 4 4" xfId="433" xr:uid="{00000000-0005-0000-0000-000088030000}"/>
    <cellStyle name="Prozent 4 3 4 4 2" xfId="1154" xr:uid="{00000000-0005-0000-0000-000089030000}"/>
    <cellStyle name="Prozent 4 3 4 4 3" xfId="1001" xr:uid="{00000000-0005-0000-0000-00008A030000}"/>
    <cellStyle name="Prozent 4 3 4 4 4" xfId="597" xr:uid="{00000000-0005-0000-0000-00008B030000}"/>
    <cellStyle name="Prozent 4 3 4 5" xfId="596" xr:uid="{00000000-0005-0000-0000-00008C030000}"/>
    <cellStyle name="Prozent 4 3 5" xfId="1002" xr:uid="{00000000-0005-0000-0000-00008D030000}"/>
    <cellStyle name="Prozent 4 3 6" xfId="595" xr:uid="{00000000-0005-0000-0000-00008E030000}"/>
    <cellStyle name="Prozent 4 4" xfId="434" xr:uid="{00000000-0005-0000-0000-00008F030000}"/>
    <cellStyle name="Prozent 4 4 2" xfId="435" xr:uid="{00000000-0005-0000-0000-000090030000}"/>
    <cellStyle name="Prozent 4 4 2 2" xfId="1003" xr:uid="{00000000-0005-0000-0000-000091030000}"/>
    <cellStyle name="Prozent 4 4 2 3" xfId="1004" xr:uid="{00000000-0005-0000-0000-000092030000}"/>
    <cellStyle name="Prozent 4 4 2 4" xfId="1005" xr:uid="{00000000-0005-0000-0000-000093030000}"/>
    <cellStyle name="Prozent 4 4 3" xfId="1006" xr:uid="{00000000-0005-0000-0000-000094030000}"/>
    <cellStyle name="Prozent 4 4 4" xfId="1007" xr:uid="{00000000-0005-0000-0000-000095030000}"/>
    <cellStyle name="Prozent 4 4 5" xfId="1008" xr:uid="{00000000-0005-0000-0000-000096030000}"/>
    <cellStyle name="Prozent 4 5" xfId="436" xr:uid="{00000000-0005-0000-0000-000097030000}"/>
    <cellStyle name="Prozent 4 5 2" xfId="1009" xr:uid="{00000000-0005-0000-0000-000098030000}"/>
    <cellStyle name="Prozent 4 5 3" xfId="1010" xr:uid="{00000000-0005-0000-0000-000099030000}"/>
    <cellStyle name="Prozent 4 5 4" xfId="1011" xr:uid="{00000000-0005-0000-0000-00009A030000}"/>
    <cellStyle name="Prozent 4 6" xfId="1012" xr:uid="{00000000-0005-0000-0000-00009B030000}"/>
    <cellStyle name="Prozent 4 7" xfId="1013" xr:uid="{00000000-0005-0000-0000-00009C030000}"/>
    <cellStyle name="Prozent 4 8" xfId="1014" xr:uid="{00000000-0005-0000-0000-00009D030000}"/>
    <cellStyle name="Prozent 5" xfId="437" xr:uid="{00000000-0005-0000-0000-00009E030000}"/>
    <cellStyle name="Prozent 5 2" xfId="438" xr:uid="{00000000-0005-0000-0000-00009F030000}"/>
    <cellStyle name="Prozent 5 2 2" xfId="439" xr:uid="{00000000-0005-0000-0000-0000A0030000}"/>
    <cellStyle name="Prozent 5 2 2 2" xfId="440" xr:uid="{00000000-0005-0000-0000-0000A1030000}"/>
    <cellStyle name="Prozent 5 2 2 2 2" xfId="1015" xr:uid="{00000000-0005-0000-0000-0000A2030000}"/>
    <cellStyle name="Prozent 5 2 2 2 3" xfId="1016" xr:uid="{00000000-0005-0000-0000-0000A3030000}"/>
    <cellStyle name="Prozent 5 2 2 2 4" xfId="1017" xr:uid="{00000000-0005-0000-0000-0000A4030000}"/>
    <cellStyle name="Prozent 5 2 2 3" xfId="1018" xr:uid="{00000000-0005-0000-0000-0000A5030000}"/>
    <cellStyle name="Prozent 5 2 2 4" xfId="1019" xr:uid="{00000000-0005-0000-0000-0000A6030000}"/>
    <cellStyle name="Prozent 5 2 2 5" xfId="1020" xr:uid="{00000000-0005-0000-0000-0000A7030000}"/>
    <cellStyle name="Prozent 5 2 3" xfId="441" xr:uid="{00000000-0005-0000-0000-0000A8030000}"/>
    <cellStyle name="Prozent 5 2 3 2" xfId="1021" xr:uid="{00000000-0005-0000-0000-0000A9030000}"/>
    <cellStyle name="Prozent 5 2 3 3" xfId="1022" xr:uid="{00000000-0005-0000-0000-0000AA030000}"/>
    <cellStyle name="Prozent 5 2 3 4" xfId="1023" xr:uid="{00000000-0005-0000-0000-0000AB030000}"/>
    <cellStyle name="Prozent 5 2 4" xfId="1024" xr:uid="{00000000-0005-0000-0000-0000AC030000}"/>
    <cellStyle name="Prozent 5 2 5" xfId="1025" xr:uid="{00000000-0005-0000-0000-0000AD030000}"/>
    <cellStyle name="Prozent 5 2 6" xfId="1026" xr:uid="{00000000-0005-0000-0000-0000AE030000}"/>
    <cellStyle name="Prozent 5 3" xfId="442" xr:uid="{00000000-0005-0000-0000-0000AF030000}"/>
    <cellStyle name="Prozent 5 3 2" xfId="443" xr:uid="{00000000-0005-0000-0000-0000B0030000}"/>
    <cellStyle name="Prozent 5 3 2 2" xfId="1027" xr:uid="{00000000-0005-0000-0000-0000B1030000}"/>
    <cellStyle name="Prozent 5 3 2 3" xfId="1028" xr:uid="{00000000-0005-0000-0000-0000B2030000}"/>
    <cellStyle name="Prozent 5 3 2 4" xfId="1029" xr:uid="{00000000-0005-0000-0000-0000B3030000}"/>
    <cellStyle name="Prozent 5 3 3" xfId="1030" xr:uid="{00000000-0005-0000-0000-0000B4030000}"/>
    <cellStyle name="Prozent 5 3 4" xfId="1031" xr:uid="{00000000-0005-0000-0000-0000B5030000}"/>
    <cellStyle name="Prozent 5 3 5" xfId="1032" xr:uid="{00000000-0005-0000-0000-0000B6030000}"/>
    <cellStyle name="Prozent 5 4" xfId="444" xr:uid="{00000000-0005-0000-0000-0000B7030000}"/>
    <cellStyle name="Prozent 5 4 2" xfId="445" xr:uid="{00000000-0005-0000-0000-0000B8030000}"/>
    <cellStyle name="Prozent 5 4 3" xfId="446" xr:uid="{00000000-0005-0000-0000-0000B9030000}"/>
    <cellStyle name="Prozent 5 4 3 2" xfId="447" xr:uid="{00000000-0005-0000-0000-0000BA030000}"/>
    <cellStyle name="Prozent 5 4 3 3" xfId="448" xr:uid="{00000000-0005-0000-0000-0000BB030000}"/>
    <cellStyle name="Prozent 5 4 3 4" xfId="1033" xr:uid="{00000000-0005-0000-0000-0000BC030000}"/>
    <cellStyle name="Prozent 5 4 4" xfId="449" xr:uid="{00000000-0005-0000-0000-0000BD030000}"/>
    <cellStyle name="Prozent 5 4 4 2" xfId="1034" xr:uid="{00000000-0005-0000-0000-0000BE030000}"/>
    <cellStyle name="Prozent 5 4 4 3" xfId="600" xr:uid="{00000000-0005-0000-0000-0000BF030000}"/>
    <cellStyle name="Prozent 5 4 5" xfId="1035" xr:uid="{00000000-0005-0000-0000-0000C0030000}"/>
    <cellStyle name="Prozent 5 4 6" xfId="599" xr:uid="{00000000-0005-0000-0000-0000C1030000}"/>
    <cellStyle name="Prozent 5 5" xfId="450" xr:uid="{00000000-0005-0000-0000-0000C2030000}"/>
    <cellStyle name="Prozent 5 5 2" xfId="451" xr:uid="{00000000-0005-0000-0000-0000C3030000}"/>
    <cellStyle name="Prozent 5 5 3" xfId="452" xr:uid="{00000000-0005-0000-0000-0000C4030000}"/>
    <cellStyle name="Prozent 5 5 4" xfId="453" xr:uid="{00000000-0005-0000-0000-0000C5030000}"/>
    <cellStyle name="Prozent 5 5 4 2" xfId="1155" xr:uid="{00000000-0005-0000-0000-0000C6030000}"/>
    <cellStyle name="Prozent 5 5 4 3" xfId="1036" xr:uid="{00000000-0005-0000-0000-0000C7030000}"/>
    <cellStyle name="Prozent 5 5 4 4" xfId="602" xr:uid="{00000000-0005-0000-0000-0000C8030000}"/>
    <cellStyle name="Prozent 5 5 5" xfId="601" xr:uid="{00000000-0005-0000-0000-0000C9030000}"/>
    <cellStyle name="Prozent 5 6" xfId="1037" xr:uid="{00000000-0005-0000-0000-0000CA030000}"/>
    <cellStyle name="Prozent 5 7" xfId="598" xr:uid="{00000000-0005-0000-0000-0000CB030000}"/>
    <cellStyle name="Prozent 6" xfId="454" xr:uid="{00000000-0005-0000-0000-0000CC030000}"/>
    <cellStyle name="Prozent 6 2" xfId="455" xr:uid="{00000000-0005-0000-0000-0000CD030000}"/>
    <cellStyle name="Prozent 6 2 2" xfId="456" xr:uid="{00000000-0005-0000-0000-0000CE030000}"/>
    <cellStyle name="Prozent 6 2 2 2" xfId="1038" xr:uid="{00000000-0005-0000-0000-0000CF030000}"/>
    <cellStyle name="Prozent 6 2 2 3" xfId="1039" xr:uid="{00000000-0005-0000-0000-0000D0030000}"/>
    <cellStyle name="Prozent 6 2 2 4" xfId="1040" xr:uid="{00000000-0005-0000-0000-0000D1030000}"/>
    <cellStyle name="Prozent 6 2 3" xfId="1041" xr:uid="{00000000-0005-0000-0000-0000D2030000}"/>
    <cellStyle name="Prozent 6 2 4" xfId="1042" xr:uid="{00000000-0005-0000-0000-0000D3030000}"/>
    <cellStyle name="Prozent 6 2 5" xfId="1043" xr:uid="{00000000-0005-0000-0000-0000D4030000}"/>
    <cellStyle name="Prozent 6 3" xfId="457" xr:uid="{00000000-0005-0000-0000-0000D5030000}"/>
    <cellStyle name="Prozent 6 3 2" xfId="1044" xr:uid="{00000000-0005-0000-0000-0000D6030000}"/>
    <cellStyle name="Prozent 6 3 3" xfId="1045" xr:uid="{00000000-0005-0000-0000-0000D7030000}"/>
    <cellStyle name="Prozent 6 3 4" xfId="1046" xr:uid="{00000000-0005-0000-0000-0000D8030000}"/>
    <cellStyle name="Prozent 6 4" xfId="1047" xr:uid="{00000000-0005-0000-0000-0000D9030000}"/>
    <cellStyle name="Prozent 6 5" xfId="1048" xr:uid="{00000000-0005-0000-0000-0000DA030000}"/>
    <cellStyle name="Prozent 6 6" xfId="1049" xr:uid="{00000000-0005-0000-0000-0000DB030000}"/>
    <cellStyle name="Prozent 7" xfId="458" xr:uid="{00000000-0005-0000-0000-0000DC030000}"/>
    <cellStyle name="Prozent 7 2" xfId="459" xr:uid="{00000000-0005-0000-0000-0000DD030000}"/>
    <cellStyle name="Prozent 7 2 2" xfId="460" xr:uid="{00000000-0005-0000-0000-0000DE030000}"/>
    <cellStyle name="Prozent 7 2 2 2" xfId="1050" xr:uid="{00000000-0005-0000-0000-0000DF030000}"/>
    <cellStyle name="Prozent 7 2 2 3" xfId="1051" xr:uid="{00000000-0005-0000-0000-0000E0030000}"/>
    <cellStyle name="Prozent 7 2 2 4" xfId="1052" xr:uid="{00000000-0005-0000-0000-0000E1030000}"/>
    <cellStyle name="Prozent 7 2 3" xfId="1053" xr:uid="{00000000-0005-0000-0000-0000E2030000}"/>
    <cellStyle name="Prozent 7 2 4" xfId="1054" xr:uid="{00000000-0005-0000-0000-0000E3030000}"/>
    <cellStyle name="Prozent 7 2 5" xfId="1055" xr:uid="{00000000-0005-0000-0000-0000E4030000}"/>
    <cellStyle name="Prozent 7 3" xfId="461" xr:uid="{00000000-0005-0000-0000-0000E5030000}"/>
    <cellStyle name="Prozent 7 3 2" xfId="1056" xr:uid="{00000000-0005-0000-0000-0000E6030000}"/>
    <cellStyle name="Prozent 7 3 3" xfId="1057" xr:uid="{00000000-0005-0000-0000-0000E7030000}"/>
    <cellStyle name="Prozent 7 3 4" xfId="1058" xr:uid="{00000000-0005-0000-0000-0000E8030000}"/>
    <cellStyle name="Prozent 7 4" xfId="1059" xr:uid="{00000000-0005-0000-0000-0000E9030000}"/>
    <cellStyle name="Prozent 7 5" xfId="1060" xr:uid="{00000000-0005-0000-0000-0000EA030000}"/>
    <cellStyle name="Prozent 7 6" xfId="1061" xr:uid="{00000000-0005-0000-0000-0000EB030000}"/>
    <cellStyle name="Prozent 8" xfId="462" xr:uid="{00000000-0005-0000-0000-0000EC030000}"/>
    <cellStyle name="Prozent 8 2" xfId="463" xr:uid="{00000000-0005-0000-0000-0000ED030000}"/>
    <cellStyle name="Prozent 8 2 2" xfId="464" xr:uid="{00000000-0005-0000-0000-0000EE030000}"/>
    <cellStyle name="Prozent 8 2 3" xfId="465" xr:uid="{00000000-0005-0000-0000-0000EF030000}"/>
    <cellStyle name="Prozent 8 2 4" xfId="1062" xr:uid="{00000000-0005-0000-0000-0000F0030000}"/>
    <cellStyle name="Prozent 8 3" xfId="466" xr:uid="{00000000-0005-0000-0000-0000F1030000}"/>
    <cellStyle name="Prozent 8 3 2" xfId="467" xr:uid="{00000000-0005-0000-0000-0000F2030000}"/>
    <cellStyle name="Prozent 8 3 2 2" xfId="468" xr:uid="{00000000-0005-0000-0000-0000F3030000}"/>
    <cellStyle name="Prozent 8 3 2 2 2" xfId="1064" xr:uid="{00000000-0005-0000-0000-0000F4030000}"/>
    <cellStyle name="Prozent 8 3 2 2 3" xfId="1063" xr:uid="{00000000-0005-0000-0000-0000F5030000}"/>
    <cellStyle name="Prozent 8 3 2 3" xfId="469" xr:uid="{00000000-0005-0000-0000-0000F6030000}"/>
    <cellStyle name="Prozent 8 3 2 3 2" xfId="1156" xr:uid="{00000000-0005-0000-0000-0000F7030000}"/>
    <cellStyle name="Prozent 8 3 2 3 3" xfId="1065" xr:uid="{00000000-0005-0000-0000-0000F8030000}"/>
    <cellStyle name="Prozent 8 3 2 4" xfId="1066" xr:uid="{00000000-0005-0000-0000-0000F9030000}"/>
    <cellStyle name="Prozent 8 3 2 5" xfId="1067" xr:uid="{00000000-0005-0000-0000-0000FA030000}"/>
    <cellStyle name="Prozent 8 3 3" xfId="470" xr:uid="{00000000-0005-0000-0000-0000FB030000}"/>
    <cellStyle name="Prozent 8 3 3 2" xfId="471" xr:uid="{00000000-0005-0000-0000-0000FC030000}"/>
    <cellStyle name="Prozent 8 3 3 3" xfId="472" xr:uid="{00000000-0005-0000-0000-0000FD030000}"/>
    <cellStyle name="Prozent 8 3 4" xfId="1068" xr:uid="{00000000-0005-0000-0000-0000FE030000}"/>
    <cellStyle name="Prozent 8 3 5" xfId="1069" xr:uid="{00000000-0005-0000-0000-0000FF030000}"/>
    <cellStyle name="Prozent 8 3 6" xfId="1070" xr:uid="{00000000-0005-0000-0000-000000040000}"/>
    <cellStyle name="Prozent 9" xfId="473" xr:uid="{00000000-0005-0000-0000-000001040000}"/>
    <cellStyle name="Prozent 9 2" xfId="1071" xr:uid="{00000000-0005-0000-0000-000002040000}"/>
    <cellStyle name="Prozent 9 3" xfId="1072" xr:uid="{00000000-0005-0000-0000-000003040000}"/>
    <cellStyle name="Prozent 9 4" xfId="1073" xr:uid="{00000000-0005-0000-0000-000004040000}"/>
    <cellStyle name="Schlecht 2" xfId="475" xr:uid="{00000000-0005-0000-0000-000005040000}"/>
    <cellStyle name="Schlecht 3" xfId="476" xr:uid="{00000000-0005-0000-0000-000006040000}"/>
    <cellStyle name="Standard 2" xfId="477" xr:uid="{00000000-0005-0000-0000-000008040000}"/>
    <cellStyle name="Standard 2 2" xfId="478" xr:uid="{00000000-0005-0000-0000-000009040000}"/>
    <cellStyle name="Standard 2 2 2" xfId="479" xr:uid="{00000000-0005-0000-0000-00000A040000}"/>
    <cellStyle name="Standard 2 2 3" xfId="480" xr:uid="{00000000-0005-0000-0000-00000B040000}"/>
    <cellStyle name="Standard 2 3" xfId="481" xr:uid="{00000000-0005-0000-0000-00000C040000}"/>
    <cellStyle name="Standard 2 4" xfId="482" xr:uid="{00000000-0005-0000-0000-00000D040000}"/>
    <cellStyle name="Standard 2 5" xfId="483" xr:uid="{00000000-0005-0000-0000-00000E040000}"/>
    <cellStyle name="Standard 2 6" xfId="484" xr:uid="{00000000-0005-0000-0000-00000F040000}"/>
    <cellStyle name="Standard 3" xfId="485" xr:uid="{00000000-0005-0000-0000-000010040000}"/>
    <cellStyle name="Standard 3 2" xfId="486" xr:uid="{00000000-0005-0000-0000-000011040000}"/>
    <cellStyle name="Standard 3 2 2" xfId="487" xr:uid="{00000000-0005-0000-0000-000012040000}"/>
    <cellStyle name="Standard 3 2 2 2" xfId="488" xr:uid="{00000000-0005-0000-0000-000013040000}"/>
    <cellStyle name="Standard 3 2 2 2 2" xfId="489" xr:uid="{00000000-0005-0000-0000-000014040000}"/>
    <cellStyle name="Standard 3 2 2 2 2 2" xfId="1075" xr:uid="{00000000-0005-0000-0000-000015040000}"/>
    <cellStyle name="Standard 3 2 2 2 2 3" xfId="1076" xr:uid="{00000000-0005-0000-0000-000016040000}"/>
    <cellStyle name="Standard 3 2 2 2 2 4" xfId="1077" xr:uid="{00000000-0005-0000-0000-000017040000}"/>
    <cellStyle name="Standard 3 2 2 2 3" xfId="1078" xr:uid="{00000000-0005-0000-0000-000018040000}"/>
    <cellStyle name="Standard 3 2 2 2 4" xfId="1079" xr:uid="{00000000-0005-0000-0000-000019040000}"/>
    <cellStyle name="Standard 3 2 2 2 5" xfId="1080" xr:uid="{00000000-0005-0000-0000-00001A040000}"/>
    <cellStyle name="Standard 3 2 2 3" xfId="490" xr:uid="{00000000-0005-0000-0000-00001B040000}"/>
    <cellStyle name="Standard 3 2 2 3 2" xfId="1081" xr:uid="{00000000-0005-0000-0000-00001C040000}"/>
    <cellStyle name="Standard 3 2 2 3 3" xfId="1082" xr:uid="{00000000-0005-0000-0000-00001D040000}"/>
    <cellStyle name="Standard 3 2 2 3 4" xfId="1083" xr:uid="{00000000-0005-0000-0000-00001E040000}"/>
    <cellStyle name="Standard 3 2 2 4" xfId="1084" xr:uid="{00000000-0005-0000-0000-00001F040000}"/>
    <cellStyle name="Standard 3 2 2 5" xfId="1085" xr:uid="{00000000-0005-0000-0000-000020040000}"/>
    <cellStyle name="Standard 3 2 2 6" xfId="1086" xr:uid="{00000000-0005-0000-0000-000021040000}"/>
    <cellStyle name="Standard 3 2 3" xfId="491" xr:uid="{00000000-0005-0000-0000-000022040000}"/>
    <cellStyle name="Standard 3 2 3 2" xfId="492" xr:uid="{00000000-0005-0000-0000-000023040000}"/>
    <cellStyle name="Standard 3 2 3 2 2" xfId="1087" xr:uid="{00000000-0005-0000-0000-000024040000}"/>
    <cellStyle name="Standard 3 2 3 2 3" xfId="1088" xr:uid="{00000000-0005-0000-0000-000025040000}"/>
    <cellStyle name="Standard 3 2 3 2 4" xfId="1089" xr:uid="{00000000-0005-0000-0000-000026040000}"/>
    <cellStyle name="Standard 3 2 3 3" xfId="1090" xr:uid="{00000000-0005-0000-0000-000027040000}"/>
    <cellStyle name="Standard 3 2 3 4" xfId="1091" xr:uid="{00000000-0005-0000-0000-000028040000}"/>
    <cellStyle name="Standard 3 2 3 5" xfId="1092" xr:uid="{00000000-0005-0000-0000-000029040000}"/>
    <cellStyle name="Standard 3 2 4" xfId="493" xr:uid="{00000000-0005-0000-0000-00002A040000}"/>
    <cellStyle name="Standard 3 2 4 2" xfId="494" xr:uid="{00000000-0005-0000-0000-00002B040000}"/>
    <cellStyle name="Standard 3 2 4 3" xfId="495" xr:uid="{00000000-0005-0000-0000-00002C040000}"/>
    <cellStyle name="Standard 3 2 4 4" xfId="1093" xr:uid="{00000000-0005-0000-0000-00002D040000}"/>
    <cellStyle name="Standard 3 2 4 5" xfId="1094" xr:uid="{00000000-0005-0000-0000-00002E040000}"/>
    <cellStyle name="Standard 3 2 5" xfId="496" xr:uid="{00000000-0005-0000-0000-00002F040000}"/>
    <cellStyle name="Standard 3 2 6" xfId="497" xr:uid="{00000000-0005-0000-0000-000030040000}"/>
    <cellStyle name="Standard 3 3" xfId="498" xr:uid="{00000000-0005-0000-0000-000031040000}"/>
    <cellStyle name="Standard 3 3 2" xfId="499" xr:uid="{00000000-0005-0000-0000-000032040000}"/>
    <cellStyle name="Standard 3 3 2 2" xfId="500" xr:uid="{00000000-0005-0000-0000-000033040000}"/>
    <cellStyle name="Standard 3 3 2 2 2" xfId="1095" xr:uid="{00000000-0005-0000-0000-000034040000}"/>
    <cellStyle name="Standard 3 3 2 2 3" xfId="1096" xr:uid="{00000000-0005-0000-0000-000035040000}"/>
    <cellStyle name="Standard 3 3 2 2 4" xfId="1097" xr:uid="{00000000-0005-0000-0000-000036040000}"/>
    <cellStyle name="Standard 3 3 2 3" xfId="1098" xr:uid="{00000000-0005-0000-0000-000037040000}"/>
    <cellStyle name="Standard 3 3 2 4" xfId="1099" xr:uid="{00000000-0005-0000-0000-000038040000}"/>
    <cellStyle name="Standard 3 3 2 5" xfId="1100" xr:uid="{00000000-0005-0000-0000-000039040000}"/>
    <cellStyle name="Standard 3 3 3" xfId="501" xr:uid="{00000000-0005-0000-0000-00003A040000}"/>
    <cellStyle name="Standard 3 3 3 2" xfId="1101" xr:uid="{00000000-0005-0000-0000-00003B040000}"/>
    <cellStyle name="Standard 3 3 3 3" xfId="1102" xr:uid="{00000000-0005-0000-0000-00003C040000}"/>
    <cellStyle name="Standard 3 3 3 4" xfId="1103" xr:uid="{00000000-0005-0000-0000-00003D040000}"/>
    <cellStyle name="Standard 3 3 4" xfId="1104" xr:uid="{00000000-0005-0000-0000-00003E040000}"/>
    <cellStyle name="Standard 3 3 5" xfId="1105" xr:uid="{00000000-0005-0000-0000-00003F040000}"/>
    <cellStyle name="Standard 3 3 6" xfId="1106" xr:uid="{00000000-0005-0000-0000-000040040000}"/>
    <cellStyle name="Standard 3 4" xfId="502" xr:uid="{00000000-0005-0000-0000-000041040000}"/>
    <cellStyle name="Standard 3 4 2" xfId="503" xr:uid="{00000000-0005-0000-0000-000042040000}"/>
    <cellStyle name="Standard 3 4 2 2" xfId="1107" xr:uid="{00000000-0005-0000-0000-000043040000}"/>
    <cellStyle name="Standard 3 4 2 3" xfId="1108" xr:uid="{00000000-0005-0000-0000-000044040000}"/>
    <cellStyle name="Standard 3 4 2 4" xfId="1109" xr:uid="{00000000-0005-0000-0000-000045040000}"/>
    <cellStyle name="Standard 3 4 3" xfId="1110" xr:uid="{00000000-0005-0000-0000-000046040000}"/>
    <cellStyle name="Standard 3 4 4" xfId="1111" xr:uid="{00000000-0005-0000-0000-000047040000}"/>
    <cellStyle name="Standard 3 4 5" xfId="1112" xr:uid="{00000000-0005-0000-0000-000048040000}"/>
    <cellStyle name="Standard 3 5" xfId="504" xr:uid="{00000000-0005-0000-0000-000049040000}"/>
    <cellStyle name="Standard 3 5 2" xfId="1113" xr:uid="{00000000-0005-0000-0000-00004A040000}"/>
    <cellStyle name="Standard 3 5 3" xfId="1114" xr:uid="{00000000-0005-0000-0000-00004B040000}"/>
    <cellStyle name="Standard 3 5 4" xfId="1115" xr:uid="{00000000-0005-0000-0000-00004C040000}"/>
    <cellStyle name="Standard 3 6" xfId="505" xr:uid="{00000000-0005-0000-0000-00004D040000}"/>
    <cellStyle name="Standard 3 6 2" xfId="1117" xr:uid="{00000000-0005-0000-0000-00004E040000}"/>
    <cellStyle name="Standard 3 6 3" xfId="1116" xr:uid="{00000000-0005-0000-0000-00004F040000}"/>
    <cellStyle name="Standard 3 7" xfId="1118" xr:uid="{00000000-0005-0000-0000-000050040000}"/>
    <cellStyle name="Standard 3 8" xfId="1119" xr:uid="{00000000-0005-0000-0000-000051040000}"/>
    <cellStyle name="Standard 4" xfId="506" xr:uid="{00000000-0005-0000-0000-000052040000}"/>
    <cellStyle name="Standard 5" xfId="507" xr:uid="{00000000-0005-0000-0000-000053040000}"/>
    <cellStyle name="Standard 5 2" xfId="508" xr:uid="{00000000-0005-0000-0000-000054040000}"/>
    <cellStyle name="Standard 6" xfId="603" xr:uid="{00000000-0005-0000-0000-000055040000}"/>
    <cellStyle name="Standard 7" xfId="604" xr:uid="{00000000-0005-0000-0000-000056040000}"/>
    <cellStyle name="Standard_Bearbeitungsqualität 2011" xfId="509" xr:uid="{00000000-0005-0000-0000-000057040000}"/>
    <cellStyle name="Standard_Werte" xfId="510" xr:uid="{00000000-0005-0000-0000-000058040000}"/>
    <cellStyle name="Title" xfId="515" xr:uid="{00000000-0005-0000-0000-000059040000}"/>
    <cellStyle name="Title 2" xfId="511" xr:uid="{00000000-0005-0000-0000-00005A040000}"/>
    <cellStyle name="Title 2 2" xfId="512" xr:uid="{00000000-0005-0000-0000-00005B040000}"/>
    <cellStyle name="Title 2 2 2" xfId="1157" xr:uid="{00000000-0005-0000-0000-00005C040000}"/>
    <cellStyle name="Title 2 2 3" xfId="1120" xr:uid="{00000000-0005-0000-0000-00005D040000}"/>
    <cellStyle name="Title 2 3" xfId="606" xr:uid="{00000000-0005-0000-0000-00005E040000}"/>
    <cellStyle name="Title 2 4" xfId="605" xr:uid="{00000000-0005-0000-0000-00005F040000}"/>
    <cellStyle name="Title 3" xfId="513" xr:uid="{00000000-0005-0000-0000-000060040000}"/>
    <cellStyle name="Title 3 2" xfId="1158" xr:uid="{00000000-0005-0000-0000-000061040000}"/>
    <cellStyle name="Title 3 3" xfId="1121" xr:uid="{00000000-0005-0000-0000-000062040000}"/>
    <cellStyle name="Title 4" xfId="607" xr:uid="{00000000-0005-0000-0000-000063040000}"/>
    <cellStyle name="Title 5" xfId="1122" xr:uid="{00000000-0005-0000-0000-000064040000}"/>
    <cellStyle name="Total 2" xfId="514" xr:uid="{00000000-0005-0000-0000-000065040000}"/>
    <cellStyle name="Überschrift 1 2" xfId="517" xr:uid="{00000000-0005-0000-0000-000066040000}"/>
    <cellStyle name="Überschrift 1 3" xfId="518" xr:uid="{00000000-0005-0000-0000-000067040000}"/>
    <cellStyle name="Überschrift 1 4" xfId="1124" xr:uid="{00000000-0005-0000-0000-000068040000}"/>
    <cellStyle name="Überschrift 2 2" xfId="520" xr:uid="{00000000-0005-0000-0000-000069040000}"/>
    <cellStyle name="Überschrift 2 3" xfId="521" xr:uid="{00000000-0005-0000-0000-00006A040000}"/>
    <cellStyle name="Überschrift 2 4" xfId="1126" xr:uid="{00000000-0005-0000-0000-00006B040000}"/>
    <cellStyle name="Überschrift 3 2" xfId="523" xr:uid="{00000000-0005-0000-0000-00006C040000}"/>
    <cellStyle name="Überschrift 3 3" xfId="524" xr:uid="{00000000-0005-0000-0000-00006D040000}"/>
    <cellStyle name="Überschrift 3 4" xfId="1128" xr:uid="{00000000-0005-0000-0000-00006E040000}"/>
    <cellStyle name="Überschrift 4 2" xfId="526" xr:uid="{00000000-0005-0000-0000-00006F040000}"/>
    <cellStyle name="Überschrift 4 3" xfId="527" xr:uid="{00000000-0005-0000-0000-000070040000}"/>
    <cellStyle name="Überschrift 4 4" xfId="1130" xr:uid="{00000000-0005-0000-0000-000071040000}"/>
    <cellStyle name="Überschrift 5" xfId="528" xr:uid="{00000000-0005-0000-0000-000072040000}"/>
    <cellStyle name="Überschrift 6" xfId="529" xr:uid="{00000000-0005-0000-0000-000073040000}"/>
    <cellStyle name="Überschrift 7" xfId="1131" xr:uid="{00000000-0005-0000-0000-000074040000}"/>
    <cellStyle name="Verknüpfte Zelle 2" xfId="531" xr:uid="{00000000-0005-0000-0000-000075040000}"/>
    <cellStyle name="Verknüpfte Zelle 3" xfId="532" xr:uid="{00000000-0005-0000-0000-000076040000}"/>
    <cellStyle name="Warnender Text 2" xfId="533" xr:uid="{00000000-0005-0000-0000-000077040000}"/>
    <cellStyle name="Warnender Text 2 2" xfId="534" xr:uid="{00000000-0005-0000-0000-000078040000}"/>
    <cellStyle name="Warnender Text 2 3" xfId="535" xr:uid="{00000000-0005-0000-0000-000079040000}"/>
    <cellStyle name="Warnender Text 2 3 2" xfId="536" xr:uid="{00000000-0005-0000-0000-00007A040000}"/>
    <cellStyle name="Warnender Text 2 3 2 2" xfId="609" xr:uid="{00000000-0005-0000-0000-00007B040000}"/>
    <cellStyle name="Warnender Text 2 3 2 3" xfId="608" xr:uid="{00000000-0005-0000-0000-00007C040000}"/>
    <cellStyle name="Warnender Text 3" xfId="537" xr:uid="{00000000-0005-0000-0000-00007D040000}"/>
    <cellStyle name="Warnender Text 4" xfId="538" xr:uid="{00000000-0005-0000-0000-00007E040000}"/>
    <cellStyle name="Warnender Text 5" xfId="539" xr:uid="{00000000-0005-0000-0000-00007F040000}"/>
    <cellStyle name="Warnender Text 6" xfId="540" xr:uid="{00000000-0005-0000-0000-000080040000}"/>
    <cellStyle name="Zelle überprüfen 2" xfId="542" xr:uid="{00000000-0005-0000-0000-000081040000}"/>
    <cellStyle name="Zelle überprüfen 2 2" xfId="543" xr:uid="{00000000-0005-0000-0000-000082040000}"/>
    <cellStyle name="Zelle überprüfen 2 3" xfId="610" xr:uid="{00000000-0005-0000-0000-000083040000}"/>
    <cellStyle name="Zelle überprüfen 3" xfId="544" xr:uid="{00000000-0005-0000-0000-000084040000}"/>
    <cellStyle name="Zelle überprüfen 3 2" xfId="1135" xr:uid="{00000000-0005-0000-0000-000085040000}"/>
    <cellStyle name="Zelle überprüfen 3 3" xfId="1134" xr:uid="{00000000-0005-0000-0000-000086040000}"/>
    <cellStyle name="Zelle überprüfen 4" xfId="545" xr:uid="{00000000-0005-0000-0000-000087040000}"/>
  </cellStyles>
  <dxfs count="279">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4"/>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10"/>
        </patternFill>
      </fill>
    </dxf>
    <dxf>
      <fill>
        <patternFill>
          <bgColor theme="0" tint="-0.24994659260841701"/>
        </patternFill>
      </fill>
    </dxf>
    <dxf>
      <fill>
        <patternFill>
          <bgColor indexed="42"/>
        </patternFill>
      </fill>
    </dxf>
    <dxf>
      <fill>
        <patternFill>
          <bgColor indexed="23"/>
        </patternFill>
      </fill>
    </dxf>
    <dxf>
      <fill>
        <patternFill>
          <bgColor indexed="10"/>
        </patternFill>
      </fill>
    </dxf>
    <dxf>
      <fill>
        <patternFill>
          <bgColor indexed="9"/>
        </patternFill>
      </fill>
    </dxf>
    <dxf>
      <fill>
        <patternFill>
          <bgColor indexed="42"/>
        </patternFill>
      </fill>
    </dxf>
    <dxf>
      <fill>
        <patternFill>
          <bgColor indexed="43"/>
        </patternFill>
      </fill>
    </dxf>
    <dxf>
      <fill>
        <patternFill>
          <bgColor indexed="42"/>
        </patternFill>
      </fill>
    </dxf>
    <dxf>
      <fill>
        <patternFill patternType="none">
          <bgColor indexed="65"/>
        </patternFill>
      </fill>
    </dxf>
    <dxf>
      <fill>
        <patternFill>
          <bgColor theme="0" tint="-0.24994659260841701"/>
        </patternFill>
      </fill>
    </dxf>
    <dxf>
      <fill>
        <patternFill>
          <bgColor indexed="23"/>
        </patternFill>
      </fill>
    </dxf>
    <dxf>
      <fill>
        <patternFill>
          <bgColor indexed="10"/>
        </patternFill>
      </fill>
    </dxf>
    <dxf>
      <fill>
        <patternFill patternType="none">
          <bgColor indexed="65"/>
        </patternFill>
      </fill>
    </dxf>
    <dxf>
      <fill>
        <patternFill>
          <bgColor indexed="23"/>
        </patternFill>
      </fill>
    </dxf>
    <dxf>
      <fill>
        <patternFill>
          <bgColor theme="0" tint="-0.24994659260841701"/>
        </patternFill>
      </fill>
    </dxf>
    <dxf>
      <fill>
        <patternFill>
          <bgColor indexed="23"/>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theme="0" tint="-0.24994659260841701"/>
        </patternFill>
      </fill>
    </dxf>
    <dxf>
      <fill>
        <patternFill>
          <bgColor rgb="FFDCE6F1"/>
        </patternFill>
      </fill>
    </dxf>
    <dxf>
      <fill>
        <patternFill>
          <bgColor rgb="FFFF7C80"/>
        </patternFill>
      </fill>
    </dxf>
    <dxf>
      <fill>
        <patternFill>
          <bgColor indexed="42"/>
        </patternFill>
      </fill>
    </dxf>
    <dxf>
      <fill>
        <patternFill>
          <bgColor indexed="43"/>
        </patternFill>
      </fill>
    </dxf>
    <dxf>
      <fill>
        <patternFill>
          <bgColor indexed="10"/>
        </patternFill>
      </fill>
    </dxf>
    <dxf>
      <fill>
        <patternFill>
          <bgColor rgb="FFFF7C80"/>
        </patternFill>
      </fill>
    </dxf>
    <dxf>
      <fill>
        <patternFill>
          <bgColor rgb="FFFF7C8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4"/>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10"/>
        </patternFill>
      </fill>
    </dxf>
    <dxf>
      <fill>
        <patternFill>
          <bgColor theme="0" tint="-0.24994659260841701"/>
        </patternFill>
      </fill>
    </dxf>
    <dxf>
      <fill>
        <patternFill>
          <bgColor indexed="42"/>
        </patternFill>
      </fill>
    </dxf>
    <dxf>
      <fill>
        <patternFill>
          <bgColor indexed="23"/>
        </patternFill>
      </fill>
    </dxf>
    <dxf>
      <fill>
        <patternFill>
          <bgColor indexed="10"/>
        </patternFill>
      </fill>
    </dxf>
    <dxf>
      <fill>
        <patternFill>
          <bgColor indexed="9"/>
        </patternFill>
      </fill>
    </dxf>
    <dxf>
      <fill>
        <patternFill>
          <bgColor indexed="42"/>
        </patternFill>
      </fill>
    </dxf>
    <dxf>
      <fill>
        <patternFill>
          <bgColor indexed="43"/>
        </patternFill>
      </fill>
    </dxf>
    <dxf>
      <fill>
        <patternFill>
          <bgColor indexed="42"/>
        </patternFill>
      </fill>
    </dxf>
    <dxf>
      <fill>
        <patternFill patternType="none">
          <bgColor indexed="65"/>
        </patternFill>
      </fill>
    </dxf>
    <dxf>
      <fill>
        <patternFill>
          <bgColor indexed="23"/>
        </patternFill>
      </fill>
    </dxf>
    <dxf>
      <fill>
        <patternFill>
          <bgColor theme="0" tint="-0.24994659260841701"/>
        </patternFill>
      </fill>
    </dxf>
    <dxf>
      <fill>
        <patternFill>
          <bgColor rgb="FF808080"/>
        </patternFill>
      </fill>
    </dxf>
    <dxf>
      <fill>
        <patternFill>
          <bgColor indexed="10"/>
        </patternFill>
      </fill>
    </dxf>
    <dxf>
      <fill>
        <patternFill patternType="none">
          <bgColor indexed="65"/>
        </patternFill>
      </fill>
    </dxf>
    <dxf>
      <fill>
        <patternFill>
          <bgColor indexed="23"/>
        </patternFill>
      </fill>
    </dxf>
    <dxf>
      <fill>
        <patternFill>
          <bgColor indexed="23"/>
        </patternFill>
      </fill>
    </dxf>
    <dxf>
      <fill>
        <patternFill>
          <bgColor rgb="FFCCFFCA"/>
        </patternFill>
      </fill>
    </dxf>
    <dxf>
      <fill>
        <patternFill>
          <bgColor rgb="FFFF7C80"/>
        </patternFill>
      </fill>
    </dxf>
    <dxf>
      <fill>
        <patternFill>
          <bgColor rgb="FFFF7C80"/>
        </patternFill>
      </fill>
    </dxf>
    <dxf>
      <fill>
        <patternFill>
          <bgColor indexed="23"/>
        </patternFill>
      </fill>
    </dxf>
    <dxf>
      <fill>
        <patternFill>
          <bgColor rgb="FFCCFFCC"/>
        </patternFill>
      </fill>
    </dxf>
    <dxf>
      <fill>
        <patternFill>
          <bgColor rgb="FFCCFFCC"/>
        </patternFill>
      </fill>
    </dxf>
    <dxf>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indexed="10"/>
        </patternFill>
      </fill>
      <border>
        <left style="thin">
          <color indexed="64"/>
        </left>
        <right style="thin">
          <color indexed="64"/>
        </right>
        <top style="thin">
          <color indexed="64"/>
        </top>
        <bottom style="thin">
          <color indexed="64"/>
        </bottom>
      </border>
    </dxf>
    <dxf>
      <fill>
        <patternFill>
          <bgColor indexed="42"/>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rgb="FF99FF66"/>
        </patternFill>
      </fill>
    </dxf>
    <dxf>
      <fill>
        <patternFill>
          <bgColor indexed="10"/>
        </patternFill>
      </fill>
    </dxf>
    <dxf>
      <fill>
        <patternFill>
          <bgColor indexed="42"/>
        </patternFill>
      </fill>
    </dxf>
    <dxf>
      <fill>
        <patternFill>
          <bgColor indexed="43"/>
        </patternFill>
      </fill>
    </dxf>
    <dxf>
      <fill>
        <patternFill>
          <bgColor rgb="FFCCFFCC"/>
        </patternFill>
      </fill>
    </dxf>
    <dxf>
      <fill>
        <patternFill>
          <bgColor theme="0" tint="-0.24994659260841701"/>
        </patternFill>
      </fill>
    </dxf>
    <dxf>
      <fill>
        <patternFill>
          <bgColor rgb="FFDCE6F1"/>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10"/>
        </patternFill>
      </fill>
    </dxf>
    <dxf>
      <fill>
        <patternFill>
          <bgColor rgb="FF99FF66"/>
        </patternFill>
      </fill>
    </dxf>
    <dxf>
      <fill>
        <patternFill>
          <bgColor indexed="43"/>
        </patternFill>
      </fill>
    </dxf>
    <dxf>
      <fill>
        <patternFill>
          <bgColor indexed="42"/>
        </patternFill>
      </fill>
    </dxf>
    <dxf>
      <fill>
        <patternFill>
          <bgColor rgb="FF99FF66"/>
        </patternFill>
      </fill>
    </dxf>
    <dxf>
      <fill>
        <patternFill>
          <bgColor rgb="FF99FF66"/>
        </patternFill>
      </fill>
    </dxf>
    <dxf>
      <fill>
        <patternFill>
          <bgColor indexed="43"/>
        </patternFill>
      </fill>
    </dxf>
    <dxf>
      <fill>
        <patternFill>
          <bgColor rgb="FFCCFFCC"/>
        </patternFill>
      </fill>
    </dxf>
    <dxf>
      <fill>
        <patternFill>
          <bgColor indexed="42"/>
        </patternFill>
      </fill>
    </dxf>
    <dxf>
      <fill>
        <patternFill>
          <bgColor rgb="FFCCFFCC"/>
        </patternFill>
      </fill>
    </dxf>
    <dxf>
      <fill>
        <patternFill>
          <bgColor indexed="42"/>
        </patternFill>
      </fill>
    </dxf>
    <dxf>
      <fill>
        <patternFill>
          <bgColor indexed="10"/>
        </patternFill>
      </fill>
    </dxf>
    <dxf>
      <fill>
        <patternFill>
          <bgColor indexed="10"/>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2"/>
        </patternFill>
      </fill>
    </dxf>
    <dxf>
      <fill>
        <patternFill>
          <bgColor rgb="FF99FF66"/>
        </patternFill>
      </fill>
    </dxf>
    <dxf>
      <fill>
        <patternFill>
          <bgColor rgb="FFCCFFCC"/>
        </patternFill>
      </fill>
    </dxf>
    <dxf>
      <fill>
        <patternFill>
          <bgColor indexed="10"/>
        </patternFill>
      </fill>
    </dxf>
    <dxf>
      <fill>
        <patternFill>
          <bgColor rgb="FFCCFFCC"/>
        </patternFill>
      </fill>
    </dxf>
    <dxf>
      <fill>
        <patternFill>
          <bgColor rgb="FF99FF66"/>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rgb="FF99FF66"/>
        </patternFill>
      </fill>
    </dxf>
    <dxf>
      <fill>
        <patternFill>
          <bgColor indexed="10"/>
        </patternFill>
      </fill>
    </dxf>
    <dxf>
      <fill>
        <patternFill>
          <bgColor rgb="FF99FF66"/>
        </patternFill>
      </fill>
    </dxf>
    <dxf>
      <fill>
        <patternFill>
          <bgColor indexed="42"/>
        </patternFill>
      </fill>
    </dxf>
    <dxf>
      <fill>
        <patternFill>
          <bgColor rgb="FFCCFFCC"/>
        </patternFill>
      </fill>
    </dxf>
    <dxf>
      <fill>
        <patternFill>
          <bgColor rgb="FFCCFFCC"/>
        </patternFill>
      </fill>
    </dxf>
    <dxf>
      <fill>
        <patternFill>
          <bgColor indexed="42"/>
        </patternFill>
      </fill>
    </dxf>
    <dxf>
      <fill>
        <patternFill>
          <bgColor rgb="FF99FF66"/>
        </patternFill>
      </fill>
    </dxf>
    <dxf>
      <fill>
        <patternFill>
          <bgColor indexed="10"/>
        </patternFill>
      </fill>
    </dxf>
    <dxf>
      <fill>
        <patternFill>
          <bgColor indexed="42"/>
        </patternFill>
      </fill>
    </dxf>
    <dxf>
      <fill>
        <patternFill>
          <bgColor rgb="FF99FF66"/>
        </patternFill>
      </fill>
    </dxf>
    <dxf>
      <fill>
        <patternFill>
          <bgColor rgb="FFFF7C80"/>
        </patternFill>
      </fill>
    </dxf>
    <dxf>
      <fill>
        <patternFill>
          <bgColor rgb="FFCCFFCC"/>
        </patternFill>
      </fill>
    </dxf>
    <dxf>
      <fill>
        <patternFill>
          <bgColor rgb="FFCCFFCC"/>
        </patternFill>
      </fill>
    </dxf>
    <dxf>
      <fill>
        <patternFill>
          <bgColor rgb="FF99FF66"/>
        </patternFill>
      </fill>
    </dxf>
    <dxf>
      <fill>
        <patternFill>
          <bgColor indexed="42"/>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indexed="43"/>
        </patternFill>
      </fill>
    </dxf>
    <dxf>
      <fill>
        <patternFill>
          <bgColor rgb="FF99FF66"/>
        </patternFill>
      </fill>
    </dxf>
    <dxf>
      <fill>
        <patternFill>
          <bgColor indexed="42"/>
        </patternFill>
      </fill>
    </dxf>
    <dxf>
      <fill>
        <patternFill>
          <bgColor rgb="FFCCFFCC"/>
        </patternFill>
      </fill>
    </dxf>
    <dxf>
      <fill>
        <patternFill>
          <bgColor indexed="10"/>
        </patternFill>
      </fill>
    </dxf>
    <dxf>
      <fill>
        <patternFill>
          <bgColor indexed="42"/>
        </patternFill>
      </fill>
    </dxf>
    <dxf>
      <fill>
        <patternFill>
          <bgColor indexed="10"/>
        </patternFill>
      </fill>
    </dxf>
    <dxf>
      <fill>
        <patternFill>
          <bgColor indexed="42"/>
        </patternFill>
      </fill>
    </dxf>
    <dxf>
      <fill>
        <patternFill>
          <bgColor indexed="10"/>
        </patternFill>
      </fill>
    </dxf>
    <dxf>
      <fill>
        <patternFill>
          <bgColor indexed="42"/>
        </patternFill>
      </fill>
    </dxf>
    <dxf>
      <fill>
        <patternFill>
          <bgColor indexed="10"/>
        </patternFill>
      </fill>
    </dxf>
    <dxf>
      <fill>
        <patternFill patternType="solid">
          <bgColor theme="0"/>
        </patternFill>
      </fill>
    </dxf>
    <dxf>
      <fill>
        <patternFill>
          <bgColor rgb="FF99FF66"/>
        </patternFill>
      </fill>
    </dxf>
    <dxf>
      <fill>
        <patternFill>
          <bgColor indexed="43"/>
        </patternFill>
      </fill>
    </dxf>
    <dxf>
      <fill>
        <patternFill>
          <bgColor indexed="43"/>
        </patternFill>
      </fill>
    </dxf>
    <dxf>
      <fill>
        <patternFill>
          <bgColor indexed="42"/>
        </patternFill>
      </fill>
    </dxf>
    <dxf>
      <fill>
        <patternFill>
          <bgColor indexed="10"/>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DCE6F1"/>
        </patternFill>
      </fill>
    </dxf>
    <dxf>
      <fill>
        <patternFill>
          <bgColor rgb="FFFFFF99"/>
        </patternFill>
      </fill>
    </dxf>
    <dxf>
      <fill>
        <patternFill>
          <bgColor rgb="FFFFFF99"/>
        </patternFill>
      </fill>
    </dxf>
    <dxf>
      <fill>
        <patternFill>
          <bgColor rgb="FFC0C0C0"/>
        </patternFill>
      </fill>
    </dxf>
    <dxf>
      <font>
        <color rgb="FF9C0006"/>
      </font>
      <fill>
        <patternFill>
          <bgColor rgb="FFFFC7CE"/>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rgb="FFC0C0C0"/>
        </patternFill>
      </fill>
    </dxf>
    <dxf>
      <fill>
        <patternFill>
          <bgColor rgb="FFC0C0C0"/>
        </patternFill>
      </fill>
    </dxf>
    <dxf>
      <fill>
        <patternFill patternType="lightUp">
          <fgColor theme="1"/>
        </patternFill>
      </fill>
    </dxf>
    <dxf>
      <fill>
        <patternFill patternType="lightUp">
          <fgColor theme="1"/>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theme="0" tint="-0.24994659260841701"/>
        </patternFill>
      </fill>
    </dxf>
    <dxf>
      <fill>
        <patternFill>
          <bgColor indexed="22"/>
        </patternFill>
      </fill>
    </dxf>
    <dxf>
      <font>
        <b val="0"/>
        <i val="0"/>
        <strike val="0"/>
        <condense val="0"/>
        <extend val="0"/>
        <outline val="0"/>
        <shadow val="0"/>
        <u val="none"/>
        <vertAlign val="baseline"/>
        <sz val="8"/>
        <color indexed="8"/>
        <name val="Arial"/>
        <scheme val="none"/>
      </font>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8"/>
        <color indexed="8"/>
        <name val="Arial"/>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auto="1"/>
        <name val="Arial"/>
        <scheme val="none"/>
      </font>
      <border diagonalUp="0" diagonalDown="0" outline="0">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8"/>
        <color indexed="8"/>
        <name val="Arial"/>
        <scheme val="none"/>
      </font>
    </dxf>
    <dxf>
      <border outline="0">
        <bottom style="thin">
          <color indexed="64"/>
        </bottom>
      </border>
    </dxf>
    <dxf>
      <font>
        <b/>
        <i val="0"/>
        <strike val="0"/>
        <condense val="0"/>
        <extend val="0"/>
        <outline val="0"/>
        <shadow val="0"/>
        <u val="none"/>
        <vertAlign val="baseline"/>
        <sz val="8"/>
        <color auto="1"/>
        <name val="Arial"/>
        <scheme val="none"/>
      </font>
      <border diagonalUp="0" diagonalDown="0" outline="0">
        <left style="thin">
          <color indexed="64"/>
        </left>
        <right style="thin">
          <color indexed="64"/>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7C80"/>
      <rgbColor rgb="0099FF66"/>
      <rgbColor rgb="000000FF"/>
      <rgbColor rgb="00FFFF00"/>
      <rgbColor rgb="00FF00FF"/>
      <rgbColor rgb="0000B0AC"/>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CE6F1"/>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CE6F1"/>
      <color rgb="FFC0C0C0"/>
      <color rgb="FF808080"/>
      <color rgb="FFCCFFCC"/>
      <color rgb="FFFF7C80"/>
      <color rgb="FFFFFF99"/>
      <color rgb="FF99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1.png"/><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1.png"/><Relationship Id="rId1"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7</xdr:col>
      <xdr:colOff>542925</xdr:colOff>
      <xdr:row>11</xdr:row>
      <xdr:rowOff>4762</xdr:rowOff>
    </xdr:from>
    <xdr:to>
      <xdr:col>8</xdr:col>
      <xdr:colOff>0</xdr:colOff>
      <xdr:row>11</xdr:row>
      <xdr:rowOff>100012</xdr:rowOff>
    </xdr:to>
    <xdr:pic>
      <xdr:nvPicPr>
        <xdr:cNvPr id="236031" name="Grafik 23">
          <a:extLst>
            <a:ext uri="{FF2B5EF4-FFF2-40B4-BE49-F238E27FC236}">
              <a16:creationId xmlns:a16="http://schemas.microsoft.com/office/drawing/2014/main" id="{00000000-0008-0000-0000-0000FF99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3225" y="1843087"/>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695325</xdr:colOff>
      <xdr:row>5</xdr:row>
      <xdr:rowOff>4762</xdr:rowOff>
    </xdr:from>
    <xdr:to>
      <xdr:col>3</xdr:col>
      <xdr:colOff>0</xdr:colOff>
      <xdr:row>5</xdr:row>
      <xdr:rowOff>100012</xdr:rowOff>
    </xdr:to>
    <xdr:pic>
      <xdr:nvPicPr>
        <xdr:cNvPr id="236032" name="Grafik 26">
          <a:extLst>
            <a:ext uri="{FF2B5EF4-FFF2-40B4-BE49-F238E27FC236}">
              <a16:creationId xmlns:a16="http://schemas.microsoft.com/office/drawing/2014/main" id="{00000000-0008-0000-0000-0000009A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3175" y="1023937"/>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542925</xdr:colOff>
      <xdr:row>20</xdr:row>
      <xdr:rowOff>4763</xdr:rowOff>
    </xdr:from>
    <xdr:to>
      <xdr:col>8</xdr:col>
      <xdr:colOff>0</xdr:colOff>
      <xdr:row>20</xdr:row>
      <xdr:rowOff>109538</xdr:rowOff>
    </xdr:to>
    <xdr:pic>
      <xdr:nvPicPr>
        <xdr:cNvPr id="236035" name="Grafik 22">
          <a:extLst>
            <a:ext uri="{FF2B5EF4-FFF2-40B4-BE49-F238E27FC236}">
              <a16:creationId xmlns:a16="http://schemas.microsoft.com/office/drawing/2014/main" id="{00000000-0008-0000-0000-0000039A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3225" y="3519488"/>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38100</xdr:colOff>
      <xdr:row>24</xdr:row>
      <xdr:rowOff>38100</xdr:rowOff>
    </xdr:from>
    <xdr:to>
      <xdr:col>9</xdr:col>
      <xdr:colOff>38100</xdr:colOff>
      <xdr:row>24</xdr:row>
      <xdr:rowOff>142875</xdr:rowOff>
    </xdr:to>
    <xdr:pic>
      <xdr:nvPicPr>
        <xdr:cNvPr id="236036" name="Grafik 18">
          <a:extLst>
            <a:ext uri="{FF2B5EF4-FFF2-40B4-BE49-F238E27FC236}">
              <a16:creationId xmlns:a16="http://schemas.microsoft.com/office/drawing/2014/main" id="{00000000-0008-0000-0000-0000049A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53250" y="51149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542925</xdr:colOff>
      <xdr:row>13</xdr:row>
      <xdr:rowOff>4763</xdr:rowOff>
    </xdr:from>
    <xdr:to>
      <xdr:col>8</xdr:col>
      <xdr:colOff>0</xdr:colOff>
      <xdr:row>13</xdr:row>
      <xdr:rowOff>100013</xdr:rowOff>
    </xdr:to>
    <xdr:pic>
      <xdr:nvPicPr>
        <xdr:cNvPr id="236047" name="Grafik 23">
          <a:extLst>
            <a:ext uri="{FF2B5EF4-FFF2-40B4-BE49-F238E27FC236}">
              <a16:creationId xmlns:a16="http://schemas.microsoft.com/office/drawing/2014/main" id="{00000000-0008-0000-0000-00000F9A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53225" y="2119313"/>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733425</xdr:colOff>
      <xdr:row>11</xdr:row>
      <xdr:rowOff>0</xdr:rowOff>
    </xdr:from>
    <xdr:to>
      <xdr:col>4</xdr:col>
      <xdr:colOff>9525</xdr:colOff>
      <xdr:row>11</xdr:row>
      <xdr:rowOff>95250</xdr:rowOff>
    </xdr:to>
    <xdr:pic>
      <xdr:nvPicPr>
        <xdr:cNvPr id="236049" name="Grafik 23">
          <a:extLst>
            <a:ext uri="{FF2B5EF4-FFF2-40B4-BE49-F238E27FC236}">
              <a16:creationId xmlns:a16="http://schemas.microsoft.com/office/drawing/2014/main" id="{00000000-0008-0000-0000-0000119A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895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807720</xdr:colOff>
      <xdr:row>0</xdr:row>
      <xdr:rowOff>22860</xdr:rowOff>
    </xdr:from>
    <xdr:to>
      <xdr:col>8</xdr:col>
      <xdr:colOff>2164</xdr:colOff>
      <xdr:row>4</xdr:row>
      <xdr:rowOff>131008</xdr:rowOff>
    </xdr:to>
    <xdr:pic>
      <xdr:nvPicPr>
        <xdr:cNvPr id="23" name="Grafik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65320" y="22860"/>
          <a:ext cx="1724284" cy="729178"/>
        </a:xfrm>
        <a:prstGeom prst="rect">
          <a:avLst/>
        </a:prstGeom>
      </xdr:spPr>
    </xdr:pic>
    <xdr:clientData/>
  </xdr:twoCellAnchor>
  <xdr:twoCellAnchor editAs="oneCell">
    <xdr:from>
      <xdr:col>0</xdr:col>
      <xdr:colOff>1228725</xdr:colOff>
      <xdr:row>24</xdr:row>
      <xdr:rowOff>9525</xdr:rowOff>
    </xdr:from>
    <xdr:to>
      <xdr:col>0</xdr:col>
      <xdr:colOff>1331656</xdr:colOff>
      <xdr:row>24</xdr:row>
      <xdr:rowOff>114300</xdr:rowOff>
    </xdr:to>
    <xdr:pic>
      <xdr:nvPicPr>
        <xdr:cNvPr id="42" name="Grafik 22">
          <a:extLst>
            <a:ext uri="{FF2B5EF4-FFF2-40B4-BE49-F238E27FC236}">
              <a16:creationId xmlns:a16="http://schemas.microsoft.com/office/drawing/2014/main" id="{8F787AD0-546B-44D6-B762-88D819F638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725" y="4286250"/>
          <a:ext cx="1029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1228725</xdr:colOff>
      <xdr:row>27</xdr:row>
      <xdr:rowOff>4763</xdr:rowOff>
    </xdr:from>
    <xdr:to>
      <xdr:col>0</xdr:col>
      <xdr:colOff>1331656</xdr:colOff>
      <xdr:row>27</xdr:row>
      <xdr:rowOff>109538</xdr:rowOff>
    </xdr:to>
    <xdr:pic>
      <xdr:nvPicPr>
        <xdr:cNvPr id="43" name="Grafik 22">
          <a:extLst>
            <a:ext uri="{FF2B5EF4-FFF2-40B4-BE49-F238E27FC236}">
              <a16:creationId xmlns:a16="http://schemas.microsoft.com/office/drawing/2014/main" id="{7BD7B55F-0688-4B16-9C4B-DDF2D1BB4A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725" y="5414963"/>
          <a:ext cx="1029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647700</xdr:colOff>
      <xdr:row>27</xdr:row>
      <xdr:rowOff>4762</xdr:rowOff>
    </xdr:from>
    <xdr:to>
      <xdr:col>2</xdr:col>
      <xdr:colOff>2459</xdr:colOff>
      <xdr:row>27</xdr:row>
      <xdr:rowOff>109537</xdr:rowOff>
    </xdr:to>
    <xdr:pic>
      <xdr:nvPicPr>
        <xdr:cNvPr id="45" name="Grafik 22">
          <a:extLst>
            <a:ext uri="{FF2B5EF4-FFF2-40B4-BE49-F238E27FC236}">
              <a16:creationId xmlns:a16="http://schemas.microsoft.com/office/drawing/2014/main" id="{B671A6CD-51E2-4840-93B0-5A74FDB586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3075" y="5414962"/>
          <a:ext cx="107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690562</xdr:colOff>
      <xdr:row>27</xdr:row>
      <xdr:rowOff>4762</xdr:rowOff>
    </xdr:from>
    <xdr:to>
      <xdr:col>2</xdr:col>
      <xdr:colOff>797795</xdr:colOff>
      <xdr:row>27</xdr:row>
      <xdr:rowOff>109537</xdr:rowOff>
    </xdr:to>
    <xdr:pic>
      <xdr:nvPicPr>
        <xdr:cNvPr id="46" name="Grafik 22">
          <a:extLst>
            <a:ext uri="{FF2B5EF4-FFF2-40B4-BE49-F238E27FC236}">
              <a16:creationId xmlns:a16="http://schemas.microsoft.com/office/drawing/2014/main" id="{FCBFD325-972A-4DDB-B207-726C7C1396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38412" y="5414962"/>
          <a:ext cx="10723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806768</xdr:colOff>
      <xdr:row>27</xdr:row>
      <xdr:rowOff>4763</xdr:rowOff>
    </xdr:from>
    <xdr:to>
      <xdr:col>5</xdr:col>
      <xdr:colOff>2515</xdr:colOff>
      <xdr:row>27</xdr:row>
      <xdr:rowOff>109538</xdr:rowOff>
    </xdr:to>
    <xdr:pic>
      <xdr:nvPicPr>
        <xdr:cNvPr id="47" name="Grafik 22">
          <a:extLst>
            <a:ext uri="{FF2B5EF4-FFF2-40B4-BE49-F238E27FC236}">
              <a16:creationId xmlns:a16="http://schemas.microsoft.com/office/drawing/2014/main" id="{70BA853C-C2BC-44C3-8D88-C40155FF72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3393" y="5414963"/>
          <a:ext cx="100622"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642938</xdr:colOff>
      <xdr:row>28</xdr:row>
      <xdr:rowOff>4763</xdr:rowOff>
    </xdr:from>
    <xdr:to>
      <xdr:col>1</xdr:col>
      <xdr:colOff>750172</xdr:colOff>
      <xdr:row>28</xdr:row>
      <xdr:rowOff>109538</xdr:rowOff>
    </xdr:to>
    <xdr:pic>
      <xdr:nvPicPr>
        <xdr:cNvPr id="48" name="Grafik 22">
          <a:extLst>
            <a:ext uri="{FF2B5EF4-FFF2-40B4-BE49-F238E27FC236}">
              <a16:creationId xmlns:a16="http://schemas.microsoft.com/office/drawing/2014/main" id="{FE48D4D2-813F-4536-A7B6-341DEF666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8313" y="5605463"/>
          <a:ext cx="107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642938</xdr:colOff>
      <xdr:row>29</xdr:row>
      <xdr:rowOff>4762</xdr:rowOff>
    </xdr:from>
    <xdr:to>
      <xdr:col>1</xdr:col>
      <xdr:colOff>750172</xdr:colOff>
      <xdr:row>29</xdr:row>
      <xdr:rowOff>109537</xdr:rowOff>
    </xdr:to>
    <xdr:pic>
      <xdr:nvPicPr>
        <xdr:cNvPr id="49" name="Grafik 22">
          <a:extLst>
            <a:ext uri="{FF2B5EF4-FFF2-40B4-BE49-F238E27FC236}">
              <a16:creationId xmlns:a16="http://schemas.microsoft.com/office/drawing/2014/main" id="{F747D185-9B4D-4F9F-A9B1-4F0424A257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8313" y="5795962"/>
          <a:ext cx="10723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733425</xdr:colOff>
      <xdr:row>28</xdr:row>
      <xdr:rowOff>9525</xdr:rowOff>
    </xdr:from>
    <xdr:to>
      <xdr:col>4</xdr:col>
      <xdr:colOff>11983</xdr:colOff>
      <xdr:row>28</xdr:row>
      <xdr:rowOff>114300</xdr:rowOff>
    </xdr:to>
    <xdr:pic>
      <xdr:nvPicPr>
        <xdr:cNvPr id="50" name="Grafik 22">
          <a:extLst>
            <a:ext uri="{FF2B5EF4-FFF2-40B4-BE49-F238E27FC236}">
              <a16:creationId xmlns:a16="http://schemas.microsoft.com/office/drawing/2014/main" id="{83A63D2E-D152-4BC1-87F2-55873F9D7CC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5667375"/>
          <a:ext cx="10723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695325</xdr:colOff>
      <xdr:row>29</xdr:row>
      <xdr:rowOff>9525</xdr:rowOff>
    </xdr:from>
    <xdr:to>
      <xdr:col>3</xdr:col>
      <xdr:colOff>2458</xdr:colOff>
      <xdr:row>29</xdr:row>
      <xdr:rowOff>114300</xdr:rowOff>
    </xdr:to>
    <xdr:pic>
      <xdr:nvPicPr>
        <xdr:cNvPr id="51" name="Grafik 22">
          <a:extLst>
            <a:ext uri="{FF2B5EF4-FFF2-40B4-BE49-F238E27FC236}">
              <a16:creationId xmlns:a16="http://schemas.microsoft.com/office/drawing/2014/main" id="{0A4EEB5C-C9CA-49A7-9B25-58CABFE978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3175" y="5857875"/>
          <a:ext cx="10723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733425</xdr:colOff>
      <xdr:row>29</xdr:row>
      <xdr:rowOff>9525</xdr:rowOff>
    </xdr:from>
    <xdr:to>
      <xdr:col>4</xdr:col>
      <xdr:colOff>11983</xdr:colOff>
      <xdr:row>29</xdr:row>
      <xdr:rowOff>114300</xdr:rowOff>
    </xdr:to>
    <xdr:pic>
      <xdr:nvPicPr>
        <xdr:cNvPr id="54" name="Grafik 22">
          <a:extLst>
            <a:ext uri="{FF2B5EF4-FFF2-40B4-BE49-F238E27FC236}">
              <a16:creationId xmlns:a16="http://schemas.microsoft.com/office/drawing/2014/main" id="{B8FBC500-D121-4B5E-9C6A-99E65E8555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5857875"/>
          <a:ext cx="10723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719137</xdr:colOff>
      <xdr:row>27</xdr:row>
      <xdr:rowOff>4763</xdr:rowOff>
    </xdr:from>
    <xdr:ext cx="107233" cy="104775"/>
    <xdr:pic>
      <xdr:nvPicPr>
        <xdr:cNvPr id="56" name="Grafik 22">
          <a:extLst>
            <a:ext uri="{FF2B5EF4-FFF2-40B4-BE49-F238E27FC236}">
              <a16:creationId xmlns:a16="http://schemas.microsoft.com/office/drawing/2014/main" id="{002E679F-3663-4214-9B18-B76C2A8B07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7087" y="5414963"/>
          <a:ext cx="107233"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7</xdr:col>
      <xdr:colOff>558800</xdr:colOff>
      <xdr:row>27</xdr:row>
      <xdr:rowOff>7938</xdr:rowOff>
    </xdr:from>
    <xdr:to>
      <xdr:col>8</xdr:col>
      <xdr:colOff>10856</xdr:colOff>
      <xdr:row>27</xdr:row>
      <xdr:rowOff>112713</xdr:rowOff>
    </xdr:to>
    <xdr:pic>
      <xdr:nvPicPr>
        <xdr:cNvPr id="59" name="Grafik 22">
          <a:extLst>
            <a:ext uri="{FF2B5EF4-FFF2-40B4-BE49-F238E27FC236}">
              <a16:creationId xmlns:a16="http://schemas.microsoft.com/office/drawing/2014/main" id="{ED3DF0A4-A05B-4B52-AA8E-50E5678A10D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73863" y="5405438"/>
          <a:ext cx="102931"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733425</xdr:colOff>
      <xdr:row>13</xdr:row>
      <xdr:rowOff>0</xdr:rowOff>
    </xdr:from>
    <xdr:ext cx="104775" cy="95250"/>
    <xdr:pic>
      <xdr:nvPicPr>
        <xdr:cNvPr id="2" name="Grafik 23">
          <a:extLst>
            <a:ext uri="{FF2B5EF4-FFF2-40B4-BE49-F238E27FC236}">
              <a16:creationId xmlns:a16="http://schemas.microsoft.com/office/drawing/2014/main" id="{824B215E-D30E-4B77-80D7-3F688FAB9B0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83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733425</xdr:colOff>
      <xdr:row>15</xdr:row>
      <xdr:rowOff>0</xdr:rowOff>
    </xdr:from>
    <xdr:ext cx="104775" cy="95250"/>
    <xdr:pic>
      <xdr:nvPicPr>
        <xdr:cNvPr id="3" name="Grafik 23">
          <a:extLst>
            <a:ext uri="{FF2B5EF4-FFF2-40B4-BE49-F238E27FC236}">
              <a16:creationId xmlns:a16="http://schemas.microsoft.com/office/drawing/2014/main" id="{FD5BDBA9-0840-4FE0-9DAE-626E70BD4C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81375" y="1838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5</xdr:col>
      <xdr:colOff>1333500</xdr:colOff>
      <xdr:row>5</xdr:row>
      <xdr:rowOff>9525</xdr:rowOff>
    </xdr:from>
    <xdr:to>
      <xdr:col>6</xdr:col>
      <xdr:colOff>0</xdr:colOff>
      <xdr:row>5</xdr:row>
      <xdr:rowOff>114300</xdr:rowOff>
    </xdr:to>
    <xdr:pic>
      <xdr:nvPicPr>
        <xdr:cNvPr id="234692" name="Grafik 3">
          <a:extLst>
            <a:ext uri="{FF2B5EF4-FFF2-40B4-BE49-F238E27FC236}">
              <a16:creationId xmlns:a16="http://schemas.microsoft.com/office/drawing/2014/main" id="{00000000-0008-0000-1200-0000C4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904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1333500</xdr:colOff>
      <xdr:row>7</xdr:row>
      <xdr:rowOff>9525</xdr:rowOff>
    </xdr:from>
    <xdr:to>
      <xdr:col>6</xdr:col>
      <xdr:colOff>0</xdr:colOff>
      <xdr:row>7</xdr:row>
      <xdr:rowOff>104775</xdr:rowOff>
    </xdr:to>
    <xdr:pic>
      <xdr:nvPicPr>
        <xdr:cNvPr id="234693" name="Grafik 4">
          <a:extLst>
            <a:ext uri="{FF2B5EF4-FFF2-40B4-BE49-F238E27FC236}">
              <a16:creationId xmlns:a16="http://schemas.microsoft.com/office/drawing/2014/main" id="{00000000-0008-0000-1200-0000C5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11811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1285875</xdr:colOff>
      <xdr:row>7</xdr:row>
      <xdr:rowOff>9525</xdr:rowOff>
    </xdr:from>
    <xdr:to>
      <xdr:col>3</xdr:col>
      <xdr:colOff>0</xdr:colOff>
      <xdr:row>7</xdr:row>
      <xdr:rowOff>114300</xdr:rowOff>
    </xdr:to>
    <xdr:pic>
      <xdr:nvPicPr>
        <xdr:cNvPr id="234694" name="Grafik 5">
          <a:extLst>
            <a:ext uri="{FF2B5EF4-FFF2-40B4-BE49-F238E27FC236}">
              <a16:creationId xmlns:a16="http://schemas.microsoft.com/office/drawing/2014/main" id="{00000000-0008-0000-1200-0000C6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1181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1428750</xdr:colOff>
      <xdr:row>16</xdr:row>
      <xdr:rowOff>9525</xdr:rowOff>
    </xdr:from>
    <xdr:to>
      <xdr:col>2</xdr:col>
      <xdr:colOff>0</xdr:colOff>
      <xdr:row>16</xdr:row>
      <xdr:rowOff>114300</xdr:rowOff>
    </xdr:to>
    <xdr:pic>
      <xdr:nvPicPr>
        <xdr:cNvPr id="234695" name="Grafik 5">
          <a:extLst>
            <a:ext uri="{FF2B5EF4-FFF2-40B4-BE49-F238E27FC236}">
              <a16:creationId xmlns:a16="http://schemas.microsoft.com/office/drawing/2014/main" id="{00000000-0008-0000-1200-0000C794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1725" y="2533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885825</xdr:colOff>
      <xdr:row>1</xdr:row>
      <xdr:rowOff>28575</xdr:rowOff>
    </xdr:from>
    <xdr:to>
      <xdr:col>6</xdr:col>
      <xdr:colOff>695325</xdr:colOff>
      <xdr:row>2</xdr:row>
      <xdr:rowOff>114300</xdr:rowOff>
    </xdr:to>
    <xdr:pic>
      <xdr:nvPicPr>
        <xdr:cNvPr id="234696" name="Grafik 1">
          <a:extLst>
            <a:ext uri="{FF2B5EF4-FFF2-40B4-BE49-F238E27FC236}">
              <a16:creationId xmlns:a16="http://schemas.microsoft.com/office/drawing/2014/main" id="{00000000-0008-0000-1200-0000C894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52400"/>
          <a:ext cx="12573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1276350</xdr:colOff>
      <xdr:row>4</xdr:row>
      <xdr:rowOff>0</xdr:rowOff>
    </xdr:from>
    <xdr:to>
      <xdr:col>5</xdr:col>
      <xdr:colOff>0</xdr:colOff>
      <xdr:row>4</xdr:row>
      <xdr:rowOff>104775</xdr:rowOff>
    </xdr:to>
    <xdr:pic>
      <xdr:nvPicPr>
        <xdr:cNvPr id="3" name="Grafik 15">
          <a:extLst>
            <a:ext uri="{FF2B5EF4-FFF2-40B4-BE49-F238E27FC236}">
              <a16:creationId xmlns:a16="http://schemas.microsoft.com/office/drawing/2014/main" id="{BC9D52DC-E9B7-477D-A926-16FAA42162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2512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1295400</xdr:colOff>
      <xdr:row>9</xdr:row>
      <xdr:rowOff>9525</xdr:rowOff>
    </xdr:from>
    <xdr:to>
      <xdr:col>4</xdr:col>
      <xdr:colOff>0</xdr:colOff>
      <xdr:row>9</xdr:row>
      <xdr:rowOff>114300</xdr:rowOff>
    </xdr:to>
    <xdr:pic>
      <xdr:nvPicPr>
        <xdr:cNvPr id="4" name="Grafik 15">
          <a:extLst>
            <a:ext uri="{FF2B5EF4-FFF2-40B4-BE49-F238E27FC236}">
              <a16:creationId xmlns:a16="http://schemas.microsoft.com/office/drawing/2014/main" id="{65CA6528-3700-4493-B744-EEF1CFE6AC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3050"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EEF6BA42-8D9A-472A-9029-FE3DD0F6F33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25125" y="2047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6" name="Grafik 15">
          <a:extLst>
            <a:ext uri="{FF2B5EF4-FFF2-40B4-BE49-F238E27FC236}">
              <a16:creationId xmlns:a16="http://schemas.microsoft.com/office/drawing/2014/main" id="{070B879D-EE41-40E3-985F-B38DAB696D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800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1352550</xdr:colOff>
      <xdr:row>0</xdr:row>
      <xdr:rowOff>0</xdr:rowOff>
    </xdr:from>
    <xdr:to>
      <xdr:col>4</xdr:col>
      <xdr:colOff>1377950</xdr:colOff>
      <xdr:row>3</xdr:row>
      <xdr:rowOff>132817</xdr:rowOff>
    </xdr:to>
    <xdr:pic>
      <xdr:nvPicPr>
        <xdr:cNvPr id="7" name="Grafik 1">
          <a:extLst>
            <a:ext uri="{FF2B5EF4-FFF2-40B4-BE49-F238E27FC236}">
              <a16:creationId xmlns:a16="http://schemas.microsoft.com/office/drawing/2014/main" id="{90D68828-6781-4C97-B488-9F6924EC1249}"/>
            </a:ext>
          </a:extLst>
        </xdr:cNvPr>
        <xdr:cNvPicPr>
          <a:picLocks noChangeAspect="1"/>
        </xdr:cNvPicPr>
      </xdr:nvPicPr>
      <xdr:blipFill>
        <a:blip xmlns:r="http://schemas.openxmlformats.org/officeDocument/2006/relationships" r:embed="rId2"/>
        <a:stretch>
          <a:fillRect/>
        </a:stretch>
      </xdr:blipFill>
      <xdr:spPr>
        <a:xfrm>
          <a:off x="9220200" y="0"/>
          <a:ext cx="1425575" cy="6185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771525</xdr:colOff>
      <xdr:row>5</xdr:row>
      <xdr:rowOff>9525</xdr:rowOff>
    </xdr:from>
    <xdr:to>
      <xdr:col>2</xdr:col>
      <xdr:colOff>0</xdr:colOff>
      <xdr:row>5</xdr:row>
      <xdr:rowOff>114300</xdr:rowOff>
    </xdr:to>
    <xdr:pic>
      <xdr:nvPicPr>
        <xdr:cNvPr id="3" name="Grafik 15">
          <a:extLst>
            <a:ext uri="{FF2B5EF4-FFF2-40B4-BE49-F238E27FC236}">
              <a16:creationId xmlns:a16="http://schemas.microsoft.com/office/drawing/2014/main" id="{BA2121E5-864C-4D55-A163-E21009FE9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4797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2990850</xdr:colOff>
      <xdr:row>5</xdr:row>
      <xdr:rowOff>9525</xdr:rowOff>
    </xdr:from>
    <xdr:to>
      <xdr:col>4</xdr:col>
      <xdr:colOff>9525</xdr:colOff>
      <xdr:row>5</xdr:row>
      <xdr:rowOff>114300</xdr:rowOff>
    </xdr:to>
    <xdr:pic>
      <xdr:nvPicPr>
        <xdr:cNvPr id="4" name="Grafik 15">
          <a:extLst>
            <a:ext uri="{FF2B5EF4-FFF2-40B4-BE49-F238E27FC236}">
              <a16:creationId xmlns:a16="http://schemas.microsoft.com/office/drawing/2014/main" id="{C0F027B2-2AB7-4F3D-82C3-503E26617E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05675"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5</xdr:row>
      <xdr:rowOff>9525</xdr:rowOff>
    </xdr:from>
    <xdr:to>
      <xdr:col>5</xdr:col>
      <xdr:colOff>0</xdr:colOff>
      <xdr:row>5</xdr:row>
      <xdr:rowOff>114300</xdr:rowOff>
    </xdr:to>
    <xdr:pic>
      <xdr:nvPicPr>
        <xdr:cNvPr id="5" name="Grafik 15">
          <a:extLst>
            <a:ext uri="{FF2B5EF4-FFF2-40B4-BE49-F238E27FC236}">
              <a16:creationId xmlns:a16="http://schemas.microsoft.com/office/drawing/2014/main" id="{65A8273B-C169-4ADA-9F61-A24C834C9B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43900" y="80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1703668</xdr:colOff>
      <xdr:row>0</xdr:row>
      <xdr:rowOff>0</xdr:rowOff>
    </xdr:from>
    <xdr:to>
      <xdr:col>8</xdr:col>
      <xdr:colOff>894</xdr:colOff>
      <xdr:row>3</xdr:row>
      <xdr:rowOff>142875</xdr:rowOff>
    </xdr:to>
    <xdr:pic>
      <xdr:nvPicPr>
        <xdr:cNvPr id="6" name="Grafik 6">
          <a:extLst>
            <a:ext uri="{FF2B5EF4-FFF2-40B4-BE49-F238E27FC236}">
              <a16:creationId xmlns:a16="http://schemas.microsoft.com/office/drawing/2014/main" id="{CDF22938-FAEB-4B90-B11C-230CE6A125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285943" y="0"/>
          <a:ext cx="1345226" cy="6286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962025</xdr:colOff>
      <xdr:row>5</xdr:row>
      <xdr:rowOff>9525</xdr:rowOff>
    </xdr:from>
    <xdr:to>
      <xdr:col>2</xdr:col>
      <xdr:colOff>9525</xdr:colOff>
      <xdr:row>5</xdr:row>
      <xdr:rowOff>114300</xdr:rowOff>
    </xdr:to>
    <xdr:pic>
      <xdr:nvPicPr>
        <xdr:cNvPr id="3" name="Grafik 15">
          <a:extLst>
            <a:ext uri="{FF2B5EF4-FFF2-40B4-BE49-F238E27FC236}">
              <a16:creationId xmlns:a16="http://schemas.microsoft.com/office/drawing/2014/main" id="{4ED06512-8419-4289-B865-58C60386FF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37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3219450</xdr:colOff>
      <xdr:row>5</xdr:row>
      <xdr:rowOff>0</xdr:rowOff>
    </xdr:from>
    <xdr:to>
      <xdr:col>4</xdr:col>
      <xdr:colOff>9525</xdr:colOff>
      <xdr:row>5</xdr:row>
      <xdr:rowOff>104775</xdr:rowOff>
    </xdr:to>
    <xdr:pic>
      <xdr:nvPicPr>
        <xdr:cNvPr id="4" name="Grafik 15">
          <a:extLst>
            <a:ext uri="{FF2B5EF4-FFF2-40B4-BE49-F238E27FC236}">
              <a16:creationId xmlns:a16="http://schemas.microsoft.com/office/drawing/2014/main" id="{507DFC5F-8211-45FE-B69F-FFE09151A6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295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800100</xdr:colOff>
      <xdr:row>5</xdr:row>
      <xdr:rowOff>9525</xdr:rowOff>
    </xdr:from>
    <xdr:to>
      <xdr:col>5</xdr:col>
      <xdr:colOff>9525</xdr:colOff>
      <xdr:row>5</xdr:row>
      <xdr:rowOff>114300</xdr:rowOff>
    </xdr:to>
    <xdr:pic>
      <xdr:nvPicPr>
        <xdr:cNvPr id="5" name="Grafik 15">
          <a:extLst>
            <a:ext uri="{FF2B5EF4-FFF2-40B4-BE49-F238E27FC236}">
              <a16:creationId xmlns:a16="http://schemas.microsoft.com/office/drawing/2014/main" id="{E26165A1-01EE-4042-98D2-A3CD39917F8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2490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1276350</xdr:colOff>
      <xdr:row>5</xdr:row>
      <xdr:rowOff>9525</xdr:rowOff>
    </xdr:from>
    <xdr:to>
      <xdr:col>3</xdr:col>
      <xdr:colOff>0</xdr:colOff>
      <xdr:row>5</xdr:row>
      <xdr:rowOff>114300</xdr:rowOff>
    </xdr:to>
    <xdr:pic>
      <xdr:nvPicPr>
        <xdr:cNvPr id="6" name="Grafik 15">
          <a:extLst>
            <a:ext uri="{FF2B5EF4-FFF2-40B4-BE49-F238E27FC236}">
              <a16:creationId xmlns:a16="http://schemas.microsoft.com/office/drawing/2014/main" id="{E6BB7E54-56D7-4F23-B4DA-5E0E9DD559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05325"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685800</xdr:colOff>
      <xdr:row>5</xdr:row>
      <xdr:rowOff>9525</xdr:rowOff>
    </xdr:from>
    <xdr:to>
      <xdr:col>6</xdr:col>
      <xdr:colOff>0</xdr:colOff>
      <xdr:row>5</xdr:row>
      <xdr:rowOff>114300</xdr:rowOff>
    </xdr:to>
    <xdr:pic>
      <xdr:nvPicPr>
        <xdr:cNvPr id="7" name="Grafik 15">
          <a:extLst>
            <a:ext uri="{FF2B5EF4-FFF2-40B4-BE49-F238E27FC236}">
              <a16:creationId xmlns:a16="http://schemas.microsoft.com/office/drawing/2014/main" id="{38B4311F-9829-45B0-A176-FE09054E52A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695325</xdr:colOff>
      <xdr:row>5</xdr:row>
      <xdr:rowOff>0</xdr:rowOff>
    </xdr:from>
    <xdr:to>
      <xdr:col>7</xdr:col>
      <xdr:colOff>9525</xdr:colOff>
      <xdr:row>5</xdr:row>
      <xdr:rowOff>104775</xdr:rowOff>
    </xdr:to>
    <xdr:pic>
      <xdr:nvPicPr>
        <xdr:cNvPr id="8" name="Grafik 15">
          <a:extLst>
            <a:ext uri="{FF2B5EF4-FFF2-40B4-BE49-F238E27FC236}">
              <a16:creationId xmlns:a16="http://schemas.microsoft.com/office/drawing/2014/main" id="{66A4B6E2-F451-4171-BAB9-39A4345274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06050" y="847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685800</xdr:colOff>
      <xdr:row>22</xdr:row>
      <xdr:rowOff>9525</xdr:rowOff>
    </xdr:from>
    <xdr:to>
      <xdr:col>6</xdr:col>
      <xdr:colOff>0</xdr:colOff>
      <xdr:row>22</xdr:row>
      <xdr:rowOff>114300</xdr:rowOff>
    </xdr:to>
    <xdr:pic>
      <xdr:nvPicPr>
        <xdr:cNvPr id="9" name="Grafik 15">
          <a:extLst>
            <a:ext uri="{FF2B5EF4-FFF2-40B4-BE49-F238E27FC236}">
              <a16:creationId xmlns:a16="http://schemas.microsoft.com/office/drawing/2014/main" id="{889B4F2D-3AC0-48A6-9BFE-7D135CFC51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676275</xdr:colOff>
      <xdr:row>22</xdr:row>
      <xdr:rowOff>9525</xdr:rowOff>
    </xdr:from>
    <xdr:to>
      <xdr:col>6</xdr:col>
      <xdr:colOff>781050</xdr:colOff>
      <xdr:row>22</xdr:row>
      <xdr:rowOff>114300</xdr:rowOff>
    </xdr:to>
    <xdr:pic>
      <xdr:nvPicPr>
        <xdr:cNvPr id="10" name="Grafik 15">
          <a:extLst>
            <a:ext uri="{FF2B5EF4-FFF2-40B4-BE49-F238E27FC236}">
              <a16:creationId xmlns:a16="http://schemas.microsoft.com/office/drawing/2014/main" id="{A576F958-8875-4671-AA07-633FE1518B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0" y="6696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1952624</xdr:colOff>
      <xdr:row>0</xdr:row>
      <xdr:rowOff>1</xdr:rowOff>
    </xdr:from>
    <xdr:to>
      <xdr:col>7</xdr:col>
      <xdr:colOff>3333749</xdr:colOff>
      <xdr:row>3</xdr:row>
      <xdr:rowOff>92150</xdr:rowOff>
    </xdr:to>
    <xdr:pic>
      <xdr:nvPicPr>
        <xdr:cNvPr id="11" name="Grafik 1">
          <a:extLst>
            <a:ext uri="{FF2B5EF4-FFF2-40B4-BE49-F238E27FC236}">
              <a16:creationId xmlns:a16="http://schemas.microsoft.com/office/drawing/2014/main" id="{70B6EB9C-EAC9-4A3E-A1EB-93E780ADF61D}"/>
            </a:ext>
          </a:extLst>
        </xdr:cNvPr>
        <xdr:cNvPicPr>
          <a:picLocks noChangeAspect="1"/>
        </xdr:cNvPicPr>
      </xdr:nvPicPr>
      <xdr:blipFill>
        <a:blip xmlns:r="http://schemas.openxmlformats.org/officeDocument/2006/relationships" r:embed="rId2"/>
        <a:stretch>
          <a:fillRect/>
        </a:stretch>
      </xdr:blipFill>
      <xdr:spPr>
        <a:xfrm>
          <a:off x="12353924" y="1"/>
          <a:ext cx="1381125" cy="5779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371475</xdr:colOff>
      <xdr:row>5</xdr:row>
      <xdr:rowOff>9525</xdr:rowOff>
    </xdr:from>
    <xdr:to>
      <xdr:col>0</xdr:col>
      <xdr:colOff>485775</xdr:colOff>
      <xdr:row>5</xdr:row>
      <xdr:rowOff>114300</xdr:rowOff>
    </xdr:to>
    <xdr:pic>
      <xdr:nvPicPr>
        <xdr:cNvPr id="237422" name="Grafik 6">
          <a:extLst>
            <a:ext uri="{FF2B5EF4-FFF2-40B4-BE49-F238E27FC236}">
              <a16:creationId xmlns:a16="http://schemas.microsoft.com/office/drawing/2014/main" id="{00000000-0008-0000-0400-00006E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 y="94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6</xdr:row>
      <xdr:rowOff>9525</xdr:rowOff>
    </xdr:from>
    <xdr:to>
      <xdr:col>16</xdr:col>
      <xdr:colOff>3105150</xdr:colOff>
      <xdr:row>6</xdr:row>
      <xdr:rowOff>114300</xdr:rowOff>
    </xdr:to>
    <xdr:pic>
      <xdr:nvPicPr>
        <xdr:cNvPr id="237423" name="Grafik 18">
          <a:extLst>
            <a:ext uri="{FF2B5EF4-FFF2-40B4-BE49-F238E27FC236}">
              <a16:creationId xmlns:a16="http://schemas.microsoft.com/office/drawing/2014/main" id="{00000000-0008-0000-0400-00006F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00" y="42195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4890135</xdr:colOff>
      <xdr:row>6</xdr:row>
      <xdr:rowOff>9525</xdr:rowOff>
    </xdr:from>
    <xdr:to>
      <xdr:col>17</xdr:col>
      <xdr:colOff>3810</xdr:colOff>
      <xdr:row>6</xdr:row>
      <xdr:rowOff>114300</xdr:rowOff>
    </xdr:to>
    <xdr:pic>
      <xdr:nvPicPr>
        <xdr:cNvPr id="237424" name="Grafik 18">
          <a:extLst>
            <a:ext uri="{FF2B5EF4-FFF2-40B4-BE49-F238E27FC236}">
              <a16:creationId xmlns:a16="http://schemas.microsoft.com/office/drawing/2014/main" id="{00000000-0008-0000-0400-000070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98015" y="46424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347749</xdr:colOff>
      <xdr:row>5</xdr:row>
      <xdr:rowOff>9525</xdr:rowOff>
    </xdr:from>
    <xdr:to>
      <xdr:col>14</xdr:col>
      <xdr:colOff>452524</xdr:colOff>
      <xdr:row>5</xdr:row>
      <xdr:rowOff>114300</xdr:rowOff>
    </xdr:to>
    <xdr:pic>
      <xdr:nvPicPr>
        <xdr:cNvPr id="237425" name="Grafik 18">
          <a:extLst>
            <a:ext uri="{FF2B5EF4-FFF2-40B4-BE49-F238E27FC236}">
              <a16:creationId xmlns:a16="http://schemas.microsoft.com/office/drawing/2014/main" id="{00000000-0008-0000-0400-000071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43704" y="157682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348615</xdr:colOff>
      <xdr:row>17</xdr:row>
      <xdr:rowOff>9525</xdr:rowOff>
    </xdr:from>
    <xdr:to>
      <xdr:col>14</xdr:col>
      <xdr:colOff>453390</xdr:colOff>
      <xdr:row>17</xdr:row>
      <xdr:rowOff>114300</xdr:rowOff>
    </xdr:to>
    <xdr:pic>
      <xdr:nvPicPr>
        <xdr:cNvPr id="237429" name="Grafik 18">
          <a:extLst>
            <a:ext uri="{FF2B5EF4-FFF2-40B4-BE49-F238E27FC236}">
              <a16:creationId xmlns:a16="http://schemas.microsoft.com/office/drawing/2014/main" id="{00000000-0008-0000-0400-000075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3555" y="7629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20</xdr:row>
      <xdr:rowOff>9525</xdr:rowOff>
    </xdr:from>
    <xdr:to>
      <xdr:col>14</xdr:col>
      <xdr:colOff>447675</xdr:colOff>
      <xdr:row>20</xdr:row>
      <xdr:rowOff>114300</xdr:rowOff>
    </xdr:to>
    <xdr:pic>
      <xdr:nvPicPr>
        <xdr:cNvPr id="237430" name="Grafik 18">
          <a:extLst>
            <a:ext uri="{FF2B5EF4-FFF2-40B4-BE49-F238E27FC236}">
              <a16:creationId xmlns:a16="http://schemas.microsoft.com/office/drawing/2014/main" id="{00000000-0008-0000-0400-000076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8829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23</xdr:row>
      <xdr:rowOff>9525</xdr:rowOff>
    </xdr:from>
    <xdr:to>
      <xdr:col>14</xdr:col>
      <xdr:colOff>447675</xdr:colOff>
      <xdr:row>23</xdr:row>
      <xdr:rowOff>114300</xdr:rowOff>
    </xdr:to>
    <xdr:pic>
      <xdr:nvPicPr>
        <xdr:cNvPr id="237431" name="Grafik 18">
          <a:extLst>
            <a:ext uri="{FF2B5EF4-FFF2-40B4-BE49-F238E27FC236}">
              <a16:creationId xmlns:a16="http://schemas.microsoft.com/office/drawing/2014/main" id="{00000000-0008-0000-0400-000077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9972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26</xdr:row>
      <xdr:rowOff>9525</xdr:rowOff>
    </xdr:from>
    <xdr:to>
      <xdr:col>14</xdr:col>
      <xdr:colOff>447675</xdr:colOff>
      <xdr:row>26</xdr:row>
      <xdr:rowOff>114300</xdr:rowOff>
    </xdr:to>
    <xdr:pic>
      <xdr:nvPicPr>
        <xdr:cNvPr id="237432" name="Grafik 18">
          <a:extLst>
            <a:ext uri="{FF2B5EF4-FFF2-40B4-BE49-F238E27FC236}">
              <a16:creationId xmlns:a16="http://schemas.microsoft.com/office/drawing/2014/main" id="{00000000-0008-0000-0400-000078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111156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46</xdr:row>
      <xdr:rowOff>9525</xdr:rowOff>
    </xdr:from>
    <xdr:to>
      <xdr:col>14</xdr:col>
      <xdr:colOff>447675</xdr:colOff>
      <xdr:row>46</xdr:row>
      <xdr:rowOff>114300</xdr:rowOff>
    </xdr:to>
    <xdr:pic>
      <xdr:nvPicPr>
        <xdr:cNvPr id="237435" name="Grafik 18">
          <a:extLst>
            <a:ext uri="{FF2B5EF4-FFF2-40B4-BE49-F238E27FC236}">
              <a16:creationId xmlns:a16="http://schemas.microsoft.com/office/drawing/2014/main" id="{00000000-0008-0000-0400-00007B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18849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49</xdr:row>
      <xdr:rowOff>9525</xdr:rowOff>
    </xdr:from>
    <xdr:to>
      <xdr:col>14</xdr:col>
      <xdr:colOff>447675</xdr:colOff>
      <xdr:row>49</xdr:row>
      <xdr:rowOff>114300</xdr:rowOff>
    </xdr:to>
    <xdr:pic>
      <xdr:nvPicPr>
        <xdr:cNvPr id="237436" name="Grafik 18">
          <a:extLst>
            <a:ext uri="{FF2B5EF4-FFF2-40B4-BE49-F238E27FC236}">
              <a16:creationId xmlns:a16="http://schemas.microsoft.com/office/drawing/2014/main" id="{00000000-0008-0000-0400-00007C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1999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53</xdr:row>
      <xdr:rowOff>9525</xdr:rowOff>
    </xdr:from>
    <xdr:to>
      <xdr:col>14</xdr:col>
      <xdr:colOff>447675</xdr:colOff>
      <xdr:row>53</xdr:row>
      <xdr:rowOff>114300</xdr:rowOff>
    </xdr:to>
    <xdr:pic>
      <xdr:nvPicPr>
        <xdr:cNvPr id="237437" name="Grafik 19">
          <a:extLst>
            <a:ext uri="{FF2B5EF4-FFF2-40B4-BE49-F238E27FC236}">
              <a16:creationId xmlns:a16="http://schemas.microsoft.com/office/drawing/2014/main" id="{00000000-0008-0000-0400-00007D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21516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56</xdr:row>
      <xdr:rowOff>9525</xdr:rowOff>
    </xdr:from>
    <xdr:to>
      <xdr:col>14</xdr:col>
      <xdr:colOff>447675</xdr:colOff>
      <xdr:row>56</xdr:row>
      <xdr:rowOff>114300</xdr:rowOff>
    </xdr:to>
    <xdr:pic>
      <xdr:nvPicPr>
        <xdr:cNvPr id="237438" name="Grafik 20">
          <a:extLst>
            <a:ext uri="{FF2B5EF4-FFF2-40B4-BE49-F238E27FC236}">
              <a16:creationId xmlns:a16="http://schemas.microsoft.com/office/drawing/2014/main" id="{00000000-0008-0000-0400-00007E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22659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65</xdr:row>
      <xdr:rowOff>9525</xdr:rowOff>
    </xdr:from>
    <xdr:to>
      <xdr:col>14</xdr:col>
      <xdr:colOff>447675</xdr:colOff>
      <xdr:row>65</xdr:row>
      <xdr:rowOff>114300</xdr:rowOff>
    </xdr:to>
    <xdr:pic>
      <xdr:nvPicPr>
        <xdr:cNvPr id="237439" name="Grafik 22">
          <a:extLst>
            <a:ext uri="{FF2B5EF4-FFF2-40B4-BE49-F238E27FC236}">
              <a16:creationId xmlns:a16="http://schemas.microsoft.com/office/drawing/2014/main" id="{00000000-0008-0000-0400-00007F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27231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360045</xdr:colOff>
      <xdr:row>44</xdr:row>
      <xdr:rowOff>4445</xdr:rowOff>
    </xdr:from>
    <xdr:to>
      <xdr:col>15</xdr:col>
      <xdr:colOff>212</xdr:colOff>
      <xdr:row>44</xdr:row>
      <xdr:rowOff>109220</xdr:rowOff>
    </xdr:to>
    <xdr:pic>
      <xdr:nvPicPr>
        <xdr:cNvPr id="237446" name="Grafik 29">
          <a:extLst>
            <a:ext uri="{FF2B5EF4-FFF2-40B4-BE49-F238E27FC236}">
              <a16:creationId xmlns:a16="http://schemas.microsoft.com/office/drawing/2014/main" id="{00000000-0008-0000-0400-0000869F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27895" y="1760664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169545</xdr:colOff>
      <xdr:row>5</xdr:row>
      <xdr:rowOff>9525</xdr:rowOff>
    </xdr:from>
    <xdr:to>
      <xdr:col>1</xdr:col>
      <xdr:colOff>283845</xdr:colOff>
      <xdr:row>5</xdr:row>
      <xdr:rowOff>114300</xdr:rowOff>
    </xdr:to>
    <xdr:pic>
      <xdr:nvPicPr>
        <xdr:cNvPr id="237447" name="Grafik 6">
          <a:extLst>
            <a:ext uri="{FF2B5EF4-FFF2-40B4-BE49-F238E27FC236}">
              <a16:creationId xmlns:a16="http://schemas.microsoft.com/office/drawing/2014/main" id="{00000000-0008-0000-0400-000087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 y="4295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29</xdr:row>
      <xdr:rowOff>9525</xdr:rowOff>
    </xdr:from>
    <xdr:to>
      <xdr:col>14</xdr:col>
      <xdr:colOff>447675</xdr:colOff>
      <xdr:row>29</xdr:row>
      <xdr:rowOff>114300</xdr:rowOff>
    </xdr:to>
    <xdr:pic>
      <xdr:nvPicPr>
        <xdr:cNvPr id="237448" name="Grafik 18">
          <a:extLst>
            <a:ext uri="{FF2B5EF4-FFF2-40B4-BE49-F238E27FC236}">
              <a16:creationId xmlns:a16="http://schemas.microsoft.com/office/drawing/2014/main" id="{00000000-0008-0000-0400-000088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122967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41</xdr:row>
      <xdr:rowOff>9525</xdr:rowOff>
    </xdr:from>
    <xdr:to>
      <xdr:col>14</xdr:col>
      <xdr:colOff>447675</xdr:colOff>
      <xdr:row>41</xdr:row>
      <xdr:rowOff>114300</xdr:rowOff>
    </xdr:to>
    <xdr:pic>
      <xdr:nvPicPr>
        <xdr:cNvPr id="237449" name="Grafik 29">
          <a:extLst>
            <a:ext uri="{FF2B5EF4-FFF2-40B4-BE49-F238E27FC236}">
              <a16:creationId xmlns:a16="http://schemas.microsoft.com/office/drawing/2014/main" id="{00000000-0008-0000-0400-0000899F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1525" y="15801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70</xdr:row>
      <xdr:rowOff>9525</xdr:rowOff>
    </xdr:from>
    <xdr:to>
      <xdr:col>14</xdr:col>
      <xdr:colOff>447675</xdr:colOff>
      <xdr:row>70</xdr:row>
      <xdr:rowOff>114300</xdr:rowOff>
    </xdr:to>
    <xdr:pic>
      <xdr:nvPicPr>
        <xdr:cNvPr id="237451" name="Grafik 33">
          <a:extLst>
            <a:ext uri="{FF2B5EF4-FFF2-40B4-BE49-F238E27FC236}">
              <a16:creationId xmlns:a16="http://schemas.microsoft.com/office/drawing/2014/main" id="{00000000-0008-0000-0400-00008B9F03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1525" y="302799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68</xdr:row>
      <xdr:rowOff>9525</xdr:rowOff>
    </xdr:from>
    <xdr:to>
      <xdr:col>14</xdr:col>
      <xdr:colOff>447675</xdr:colOff>
      <xdr:row>68</xdr:row>
      <xdr:rowOff>114300</xdr:rowOff>
    </xdr:to>
    <xdr:pic>
      <xdr:nvPicPr>
        <xdr:cNvPr id="237458" name="Grafik 22">
          <a:extLst>
            <a:ext uri="{FF2B5EF4-FFF2-40B4-BE49-F238E27FC236}">
              <a16:creationId xmlns:a16="http://schemas.microsoft.com/office/drawing/2014/main" id="{00000000-0008-0000-0400-0000929F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72475" y="29517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25</xdr:row>
      <xdr:rowOff>9525</xdr:rowOff>
    </xdr:from>
    <xdr:to>
      <xdr:col>14</xdr:col>
      <xdr:colOff>447675</xdr:colOff>
      <xdr:row>25</xdr:row>
      <xdr:rowOff>114300</xdr:rowOff>
    </xdr:to>
    <xdr:pic>
      <xdr:nvPicPr>
        <xdr:cNvPr id="34" name="Grafik 29">
          <a:extLst>
            <a:ext uri="{FF2B5EF4-FFF2-40B4-BE49-F238E27FC236}">
              <a16:creationId xmlns:a16="http://schemas.microsoft.com/office/drawing/2014/main" id="{00000000-0008-0000-04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1525" y="107346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342900</xdr:colOff>
      <xdr:row>98</xdr:row>
      <xdr:rowOff>9525</xdr:rowOff>
    </xdr:from>
    <xdr:to>
      <xdr:col>15</xdr:col>
      <xdr:colOff>0</xdr:colOff>
      <xdr:row>98</xdr:row>
      <xdr:rowOff>114300</xdr:rowOff>
    </xdr:to>
    <xdr:pic>
      <xdr:nvPicPr>
        <xdr:cNvPr id="35" name="Grafik 22">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63100" y="38681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79</xdr:row>
      <xdr:rowOff>9525</xdr:rowOff>
    </xdr:from>
    <xdr:to>
      <xdr:col>14</xdr:col>
      <xdr:colOff>447675</xdr:colOff>
      <xdr:row>79</xdr:row>
      <xdr:rowOff>114300</xdr:rowOff>
    </xdr:to>
    <xdr:pic>
      <xdr:nvPicPr>
        <xdr:cNvPr id="30" name="Grafik 22">
          <a:extLst>
            <a:ext uri="{FF2B5EF4-FFF2-40B4-BE49-F238E27FC236}">
              <a16:creationId xmlns:a16="http://schemas.microsoft.com/office/drawing/2014/main" id="{00000000-0008-0000-04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72525" y="336994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400049</xdr:colOff>
      <xdr:row>0</xdr:row>
      <xdr:rowOff>0</xdr:rowOff>
    </xdr:from>
    <xdr:to>
      <xdr:col>15</xdr:col>
      <xdr:colOff>527943</xdr:colOff>
      <xdr:row>3</xdr:row>
      <xdr:rowOff>84170</xdr:rowOff>
    </xdr:to>
    <xdr:pic>
      <xdr:nvPicPr>
        <xdr:cNvPr id="32" name="Grafik 31">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01124" y="0"/>
          <a:ext cx="1204219" cy="531845"/>
        </a:xfrm>
        <a:prstGeom prst="rect">
          <a:avLst/>
        </a:prstGeom>
      </xdr:spPr>
    </xdr:pic>
    <xdr:clientData/>
  </xdr:twoCellAnchor>
  <xdr:twoCellAnchor editAs="oneCell">
    <xdr:from>
      <xdr:col>16</xdr:col>
      <xdr:colOff>3105150</xdr:colOff>
      <xdr:row>6</xdr:row>
      <xdr:rowOff>9525</xdr:rowOff>
    </xdr:from>
    <xdr:to>
      <xdr:col>16</xdr:col>
      <xdr:colOff>3105150</xdr:colOff>
      <xdr:row>6</xdr:row>
      <xdr:rowOff>114300</xdr:rowOff>
    </xdr:to>
    <xdr:pic>
      <xdr:nvPicPr>
        <xdr:cNvPr id="33" name="Grafik 18">
          <a:extLst>
            <a:ext uri="{FF2B5EF4-FFF2-40B4-BE49-F238E27FC236}">
              <a16:creationId xmlns:a16="http://schemas.microsoft.com/office/drawing/2014/main" id="{00000000-0008-0000-0400-00002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10210" y="433768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3105150</xdr:colOff>
      <xdr:row>6</xdr:row>
      <xdr:rowOff>9525</xdr:rowOff>
    </xdr:from>
    <xdr:to>
      <xdr:col>16</xdr:col>
      <xdr:colOff>3105150</xdr:colOff>
      <xdr:row>6</xdr:row>
      <xdr:rowOff>114300</xdr:rowOff>
    </xdr:to>
    <xdr:pic>
      <xdr:nvPicPr>
        <xdr:cNvPr id="37" name="Grafik 18">
          <a:extLst>
            <a:ext uri="{FF2B5EF4-FFF2-40B4-BE49-F238E27FC236}">
              <a16:creationId xmlns:a16="http://schemas.microsoft.com/office/drawing/2014/main" id="{00000000-0008-0000-0400-00002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10210" y="433768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4874895</xdr:colOff>
      <xdr:row>6</xdr:row>
      <xdr:rowOff>9525</xdr:rowOff>
    </xdr:from>
    <xdr:to>
      <xdr:col>16</xdr:col>
      <xdr:colOff>4865370</xdr:colOff>
      <xdr:row>6</xdr:row>
      <xdr:rowOff>114300</xdr:rowOff>
    </xdr:to>
    <xdr:pic>
      <xdr:nvPicPr>
        <xdr:cNvPr id="40" name="Grafik 18">
          <a:extLst>
            <a:ext uri="{FF2B5EF4-FFF2-40B4-BE49-F238E27FC236}">
              <a16:creationId xmlns:a16="http://schemas.microsoft.com/office/drawing/2014/main" id="{00000000-0008-0000-0400-00002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80895" y="4642485"/>
          <a:ext cx="12001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4757825</xdr:colOff>
      <xdr:row>6</xdr:row>
      <xdr:rowOff>7620</xdr:rowOff>
    </xdr:from>
    <xdr:to>
      <xdr:col>16</xdr:col>
      <xdr:colOff>4862600</xdr:colOff>
      <xdr:row>6</xdr:row>
      <xdr:rowOff>112395</xdr:rowOff>
    </xdr:to>
    <xdr:pic>
      <xdr:nvPicPr>
        <xdr:cNvPr id="36" name="Grafik 18">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49575" y="1782734"/>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333375</xdr:colOff>
      <xdr:row>101</xdr:row>
      <xdr:rowOff>9525</xdr:rowOff>
    </xdr:from>
    <xdr:to>
      <xdr:col>14</xdr:col>
      <xdr:colOff>447675</xdr:colOff>
      <xdr:row>101</xdr:row>
      <xdr:rowOff>114300</xdr:rowOff>
    </xdr:to>
    <xdr:pic>
      <xdr:nvPicPr>
        <xdr:cNvPr id="38" name="Grafik 22">
          <a:extLst>
            <a:ext uri="{FF2B5EF4-FFF2-40B4-BE49-F238E27FC236}">
              <a16:creationId xmlns:a16="http://schemas.microsoft.com/office/drawing/2014/main" id="{817CF2F6-31C4-4054-AD01-353134129F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53525" y="445579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352425</xdr:colOff>
      <xdr:row>14</xdr:row>
      <xdr:rowOff>0</xdr:rowOff>
    </xdr:from>
    <xdr:to>
      <xdr:col>15</xdr:col>
      <xdr:colOff>0</xdr:colOff>
      <xdr:row>14</xdr:row>
      <xdr:rowOff>104775</xdr:rowOff>
    </xdr:to>
    <xdr:pic>
      <xdr:nvPicPr>
        <xdr:cNvPr id="39" name="Grafik 18">
          <a:extLst>
            <a:ext uri="{FF2B5EF4-FFF2-40B4-BE49-F238E27FC236}">
              <a16:creationId xmlns:a16="http://schemas.microsoft.com/office/drawing/2014/main" id="{E4CFC5D1-3074-446A-8ADE-CBB6956189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72575" y="7315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1247775</xdr:colOff>
      <xdr:row>19</xdr:row>
      <xdr:rowOff>9525</xdr:rowOff>
    </xdr:from>
    <xdr:to>
      <xdr:col>3</xdr:col>
      <xdr:colOff>0</xdr:colOff>
      <xdr:row>19</xdr:row>
      <xdr:rowOff>114300</xdr:rowOff>
    </xdr:to>
    <xdr:pic>
      <xdr:nvPicPr>
        <xdr:cNvPr id="2" name="Grafik 18">
          <a:extLst>
            <a:ext uri="{FF2B5EF4-FFF2-40B4-BE49-F238E27FC236}">
              <a16:creationId xmlns:a16="http://schemas.microsoft.com/office/drawing/2014/main" id="{2F7CDF0F-A8B1-422C-B9E4-E67C45CE0F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9775" y="6515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819150</xdr:colOff>
      <xdr:row>19</xdr:row>
      <xdr:rowOff>9525</xdr:rowOff>
    </xdr:from>
    <xdr:to>
      <xdr:col>6</xdr:col>
      <xdr:colOff>933450</xdr:colOff>
      <xdr:row>19</xdr:row>
      <xdr:rowOff>114300</xdr:rowOff>
    </xdr:to>
    <xdr:pic>
      <xdr:nvPicPr>
        <xdr:cNvPr id="3" name="Grafik 18">
          <a:extLst>
            <a:ext uri="{FF2B5EF4-FFF2-40B4-BE49-F238E27FC236}">
              <a16:creationId xmlns:a16="http://schemas.microsoft.com/office/drawing/2014/main" id="{3DCFE606-7E20-4037-87F5-E671B06816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91175" y="65151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369570</xdr:colOff>
      <xdr:row>3</xdr:row>
      <xdr:rowOff>9525</xdr:rowOff>
    </xdr:from>
    <xdr:ext cx="106680" cy="104775"/>
    <xdr:pic>
      <xdr:nvPicPr>
        <xdr:cNvPr id="4" name="Grafik 18">
          <a:extLst>
            <a:ext uri="{FF2B5EF4-FFF2-40B4-BE49-F238E27FC236}">
              <a16:creationId xmlns:a16="http://schemas.microsoft.com/office/drawing/2014/main" id="{F979BDA9-3C0D-4C56-A53C-B712D9424E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75345" y="1162050"/>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790575</xdr:colOff>
      <xdr:row>3</xdr:row>
      <xdr:rowOff>9525</xdr:rowOff>
    </xdr:from>
    <xdr:ext cx="106680" cy="104775"/>
    <xdr:pic>
      <xdr:nvPicPr>
        <xdr:cNvPr id="5" name="Grafik 18">
          <a:extLst>
            <a:ext uri="{FF2B5EF4-FFF2-40B4-BE49-F238E27FC236}">
              <a16:creationId xmlns:a16="http://schemas.microsoft.com/office/drawing/2014/main" id="{9422D071-DEBD-4D09-9325-7DF227260D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14650" y="1162050"/>
          <a:ext cx="10668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1238250</xdr:colOff>
      <xdr:row>5</xdr:row>
      <xdr:rowOff>9525</xdr:rowOff>
    </xdr:from>
    <xdr:to>
      <xdr:col>2</xdr:col>
      <xdr:colOff>1352550</xdr:colOff>
      <xdr:row>5</xdr:row>
      <xdr:rowOff>114300</xdr:rowOff>
    </xdr:to>
    <xdr:pic>
      <xdr:nvPicPr>
        <xdr:cNvPr id="6" name="Grafik 6">
          <a:extLst>
            <a:ext uri="{FF2B5EF4-FFF2-40B4-BE49-F238E27FC236}">
              <a16:creationId xmlns:a16="http://schemas.microsoft.com/office/drawing/2014/main" id="{CB20CF29-C3A6-4379-AC7A-A0E2A3DEF4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9429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571500</xdr:colOff>
      <xdr:row>1</xdr:row>
      <xdr:rowOff>123825</xdr:rowOff>
    </xdr:from>
    <xdr:to>
      <xdr:col>10</xdr:col>
      <xdr:colOff>1924050</xdr:colOff>
      <xdr:row>2</xdr:row>
      <xdr:rowOff>123825</xdr:rowOff>
    </xdr:to>
    <xdr:pic>
      <xdr:nvPicPr>
        <xdr:cNvPr id="184272" name="Grafik 1">
          <a:extLst>
            <a:ext uri="{FF2B5EF4-FFF2-40B4-BE49-F238E27FC236}">
              <a16:creationId xmlns:a16="http://schemas.microsoft.com/office/drawing/2014/main" id="{00000000-0008-0000-0800-0000D0CF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48550" y="123825"/>
          <a:ext cx="13525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1971675</xdr:colOff>
      <xdr:row>5</xdr:row>
      <xdr:rowOff>9525</xdr:rowOff>
    </xdr:from>
    <xdr:to>
      <xdr:col>10</xdr:col>
      <xdr:colOff>0</xdr:colOff>
      <xdr:row>5</xdr:row>
      <xdr:rowOff>114300</xdr:rowOff>
    </xdr:to>
    <xdr:pic>
      <xdr:nvPicPr>
        <xdr:cNvPr id="184273" name="Grafik 18">
          <a:extLst>
            <a:ext uri="{FF2B5EF4-FFF2-40B4-BE49-F238E27FC236}">
              <a16:creationId xmlns:a16="http://schemas.microsoft.com/office/drawing/2014/main" id="{00000000-0008-0000-0800-0000D1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62750" y="78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342900</xdr:colOff>
      <xdr:row>7</xdr:row>
      <xdr:rowOff>9525</xdr:rowOff>
    </xdr:from>
    <xdr:to>
      <xdr:col>5</xdr:col>
      <xdr:colOff>0</xdr:colOff>
      <xdr:row>7</xdr:row>
      <xdr:rowOff>114300</xdr:rowOff>
    </xdr:to>
    <xdr:pic>
      <xdr:nvPicPr>
        <xdr:cNvPr id="184274" name="Grafik 18">
          <a:extLst>
            <a:ext uri="{FF2B5EF4-FFF2-40B4-BE49-F238E27FC236}">
              <a16:creationId xmlns:a16="http://schemas.microsoft.com/office/drawing/2014/main" id="{00000000-0008-0000-0800-0000D2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95575"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1971675</xdr:colOff>
      <xdr:row>7</xdr:row>
      <xdr:rowOff>9525</xdr:rowOff>
    </xdr:from>
    <xdr:to>
      <xdr:col>10</xdr:col>
      <xdr:colOff>0</xdr:colOff>
      <xdr:row>7</xdr:row>
      <xdr:rowOff>114300</xdr:rowOff>
    </xdr:to>
    <xdr:pic>
      <xdr:nvPicPr>
        <xdr:cNvPr id="184275" name="Grafik 18">
          <a:extLst>
            <a:ext uri="{FF2B5EF4-FFF2-40B4-BE49-F238E27FC236}">
              <a16:creationId xmlns:a16="http://schemas.microsoft.com/office/drawing/2014/main" id="{00000000-0008-0000-0800-0000D3CF02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62750" y="10572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21</xdr:col>
      <xdr:colOff>190500</xdr:colOff>
      <xdr:row>0</xdr:row>
      <xdr:rowOff>114300</xdr:rowOff>
    </xdr:from>
    <xdr:to>
      <xdr:col>25</xdr:col>
      <xdr:colOff>381000</xdr:colOff>
      <xdr:row>4</xdr:row>
      <xdr:rowOff>28575</xdr:rowOff>
    </xdr:to>
    <xdr:pic>
      <xdr:nvPicPr>
        <xdr:cNvPr id="225948" name="Grafik 1">
          <a:extLst>
            <a:ext uri="{FF2B5EF4-FFF2-40B4-BE49-F238E27FC236}">
              <a16:creationId xmlns:a16="http://schemas.microsoft.com/office/drawing/2014/main" id="{00000000-0008-0000-0B00-00009C72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96150" y="114300"/>
          <a:ext cx="142875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257175</xdr:colOff>
      <xdr:row>5</xdr:row>
      <xdr:rowOff>9525</xdr:rowOff>
    </xdr:from>
    <xdr:to>
      <xdr:col>23</xdr:col>
      <xdr:colOff>0</xdr:colOff>
      <xdr:row>5</xdr:row>
      <xdr:rowOff>104775</xdr:rowOff>
    </xdr:to>
    <xdr:pic>
      <xdr:nvPicPr>
        <xdr:cNvPr id="225949" name="Grafik 4">
          <a:extLst>
            <a:ext uri="{FF2B5EF4-FFF2-40B4-BE49-F238E27FC236}">
              <a16:creationId xmlns:a16="http://schemas.microsoft.com/office/drawing/2014/main" id="{00000000-0008-0000-0B00-00009D72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0" y="8763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247650</xdr:colOff>
      <xdr:row>7</xdr:row>
      <xdr:rowOff>9525</xdr:rowOff>
    </xdr:from>
    <xdr:to>
      <xdr:col>23</xdr:col>
      <xdr:colOff>0</xdr:colOff>
      <xdr:row>7</xdr:row>
      <xdr:rowOff>114300</xdr:rowOff>
    </xdr:to>
    <xdr:pic>
      <xdr:nvPicPr>
        <xdr:cNvPr id="225950" name="Grafik 5">
          <a:extLst>
            <a:ext uri="{FF2B5EF4-FFF2-40B4-BE49-F238E27FC236}">
              <a16:creationId xmlns:a16="http://schemas.microsoft.com/office/drawing/2014/main" id="{00000000-0008-0000-0B00-00009E72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0572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266700</xdr:colOff>
      <xdr:row>7</xdr:row>
      <xdr:rowOff>9525</xdr:rowOff>
    </xdr:from>
    <xdr:to>
      <xdr:col>10</xdr:col>
      <xdr:colOff>0</xdr:colOff>
      <xdr:row>7</xdr:row>
      <xdr:rowOff>104775</xdr:rowOff>
    </xdr:to>
    <xdr:pic>
      <xdr:nvPicPr>
        <xdr:cNvPr id="225951" name="Grafik 6">
          <a:extLst>
            <a:ext uri="{FF2B5EF4-FFF2-40B4-BE49-F238E27FC236}">
              <a16:creationId xmlns:a16="http://schemas.microsoft.com/office/drawing/2014/main" id="{00000000-0008-0000-0B00-00009F72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29025" y="1152525"/>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428625</xdr:colOff>
      <xdr:row>29</xdr:row>
      <xdr:rowOff>9525</xdr:rowOff>
    </xdr:from>
    <xdr:to>
      <xdr:col>13</xdr:col>
      <xdr:colOff>0</xdr:colOff>
      <xdr:row>29</xdr:row>
      <xdr:rowOff>104775</xdr:rowOff>
    </xdr:to>
    <xdr:pic>
      <xdr:nvPicPr>
        <xdr:cNvPr id="225952" name="Grafik 6">
          <a:extLst>
            <a:ext uri="{FF2B5EF4-FFF2-40B4-BE49-F238E27FC236}">
              <a16:creationId xmlns:a16="http://schemas.microsoft.com/office/drawing/2014/main" id="{00000000-0008-0000-0B00-0000A072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48225" y="65341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1333500</xdr:colOff>
      <xdr:row>5</xdr:row>
      <xdr:rowOff>9525</xdr:rowOff>
    </xdr:from>
    <xdr:to>
      <xdr:col>6</xdr:col>
      <xdr:colOff>0</xdr:colOff>
      <xdr:row>5</xdr:row>
      <xdr:rowOff>114300</xdr:rowOff>
    </xdr:to>
    <xdr:pic>
      <xdr:nvPicPr>
        <xdr:cNvPr id="233668" name="Grafik 3">
          <a:extLst>
            <a:ext uri="{FF2B5EF4-FFF2-40B4-BE49-F238E27FC236}">
              <a16:creationId xmlns:a16="http://schemas.microsoft.com/office/drawing/2014/main" id="{00000000-0008-0000-0E00-0000C4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9048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1333500</xdr:colOff>
      <xdr:row>7</xdr:row>
      <xdr:rowOff>9525</xdr:rowOff>
    </xdr:from>
    <xdr:to>
      <xdr:col>6</xdr:col>
      <xdr:colOff>0</xdr:colOff>
      <xdr:row>7</xdr:row>
      <xdr:rowOff>104775</xdr:rowOff>
    </xdr:to>
    <xdr:pic>
      <xdr:nvPicPr>
        <xdr:cNvPr id="233669" name="Grafik 4">
          <a:extLst>
            <a:ext uri="{FF2B5EF4-FFF2-40B4-BE49-F238E27FC236}">
              <a16:creationId xmlns:a16="http://schemas.microsoft.com/office/drawing/2014/main" id="{00000000-0008-0000-0E00-0000C5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225" y="118110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1285875</xdr:colOff>
      <xdr:row>7</xdr:row>
      <xdr:rowOff>9525</xdr:rowOff>
    </xdr:from>
    <xdr:to>
      <xdr:col>3</xdr:col>
      <xdr:colOff>0</xdr:colOff>
      <xdr:row>7</xdr:row>
      <xdr:rowOff>114300</xdr:rowOff>
    </xdr:to>
    <xdr:pic>
      <xdr:nvPicPr>
        <xdr:cNvPr id="233670" name="Grafik 5">
          <a:extLst>
            <a:ext uri="{FF2B5EF4-FFF2-40B4-BE49-F238E27FC236}">
              <a16:creationId xmlns:a16="http://schemas.microsoft.com/office/drawing/2014/main" id="{00000000-0008-0000-0E00-0000C6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1181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1428750</xdr:colOff>
      <xdr:row>16</xdr:row>
      <xdr:rowOff>9525</xdr:rowOff>
    </xdr:from>
    <xdr:to>
      <xdr:col>2</xdr:col>
      <xdr:colOff>0</xdr:colOff>
      <xdr:row>16</xdr:row>
      <xdr:rowOff>114300</xdr:rowOff>
    </xdr:to>
    <xdr:pic>
      <xdr:nvPicPr>
        <xdr:cNvPr id="233671" name="Grafik 5">
          <a:extLst>
            <a:ext uri="{FF2B5EF4-FFF2-40B4-BE49-F238E27FC236}">
              <a16:creationId xmlns:a16="http://schemas.microsoft.com/office/drawing/2014/main" id="{00000000-0008-0000-0E00-0000C790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1725" y="25336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866775</xdr:colOff>
      <xdr:row>1</xdr:row>
      <xdr:rowOff>38100</xdr:rowOff>
    </xdr:from>
    <xdr:to>
      <xdr:col>6</xdr:col>
      <xdr:colOff>695325</xdr:colOff>
      <xdr:row>2</xdr:row>
      <xdr:rowOff>123825</xdr:rowOff>
    </xdr:to>
    <xdr:pic>
      <xdr:nvPicPr>
        <xdr:cNvPr id="233672" name="Grafik 1">
          <a:extLst>
            <a:ext uri="{FF2B5EF4-FFF2-40B4-BE49-F238E27FC236}">
              <a16:creationId xmlns:a16="http://schemas.microsoft.com/office/drawing/2014/main" id="{00000000-0008-0000-0E00-0000C890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10500" y="161925"/>
          <a:ext cx="12763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21</xdr:col>
      <xdr:colOff>180975</xdr:colOff>
      <xdr:row>0</xdr:row>
      <xdr:rowOff>114300</xdr:rowOff>
    </xdr:from>
    <xdr:to>
      <xdr:col>25</xdr:col>
      <xdr:colOff>381000</xdr:colOff>
      <xdr:row>4</xdr:row>
      <xdr:rowOff>28575</xdr:rowOff>
    </xdr:to>
    <xdr:pic>
      <xdr:nvPicPr>
        <xdr:cNvPr id="228930" name="Grafik 1">
          <a:extLst>
            <a:ext uri="{FF2B5EF4-FFF2-40B4-BE49-F238E27FC236}">
              <a16:creationId xmlns:a16="http://schemas.microsoft.com/office/drawing/2014/main" id="{00000000-0008-0000-0F00-0000427E03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6625" y="114300"/>
          <a:ext cx="14382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257175</xdr:colOff>
      <xdr:row>5</xdr:row>
      <xdr:rowOff>9525</xdr:rowOff>
    </xdr:from>
    <xdr:to>
      <xdr:col>23</xdr:col>
      <xdr:colOff>0</xdr:colOff>
      <xdr:row>5</xdr:row>
      <xdr:rowOff>104775</xdr:rowOff>
    </xdr:to>
    <xdr:pic>
      <xdr:nvPicPr>
        <xdr:cNvPr id="228931" name="Grafik 4">
          <a:extLst>
            <a:ext uri="{FF2B5EF4-FFF2-40B4-BE49-F238E27FC236}">
              <a16:creationId xmlns:a16="http://schemas.microsoft.com/office/drawing/2014/main" id="{00000000-0008-0000-0F00-000043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15250" y="8763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247650</xdr:colOff>
      <xdr:row>7</xdr:row>
      <xdr:rowOff>9525</xdr:rowOff>
    </xdr:from>
    <xdr:to>
      <xdr:col>23</xdr:col>
      <xdr:colOff>0</xdr:colOff>
      <xdr:row>7</xdr:row>
      <xdr:rowOff>114300</xdr:rowOff>
    </xdr:to>
    <xdr:pic>
      <xdr:nvPicPr>
        <xdr:cNvPr id="228932" name="Grafik 5">
          <a:extLst>
            <a:ext uri="{FF2B5EF4-FFF2-40B4-BE49-F238E27FC236}">
              <a16:creationId xmlns:a16="http://schemas.microsoft.com/office/drawing/2014/main" id="{00000000-0008-0000-0F00-000044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0572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428625</xdr:colOff>
      <xdr:row>29</xdr:row>
      <xdr:rowOff>9525</xdr:rowOff>
    </xdr:from>
    <xdr:to>
      <xdr:col>13</xdr:col>
      <xdr:colOff>0</xdr:colOff>
      <xdr:row>29</xdr:row>
      <xdr:rowOff>104775</xdr:rowOff>
    </xdr:to>
    <xdr:pic>
      <xdr:nvPicPr>
        <xdr:cNvPr id="228933" name="Grafik 6">
          <a:extLst>
            <a:ext uri="{FF2B5EF4-FFF2-40B4-BE49-F238E27FC236}">
              <a16:creationId xmlns:a16="http://schemas.microsoft.com/office/drawing/2014/main" id="{00000000-0008-0000-0F00-0000457E03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848225" y="6534150"/>
          <a:ext cx="85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247650</xdr:colOff>
      <xdr:row>7</xdr:row>
      <xdr:rowOff>9525</xdr:rowOff>
    </xdr:from>
    <xdr:to>
      <xdr:col>10</xdr:col>
      <xdr:colOff>0</xdr:colOff>
      <xdr:row>7</xdr:row>
      <xdr:rowOff>114300</xdr:rowOff>
    </xdr:to>
    <xdr:pic>
      <xdr:nvPicPr>
        <xdr:cNvPr id="228934" name="Grafik 5">
          <a:extLst>
            <a:ext uri="{FF2B5EF4-FFF2-40B4-BE49-F238E27FC236}">
              <a16:creationId xmlns:a16="http://schemas.microsoft.com/office/drawing/2014/main" id="{00000000-0008-0000-0F00-0000467E03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9975" y="1152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L:\06_daten\09_excel-kennzahlenb&#246;gen\14_excel-kb%20auditjahr%202025\organe\viszeral\darm\eb_dz-O1-1_daten_241127.xlsx" TargetMode="External"/><Relationship Id="rId1" Type="http://schemas.openxmlformats.org/officeDocument/2006/relationships/externalLinkPath" Target="/06_daten/09_excel-kennzahlenb&#246;gen/14_excel-kb%20auditjahr%202025/organe/viszeral/darm/eb_dz-O1-1_daten_2411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sisdaten"/>
      <sheetName val="HilfstabelleB"/>
      <sheetName val="HilfstabelleSD"/>
      <sheetName val="Datenquelle"/>
      <sheetName val="Studien"/>
      <sheetName val="HilfstabelleStudien"/>
      <sheetName val="Untersucher"/>
      <sheetName val="Operateure"/>
      <sheetName val="Kennzahlenbogen_(KB)"/>
      <sheetName val="HilfstabelleKB"/>
      <sheetName val="Berechnung1"/>
      <sheetName val="Hilfstabelle DatendefKB"/>
      <sheetName val="Datendefizite_KB"/>
      <sheetName val="Kennzahlenbogen plus"/>
      <sheetName val="HilfstabellePlus"/>
      <sheetName val="Matrix-Kolon"/>
      <sheetName val="Berechnung2"/>
      <sheetName val="Berechnung3"/>
      <sheetName val="Datendefizite_Matrix-Kolon"/>
      <sheetName val="HilfstabelleDMK"/>
      <sheetName val="Matrix-Rektum"/>
      <sheetName val="Berechnung4"/>
      <sheetName val="Berechnung5"/>
      <sheetName val="Datendefizite_Matrix-Rektum"/>
      <sheetName val="HilfstabelleMR"/>
      <sheetName val="HilfstabelleDMR"/>
      <sheetName val="HilfstabelleMK"/>
    </sheetNames>
    <sheetDataSet>
      <sheetData sheetId="0" refreshError="1"/>
      <sheetData sheetId="1" refreshError="1"/>
      <sheetData sheetId="2" refreshError="1"/>
      <sheetData sheetId="3">
        <row r="1">
          <cell r="B1" t="str">
            <v>Eigenentwicklung (MS Excel, MS Access etc.)</v>
          </cell>
        </row>
        <row r="2">
          <cell r="B2" t="str">
            <v>c37.CancerCenter</v>
          </cell>
        </row>
        <row r="3">
          <cell r="B3" t="str">
            <v>CREDOS</v>
          </cell>
        </row>
        <row r="4">
          <cell r="B4" t="str">
            <v>GTDS</v>
          </cell>
        </row>
        <row r="5">
          <cell r="B5" t="str">
            <v>KIS-Erweiterung</v>
          </cell>
        </row>
        <row r="6">
          <cell r="B6" t="str">
            <v>Kolorekt</v>
          </cell>
        </row>
        <row r="7">
          <cell r="B7" t="str">
            <v>KoReDos</v>
          </cell>
        </row>
        <row r="8">
          <cell r="B8" t="str">
            <v>KRAZTUR</v>
          </cell>
        </row>
        <row r="9">
          <cell r="B9" t="str">
            <v>MIQ-KRCA</v>
          </cell>
        </row>
        <row r="10">
          <cell r="B10" t="str">
            <v>ODSeasy / ODSeasyNet</v>
          </cell>
        </row>
        <row r="11">
          <cell r="B11" t="str">
            <v>OncoAssist Tumordokumentation</v>
          </cell>
        </row>
        <row r="12">
          <cell r="B12" t="str">
            <v>ONDIS</v>
          </cell>
        </row>
        <row r="13">
          <cell r="B13" t="str">
            <v>Onkomedia</v>
          </cell>
        </row>
        <row r="14">
          <cell r="B14" t="str">
            <v>ONKOSTAR</v>
          </cell>
        </row>
        <row r="15">
          <cell r="B15" t="str">
            <v>ORBIS-ODOK</v>
          </cell>
        </row>
        <row r="16">
          <cell r="B16" t="str">
            <v>QuaDoSta</v>
          </cell>
        </row>
        <row r="17">
          <cell r="B17" t="str">
            <v>Qualitätssicherung Kolorektalkarzinom</v>
          </cell>
        </row>
        <row r="18">
          <cell r="B18" t="str">
            <v>SHGHoncoDoc</v>
          </cell>
        </row>
        <row r="19">
          <cell r="B19" t="str">
            <v>SMATOS</v>
          </cell>
        </row>
        <row r="20">
          <cell r="B20" t="str">
            <v>StuDoQ</v>
          </cell>
        </row>
        <row r="21">
          <cell r="B21" t="str">
            <v>Tudok (Tumorzentrum Regensburg)</v>
          </cell>
        </row>
        <row r="22">
          <cell r="B22" t="str">
            <v>Tumordokumentation des Instituts für Krebsepidemiologie</v>
          </cell>
        </row>
        <row r="23">
          <cell r="B23" t="str">
            <v>UCC-TDS (Tumorzentrum Dresden)</v>
          </cell>
        </row>
        <row r="24">
          <cell r="B24" t="str">
            <v>Nicht gelistet</v>
          </cell>
        </row>
        <row r="25">
          <cell r="B25" t="str">
            <v>Unbekannt</v>
          </cell>
        </row>
        <row r="31">
          <cell r="A31" t="str">
            <v>Baden-Württemberg</v>
          </cell>
          <cell r="B31" t="str">
            <v>Bayern</v>
          </cell>
          <cell r="C31" t="str">
            <v>Berlin</v>
          </cell>
          <cell r="D31" t="str">
            <v>Brandenburg</v>
          </cell>
          <cell r="E31" t="str">
            <v>Bremen</v>
          </cell>
          <cell r="F31" t="str">
            <v>Hamburg</v>
          </cell>
          <cell r="G31" t="str">
            <v>Hessen</v>
          </cell>
          <cell r="H31" t="str">
            <v>Mecklenburg-Vorpommern</v>
          </cell>
          <cell r="I31" t="str">
            <v>Niedersachsen</v>
          </cell>
          <cell r="J31" t="str">
            <v>Nordrhein-Westfalen</v>
          </cell>
          <cell r="K31" t="str">
            <v>Rheinland-Pfalz</v>
          </cell>
          <cell r="L31" t="str">
            <v>Saarland</v>
          </cell>
          <cell r="M31" t="str">
            <v>Sachsen</v>
          </cell>
          <cell r="N31" t="str">
            <v>Sachsen-Anhalt</v>
          </cell>
          <cell r="O31" t="str">
            <v>Schleswig-Holstein</v>
          </cell>
          <cell r="P31" t="str">
            <v>Thüringen</v>
          </cell>
          <cell r="Q31" t="str">
            <v>Schweiz</v>
          </cell>
          <cell r="R31" t="str">
            <v>Österreich</v>
          </cell>
          <cell r="S31" t="str">
            <v>Italien</v>
          </cell>
        </row>
        <row r="32">
          <cell r="A32" t="str">
            <v>Comprehensive Cancer Center Freiburg</v>
          </cell>
          <cell r="B32" t="str">
            <v>Bevölkerungsbezogenes Krebsregister Bayern</v>
          </cell>
          <cell r="C32" t="str">
            <v>Charité Comprehensive Cancer Center</v>
          </cell>
          <cell r="D32" t="str">
            <v>Gemeinsames Krebsregister Berlin-Brandenburg</v>
          </cell>
          <cell r="E32" t="str">
            <v>Krebsregister des Landes Bremen</v>
          </cell>
          <cell r="F32" t="str">
            <v>Hamburgisches Krebsregister</v>
          </cell>
          <cell r="G32" t="str">
            <v>Hessisches Krebsregister</v>
          </cell>
          <cell r="H32" t="str">
            <v>Tumorzentrum Neubrandenburg</v>
          </cell>
          <cell r="I32" t="str">
            <v>Epidemiologisches Krebsregister Niedersachsen</v>
          </cell>
          <cell r="J32" t="str">
            <v>Westdeutsches Tumorzentrum Essen</v>
          </cell>
          <cell r="K32" t="str">
            <v>Krebsregister Rheinland-Pfalz</v>
          </cell>
          <cell r="L32" t="str">
            <v>Epidemiologisches Krebsregister Saarland</v>
          </cell>
          <cell r="M32" t="str">
            <v>Tumorzentrum Chemnitz</v>
          </cell>
          <cell r="N32" t="str">
            <v>Tumorzentrum Anhalt</v>
          </cell>
          <cell r="O32" t="str">
            <v>klinisches Krebsregister Schleswig Holstein/Lübeck</v>
          </cell>
          <cell r="P32" t="str">
            <v>Tumorzentrum Altenburg</v>
          </cell>
          <cell r="Q32" t="str">
            <v>Krebsregister Schweiz</v>
          </cell>
          <cell r="R32" t="str">
            <v>Krebsregister Österreich</v>
          </cell>
          <cell r="S32" t="str">
            <v>Krebsregister Italien</v>
          </cell>
        </row>
        <row r="33">
          <cell r="A33" t="str">
            <v>Comprehensive Cancer Center Tübingen</v>
          </cell>
          <cell r="B33" t="str">
            <v>Tumorzentrum Augsburg</v>
          </cell>
          <cell r="C33" t="str">
            <v>Gemeinsames Krebsregister Berlin-Brandenburg</v>
          </cell>
          <cell r="D33" t="str">
            <v>Tumorzentrum Land Brandenburg</v>
          </cell>
          <cell r="E33" t="str">
            <v>Keine Anbindung an Klinisches Krebsregister</v>
          </cell>
          <cell r="F33" t="str">
            <v>Keine Anbindung an Klinisches Krebsregister</v>
          </cell>
          <cell r="G33" t="str">
            <v>Krebsregister Hessen</v>
          </cell>
          <cell r="H33" t="str">
            <v>Tumorzentrum Rostock</v>
          </cell>
          <cell r="I33" t="str">
            <v>Kassenärztliche Vereinigung Niedersachsen</v>
          </cell>
          <cell r="J33" t="str">
            <v>Comprehensive Cancer Center Münster</v>
          </cell>
          <cell r="K33" t="str">
            <v>Tumorzentrum Koblenz</v>
          </cell>
          <cell r="L33" t="str">
            <v>Tumorzentrum Homburg</v>
          </cell>
          <cell r="M33" t="str">
            <v>Tumorzentrum Dresden</v>
          </cell>
          <cell r="N33" t="str">
            <v>Tumorzentrum Halle</v>
          </cell>
          <cell r="O33" t="str">
            <v>Krebsregister Schleswig-Holstein</v>
          </cell>
          <cell r="P33" t="str">
            <v>Tumorzentrum Erfurt</v>
          </cell>
          <cell r="Q33" t="str">
            <v>Nicht gelistet</v>
          </cell>
          <cell r="R33" t="str">
            <v>Nicht gelistet</v>
          </cell>
          <cell r="S33" t="str">
            <v>Nicht gelistet</v>
          </cell>
        </row>
        <row r="34">
          <cell r="A34" t="str">
            <v>Comprehensive Cancer Center Ulm</v>
          </cell>
          <cell r="B34" t="str">
            <v>Tumorzentrum Erlangen-Nürnberg</v>
          </cell>
          <cell r="C34" t="str">
            <v>Tumorzentrum Berlin-Buch</v>
          </cell>
          <cell r="D34" t="str">
            <v>GKR (Gemeinsames Krebsregister der Länder)</v>
          </cell>
          <cell r="E34" t="str">
            <v>Nicht gelistet</v>
          </cell>
          <cell r="F34" t="str">
            <v>Nicht gelistet</v>
          </cell>
          <cell r="G34" t="str">
            <v>Onkologischer Schwerpunkt Wiesbaden</v>
          </cell>
          <cell r="H34" t="str">
            <v>Tumorzentrum Schwerin</v>
          </cell>
          <cell r="I34" t="str">
            <v>Krebsregister Niedersachsen</v>
          </cell>
          <cell r="J34" t="str">
            <v xml:space="preserve">Epidemiologisches Krebsregister Münster </v>
          </cell>
          <cell r="K34" t="str">
            <v>Tumorzentrum Rheinland-Pfalz</v>
          </cell>
          <cell r="L34" t="str">
            <v>Keine Anbindung an Klinisches Krebsregister</v>
          </cell>
          <cell r="M34" t="str">
            <v>Tumorzentrum Leipzig</v>
          </cell>
          <cell r="N34" t="str">
            <v>Tumorzentrum Magdeburg</v>
          </cell>
          <cell r="O34" t="str">
            <v>Tumorzentrum Kiel</v>
          </cell>
          <cell r="P34" t="str">
            <v>Tumorzentrum Gera</v>
          </cell>
        </row>
        <row r="35">
          <cell r="A35" t="str">
            <v>Epidemiologisches Krebsregister Baden-Württemberg</v>
          </cell>
          <cell r="B35" t="str">
            <v>Tumorzentrum München</v>
          </cell>
          <cell r="C35" t="str">
            <v>Tumorzentrum für Klinik &amp; Praxis in Berlin</v>
          </cell>
          <cell r="D35" t="str">
            <v>Keine Anbindung an Klinisches Krebsregister</v>
          </cell>
          <cell r="E35" t="str">
            <v>Unbekannt</v>
          </cell>
          <cell r="F35" t="str">
            <v>Unbekannt</v>
          </cell>
          <cell r="G35" t="str">
            <v>Tumorzentrum Kassel</v>
          </cell>
          <cell r="H35" t="str">
            <v>Tumorzentrum Vorpommern</v>
          </cell>
          <cell r="I35" t="str">
            <v>Tumorzentrum Göttingen</v>
          </cell>
          <cell r="J35" t="str">
            <v>Epidemiologisches Krebsregister NRW</v>
          </cell>
          <cell r="K35" t="str">
            <v>Keine Anbindung an Klinisches Krebsregister</v>
          </cell>
          <cell r="L35" t="str">
            <v>Nicht gelistet</v>
          </cell>
          <cell r="M35" t="str">
            <v>Tumorzentrum Ostsachsen</v>
          </cell>
          <cell r="N35" t="str">
            <v>GKR (Gemeinsames Krebsregister der Länder)</v>
          </cell>
          <cell r="O35" t="str">
            <v>Keine Anbindung an Klinisches Krebsregister</v>
          </cell>
          <cell r="P35" t="str">
            <v>Tumorzentrum Jena</v>
          </cell>
        </row>
        <row r="36">
          <cell r="A36" t="str">
            <v>Krebsregister Baden-Württemberg</v>
          </cell>
          <cell r="B36" t="str">
            <v>Tumorzentrum Oberfranken</v>
          </cell>
          <cell r="C36" t="str">
            <v>Tumorzentrum Spandau</v>
          </cell>
          <cell r="D36" t="str">
            <v>Nicht gelistet</v>
          </cell>
          <cell r="G36" t="str">
            <v>Tumorzentrum Marburg</v>
          </cell>
          <cell r="H36" t="str">
            <v>GKR (Gemeinsames Krebsregister der Länder)</v>
          </cell>
          <cell r="I36" t="str">
            <v>Tumorzentrum Hannover</v>
          </cell>
          <cell r="J36" t="str">
            <v>Krebsregister NRW</v>
          </cell>
          <cell r="K36" t="str">
            <v>Nicht gelistet</v>
          </cell>
          <cell r="L36" t="str">
            <v>Unbekannt</v>
          </cell>
          <cell r="M36" t="str">
            <v>Tumorzentrum Zwickau</v>
          </cell>
          <cell r="N36" t="str">
            <v>Keine Anbindung an Klinisches Krebsregister</v>
          </cell>
          <cell r="O36" t="str">
            <v>Nicht gelistet</v>
          </cell>
          <cell r="P36" t="str">
            <v>Tumorzentrum Suhl</v>
          </cell>
        </row>
        <row r="37">
          <cell r="A37" t="str">
            <v>NCT Heidelberg</v>
          </cell>
          <cell r="B37" t="str">
            <v>Tumorzentrum Regensburg</v>
          </cell>
          <cell r="C37" t="str">
            <v>Tumorzentrum Vivantes</v>
          </cell>
          <cell r="D37" t="str">
            <v>Unbekannt</v>
          </cell>
          <cell r="G37" t="str">
            <v>Keine Anbindung an Klinisches Krebsregister</v>
          </cell>
          <cell r="H37" t="str">
            <v>Keine Anbindung an Klinisches Krebsregister</v>
          </cell>
          <cell r="I37" t="str">
            <v>Tumorzentrum Weser-Ems</v>
          </cell>
          <cell r="J37" t="str">
            <v>Onkologischer Schwerpunkt Hamm</v>
          </cell>
          <cell r="K37" t="str">
            <v>Unbekannt</v>
          </cell>
          <cell r="M37" t="str">
            <v>GKR (Gemeinsames Krebsregister der Länder)</v>
          </cell>
          <cell r="N37" t="str">
            <v>Nicht gelistet</v>
          </cell>
          <cell r="O37" t="str">
            <v>Unbekannt</v>
          </cell>
          <cell r="P37" t="str">
            <v>Tumorzentrum Südharz</v>
          </cell>
        </row>
        <row r="38">
          <cell r="A38" t="str">
            <v>Onkol. Schwerpunkt Lörrach-Rheinfelden</v>
          </cell>
          <cell r="B38" t="str">
            <v>Tumorzentrum Würzburg</v>
          </cell>
          <cell r="C38" t="str">
            <v>GKR (Gemeinsames Krebsregister der Länder)</v>
          </cell>
          <cell r="G38" t="str">
            <v>Nicht gelistet</v>
          </cell>
          <cell r="H38" t="str">
            <v>Nicht gelistet</v>
          </cell>
          <cell r="I38" t="str">
            <v>Keine Anbindung an Klinisches Krebsregister</v>
          </cell>
          <cell r="J38" t="str">
            <v>Keine Anbindung an Klinisches Krebsregister</v>
          </cell>
          <cell r="M38" t="str">
            <v>Keine Anbindung an Klinisches Krebsregister</v>
          </cell>
          <cell r="N38" t="str">
            <v>Unbekannt</v>
          </cell>
          <cell r="P38" t="str">
            <v>GKR (Gemeinsames Krebsregister der Länder)</v>
          </cell>
        </row>
        <row r="39">
          <cell r="A39" t="str">
            <v>Onkol. Schwerpunkt Ludwigsburg-Bietigheim</v>
          </cell>
          <cell r="B39" t="str">
            <v>Keine Anbindung an Klinisches Krebsregister</v>
          </cell>
          <cell r="C39" t="str">
            <v>Keine Anbindung an Klinisches Krebsregister</v>
          </cell>
          <cell r="G39" t="str">
            <v>Unbekannt</v>
          </cell>
          <cell r="H39" t="str">
            <v>Unbekannt</v>
          </cell>
          <cell r="I39" t="str">
            <v>Nicht gelistet</v>
          </cell>
          <cell r="J39" t="str">
            <v>Nicht gelistet</v>
          </cell>
          <cell r="M39" t="str">
            <v>Nicht gelistet</v>
          </cell>
          <cell r="P39" t="str">
            <v>Keine Anbindung an Klinisches Krebsregister</v>
          </cell>
        </row>
        <row r="40">
          <cell r="A40" t="str">
            <v>Onkol. Schwerpunkt Villingen-Schwenningen</v>
          </cell>
          <cell r="B40" t="str">
            <v>Nicht gelistet</v>
          </cell>
          <cell r="C40" t="str">
            <v>Nicht gelistet</v>
          </cell>
          <cell r="I40" t="str">
            <v>Unbekannt</v>
          </cell>
          <cell r="J40" t="str">
            <v>Unbekannt</v>
          </cell>
          <cell r="M40" t="str">
            <v>Unbekannt</v>
          </cell>
          <cell r="P40" t="str">
            <v>Nicht gelistet</v>
          </cell>
        </row>
        <row r="41">
          <cell r="A41" t="str">
            <v>Onkologischer Schwerpunkt Göppingen</v>
          </cell>
          <cell r="B41" t="str">
            <v>Unbekannt</v>
          </cell>
          <cell r="C41" t="str">
            <v>Unbekannt</v>
          </cell>
          <cell r="P41" t="str">
            <v>Unbekannt</v>
          </cell>
        </row>
        <row r="42">
          <cell r="A42" t="str">
            <v>Onkologischer Schwerpunkt Heilbronn</v>
          </cell>
        </row>
        <row r="43">
          <cell r="A43" t="str">
            <v>Onkologischer Schwerpunkt Karlsruhe</v>
          </cell>
        </row>
        <row r="44">
          <cell r="A44" t="str">
            <v>Onkologischer Schwerpunkt Konstanz-Singen</v>
          </cell>
        </row>
        <row r="45">
          <cell r="A45" t="str">
            <v>Onkologischer Schwerpunkt Oberschwaben</v>
          </cell>
        </row>
        <row r="46">
          <cell r="A46" t="str">
            <v>Onkologischer Schwerpunkt Ortenaukreis</v>
          </cell>
        </row>
        <row r="47">
          <cell r="A47" t="str">
            <v>Onkologischer Schwerpunkt Ostwürttemberg</v>
          </cell>
        </row>
        <row r="48">
          <cell r="A48" t="str">
            <v>Onkologischer Schwerpunkt Reutlingen</v>
          </cell>
        </row>
        <row r="49">
          <cell r="A49" t="str">
            <v>Onkologischer Schwerpunkt Stuttgart</v>
          </cell>
        </row>
        <row r="50">
          <cell r="A50" t="str">
            <v>Keine Anbindung an Klinisches Krebsregister</v>
          </cell>
        </row>
        <row r="51">
          <cell r="A51" t="str">
            <v>Nicht gelistet</v>
          </cell>
        </row>
        <row r="52">
          <cell r="A52" t="str">
            <v>Unbekannt</v>
          </cell>
        </row>
        <row r="60">
          <cell r="B60" t="str">
            <v>Keine Daten für Berechnung von Kennzahlen und kein Follow-up/ Matrix</v>
          </cell>
        </row>
        <row r="61">
          <cell r="B61" t="str">
            <v>Keine Daten für Berechnung von Kennzahlen, aber teilweise Follow-up/ Matrix 
(z.B. nur Vitalstatus)</v>
          </cell>
        </row>
        <row r="62">
          <cell r="B62" t="str">
            <v>Keine Daten für Berechnung von Kennzahlen, aber vollständiges Follow-up/ Matrix</v>
          </cell>
        </row>
        <row r="63">
          <cell r="B63" t="str">
            <v>Daten für Berechnung von Kennzahlen und teilweise Follow-up/ Matrix 
(z.B. nur Vitalstatus)</v>
          </cell>
        </row>
        <row r="64">
          <cell r="B64" t="str">
            <v>Daten für Berechnung von Kennzahlen und vollständiges Follow-up/ Matrix</v>
          </cell>
        </row>
        <row r="65">
          <cell r="B65" t="str">
            <v>Keine Auswahl zutreffend</v>
          </cell>
        </row>
        <row r="70">
          <cell r="D70" t="str">
            <v/>
          </cell>
        </row>
        <row r="73">
          <cell r="A73" t="str">
            <v>FAD-Z-001-2-V</v>
          </cell>
        </row>
        <row r="74">
          <cell r="A74" t="str">
            <v>FAD-Z-001-3-V</v>
          </cell>
        </row>
        <row r="75">
          <cell r="A75" t="str">
            <v>FAD-Z-001-4</v>
          </cell>
        </row>
        <row r="76">
          <cell r="A76" t="str">
            <v>FAD-Z-002-V</v>
          </cell>
        </row>
        <row r="77">
          <cell r="A77" t="str">
            <v>FAD-Z-003-1-V</v>
          </cell>
        </row>
        <row r="78">
          <cell r="A78" t="str">
            <v>FAD-Z-003-2</v>
          </cell>
        </row>
        <row r="79">
          <cell r="A79" t="str">
            <v>FAD-Z-003-3-V</v>
          </cell>
        </row>
        <row r="80">
          <cell r="A80" t="str">
            <v>FAD-Z-004</v>
          </cell>
        </row>
        <row r="81">
          <cell r="A81" t="str">
            <v>FAD-Z-005</v>
          </cell>
        </row>
        <row r="82">
          <cell r="A82" t="str">
            <v>FAD-Z-006</v>
          </cell>
        </row>
        <row r="83">
          <cell r="A83" t="str">
            <v>FAD-Z-007-V</v>
          </cell>
        </row>
        <row r="84">
          <cell r="A84" t="str">
            <v>FAD-Z-009-V</v>
          </cell>
        </row>
        <row r="85">
          <cell r="A85" t="str">
            <v>FAD-Z-010-V</v>
          </cell>
        </row>
        <row r="86">
          <cell r="A86" t="str">
            <v>FAD-Z-013-V</v>
          </cell>
        </row>
        <row r="87">
          <cell r="A87" t="str">
            <v>FAD-Z-014</v>
          </cell>
        </row>
        <row r="88">
          <cell r="A88" t="str">
            <v>FAD-Z-015-V</v>
          </cell>
        </row>
        <row r="89">
          <cell r="A89" t="str">
            <v>FAD-Z-016</v>
          </cell>
        </row>
        <row r="90">
          <cell r="A90" t="str">
            <v>FAD-Z-018-V</v>
          </cell>
        </row>
        <row r="91">
          <cell r="A91" t="str">
            <v>FAD-Z-019-V</v>
          </cell>
        </row>
        <row r="92">
          <cell r="A92" t="str">
            <v>FAD-Z-020</v>
          </cell>
        </row>
        <row r="93">
          <cell r="A93" t="str">
            <v>FAD-Z-021</v>
          </cell>
        </row>
        <row r="94">
          <cell r="A94" t="str">
            <v>FAD-Z-022</v>
          </cell>
        </row>
        <row r="95">
          <cell r="A95" t="str">
            <v>FAD-Z-023-V</v>
          </cell>
        </row>
        <row r="96">
          <cell r="A96" t="str">
            <v>FAD-Z-027</v>
          </cell>
        </row>
        <row r="97">
          <cell r="A97" t="str">
            <v>FAD-Z-029</v>
          </cell>
        </row>
        <row r="98">
          <cell r="A98" t="str">
            <v>FAD-Z-030</v>
          </cell>
        </row>
        <row r="99">
          <cell r="A99" t="str">
            <v>FAD-Z-031-V</v>
          </cell>
        </row>
        <row r="100">
          <cell r="A100" t="str">
            <v>FAD-Z-032-V</v>
          </cell>
        </row>
        <row r="101">
          <cell r="A101" t="str">
            <v>FAD-Z-033-V</v>
          </cell>
        </row>
        <row r="102">
          <cell r="A102" t="str">
            <v>FAD-Z-034</v>
          </cell>
        </row>
        <row r="103">
          <cell r="A103" t="str">
            <v>FAD-Z-037-V</v>
          </cell>
        </row>
        <row r="104">
          <cell r="A104" t="str">
            <v>FAD-Z-038</v>
          </cell>
        </row>
        <row r="105">
          <cell r="A105" t="str">
            <v>FAD-Z-039</v>
          </cell>
        </row>
        <row r="106">
          <cell r="A106" t="str">
            <v>FAD-Z-040-V</v>
          </cell>
        </row>
        <row r="107">
          <cell r="A107" t="str">
            <v>FAD-Z-042</v>
          </cell>
        </row>
        <row r="108">
          <cell r="A108" t="str">
            <v>FAD-Z-043-V</v>
          </cell>
        </row>
        <row r="109">
          <cell r="A109" t="str">
            <v>FAD-Z-044-V</v>
          </cell>
        </row>
        <row r="110">
          <cell r="A110" t="str">
            <v>FAD-Z-046-V</v>
          </cell>
        </row>
        <row r="111">
          <cell r="A111" t="str">
            <v>FAD-Z-047-V</v>
          </cell>
        </row>
        <row r="112">
          <cell r="A112" t="str">
            <v>FAD-Z-048-V</v>
          </cell>
        </row>
        <row r="113">
          <cell r="A113" t="str">
            <v>FAD-Z-051</v>
          </cell>
        </row>
        <row r="114">
          <cell r="A114" t="str">
            <v>FAD-Z-052-V</v>
          </cell>
        </row>
        <row r="115">
          <cell r="A115" t="str">
            <v>FAD-Z-053</v>
          </cell>
        </row>
        <row r="116">
          <cell r="A116" t="str">
            <v>FAD-Z-054</v>
          </cell>
        </row>
        <row r="117">
          <cell r="A117" t="str">
            <v>FAD-Z-055-V</v>
          </cell>
        </row>
        <row r="118">
          <cell r="A118" t="str">
            <v>FAD-Z-056</v>
          </cell>
        </row>
        <row r="119">
          <cell r="A119" t="str">
            <v>FAD-Z-057</v>
          </cell>
        </row>
        <row r="120">
          <cell r="A120" t="str">
            <v>FAD-Z-058</v>
          </cell>
        </row>
        <row r="121">
          <cell r="A121" t="str">
            <v>FAD-Z-059</v>
          </cell>
        </row>
        <row r="122">
          <cell r="A122" t="str">
            <v>FAD-Z-060-V</v>
          </cell>
        </row>
        <row r="123">
          <cell r="A123" t="str">
            <v>FAD-Z-061</v>
          </cell>
        </row>
        <row r="124">
          <cell r="A124" t="str">
            <v>FAD-Z-063-V</v>
          </cell>
        </row>
        <row r="125">
          <cell r="A125" t="str">
            <v>FAD-Z-064-V</v>
          </cell>
        </row>
        <row r="126">
          <cell r="A126" t="str">
            <v>FAD-Z-065-V</v>
          </cell>
        </row>
        <row r="127">
          <cell r="A127" t="str">
            <v>FAD-Z-066</v>
          </cell>
        </row>
        <row r="128">
          <cell r="A128" t="str">
            <v>FAD-Z-067-V</v>
          </cell>
        </row>
        <row r="129">
          <cell r="A129" t="str">
            <v>FAD-Z-068-V</v>
          </cell>
        </row>
        <row r="130">
          <cell r="A130" t="str">
            <v>FAD-Z-070-V</v>
          </cell>
        </row>
        <row r="131">
          <cell r="A131" t="str">
            <v>FAD-Z-071-V</v>
          </cell>
        </row>
        <row r="132">
          <cell r="A132" t="str">
            <v>FAD-Z-072-V</v>
          </cell>
        </row>
        <row r="133">
          <cell r="A133" t="str">
            <v>FAD-Z-074-V</v>
          </cell>
        </row>
        <row r="134">
          <cell r="A134" t="str">
            <v>FAD-Z-075</v>
          </cell>
        </row>
        <row r="135">
          <cell r="A135" t="str">
            <v>FAD-Z-076-V</v>
          </cell>
        </row>
        <row r="136">
          <cell r="A136" t="str">
            <v>FAD-Z-077</v>
          </cell>
        </row>
        <row r="137">
          <cell r="A137" t="str">
            <v>FAD-Z-078</v>
          </cell>
        </row>
        <row r="138">
          <cell r="A138" t="str">
            <v>FAD-Z-080</v>
          </cell>
        </row>
        <row r="139">
          <cell r="A139" t="str">
            <v>FAD-Z-083-V</v>
          </cell>
        </row>
        <row r="140">
          <cell r="A140" t="str">
            <v>FAD-Z-084</v>
          </cell>
        </row>
        <row r="141">
          <cell r="A141" t="str">
            <v>FAD-Z-087</v>
          </cell>
        </row>
        <row r="142">
          <cell r="A142" t="str">
            <v>FAD-Z-088</v>
          </cell>
        </row>
        <row r="143">
          <cell r="A143" t="str">
            <v>FAD-Z-089</v>
          </cell>
        </row>
        <row r="144">
          <cell r="A144" t="str">
            <v>FAD-Z-090-V</v>
          </cell>
        </row>
        <row r="145">
          <cell r="A145" t="str">
            <v>FAD-Z-091-V</v>
          </cell>
        </row>
        <row r="146">
          <cell r="A146" t="str">
            <v>FAD-Z-093-V</v>
          </cell>
        </row>
        <row r="147">
          <cell r="A147" t="str">
            <v>FAD-Z-094</v>
          </cell>
        </row>
        <row r="148">
          <cell r="A148" t="str">
            <v>FAD-Z-096-V</v>
          </cell>
        </row>
        <row r="149">
          <cell r="A149" t="str">
            <v>FAD-Z-097-V</v>
          </cell>
        </row>
        <row r="150">
          <cell r="A150" t="str">
            <v>FAD-Z-098-V</v>
          </cell>
        </row>
        <row r="151">
          <cell r="A151" t="str">
            <v>FAD-Z-099-V</v>
          </cell>
        </row>
        <row r="152">
          <cell r="A152" t="str">
            <v>FAD-Z-100</v>
          </cell>
        </row>
        <row r="153">
          <cell r="A153" t="str">
            <v>FAD-Z-101-V</v>
          </cell>
        </row>
        <row r="154">
          <cell r="A154" t="str">
            <v>FAD-Z-103-V</v>
          </cell>
        </row>
        <row r="155">
          <cell r="A155" t="str">
            <v>FAD-Z-104</v>
          </cell>
        </row>
        <row r="156">
          <cell r="A156" t="str">
            <v>FAD-Z-106</v>
          </cell>
        </row>
        <row r="157">
          <cell r="A157" t="str">
            <v>FAD-Z-107-V</v>
          </cell>
        </row>
        <row r="158">
          <cell r="A158" t="str">
            <v>FAD-Z-108-V</v>
          </cell>
        </row>
        <row r="159">
          <cell r="A159" t="str">
            <v>FAD-Z-109-V</v>
          </cell>
        </row>
        <row r="160">
          <cell r="A160" t="str">
            <v>FAD-Z-111</v>
          </cell>
        </row>
        <row r="161">
          <cell r="A161" t="str">
            <v>FAD-Z-112-V</v>
          </cell>
        </row>
        <row r="162">
          <cell r="A162" t="str">
            <v>FAD-Z-113-V</v>
          </cell>
        </row>
        <row r="163">
          <cell r="A163" t="str">
            <v>FAD-Z-115-V</v>
          </cell>
        </row>
        <row r="164">
          <cell r="A164" t="str">
            <v>FAD-Z-116</v>
          </cell>
        </row>
        <row r="165">
          <cell r="A165" t="str">
            <v>FAD-Z-118-V</v>
          </cell>
        </row>
        <row r="166">
          <cell r="A166" t="str">
            <v>FAD-Z-119</v>
          </cell>
        </row>
        <row r="167">
          <cell r="A167" t="str">
            <v>FAD-Z-121-V</v>
          </cell>
        </row>
        <row r="168">
          <cell r="A168" t="str">
            <v>FAD-Z-122-V</v>
          </cell>
        </row>
        <row r="169">
          <cell r="A169" t="str">
            <v>FAD-Z-123-V</v>
          </cell>
        </row>
        <row r="170">
          <cell r="A170" t="str">
            <v>FAD-Z-124</v>
          </cell>
        </row>
        <row r="171">
          <cell r="A171" t="str">
            <v>FAD-Z-126-V</v>
          </cell>
        </row>
        <row r="172">
          <cell r="A172" t="str">
            <v>FAD-Z-128</v>
          </cell>
        </row>
        <row r="173">
          <cell r="A173" t="str">
            <v>FAD-Z-129</v>
          </cell>
        </row>
        <row r="174">
          <cell r="A174" t="str">
            <v>FAD-Z-130</v>
          </cell>
        </row>
        <row r="175">
          <cell r="A175" t="str">
            <v>FAD-Z-131-V</v>
          </cell>
        </row>
        <row r="176">
          <cell r="A176" t="str">
            <v>FAD-Z-132</v>
          </cell>
        </row>
        <row r="177">
          <cell r="A177" t="str">
            <v>FAD-Z-133-V</v>
          </cell>
        </row>
        <row r="178">
          <cell r="A178" t="str">
            <v>FAD-Z-135-V</v>
          </cell>
        </row>
        <row r="179">
          <cell r="A179" t="str">
            <v>FAD-Z-137</v>
          </cell>
        </row>
        <row r="180">
          <cell r="A180" t="str">
            <v>FAD-Z-139-V</v>
          </cell>
        </row>
        <row r="181">
          <cell r="A181" t="str">
            <v>FAD-Z-141-V</v>
          </cell>
        </row>
        <row r="182">
          <cell r="A182" t="str">
            <v>FAD-Z-142-V</v>
          </cell>
        </row>
        <row r="183">
          <cell r="A183" t="str">
            <v>FAD-Z-143</v>
          </cell>
        </row>
        <row r="184">
          <cell r="A184" t="str">
            <v>FAD-Z-144-V</v>
          </cell>
        </row>
        <row r="185">
          <cell r="A185" t="str">
            <v>FAD-Z-146</v>
          </cell>
        </row>
        <row r="186">
          <cell r="A186" t="str">
            <v>FAD-Z-147</v>
          </cell>
        </row>
        <row r="187">
          <cell r="A187" t="str">
            <v>FAD-Z-148</v>
          </cell>
        </row>
        <row r="188">
          <cell r="A188" t="str">
            <v>FAD-Z-149-V</v>
          </cell>
        </row>
        <row r="189">
          <cell r="A189" t="str">
            <v>FAD-Z-150-V</v>
          </cell>
        </row>
        <row r="190">
          <cell r="A190" t="str">
            <v>FAD-Z-151</v>
          </cell>
        </row>
        <row r="191">
          <cell r="A191" t="str">
            <v>FAD-Z-152</v>
          </cell>
        </row>
        <row r="192">
          <cell r="A192" t="str">
            <v>FAD-Z-153</v>
          </cell>
        </row>
        <row r="193">
          <cell r="A193" t="str">
            <v>FAD-Z-154-V</v>
          </cell>
        </row>
        <row r="194">
          <cell r="A194" t="str">
            <v>FAD-Z-155</v>
          </cell>
        </row>
        <row r="195">
          <cell r="A195" t="str">
            <v>FAD-Z-157</v>
          </cell>
        </row>
        <row r="196">
          <cell r="A196" t="str">
            <v>FAD-Z-158</v>
          </cell>
        </row>
        <row r="197">
          <cell r="A197" t="str">
            <v>FAD-Z-159</v>
          </cell>
        </row>
        <row r="198">
          <cell r="A198" t="str">
            <v>FAD-Z-160-V</v>
          </cell>
        </row>
        <row r="199">
          <cell r="A199" t="str">
            <v>FAD-Z-161</v>
          </cell>
        </row>
        <row r="200">
          <cell r="A200" t="str">
            <v>FAD-Z-162-V</v>
          </cell>
        </row>
        <row r="201">
          <cell r="A201" t="str">
            <v>FAD-Z-164</v>
          </cell>
        </row>
        <row r="202">
          <cell r="A202" t="str">
            <v>FAD-Z-166-1</v>
          </cell>
        </row>
        <row r="203">
          <cell r="A203" t="str">
            <v>FAD-Z-167</v>
          </cell>
        </row>
        <row r="204">
          <cell r="A204" t="str">
            <v>FAD-Z-168</v>
          </cell>
        </row>
        <row r="205">
          <cell r="A205" t="str">
            <v>FAD-Z-170</v>
          </cell>
        </row>
        <row r="206">
          <cell r="A206" t="str">
            <v>FAD-Z-173-1-V</v>
          </cell>
        </row>
        <row r="207">
          <cell r="A207" t="str">
            <v>FAD-Z-174-V</v>
          </cell>
        </row>
        <row r="208">
          <cell r="A208" t="str">
            <v>FAD-Z-175-V</v>
          </cell>
        </row>
        <row r="209">
          <cell r="A209" t="str">
            <v>FAD-Z-176</v>
          </cell>
        </row>
        <row r="210">
          <cell r="A210" t="str">
            <v>FAD-Z-177-V</v>
          </cell>
        </row>
        <row r="211">
          <cell r="A211" t="str">
            <v>FAD-Z-178-V</v>
          </cell>
        </row>
        <row r="212">
          <cell r="A212" t="str">
            <v>FAD-Z-179-V</v>
          </cell>
        </row>
        <row r="213">
          <cell r="A213" t="str">
            <v>FAD-Z-180-V</v>
          </cell>
        </row>
        <row r="214">
          <cell r="A214" t="str">
            <v>FAD-Z-181</v>
          </cell>
        </row>
        <row r="215">
          <cell r="A215" t="str">
            <v>FAD-Z-182</v>
          </cell>
        </row>
        <row r="216">
          <cell r="A216" t="str">
            <v>FAD-Z-183</v>
          </cell>
        </row>
        <row r="217">
          <cell r="A217" t="str">
            <v>FAD-Z-184</v>
          </cell>
        </row>
        <row r="218">
          <cell r="A218" t="str">
            <v>FAD-Z-185-V</v>
          </cell>
        </row>
        <row r="219">
          <cell r="A219" t="str">
            <v>FAD-Z-186-V</v>
          </cell>
        </row>
        <row r="220">
          <cell r="A220" t="str">
            <v>FAD-Z-187-V</v>
          </cell>
        </row>
        <row r="221">
          <cell r="A221" t="str">
            <v>FAD-Z-188-V</v>
          </cell>
        </row>
        <row r="222">
          <cell r="A222" t="str">
            <v>FAD-Z-189</v>
          </cell>
        </row>
        <row r="223">
          <cell r="A223" t="str">
            <v>FAD-Z-190-V</v>
          </cell>
        </row>
        <row r="224">
          <cell r="A224" t="str">
            <v>FAD-Z-191</v>
          </cell>
        </row>
        <row r="225">
          <cell r="A225" t="str">
            <v>FAD-Z-192</v>
          </cell>
        </row>
        <row r="226">
          <cell r="A226" t="str">
            <v>FAD-Z-194</v>
          </cell>
        </row>
        <row r="227">
          <cell r="A227" t="str">
            <v>FAD-Z-195</v>
          </cell>
        </row>
        <row r="228">
          <cell r="A228" t="str">
            <v>FAD-Z-196</v>
          </cell>
        </row>
        <row r="229">
          <cell r="A229" t="str">
            <v>FAD-Z-197</v>
          </cell>
        </row>
        <row r="230">
          <cell r="A230" t="str">
            <v>FAD-Z-198-V</v>
          </cell>
        </row>
        <row r="231">
          <cell r="A231" t="str">
            <v>FAD-Z-201</v>
          </cell>
        </row>
        <row r="232">
          <cell r="A232" t="str">
            <v>FAD-Z-202</v>
          </cell>
        </row>
        <row r="233">
          <cell r="A233" t="str">
            <v>FAD-Z-205-V</v>
          </cell>
        </row>
        <row r="234">
          <cell r="A234" t="str">
            <v>FAD-Z-206</v>
          </cell>
        </row>
        <row r="235">
          <cell r="A235" t="str">
            <v>FAD-Z-210-1-V</v>
          </cell>
        </row>
        <row r="236">
          <cell r="A236" t="str">
            <v>FAD-Z-210-2</v>
          </cell>
        </row>
        <row r="237">
          <cell r="A237" t="str">
            <v>FAD-Z-211</v>
          </cell>
        </row>
        <row r="238">
          <cell r="A238" t="str">
            <v>FAD-Z-214-V</v>
          </cell>
        </row>
        <row r="239">
          <cell r="A239" t="str">
            <v>FAD-Z-215-V</v>
          </cell>
        </row>
        <row r="240">
          <cell r="A240" t="str">
            <v>FAD-Z-216</v>
          </cell>
        </row>
        <row r="241">
          <cell r="A241" t="str">
            <v>FAD-Z-217-V</v>
          </cell>
        </row>
        <row r="242">
          <cell r="A242" t="str">
            <v>FAD-Z-219</v>
          </cell>
        </row>
        <row r="243">
          <cell r="A243" t="str">
            <v>FAD-Z-220-V</v>
          </cell>
        </row>
        <row r="244">
          <cell r="A244" t="str">
            <v>FAD-Z-221</v>
          </cell>
        </row>
        <row r="245">
          <cell r="A245" t="str">
            <v>FAD-Z-222</v>
          </cell>
        </row>
        <row r="246">
          <cell r="A246" t="str">
            <v>FAD-Z-223-V</v>
          </cell>
        </row>
        <row r="247">
          <cell r="A247" t="str">
            <v>FAD-Z-224-V</v>
          </cell>
        </row>
        <row r="248">
          <cell r="A248" t="str">
            <v>FAD-Z-225-V</v>
          </cell>
        </row>
        <row r="249">
          <cell r="A249" t="str">
            <v>FAD-Z-226-V</v>
          </cell>
        </row>
        <row r="250">
          <cell r="A250" t="str">
            <v>FAD-Z-227-V</v>
          </cell>
        </row>
        <row r="251">
          <cell r="A251" t="str">
            <v>FAD-Z-228-V</v>
          </cell>
        </row>
        <row r="252">
          <cell r="A252" t="str">
            <v>FAD-Z-230</v>
          </cell>
        </row>
        <row r="253">
          <cell r="A253" t="str">
            <v>FAD-Z-231-V</v>
          </cell>
        </row>
        <row r="254">
          <cell r="A254" t="str">
            <v>FAD-Z-232-V</v>
          </cell>
        </row>
        <row r="255">
          <cell r="A255" t="str">
            <v>FAD-Z-233-V</v>
          </cell>
        </row>
        <row r="256">
          <cell r="A256" t="str">
            <v>FAD-Z-234-V</v>
          </cell>
        </row>
        <row r="257">
          <cell r="A257" t="str">
            <v>FAD-Z-235-V</v>
          </cell>
        </row>
        <row r="258">
          <cell r="A258" t="str">
            <v>FAD-Z-237-V</v>
          </cell>
        </row>
        <row r="259">
          <cell r="A259" t="str">
            <v>FAD-Z-238</v>
          </cell>
        </row>
        <row r="260">
          <cell r="A260" t="str">
            <v>FAD-Z-239-V</v>
          </cell>
        </row>
        <row r="261">
          <cell r="A261" t="str">
            <v>FAD-Z-240</v>
          </cell>
        </row>
        <row r="262">
          <cell r="A262" t="str">
            <v>FAD-Z-241</v>
          </cell>
        </row>
        <row r="263">
          <cell r="A263" t="str">
            <v>FAD-Z-243-V</v>
          </cell>
        </row>
        <row r="264">
          <cell r="A264" t="str">
            <v>FAD-Z-244-V</v>
          </cell>
        </row>
        <row r="265">
          <cell r="A265" t="str">
            <v>FAD-Z-245-V</v>
          </cell>
        </row>
        <row r="266">
          <cell r="A266" t="str">
            <v>FAD-Z-246</v>
          </cell>
        </row>
        <row r="267">
          <cell r="A267" t="str">
            <v>FAD-Z-248-V</v>
          </cell>
        </row>
        <row r="268">
          <cell r="A268" t="str">
            <v>FAD-Z-250-V</v>
          </cell>
        </row>
        <row r="269">
          <cell r="A269" t="str">
            <v>FAD-Z-251-V</v>
          </cell>
        </row>
        <row r="270">
          <cell r="A270" t="str">
            <v>FAD-Z-253</v>
          </cell>
        </row>
        <row r="271">
          <cell r="A271" t="str">
            <v>FAD-Z-255-V</v>
          </cell>
        </row>
        <row r="272">
          <cell r="A272" t="str">
            <v>FAD-Z-256-V</v>
          </cell>
        </row>
        <row r="273">
          <cell r="A273" t="str">
            <v>FAD-Z-257</v>
          </cell>
        </row>
        <row r="274">
          <cell r="A274" t="str">
            <v>FAD-Z-258</v>
          </cell>
        </row>
        <row r="275">
          <cell r="A275" t="str">
            <v>FAD-Z-259-V</v>
          </cell>
        </row>
        <row r="276">
          <cell r="A276" t="str">
            <v>FAD-Z-260</v>
          </cell>
        </row>
        <row r="277">
          <cell r="A277" t="str">
            <v>FAD-Z-262</v>
          </cell>
        </row>
        <row r="278">
          <cell r="A278" t="str">
            <v>FAD-Z-263</v>
          </cell>
        </row>
        <row r="279">
          <cell r="A279" t="str">
            <v>FAD-Z-264-V</v>
          </cell>
        </row>
        <row r="280">
          <cell r="A280" t="str">
            <v>FAD-Z-265-V</v>
          </cell>
        </row>
        <row r="281">
          <cell r="A281" t="str">
            <v>FAD-Z-266</v>
          </cell>
        </row>
        <row r="282">
          <cell r="A282" t="str">
            <v>FAD-Z-267-V</v>
          </cell>
        </row>
        <row r="283">
          <cell r="A283" t="str">
            <v>FAD-Z-268</v>
          </cell>
        </row>
        <row r="284">
          <cell r="A284" t="str">
            <v>FAD-Z-269</v>
          </cell>
        </row>
        <row r="285">
          <cell r="A285" t="str">
            <v>FAD-Z-271-V</v>
          </cell>
        </row>
        <row r="286">
          <cell r="A286" t="str">
            <v>FAD-Z-272</v>
          </cell>
        </row>
        <row r="287">
          <cell r="A287" t="str">
            <v>FAD-Z-273-V</v>
          </cell>
        </row>
        <row r="288">
          <cell r="A288" t="str">
            <v>FAD-Z-274-V</v>
          </cell>
        </row>
        <row r="289">
          <cell r="A289" t="str">
            <v>FAD-Z-275</v>
          </cell>
        </row>
        <row r="290">
          <cell r="A290" t="str">
            <v>FAD-Z-276-V</v>
          </cell>
        </row>
        <row r="291">
          <cell r="A291" t="str">
            <v>FAD-Z-279</v>
          </cell>
        </row>
        <row r="292">
          <cell r="A292" t="str">
            <v>FAD-Z-281-V</v>
          </cell>
        </row>
        <row r="293">
          <cell r="A293" t="str">
            <v>FAD-Z-282</v>
          </cell>
        </row>
        <row r="294">
          <cell r="A294" t="str">
            <v>FAD-Z-283-V</v>
          </cell>
        </row>
        <row r="295">
          <cell r="A295" t="str">
            <v>FAD-Z-284-V</v>
          </cell>
        </row>
        <row r="296">
          <cell r="A296" t="str">
            <v>FAD-Z-287-V</v>
          </cell>
        </row>
        <row r="297">
          <cell r="A297" t="str">
            <v>FAD-Z-288-V</v>
          </cell>
        </row>
        <row r="298">
          <cell r="A298" t="str">
            <v>FAD-Z-289</v>
          </cell>
        </row>
        <row r="299">
          <cell r="A299" t="str">
            <v>FAD-Z-290</v>
          </cell>
        </row>
        <row r="300">
          <cell r="A300" t="str">
            <v>FAD-Z-292</v>
          </cell>
        </row>
        <row r="301">
          <cell r="A301" t="str">
            <v>FAD-Z-293-V</v>
          </cell>
        </row>
        <row r="302">
          <cell r="A302" t="str">
            <v>FAD-Z-294</v>
          </cell>
        </row>
        <row r="303">
          <cell r="A303" t="str">
            <v>FAD-Z-295-V</v>
          </cell>
        </row>
        <row r="304">
          <cell r="A304" t="str">
            <v>FAD-Z-296-V</v>
          </cell>
        </row>
        <row r="305">
          <cell r="A305" t="str">
            <v>FAD-Z-297-V</v>
          </cell>
        </row>
        <row r="306">
          <cell r="A306" t="str">
            <v>FAD-Z-298-V</v>
          </cell>
        </row>
        <row r="307">
          <cell r="A307" t="str">
            <v>FAD-Z-299</v>
          </cell>
        </row>
        <row r="308">
          <cell r="A308" t="str">
            <v>FAD-Z-300-V</v>
          </cell>
        </row>
        <row r="309">
          <cell r="A309" t="str">
            <v>FAD-Z-301</v>
          </cell>
        </row>
        <row r="310">
          <cell r="A310" t="str">
            <v>FAD-Z-302-V</v>
          </cell>
        </row>
        <row r="311">
          <cell r="A311" t="str">
            <v>FAD-Z-303-V</v>
          </cell>
        </row>
        <row r="312">
          <cell r="A312" t="str">
            <v>FAD-Z-304-V</v>
          </cell>
        </row>
        <row r="313">
          <cell r="A313" t="str">
            <v>FAD-Z-305</v>
          </cell>
        </row>
        <row r="314">
          <cell r="A314" t="str">
            <v>FAD-Z-306-V</v>
          </cell>
        </row>
        <row r="315">
          <cell r="A315" t="str">
            <v>FAD-Z-307-V</v>
          </cell>
        </row>
        <row r="316">
          <cell r="A316" t="str">
            <v>FAD-Z-308-V</v>
          </cell>
        </row>
        <row r="317">
          <cell r="A317" t="str">
            <v>FAD-Z-309</v>
          </cell>
        </row>
        <row r="318">
          <cell r="A318" t="str">
            <v>FAD-Z-310-V</v>
          </cell>
        </row>
        <row r="319">
          <cell r="A319" t="str">
            <v>FAD-Z-311-V</v>
          </cell>
        </row>
        <row r="320">
          <cell r="A320" t="str">
            <v>FAD-Z-312-V</v>
          </cell>
        </row>
        <row r="321">
          <cell r="A321" t="str">
            <v>FAD-Z-313</v>
          </cell>
        </row>
        <row r="322">
          <cell r="A322" t="str">
            <v>FAD-Z-317</v>
          </cell>
        </row>
        <row r="323">
          <cell r="A323" t="str">
            <v>FAD-Z-320</v>
          </cell>
        </row>
        <row r="324">
          <cell r="A324" t="str">
            <v>FAD-Z-321-V</v>
          </cell>
        </row>
        <row r="325">
          <cell r="A325" t="str">
            <v>FAD-Z-323</v>
          </cell>
        </row>
        <row r="326">
          <cell r="A326" t="str">
            <v>FAD-Z-324-V</v>
          </cell>
        </row>
        <row r="327">
          <cell r="A327" t="str">
            <v>FAD-Z-325-V</v>
          </cell>
        </row>
        <row r="328">
          <cell r="A328" t="str">
            <v>FAD-Z-326-V</v>
          </cell>
        </row>
        <row r="329">
          <cell r="A329" t="str">
            <v>FAD-Z-327-V</v>
          </cell>
        </row>
        <row r="330">
          <cell r="A330" t="str">
            <v>FAD-Z-328</v>
          </cell>
        </row>
        <row r="331">
          <cell r="A331" t="str">
            <v>FAD-Z-329</v>
          </cell>
        </row>
        <row r="332">
          <cell r="A332" t="str">
            <v>FAD-Z-330-V</v>
          </cell>
        </row>
        <row r="333">
          <cell r="A333" t="str">
            <v>FAD-Z-331-V</v>
          </cell>
        </row>
        <row r="334">
          <cell r="A334" t="str">
            <v>FAD-Z-332-V</v>
          </cell>
        </row>
        <row r="335">
          <cell r="A335" t="str">
            <v>FAD-Z-334-V</v>
          </cell>
        </row>
        <row r="336">
          <cell r="A336" t="str">
            <v>FAD-Z-336-V</v>
          </cell>
        </row>
        <row r="337">
          <cell r="A337" t="str">
            <v>FAD-Z-337-V</v>
          </cell>
        </row>
        <row r="338">
          <cell r="A338" t="str">
            <v>FAD-Z-338</v>
          </cell>
        </row>
        <row r="339">
          <cell r="A339" t="str">
            <v>FAD-Z-339</v>
          </cell>
        </row>
        <row r="340">
          <cell r="A340" t="str">
            <v>FAD-Z-340-V</v>
          </cell>
        </row>
        <row r="341">
          <cell r="A341" t="str">
            <v>FAD-Z-341-V</v>
          </cell>
        </row>
        <row r="342">
          <cell r="A342" t="str">
            <v>FAD-Z-342</v>
          </cell>
        </row>
        <row r="343">
          <cell r="A343" t="str">
            <v>FAD-Z-343</v>
          </cell>
        </row>
        <row r="344">
          <cell r="A344" t="str">
            <v>FAD-Z-345</v>
          </cell>
        </row>
        <row r="345">
          <cell r="A345" t="str">
            <v>FAD-Z-346</v>
          </cell>
        </row>
        <row r="346">
          <cell r="A346" t="str">
            <v>FAD-Z-347</v>
          </cell>
        </row>
        <row r="347">
          <cell r="A347" t="str">
            <v>FAD-Z-348-V</v>
          </cell>
        </row>
        <row r="348">
          <cell r="A348" t="str">
            <v>FAD-Z-349</v>
          </cell>
        </row>
        <row r="349">
          <cell r="A349" t="str">
            <v>FAD-Z-350</v>
          </cell>
        </row>
        <row r="350">
          <cell r="A350" t="str">
            <v>FAD-Z-351</v>
          </cell>
        </row>
        <row r="351">
          <cell r="A351" t="str">
            <v>FAD-Z-352-V</v>
          </cell>
        </row>
        <row r="352">
          <cell r="A352" t="str">
            <v>FAD-Z-354-V</v>
          </cell>
        </row>
        <row r="353">
          <cell r="A353" t="str">
            <v>FAD-Z-355-V</v>
          </cell>
        </row>
        <row r="354">
          <cell r="A354" t="str">
            <v>FAD-Z-357</v>
          </cell>
        </row>
        <row r="355">
          <cell r="A355" t="str">
            <v>FAD-Z-362-V</v>
          </cell>
        </row>
        <row r="356">
          <cell r="A356" t="str">
            <v>FAD-Z-363-V</v>
          </cell>
        </row>
        <row r="357">
          <cell r="A357" t="str">
            <v>FAD-Z-365-V</v>
          </cell>
        </row>
        <row r="358">
          <cell r="A358" t="str">
            <v>FAD-Z-366</v>
          </cell>
        </row>
        <row r="359">
          <cell r="A359" t="str">
            <v>FAD-Z-367-V</v>
          </cell>
        </row>
        <row r="360">
          <cell r="A360" t="str">
            <v>FAD-Z-369</v>
          </cell>
        </row>
        <row r="361">
          <cell r="A361" t="str">
            <v>FAD-Z-370</v>
          </cell>
        </row>
        <row r="362">
          <cell r="A362" t="str">
            <v>FAD-Z-371</v>
          </cell>
        </row>
        <row r="363">
          <cell r="A363" t="str">
            <v>FAD-Z-372</v>
          </cell>
        </row>
        <row r="364">
          <cell r="A364" t="str">
            <v>FAD-Z-373</v>
          </cell>
        </row>
        <row r="365">
          <cell r="A365" t="str">
            <v>FAD-Z-374</v>
          </cell>
        </row>
        <row r="366">
          <cell r="A366" t="str">
            <v>FAD-Z-375</v>
          </cell>
        </row>
        <row r="367">
          <cell r="A367" t="str">
            <v>FAD-Z-376-V</v>
          </cell>
        </row>
        <row r="368">
          <cell r="A368" t="str">
            <v>FAD-Z-377-V</v>
          </cell>
        </row>
        <row r="369">
          <cell r="A369" t="str">
            <v>FAD-Z-378</v>
          </cell>
        </row>
        <row r="370">
          <cell r="A370" t="str">
            <v>FAD-Z-380</v>
          </cell>
        </row>
        <row r="371">
          <cell r="A371" t="str">
            <v>FAD-Z-381</v>
          </cell>
        </row>
        <row r="372">
          <cell r="A372" t="str">
            <v>FAD-Z-382-V</v>
          </cell>
        </row>
        <row r="373">
          <cell r="A373" t="str">
            <v>FAD-Z-383</v>
          </cell>
        </row>
        <row r="374">
          <cell r="A374" t="str">
            <v>FAD-Z-384-V</v>
          </cell>
        </row>
        <row r="375">
          <cell r="A375" t="str">
            <v>FAD-Z-386</v>
          </cell>
        </row>
        <row r="376">
          <cell r="A376" t="str">
            <v>FAD-Z-387</v>
          </cell>
        </row>
        <row r="377">
          <cell r="A377" t="str">
            <v>FAD-Z-388</v>
          </cell>
        </row>
        <row r="378">
          <cell r="A378" t="str">
            <v>FAD-Z-389</v>
          </cell>
        </row>
        <row r="379">
          <cell r="A379" t="str">
            <v>FAD-Z-390</v>
          </cell>
        </row>
        <row r="380">
          <cell r="A380" t="str">
            <v>FAD-Z-391</v>
          </cell>
        </row>
        <row r="381">
          <cell r="A381" t="str">
            <v>FAD-Z-392</v>
          </cell>
        </row>
        <row r="382">
          <cell r="A382" t="str">
            <v>FAD-Z-393</v>
          </cell>
        </row>
        <row r="383">
          <cell r="A383" t="str">
            <v>FAD-Z-394</v>
          </cell>
        </row>
        <row r="384">
          <cell r="A384" t="str">
            <v>FAD-Z-395-V</v>
          </cell>
        </row>
        <row r="385">
          <cell r="A385" t="str">
            <v>FAD-Z-396</v>
          </cell>
        </row>
        <row r="386">
          <cell r="A386" t="str">
            <v>FAD-Z-397</v>
          </cell>
        </row>
        <row r="387">
          <cell r="A387" t="str">
            <v>FAD-Z-398</v>
          </cell>
        </row>
        <row r="388">
          <cell r="A388" t="str">
            <v>FAD-Z-400</v>
          </cell>
        </row>
        <row r="389">
          <cell r="A389" t="str">
            <v>FAD-Z-401</v>
          </cell>
        </row>
        <row r="390">
          <cell r="A390" t="str">
            <v>FAD-Z-402</v>
          </cell>
        </row>
        <row r="391">
          <cell r="A391" t="str">
            <v>FAD-Z-403</v>
          </cell>
        </row>
        <row r="392">
          <cell r="A392" t="str">
            <v>FAD-Z-405</v>
          </cell>
        </row>
        <row r="393">
          <cell r="A393" t="str">
            <v>Nicht gelistet</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 displayName="Table1" ref="A28:S49" totalsRowShown="0" headerRowDxfId="278" dataDxfId="276" headerRowBorderDxfId="277" totalsRowBorderDxfId="275">
  <tableColumns count="19">
    <tableColumn id="1" xr3:uid="{00000000-0010-0000-0000-000001000000}" name="Baden-Württemberg" dataDxfId="274"/>
    <tableColumn id="2" xr3:uid="{00000000-0010-0000-0000-000002000000}" name="Bayern" dataDxfId="273"/>
    <tableColumn id="3" xr3:uid="{00000000-0010-0000-0000-000003000000}" name="Berlin" dataDxfId="272"/>
    <tableColumn id="4" xr3:uid="{00000000-0010-0000-0000-000004000000}" name="Brandenburg" dataDxfId="271"/>
    <tableColumn id="5" xr3:uid="{00000000-0010-0000-0000-000005000000}" name="Bremen" dataDxfId="270"/>
    <tableColumn id="6" xr3:uid="{00000000-0010-0000-0000-000006000000}" name="Hamburg" dataDxfId="269"/>
    <tableColumn id="7" xr3:uid="{00000000-0010-0000-0000-000007000000}" name="Hessen" dataDxfId="268"/>
    <tableColumn id="8" xr3:uid="{00000000-0010-0000-0000-000008000000}" name="Mecklenburg-Vorpommern" dataDxfId="267"/>
    <tableColumn id="9" xr3:uid="{00000000-0010-0000-0000-000009000000}" name="Niedersachsen" dataDxfId="266"/>
    <tableColumn id="10" xr3:uid="{00000000-0010-0000-0000-00000A000000}" name="Nordrhein-Westfalen" dataDxfId="265"/>
    <tableColumn id="11" xr3:uid="{00000000-0010-0000-0000-00000B000000}" name="Rheinland-Pfalz" dataDxfId="264"/>
    <tableColumn id="12" xr3:uid="{00000000-0010-0000-0000-00000C000000}" name="Saarland" dataDxfId="263"/>
    <tableColumn id="13" xr3:uid="{00000000-0010-0000-0000-00000D000000}" name="Sachsen" dataDxfId="262"/>
    <tableColumn id="14" xr3:uid="{00000000-0010-0000-0000-00000E000000}" name="Sachsen-Anhalt" dataDxfId="261"/>
    <tableColumn id="15" xr3:uid="{00000000-0010-0000-0000-00000F000000}" name="Schleswig-Holstein" dataDxfId="260"/>
    <tableColumn id="16" xr3:uid="{00000000-0010-0000-0000-000010000000}" name="Thüringen" dataDxfId="259"/>
    <tableColumn id="17" xr3:uid="{00000000-0010-0000-0000-000011000000}" name="Schweiz" dataDxfId="258"/>
    <tableColumn id="18" xr3:uid="{00000000-0010-0000-0000-000012000000}" name="Österreich" dataDxfId="257"/>
    <tableColumn id="19" xr3:uid="{00000000-0010-0000-0000-000013000000}" name="Italien" dataDxfId="25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0.xml"/><Relationship Id="rId1" Type="http://schemas.openxmlformats.org/officeDocument/2006/relationships/printerSettings" Target="../printerSettings/printerSettings19.bin"/><Relationship Id="rId4" Type="http://schemas.openxmlformats.org/officeDocument/2006/relationships/comments" Target="../comments10.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H55"/>
  <sheetViews>
    <sheetView showGridLines="0" tabSelected="1" showRuler="0" zoomScaleNormal="100" zoomScaleSheetLayoutView="100" workbookViewId="0">
      <selection activeCell="B6" sqref="B6:C6"/>
    </sheetView>
  </sheetViews>
  <sheetFormatPr defaultColWidth="9.140625" defaultRowHeight="12.75" x14ac:dyDescent="0.2"/>
  <cols>
    <col min="1" max="1" width="20" style="26" customWidth="1"/>
    <col min="2" max="2" width="11.28515625" style="26" customWidth="1"/>
    <col min="3" max="3" width="12" style="26" customWidth="1"/>
    <col min="4" max="4" width="12.42578125" style="26" customWidth="1"/>
    <col min="5" max="5" width="13.5703125" style="26" customWidth="1"/>
    <col min="6" max="6" width="12.7109375" style="26" customWidth="1"/>
    <col min="7" max="7" width="14.7109375" style="26" customWidth="1"/>
    <col min="8" max="8" width="9.7109375" style="26" customWidth="1"/>
    <col min="9" max="16384" width="9.140625" style="26"/>
  </cols>
  <sheetData>
    <row r="1" spans="1:8" ht="5.25" customHeight="1" x14ac:dyDescent="0.2"/>
    <row r="2" spans="1:8" ht="12.95" customHeight="1" x14ac:dyDescent="0.2">
      <c r="A2" s="17" t="s">
        <v>908</v>
      </c>
    </row>
    <row r="3" spans="1:8" ht="15.75" x14ac:dyDescent="0.2">
      <c r="A3" s="389" t="s">
        <v>433</v>
      </c>
    </row>
    <row r="4" spans="1:8" ht="15.75" customHeight="1" x14ac:dyDescent="0.2">
      <c r="A4" s="561" t="s">
        <v>434</v>
      </c>
      <c r="B4" s="562"/>
      <c r="C4" s="562"/>
      <c r="D4" s="562"/>
      <c r="E4" s="562"/>
      <c r="F4" s="562"/>
    </row>
    <row r="5" spans="1:8" ht="30.75" customHeight="1" x14ac:dyDescent="0.2">
      <c r="A5" s="561" t="s">
        <v>435</v>
      </c>
      <c r="B5" s="562"/>
      <c r="C5" s="562"/>
      <c r="D5" s="562"/>
      <c r="E5" s="562"/>
      <c r="F5" s="562"/>
      <c r="G5" s="390"/>
      <c r="H5" s="390"/>
    </row>
    <row r="6" spans="1:8" ht="15" customHeight="1" x14ac:dyDescent="0.2">
      <c r="A6" s="63" t="s">
        <v>436</v>
      </c>
      <c r="B6" s="563"/>
      <c r="C6" s="564"/>
      <c r="D6" s="399"/>
      <c r="E6" s="391"/>
      <c r="G6" s="568"/>
      <c r="H6" s="568"/>
    </row>
    <row r="7" spans="1:8" ht="6.95" customHeight="1" x14ac:dyDescent="0.2">
      <c r="C7" s="21"/>
      <c r="D7" s="21"/>
      <c r="E7" s="21"/>
      <c r="F7" s="21"/>
      <c r="G7" s="21"/>
      <c r="H7" s="10"/>
    </row>
    <row r="8" spans="1:8" ht="15" customHeight="1" x14ac:dyDescent="0.2">
      <c r="A8" s="63" t="s">
        <v>437</v>
      </c>
      <c r="B8" s="565" t="str">
        <f>IF($B$6="","",Datenquelle!B66)</f>
        <v/>
      </c>
      <c r="C8" s="566"/>
      <c r="D8" s="566"/>
      <c r="E8" s="566"/>
      <c r="F8" s="566"/>
      <c r="G8" s="566"/>
      <c r="H8" s="567"/>
    </row>
    <row r="9" spans="1:8" ht="6.95" customHeight="1" x14ac:dyDescent="0.2">
      <c r="A9" s="21"/>
      <c r="B9" s="438"/>
      <c r="C9" s="438"/>
      <c r="D9" s="438"/>
      <c r="E9" s="438"/>
      <c r="F9" s="438"/>
      <c r="G9" s="390"/>
      <c r="H9" s="390"/>
    </row>
    <row r="10" spans="1:8" ht="15" customHeight="1" x14ac:dyDescent="0.2">
      <c r="A10" s="63" t="s">
        <v>438</v>
      </c>
      <c r="B10" s="565" t="str">
        <f>IF($B$6="","",Datenquelle!C66)</f>
        <v/>
      </c>
      <c r="C10" s="566"/>
      <c r="D10" s="566"/>
      <c r="E10" s="566"/>
      <c r="F10" s="566"/>
      <c r="G10" s="566"/>
      <c r="H10" s="567"/>
    </row>
    <row r="11" spans="1:8" ht="6.95" customHeight="1" x14ac:dyDescent="0.2">
      <c r="A11" s="21"/>
      <c r="B11" s="438"/>
      <c r="C11" s="438"/>
      <c r="D11" s="438"/>
      <c r="E11" s="438"/>
      <c r="F11" s="438"/>
      <c r="G11" s="390"/>
      <c r="H11" s="390"/>
    </row>
    <row r="12" spans="1:8" ht="15" customHeight="1" x14ac:dyDescent="0.2">
      <c r="A12" s="586" t="s">
        <v>851</v>
      </c>
      <c r="B12" s="579"/>
      <c r="C12" s="580"/>
      <c r="D12" s="581"/>
      <c r="E12" s="439" t="s">
        <v>758</v>
      </c>
      <c r="F12" s="439"/>
      <c r="G12" s="574"/>
      <c r="H12" s="575"/>
    </row>
    <row r="13" spans="1:8" ht="6.95" customHeight="1" x14ac:dyDescent="0.2">
      <c r="A13" s="586"/>
      <c r="C13" s="21"/>
      <c r="D13" s="21"/>
      <c r="E13" s="392"/>
      <c r="F13" s="392"/>
    </row>
    <row r="14" spans="1:8" ht="15" customHeight="1" x14ac:dyDescent="0.2">
      <c r="A14" s="26" t="s">
        <v>852</v>
      </c>
      <c r="B14" s="579"/>
      <c r="C14" s="580"/>
      <c r="D14" s="581"/>
      <c r="E14" s="393" t="s">
        <v>440</v>
      </c>
      <c r="F14" s="393"/>
      <c r="G14" s="576" t="str">
        <f>IF($B$6="","",Datenquelle!F66)</f>
        <v/>
      </c>
      <c r="H14" s="577"/>
    </row>
    <row r="15" spans="1:8" ht="6.95" customHeight="1" x14ac:dyDescent="0.2">
      <c r="C15" s="21"/>
      <c r="D15" s="21"/>
      <c r="E15" s="392"/>
      <c r="F15" s="392"/>
      <c r="G15" s="21"/>
      <c r="H15" s="10"/>
    </row>
    <row r="16" spans="1:8" ht="15" customHeight="1" x14ac:dyDescent="0.2">
      <c r="A16" s="336" t="s">
        <v>439</v>
      </c>
      <c r="B16" s="583"/>
      <c r="C16" s="584"/>
      <c r="D16" s="585"/>
      <c r="E16" s="394" t="s">
        <v>441</v>
      </c>
      <c r="F16" s="394"/>
      <c r="G16" s="578">
        <v>2025</v>
      </c>
      <c r="H16" s="578"/>
    </row>
    <row r="17" spans="1:8" ht="21.95" customHeight="1" x14ac:dyDescent="0.2">
      <c r="A17" s="63"/>
      <c r="F17" s="17"/>
      <c r="G17" s="395"/>
    </row>
    <row r="18" spans="1:8" ht="15" customHeight="1" x14ac:dyDescent="0.2">
      <c r="A18" s="534" t="s">
        <v>744</v>
      </c>
      <c r="B18" s="535"/>
      <c r="C18" s="535"/>
      <c r="D18" s="536"/>
      <c r="E18" s="573"/>
      <c r="F18" s="573"/>
      <c r="G18" s="573"/>
      <c r="H18" s="573"/>
    </row>
    <row r="19" spans="1:8" ht="15" customHeight="1" x14ac:dyDescent="0.2">
      <c r="A19" s="570"/>
      <c r="B19" s="571"/>
      <c r="C19" s="571"/>
      <c r="D19" s="572"/>
      <c r="E19" s="582"/>
      <c r="F19" s="582"/>
      <c r="G19" s="582"/>
      <c r="H19" s="582"/>
    </row>
    <row r="20" spans="1:8" ht="15" customHeight="1" x14ac:dyDescent="0.2">
      <c r="A20" s="21"/>
      <c r="B20" s="21"/>
      <c r="C20" s="21"/>
      <c r="D20" s="21"/>
      <c r="F20" s="21"/>
    </row>
    <row r="21" spans="1:8" ht="15" customHeight="1" x14ac:dyDescent="0.2">
      <c r="A21" s="534" t="s">
        <v>442</v>
      </c>
      <c r="B21" s="535"/>
      <c r="C21" s="535"/>
      <c r="D21" s="536"/>
      <c r="E21" s="550" t="s">
        <v>443</v>
      </c>
      <c r="F21" s="550"/>
      <c r="G21" s="550"/>
      <c r="H21" s="550"/>
    </row>
    <row r="22" spans="1:8" ht="15" customHeight="1" x14ac:dyDescent="0.2">
      <c r="A22" s="540"/>
      <c r="B22" s="541"/>
      <c r="C22" s="541"/>
      <c r="D22" s="541"/>
      <c r="E22" s="542" t="s">
        <v>863</v>
      </c>
      <c r="F22" s="543"/>
      <c r="G22" s="543"/>
      <c r="H22" s="544"/>
    </row>
    <row r="23" spans="1:8" ht="11.1" customHeight="1" x14ac:dyDescent="0.2">
      <c r="E23" s="569"/>
      <c r="F23" s="569"/>
      <c r="G23" s="569"/>
      <c r="H23" s="569"/>
    </row>
    <row r="24" spans="1:8" ht="11.1" customHeight="1" x14ac:dyDescent="0.2">
      <c r="A24" s="551"/>
      <c r="B24" s="551"/>
      <c r="C24" s="551"/>
      <c r="D24" s="551"/>
      <c r="E24" s="551"/>
      <c r="F24" s="551"/>
      <c r="G24" s="551"/>
      <c r="H24" s="551"/>
    </row>
    <row r="25" spans="1:8" ht="16.5" customHeight="1" x14ac:dyDescent="0.2">
      <c r="A25" s="537" t="s">
        <v>444</v>
      </c>
      <c r="B25" s="545" t="s">
        <v>752</v>
      </c>
      <c r="C25" s="546"/>
      <c r="D25" s="547"/>
      <c r="E25" s="554" t="s">
        <v>754</v>
      </c>
      <c r="F25" s="548" t="s">
        <v>446</v>
      </c>
      <c r="G25" s="549"/>
      <c r="H25" s="558" t="s">
        <v>447</v>
      </c>
    </row>
    <row r="26" spans="1:8" ht="26.25" customHeight="1" x14ac:dyDescent="0.2">
      <c r="A26" s="538"/>
      <c r="B26" s="552" t="s">
        <v>751</v>
      </c>
      <c r="C26" s="552"/>
      <c r="D26" s="553" t="s">
        <v>753</v>
      </c>
      <c r="E26" s="556"/>
      <c r="F26" s="553" t="s">
        <v>755</v>
      </c>
      <c r="G26" s="554" t="s">
        <v>756</v>
      </c>
      <c r="H26" s="559"/>
    </row>
    <row r="27" spans="1:8" ht="46.5" customHeight="1" x14ac:dyDescent="0.2">
      <c r="A27" s="539"/>
      <c r="B27" s="433" t="s">
        <v>750</v>
      </c>
      <c r="C27" s="434" t="s">
        <v>746</v>
      </c>
      <c r="D27" s="553"/>
      <c r="E27" s="557"/>
      <c r="F27" s="553"/>
      <c r="G27" s="555"/>
      <c r="H27" s="560"/>
    </row>
    <row r="28" spans="1:8" ht="15" customHeight="1" x14ac:dyDescent="0.2">
      <c r="A28" s="435" t="s">
        <v>445</v>
      </c>
      <c r="B28" s="431" t="str">
        <f t="shared" ref="B28:H28" si="0">IF(AND(B29="",B30=""),"",SUM(B29:B30))</f>
        <v/>
      </c>
      <c r="C28" s="431" t="str">
        <f t="shared" si="0"/>
        <v/>
      </c>
      <c r="D28" s="431" t="str">
        <f t="shared" si="0"/>
        <v/>
      </c>
      <c r="E28" s="431" t="str">
        <f t="shared" si="0"/>
        <v/>
      </c>
      <c r="F28" s="431" t="str">
        <f t="shared" si="0"/>
        <v/>
      </c>
      <c r="G28" s="431" t="str">
        <f t="shared" si="0"/>
        <v/>
      </c>
      <c r="H28" s="431" t="str">
        <f t="shared" si="0"/>
        <v/>
      </c>
    </row>
    <row r="29" spans="1:8" ht="15" customHeight="1" x14ac:dyDescent="0.2">
      <c r="A29" s="436" t="s">
        <v>448</v>
      </c>
      <c r="B29" s="475"/>
      <c r="C29" s="432"/>
      <c r="D29" s="475"/>
      <c r="E29" s="475"/>
      <c r="F29" s="475"/>
      <c r="G29" s="432"/>
      <c r="H29" s="437" t="str">
        <f>IF(AND(B29="",D29="",E29="",F29="",G29=""),"",SUM(B29:G29))</f>
        <v/>
      </c>
    </row>
    <row r="30" spans="1:8" ht="15" customHeight="1" x14ac:dyDescent="0.2">
      <c r="A30" s="436" t="s">
        <v>449</v>
      </c>
      <c r="B30" s="475"/>
      <c r="C30" s="475"/>
      <c r="D30" s="475"/>
      <c r="E30" s="475"/>
      <c r="F30" s="475"/>
      <c r="G30" s="475"/>
      <c r="H30" s="437" t="str">
        <f>IF(AND(B30="",C30="",D30="",E30="",F30="",G30=""),"",SUM(B30:G30))</f>
        <v/>
      </c>
    </row>
    <row r="31" spans="1:8" ht="6.75" customHeight="1" x14ac:dyDescent="0.2">
      <c r="E31" s="21"/>
      <c r="F31" s="21"/>
      <c r="G31" s="21"/>
      <c r="H31" s="10"/>
    </row>
    <row r="32" spans="1:8" ht="24.75" customHeight="1" x14ac:dyDescent="0.2">
      <c r="A32" s="891" t="s">
        <v>916</v>
      </c>
      <c r="B32" s="891"/>
      <c r="C32" s="892"/>
      <c r="D32" s="892"/>
      <c r="E32" s="892"/>
      <c r="F32" s="892"/>
      <c r="G32" s="892"/>
      <c r="H32" s="892"/>
    </row>
    <row r="33" spans="1:8" ht="222.75" customHeight="1" x14ac:dyDescent="0.2">
      <c r="A33" s="532" t="s">
        <v>757</v>
      </c>
      <c r="B33" s="532"/>
      <c r="C33" s="533"/>
      <c r="D33" s="533"/>
      <c r="E33" s="533"/>
      <c r="F33" s="533"/>
      <c r="G33" s="533"/>
      <c r="H33" s="533"/>
    </row>
    <row r="34" spans="1:8" ht="12.75" customHeight="1" x14ac:dyDescent="0.2">
      <c r="A34" s="396" t="s">
        <v>9</v>
      </c>
      <c r="B34" s="396"/>
      <c r="C34" s="396"/>
      <c r="D34" s="396"/>
      <c r="E34" s="396"/>
      <c r="F34" s="396"/>
      <c r="G34" s="396"/>
      <c r="H34" s="396"/>
    </row>
    <row r="35" spans="1:8" ht="12.75" customHeight="1" x14ac:dyDescent="0.2">
      <c r="A35" s="396" t="s">
        <v>10</v>
      </c>
      <c r="B35" s="396"/>
      <c r="C35" s="396"/>
      <c r="D35" s="396"/>
      <c r="E35" s="396"/>
      <c r="F35" s="396"/>
      <c r="G35" s="396"/>
      <c r="H35" s="396"/>
    </row>
    <row r="36" spans="1:8" x14ac:dyDescent="0.2">
      <c r="A36" s="396"/>
      <c r="B36" s="396"/>
      <c r="C36" s="396"/>
      <c r="D36" s="396"/>
      <c r="E36" s="396"/>
      <c r="F36" s="396"/>
      <c r="G36" s="396"/>
      <c r="H36" s="396"/>
    </row>
    <row r="37" spans="1:8" x14ac:dyDescent="0.2">
      <c r="A37" s="397"/>
      <c r="B37" s="397"/>
      <c r="C37" s="397"/>
      <c r="D37" s="397"/>
      <c r="E37" s="397"/>
      <c r="F37" s="397"/>
      <c r="G37" s="397"/>
      <c r="H37" s="397"/>
    </row>
    <row r="55" ht="12.75" customHeight="1" x14ac:dyDescent="0.2"/>
  </sheetData>
  <sheetProtection algorithmName="SHA-512" hashValue="osSyAsjrrR5P3A4TYeuFaujeFRBUX3ncyHnMXo3DxnMDUAmtLAlf1pepZO2A8FAJJaah+jNFTQzP3GzKji2moQ==" saltValue="orwENHXonKZWUO4MLOAjiw==" spinCount="100000" sheet="1" objects="1" scenarios="1" selectLockedCells="1"/>
  <dataConsolidate/>
  <mergeCells count="34">
    <mergeCell ref="E23:H23"/>
    <mergeCell ref="A19:D19"/>
    <mergeCell ref="E18:H18"/>
    <mergeCell ref="G12:H12"/>
    <mergeCell ref="G14:H14"/>
    <mergeCell ref="G16:H16"/>
    <mergeCell ref="B12:D12"/>
    <mergeCell ref="A18:D18"/>
    <mergeCell ref="E19:H19"/>
    <mergeCell ref="B14:D14"/>
    <mergeCell ref="B16:D16"/>
    <mergeCell ref="A12:A13"/>
    <mergeCell ref="A4:F4"/>
    <mergeCell ref="A5:F5"/>
    <mergeCell ref="B6:C6"/>
    <mergeCell ref="B8:H8"/>
    <mergeCell ref="B10:H10"/>
    <mergeCell ref="G6:H6"/>
    <mergeCell ref="A33:H33"/>
    <mergeCell ref="A21:D21"/>
    <mergeCell ref="A25:A27"/>
    <mergeCell ref="A22:D22"/>
    <mergeCell ref="E22:H22"/>
    <mergeCell ref="B25:D25"/>
    <mergeCell ref="F25:G25"/>
    <mergeCell ref="E21:H21"/>
    <mergeCell ref="A24:H24"/>
    <mergeCell ref="A32:H32"/>
    <mergeCell ref="B26:C26"/>
    <mergeCell ref="D26:D27"/>
    <mergeCell ref="F26:F27"/>
    <mergeCell ref="G26:G27"/>
    <mergeCell ref="E25:E27"/>
    <mergeCell ref="H25:H27"/>
  </mergeCells>
  <phoneticPr fontId="75" type="noConversion"/>
  <conditionalFormatting sqref="A22">
    <cfRule type="expression" dxfId="255" priority="48" stopIfTrue="1">
      <formula>LEN(TRIM(A22))=0</formula>
    </cfRule>
  </conditionalFormatting>
  <conditionalFormatting sqref="A19:D19">
    <cfRule type="expression" dxfId="254" priority="19">
      <formula>LEN(TRIM(A19))=0</formula>
    </cfRule>
  </conditionalFormatting>
  <conditionalFormatting sqref="B6">
    <cfRule type="expression" dxfId="253" priority="35" stopIfTrue="1">
      <formula>LEN(TRIM(B6))=0</formula>
    </cfRule>
  </conditionalFormatting>
  <conditionalFormatting sqref="B12">
    <cfRule type="expression" dxfId="252" priority="56" stopIfTrue="1">
      <formula>LEN(TRIM(B12))=0</formula>
    </cfRule>
  </conditionalFormatting>
  <conditionalFormatting sqref="B14">
    <cfRule type="expression" dxfId="251" priority="2" stopIfTrue="1">
      <formula>LEN(TRIM(B14))=0</formula>
    </cfRule>
  </conditionalFormatting>
  <conditionalFormatting sqref="B16">
    <cfRule type="expression" dxfId="250" priority="5" stopIfTrue="1">
      <formula>LEN(TRIM(B16))=0</formula>
    </cfRule>
  </conditionalFormatting>
  <conditionalFormatting sqref="B29:B30">
    <cfRule type="expression" dxfId="249" priority="9" stopIfTrue="1">
      <formula>LEN(TRIM(B29))=0</formula>
    </cfRule>
  </conditionalFormatting>
  <conditionalFormatting sqref="B12:D12">
    <cfRule type="expression" dxfId="248" priority="3">
      <formula>$A$19&lt;&gt;"Germany"</formula>
    </cfRule>
  </conditionalFormatting>
  <conditionalFormatting sqref="B14:D14">
    <cfRule type="expression" dxfId="247" priority="1">
      <formula>$A$19&lt;&gt;"Germany"</formula>
    </cfRule>
  </conditionalFormatting>
  <conditionalFormatting sqref="C30 E30:G30">
    <cfRule type="expression" dxfId="246" priority="11" stopIfTrue="1">
      <formula>LEN(TRIM(C30))=0</formula>
    </cfRule>
  </conditionalFormatting>
  <conditionalFormatting sqref="D29:D30">
    <cfRule type="expression" dxfId="245" priority="7" stopIfTrue="1">
      <formula>LEN(TRIM(D29))=0</formula>
    </cfRule>
  </conditionalFormatting>
  <conditionalFormatting sqref="E22">
    <cfRule type="expression" dxfId="244" priority="23" stopIfTrue="1">
      <formula>LEN(TRIM(E22))=0</formula>
    </cfRule>
  </conditionalFormatting>
  <conditionalFormatting sqref="E29:F29">
    <cfRule type="expression" dxfId="243" priority="8" stopIfTrue="1">
      <formula>LEN(TRIM(E29))=0</formula>
    </cfRule>
  </conditionalFormatting>
  <conditionalFormatting sqref="G12">
    <cfRule type="expression" dxfId="242" priority="22" stopIfTrue="1">
      <formula>LEN(TRIM(G12))=0</formula>
    </cfRule>
  </conditionalFormatting>
  <dataValidations count="12">
    <dataValidation allowBlank="1" showInputMessage="1" showErrorMessage="1" errorTitle="Eingabefehler" sqref="G14" xr:uid="{00000000-0002-0000-0000-000000000000}"/>
    <dataValidation type="date" errorStyle="information" allowBlank="1" showInputMessage="1" showErrorMessage="1" errorTitle="Kennzahlenjahr" error="Es können nur Kennzahlenjahre von 2012 bis 2014 eingetragen werden." sqref="G17" xr:uid="{00000000-0002-0000-0000-000001000000}">
      <formula1>2010</formula1>
      <formula2>2012</formula2>
    </dataValidation>
    <dataValidation type="whole" allowBlank="1" showInputMessage="1" showErrorMessage="1" errorTitle="Eingabefehler" error="Ganze Zahl zwischen 0 und 5000 eingeben." sqref="G29 C29" xr:uid="{00000000-0002-0000-0000-000002000000}">
      <formula1>0</formula1>
      <formula2>5000</formula2>
    </dataValidation>
    <dataValidation errorStyle="information" allowBlank="1" showInputMessage="1" showErrorMessage="1" sqref="G16" xr:uid="{00000000-0002-0000-0000-000003000000}"/>
    <dataValidation allowBlank="1" showInputMessage="1" showErrorMessage="1" errorTitle="Hinweis" error="Auswahl treffen über Dropdown-Liste." sqref="E19:H19" xr:uid="{00000000-0002-0000-0000-000004000000}"/>
    <dataValidation type="date" allowBlank="1" showErrorMessage="1" errorTitle="Input data error" error="Format: dd.mm.yyyy_x000a_Time period between 01.10.2025 - 31.01.2027." sqref="G12:H12" xr:uid="{00000000-0002-0000-0000-000005000000}">
      <formula1>45931</formula1>
      <formula2>46418</formula2>
    </dataValidation>
    <dataValidation type="list" allowBlank="1" showInputMessage="1" showErrorMessage="1" errorTitle="Input data error" error="Only values from the dropdown list are allowed" sqref="A19:D19" xr:uid="{00000000-0002-0000-0000-000006000000}">
      <formula1>countries</formula1>
    </dataValidation>
    <dataValidation type="textLength" allowBlank="1" showErrorMessage="1" errorTitle="Input data error" error="Text input only up 100 characters" prompt="Name, Vorname" sqref="B16:D16" xr:uid="{00000000-0002-0000-0000-000008000000}">
      <formula1>0</formula1>
      <formula2>100</formula2>
    </dataValidation>
    <dataValidation allowBlank="1" showInputMessage="1" showErrorMessage="1" errorTitle="Input data error" error="Whole number between 0 and 5000." sqref="C29" xr:uid="{00000000-0002-0000-0000-000009000000}"/>
    <dataValidation type="whole" allowBlank="1" showInputMessage="1" showErrorMessage="1" errorTitle="Input data error" error="Whole number between 0 and 5000." sqref="B29 D29:F29 B30:G30" xr:uid="{C67529EC-10EC-494F-B35E-BE1BD92A2F8D}">
      <formula1>0</formula1>
      <formula2>5000</formula2>
    </dataValidation>
    <dataValidation type="whole" allowBlank="1" showErrorMessage="1" errorTitle="Input data error" error="The Institution identification (II) number must be a 9-digit sequence of numbers beginning with 26." prompt="Name, Vorname" sqref="B12:D12" xr:uid="{1FC1E6B5-9211-49A8-B525-E91F845D3483}">
      <formula1>260000000</formula1>
      <formula2>269999999</formula2>
    </dataValidation>
    <dataValidation type="whole" allowBlank="1" showErrorMessage="1" errorTitle="Input data error" error="The Clinical sites number must be a 9-digit sequence of numbers beginning with 77." prompt="Name, Vorname" sqref="B14:D14" xr:uid="{6BAE1BDE-AE96-42A1-B6C6-C1F0D6F04D05}">
      <formula1>770000000</formula1>
      <formula2>779999999</formula2>
    </dataValidation>
  </dataValidations>
  <pageMargins left="0.59055118110236227" right="3.937007874015748E-2" top="0.39370078740157483" bottom="0.39370078740157483" header="0.11811023622047245" footer="0.11811023622047245"/>
  <pageSetup paperSize="9" scale="89" orientation="portrait" r:id="rId1"/>
  <headerFooter>
    <oddFooter>&amp;L&amp;"Arial,Regular"&amp;7&amp;F&amp;C&amp;"Arial,Regular"&amp;7© DKG  All rights reserved&amp;R&amp;"Arial,Regular"&amp;7&amp;P</oddFooter>
  </headerFooter>
  <rowBreaks count="1" manualBreakCount="1">
    <brk id="33" max="7" man="1"/>
  </rowBreaks>
  <drawing r:id="rId2"/>
  <legacyDrawing r:id="rId3"/>
  <legacyDrawingHF r:id="rId4"/>
  <extLst>
    <ext xmlns:x14="http://schemas.microsoft.com/office/spreadsheetml/2009/9/main" uri="{CCE6A557-97BC-4b89-ADB6-D9C93CAAB3DF}">
      <x14:dataValidations xmlns:xm="http://schemas.microsoft.com/office/excel/2006/main" count="2">
        <x14:dataValidation type="list" showInputMessage="1" showErrorMessage="1" errorTitle="Input data error" error="Only values from the dropdown list are allowed." xr:uid="{00000000-0002-0000-0000-00000A000000}">
          <x14:formula1>
            <xm:f>Datenquelle!$B$1:$B$26</xm:f>
          </x14:formula1>
          <xm:sqref>A22:D22</xm:sqref>
        </x14:dataValidation>
        <x14:dataValidation type="list" allowBlank="1" showInputMessage="1" showErrorMessage="1" errorTitle="Indication" error="Select option via drop-down list" xr:uid="{00000000-0002-0000-0000-000007000000}">
          <x14:formula1>
            <xm:f>Datenquelle!$A$69:$A$69</xm:f>
          </x14:formula1>
          <xm:sqref>B6:C6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K43"/>
  <sheetViews>
    <sheetView zoomScaleNormal="100" workbookViewId="0">
      <selection activeCell="B1" sqref="B1"/>
    </sheetView>
  </sheetViews>
  <sheetFormatPr defaultColWidth="9.140625" defaultRowHeight="12.75" x14ac:dyDescent="0.25"/>
  <cols>
    <col min="1" max="1" width="23.7109375" style="177" customWidth="1"/>
    <col min="2" max="4" width="20.7109375" style="177" customWidth="1"/>
    <col min="5" max="5" width="9.7109375" style="177" customWidth="1"/>
    <col min="6" max="6" width="39.140625" style="177" customWidth="1"/>
    <col min="7" max="7" width="46.85546875" style="177" customWidth="1"/>
    <col min="8" max="8" width="12" style="177" customWidth="1"/>
    <col min="9" max="9" width="23" style="177" customWidth="1"/>
    <col min="10" max="10" width="23.140625" style="177" customWidth="1"/>
    <col min="11" max="11" width="25.7109375" style="177" customWidth="1"/>
    <col min="12" max="16384" width="9.140625" style="177"/>
  </cols>
  <sheetData>
    <row r="1" spans="1:11" x14ac:dyDescent="0.25">
      <c r="A1" s="175" t="s">
        <v>241</v>
      </c>
      <c r="B1" s="527"/>
    </row>
    <row r="2" spans="1:11" x14ac:dyDescent="0.25">
      <c r="A2" s="175" t="s">
        <v>173</v>
      </c>
      <c r="B2" s="176" t="str">
        <f>IF('Basic data'!B6=0,"",'Basic data'!B6)</f>
        <v/>
      </c>
      <c r="I2" s="178"/>
    </row>
    <row r="3" spans="1:11" x14ac:dyDescent="0.25">
      <c r="A3" s="175" t="s">
        <v>279</v>
      </c>
      <c r="B3" s="179" t="str">
        <f>IF('Basic data'!G12=0,"",'Basic data'!G12)</f>
        <v/>
      </c>
    </row>
    <row r="5" spans="1:11" x14ac:dyDescent="0.25">
      <c r="A5" s="211" t="s">
        <v>122</v>
      </c>
      <c r="B5" s="176"/>
    </row>
    <row r="6" spans="1:11" x14ac:dyDescent="0.25">
      <c r="A6" s="211" t="s">
        <v>123</v>
      </c>
      <c r="B6" s="176"/>
    </row>
    <row r="7" spans="1:11" x14ac:dyDescent="0.25">
      <c r="A7" s="211" t="s">
        <v>124</v>
      </c>
      <c r="B7" s="176"/>
    </row>
    <row r="8" spans="1:11" x14ac:dyDescent="0.25">
      <c r="A8" s="211" t="s">
        <v>125</v>
      </c>
      <c r="B8" s="176"/>
    </row>
    <row r="9" spans="1:11" x14ac:dyDescent="0.25">
      <c r="A9" s="211" t="s">
        <v>126</v>
      </c>
      <c r="B9" s="176"/>
    </row>
    <row r="11" spans="1:11" x14ac:dyDescent="0.25">
      <c r="A11" s="212" t="s">
        <v>82</v>
      </c>
      <c r="B11" s="212" t="s">
        <v>83</v>
      </c>
      <c r="C11" s="212" t="s">
        <v>77</v>
      </c>
      <c r="D11" s="212" t="s">
        <v>84</v>
      </c>
      <c r="E11" s="212" t="s">
        <v>85</v>
      </c>
      <c r="F11" s="212" t="s">
        <v>86</v>
      </c>
      <c r="G11" s="212" t="s">
        <v>87</v>
      </c>
      <c r="H11" s="212" t="s">
        <v>88</v>
      </c>
      <c r="I11" s="233" t="s">
        <v>127</v>
      </c>
      <c r="J11" s="233" t="s">
        <v>128</v>
      </c>
      <c r="K11" s="233" t="s">
        <v>129</v>
      </c>
    </row>
    <row r="12" spans="1:11" x14ac:dyDescent="0.25">
      <c r="A12" s="373">
        <v>1</v>
      </c>
      <c r="B12" s="443" t="str">
        <f>IF('Indicator sheet_(IS)'!O8= 0, "n.d.", 'Indicator sheet_(IS)'!O8)</f>
        <v>n.d.</v>
      </c>
      <c r="C12" s="440"/>
      <c r="D12" s="440"/>
      <c r="E12" s="442">
        <f>Berechnung1!N25</f>
        <v>1</v>
      </c>
      <c r="F12" s="176" t="str">
        <f>IF('Indicator sheet_(IS)'!Q8 = "", "", 'Indicator sheet_(IS)'!Q8)</f>
        <v/>
      </c>
      <c r="G12" s="176" t="str">
        <f>IF('Indicator sheet_(IS)'!R8 = "", "", 'Indicator sheet_(IS)'!R8)</f>
        <v/>
      </c>
      <c r="H12" s="411">
        <f>Berechnung1!O25</f>
        <v>0</v>
      </c>
      <c r="I12" s="233"/>
      <c r="J12" s="233"/>
      <c r="K12" s="233"/>
    </row>
    <row r="13" spans="1:11" x14ac:dyDescent="0.25">
      <c r="A13" s="373" t="s">
        <v>774</v>
      </c>
      <c r="B13" s="210" t="str">
        <f>IF('Indicator sheet_(IS)'!O11 = "", "", 'Indicator sheet_(IS)'!O11)</f>
        <v/>
      </c>
      <c r="C13" s="210" t="str">
        <f>IF('Indicator sheet_(IS)'!O12="","",'Indicator sheet_(IS)'!O12)</f>
        <v/>
      </c>
      <c r="D13" s="321" t="str">
        <f>IF('Indicator sheet_(IS)'!O13="n.d.","n.d.",'Indicator sheet_(IS)'!O13*100)</f>
        <v>n.d.</v>
      </c>
      <c r="E13" s="210">
        <f>Berechnung1!N28</f>
        <v>1</v>
      </c>
      <c r="F13" s="176" t="str">
        <f>IF('Indicator sheet_(IS)'!Q11 = "", "", 'Indicator sheet_(IS)'!Q11)</f>
        <v/>
      </c>
      <c r="G13" s="176" t="str">
        <f>IF('Indicator sheet_(IS)'!R11 = "", "", 'Indicator sheet_(IS)'!R11)</f>
        <v/>
      </c>
      <c r="H13" s="411">
        <f>Berechnung1!O28</f>
        <v>0</v>
      </c>
      <c r="I13" s="176"/>
      <c r="J13" s="176"/>
      <c r="K13" s="176"/>
    </row>
    <row r="14" spans="1:11" x14ac:dyDescent="0.25">
      <c r="A14" s="373" t="s">
        <v>775</v>
      </c>
      <c r="B14" s="210" t="str">
        <f>IF('Indicator sheet_(IS)'!O14 = "", "",'Indicator sheet_(IS)'!O14)</f>
        <v/>
      </c>
      <c r="C14" s="210">
        <f>IF('Indicator sheet_(IS)'!O15="","",'Indicator sheet_(IS)'!O15)</f>
        <v>0</v>
      </c>
      <c r="D14" s="420" t="str">
        <f>IF('Indicator sheet_(IS)'!O16="n.d.","n.d.",IF('Indicator sheet_(IS)'!O16="","n.d.",'Indicator sheet_(IS)'!O16*100))</f>
        <v>n.d.</v>
      </c>
      <c r="E14" s="210">
        <f>Berechnung1!N31</f>
        <v>1</v>
      </c>
      <c r="F14" s="176" t="str">
        <f>IF('Indicator sheet_(IS)'!Q14 = "", "",'Indicator sheet_(IS)'!Q14)</f>
        <v/>
      </c>
      <c r="G14" s="176" t="str">
        <f>IF('Indicator sheet_(IS)'!R14 = "", "",'Indicator sheet_(IS)'!R14)</f>
        <v/>
      </c>
      <c r="H14" s="411">
        <f>Berechnung1!O31</f>
        <v>0</v>
      </c>
      <c r="I14" s="176"/>
      <c r="J14" s="176"/>
      <c r="K14" s="176"/>
    </row>
    <row r="15" spans="1:11" x14ac:dyDescent="0.25">
      <c r="A15" s="213">
        <v>3</v>
      </c>
      <c r="B15" s="210" t="str">
        <f>IF('Indicator sheet_(IS)'!O17 = "", "",'Indicator sheet_(IS)'!O17)</f>
        <v/>
      </c>
      <c r="C15" s="210">
        <f>IF('Indicator sheet_(IS)'!O18="","",'Indicator sheet_(IS)'!O18)</f>
        <v>0</v>
      </c>
      <c r="D15" s="321" t="str">
        <f>IF('Indicator sheet_(IS)'!O19="n.d.","n.d.",'Indicator sheet_(IS)'!O19*100)</f>
        <v>n.d.</v>
      </c>
      <c r="E15" s="210">
        <f>Berechnung1!N34</f>
        <v>1</v>
      </c>
      <c r="F15" s="176" t="str">
        <f>IF('Indicator sheet_(IS)'!Q17 = "", "",'Indicator sheet_(IS)'!Q17)</f>
        <v/>
      </c>
      <c r="G15" s="176" t="str">
        <f>IF('Indicator sheet_(IS)'!R17 = "", "",'Indicator sheet_(IS)'!R17)</f>
        <v/>
      </c>
      <c r="H15" s="411">
        <f>Berechnung1!O34</f>
        <v>0</v>
      </c>
      <c r="I15" s="176"/>
      <c r="J15" s="176"/>
      <c r="K15" s="176"/>
    </row>
    <row r="16" spans="1:11" x14ac:dyDescent="0.25">
      <c r="A16" s="213">
        <v>4</v>
      </c>
      <c r="B16" s="210" t="str">
        <f>IF('Indicator sheet_(IS)'!O20 = "", "",'Indicator sheet_(IS)'!O20)</f>
        <v/>
      </c>
      <c r="C16" s="210">
        <f>IF('Indicator sheet_(IS)'!O21="","",'Indicator sheet_(IS)'!O21)</f>
        <v>0</v>
      </c>
      <c r="D16" s="321" t="str">
        <f>IF('Indicator sheet_(IS)'!O22="n.d.","n.d.",'Indicator sheet_(IS)'!O22*100)</f>
        <v>n.d.</v>
      </c>
      <c r="E16" s="210">
        <f>Berechnung1!N37</f>
        <v>1</v>
      </c>
      <c r="F16" s="176" t="str">
        <f>IF('Indicator sheet_(IS)'!Q20 = "", "",'Indicator sheet_(IS)'!Q20)</f>
        <v/>
      </c>
      <c r="G16" s="176" t="str">
        <f>IF('Indicator sheet_(IS)'!R20 = "", "",'Indicator sheet_(IS)'!R20)</f>
        <v/>
      </c>
      <c r="H16" s="411">
        <f>Berechnung1!O37</f>
        <v>0</v>
      </c>
      <c r="I16" s="232"/>
      <c r="J16" s="176"/>
      <c r="K16" s="176"/>
    </row>
    <row r="17" spans="1:11" x14ac:dyDescent="0.25">
      <c r="A17" s="213">
        <v>5</v>
      </c>
      <c r="B17" s="210" t="str">
        <f>IF('Indicator sheet_(IS)'!O23 = "", "",'Indicator sheet_(IS)'!O23)</f>
        <v/>
      </c>
      <c r="C17" s="210">
        <f>IF('Indicator sheet_(IS)'!O24="","",'Indicator sheet_(IS)'!O24)</f>
        <v>0</v>
      </c>
      <c r="D17" s="321" t="str">
        <f>IF('Indicator sheet_(IS)'!O25="n.d.","n.d.",'Indicator sheet_(IS)'!O25*100)</f>
        <v>n.d.</v>
      </c>
      <c r="E17" s="210">
        <f>Berechnung1!N40</f>
        <v>1</v>
      </c>
      <c r="F17" s="176" t="str">
        <f>IF('Indicator sheet_(IS)'!Q23 = "", "",'Indicator sheet_(IS)'!Q23)</f>
        <v/>
      </c>
      <c r="G17" s="176" t="str">
        <f>IF('Indicator sheet_(IS)'!R23 = "", "",'Indicator sheet_(IS)'!R23)</f>
        <v/>
      </c>
      <c r="H17" s="411">
        <f>Berechnung1!O40</f>
        <v>0</v>
      </c>
      <c r="I17" s="232"/>
      <c r="J17" s="176"/>
      <c r="K17" s="176"/>
    </row>
    <row r="18" spans="1:11" x14ac:dyDescent="0.25">
      <c r="A18" s="213">
        <v>6</v>
      </c>
      <c r="B18" s="210">
        <f>IF('Indicator sheet_(IS)'!O26 = "", "",'Indicator sheet_(IS)'!O26)</f>
        <v>0</v>
      </c>
      <c r="C18" s="210">
        <f>IF('Indicator sheet_(IS)'!O27="","",'Indicator sheet_(IS)'!O27)</f>
        <v>0</v>
      </c>
      <c r="D18" s="321" t="str">
        <f>IF('Indicator sheet_(IS)'!O28="n.d.","n.d.",'Indicator sheet_(IS)'!O28*100)</f>
        <v>n.d.</v>
      </c>
      <c r="E18" s="210">
        <f>Berechnung1!N43</f>
        <v>1</v>
      </c>
      <c r="F18" s="176" t="str">
        <f>IF('Indicator sheet_(IS)'!Q26 = "", "",'Indicator sheet_(IS)'!Q26)</f>
        <v/>
      </c>
      <c r="G18" s="176" t="str">
        <f>IF('Indicator sheet_(IS)'!R26 = "", "",'Indicator sheet_(IS)'!R26)</f>
        <v/>
      </c>
      <c r="H18" s="411">
        <f>Berechnung1!O43</f>
        <v>0</v>
      </c>
      <c r="I18" s="232"/>
      <c r="J18" s="176"/>
      <c r="K18" s="176"/>
    </row>
    <row r="19" spans="1:11" x14ac:dyDescent="0.25">
      <c r="A19" s="373">
        <v>7</v>
      </c>
      <c r="B19" s="210" t="str">
        <f>IF('Indicator sheet_(IS)'!O29 = "", "",'Indicator sheet_(IS)'!O29)</f>
        <v/>
      </c>
      <c r="C19" s="210">
        <f>IF('Indicator sheet_(IS)'!O30 = "", "",'Indicator sheet_(IS)'!O30)</f>
        <v>0</v>
      </c>
      <c r="D19" s="321" t="str">
        <f>IF('Indicator sheet_(IS)'!O31="n.d.","n.d.",'Indicator sheet_(IS)'!O31*100)</f>
        <v>n.d.</v>
      </c>
      <c r="E19" s="210">
        <f>Berechnung1!N46</f>
        <v>1</v>
      </c>
      <c r="F19" s="176" t="str">
        <f>IF('Indicator sheet_(IS)'!Q29 = "", "",'Indicator sheet_(IS)'!Q29)</f>
        <v/>
      </c>
      <c r="G19" s="176" t="str">
        <f>IF('Indicator sheet_(IS)'!R29 = "", "",'Indicator sheet_(IS)'!R29)</f>
        <v/>
      </c>
      <c r="H19" s="411">
        <f>Berechnung1!O46</f>
        <v>0</v>
      </c>
      <c r="I19" s="232"/>
      <c r="J19" s="176"/>
      <c r="K19" s="176"/>
    </row>
    <row r="20" spans="1:11" x14ac:dyDescent="0.25">
      <c r="A20" s="373">
        <v>8</v>
      </c>
      <c r="B20" s="210" t="str">
        <f>IF('Indicator sheet_(IS)'!O32 = "", "",'Indicator sheet_(IS)'!O32)</f>
        <v/>
      </c>
      <c r="C20" s="210" t="str">
        <f>IF('Indicator sheet_(IS)'!O33 = "", "",'Indicator sheet_(IS)'!O33)</f>
        <v/>
      </c>
      <c r="D20" s="420" t="str">
        <f>IF('Indicator sheet_(IS)'!O34="n.d.","n.d.",IF('Indicator sheet_(IS)'!O34="","n.d.",'Indicator sheet_(IS)'!O34*100))</f>
        <v>n.d.</v>
      </c>
      <c r="E20" s="210">
        <f>Berechnung1!N49</f>
        <v>1</v>
      </c>
      <c r="F20" s="176" t="str">
        <f>IF('Indicator sheet_(IS)'!Q32 = "", "",'Indicator sheet_(IS)'!Q32)</f>
        <v/>
      </c>
      <c r="G20" s="176" t="str">
        <f>IF('Indicator sheet_(IS)'!R32 = "", "",'Indicator sheet_(IS)'!R32)</f>
        <v/>
      </c>
      <c r="H20" s="411">
        <f>Berechnung1!O49</f>
        <v>0</v>
      </c>
      <c r="I20" s="232"/>
      <c r="J20" s="176"/>
      <c r="K20" s="176"/>
    </row>
    <row r="21" spans="1:11" x14ac:dyDescent="0.25">
      <c r="A21" s="213">
        <v>9</v>
      </c>
      <c r="B21" s="210" t="str">
        <f>IF('Indicator sheet_(IS)'!O35 = "", "",'Indicator sheet_(IS)'!O35)</f>
        <v/>
      </c>
      <c r="C21" s="210" t="str">
        <f>IF('Indicator sheet_(IS)'!O36="","",'Indicator sheet_(IS)'!O36)</f>
        <v/>
      </c>
      <c r="D21" s="321" t="str">
        <f>IF('Indicator sheet_(IS)'!O37="n.d.","n.d.",IF('Indicator sheet_(IS)'!O37="","n.d.",'Indicator sheet_(IS)'!O37*100))</f>
        <v>n.d.</v>
      </c>
      <c r="E21" s="210">
        <f>Berechnung1!N52</f>
        <v>1</v>
      </c>
      <c r="F21" s="176" t="str">
        <f>IF('Indicator sheet_(IS)'!Q35 = "", "",'Indicator sheet_(IS)'!Q35)</f>
        <v/>
      </c>
      <c r="G21" s="176" t="str">
        <f>IF('Indicator sheet_(IS)'!R35 = "", "",'Indicator sheet_(IS)'!R35)</f>
        <v/>
      </c>
      <c r="H21" s="411">
        <f>Berechnung1!O52</f>
        <v>0</v>
      </c>
      <c r="I21" s="176"/>
      <c r="J21" s="176"/>
      <c r="K21" s="176"/>
    </row>
    <row r="22" spans="1:11" x14ac:dyDescent="0.25">
      <c r="A22" s="213">
        <v>10</v>
      </c>
      <c r="B22" s="210" t="str">
        <f>IF('Indicator sheet_(IS)'!O38 = "", "", 'Indicator sheet_(IS)'!O38)</f>
        <v/>
      </c>
      <c r="C22" s="210" t="str">
        <f>IF('Indicator sheet_(IS)'!O39="","",'Indicator sheet_(IS)'!O39)</f>
        <v/>
      </c>
      <c r="D22" s="420" t="str">
        <f>IF('Indicator sheet_(IS)'!O40="n.d.","n.d.",IF('Indicator sheet_(IS)'!O40="","n.d.",'Indicator sheet_(IS)'!O40*100))</f>
        <v>n.d.</v>
      </c>
      <c r="E22" s="210">
        <f>Berechnung1!N55</f>
        <v>1</v>
      </c>
      <c r="F22" s="176" t="str">
        <f>IF('Indicator sheet_(IS)'!Q38 = "", "", 'Indicator sheet_(IS)'!Q38)</f>
        <v/>
      </c>
      <c r="G22" s="176" t="str">
        <f>IF('Indicator sheet_(IS)'!R38 = "", "", 'Indicator sheet_(IS)'!R38)</f>
        <v/>
      </c>
      <c r="H22" s="411">
        <f>Berechnung1!O55</f>
        <v>0</v>
      </c>
      <c r="I22" s="176"/>
      <c r="J22" s="176"/>
      <c r="K22" s="176"/>
    </row>
    <row r="23" spans="1:11" x14ac:dyDescent="0.25">
      <c r="A23" s="213">
        <v>11</v>
      </c>
      <c r="B23" s="210" t="str">
        <f>IF('Indicator sheet_(IS)'!O41 = "", "", 'Indicator sheet_(IS)'!O41)</f>
        <v/>
      </c>
      <c r="C23" s="210" t="str">
        <f>IF('Indicator sheet_(IS)'!O42="","",'Indicator sheet_(IS)'!O42)</f>
        <v/>
      </c>
      <c r="D23" s="321" t="str">
        <f>IF('Indicator sheet_(IS)'!O43="n.d.","n.d.",'Indicator sheet_(IS)'!O43*100)</f>
        <v>n.d.</v>
      </c>
      <c r="E23" s="210">
        <f>Berechnung1!N58</f>
        <v>1</v>
      </c>
      <c r="F23" s="176" t="str">
        <f>IF('Indicator sheet_(IS)'!Q41 = "", "", 'Indicator sheet_(IS)'!Q41)</f>
        <v/>
      </c>
      <c r="G23" s="176" t="str">
        <f>IF('Indicator sheet_(IS)'!R41 = "", "", 'Indicator sheet_(IS)'!R41)</f>
        <v/>
      </c>
      <c r="H23" s="411">
        <f>Berechnung1!O58</f>
        <v>0</v>
      </c>
      <c r="I23" s="176"/>
      <c r="J23" s="176"/>
      <c r="K23" s="176"/>
    </row>
    <row r="24" spans="1:11" x14ac:dyDescent="0.25">
      <c r="A24" s="213">
        <v>12</v>
      </c>
      <c r="B24" s="210" t="str">
        <f>IF('Indicator sheet_(IS)'!O44 = "", "", 'Indicator sheet_(IS)'!O44)</f>
        <v/>
      </c>
      <c r="C24" s="210" t="str">
        <f>IF('Indicator sheet_(IS)'!O45="","",'Indicator sheet_(IS)'!O45)</f>
        <v/>
      </c>
      <c r="D24" s="420" t="str">
        <f>IF('Indicator sheet_(IS)'!O46="n.d.","n.d.",IF('Indicator sheet_(IS)'!O46="","n.d.",'Indicator sheet_(IS)'!O46*100))</f>
        <v>n.d.</v>
      </c>
      <c r="E24" s="210">
        <f>Berechnung1!N61</f>
        <v>1</v>
      </c>
      <c r="F24" s="176" t="str">
        <f>IF('Indicator sheet_(IS)'!Q44 = 0, "", 'Indicator sheet_(IS)'!Q44)</f>
        <v/>
      </c>
      <c r="G24" s="176" t="str">
        <f>IF('Indicator sheet_(IS)'!R44 = 0, "", 'Indicator sheet_(IS)'!R44)</f>
        <v/>
      </c>
      <c r="H24" s="411">
        <f>Berechnung1!O61</f>
        <v>0</v>
      </c>
      <c r="I24" s="176"/>
      <c r="J24" s="176"/>
      <c r="K24" s="176"/>
    </row>
    <row r="25" spans="1:11" x14ac:dyDescent="0.25">
      <c r="A25" s="213">
        <v>13</v>
      </c>
      <c r="B25" s="210" t="str">
        <f>IF('Indicator sheet_(IS)'!O47 = 0, "n.d.", 'Indicator sheet_(IS)'!O47)</f>
        <v>n.d.</v>
      </c>
      <c r="C25" s="401" t="str">
        <f>IF('Indicator sheet_(IS)'!O51="","",'Indicator sheet_(IS)'!O51)</f>
        <v/>
      </c>
      <c r="D25" s="402"/>
      <c r="E25" s="210">
        <f>Berechnung1!N64</f>
        <v>1</v>
      </c>
      <c r="F25" s="176" t="str">
        <f>IF('Indicator sheet_(IS)'!Q47 = 0, "", 'Indicator sheet_(IS)'!Q47)</f>
        <v/>
      </c>
      <c r="G25" s="176" t="str">
        <f>IF('Indicator sheet_(IS)'!R47 = 0, "", 'Indicator sheet_(IS)'!R47)</f>
        <v/>
      </c>
      <c r="H25" s="411">
        <f>Berechnung1!O64</f>
        <v>0</v>
      </c>
      <c r="I25" s="176"/>
      <c r="J25" s="176"/>
      <c r="K25" s="176"/>
    </row>
    <row r="26" spans="1:11" x14ac:dyDescent="0.25">
      <c r="A26" s="213">
        <v>14</v>
      </c>
      <c r="B26" s="210" t="str">
        <f>IF('Indicator sheet_(IS)'!O50 = 0, "n.d.", 'Indicator sheet_(IS)'!O50)</f>
        <v>n.d.</v>
      </c>
      <c r="C26" s="401"/>
      <c r="D26" s="402"/>
      <c r="E26" s="210">
        <f>Berechnung1!N67</f>
        <v>1</v>
      </c>
      <c r="F26" s="176" t="str">
        <f>IF('Indicator sheet_(IS)'!Q50 = "", "", 'Indicator sheet_(IS)'!Q50)</f>
        <v/>
      </c>
      <c r="G26" s="176" t="str">
        <f>IF('Indicator sheet_(IS)'!R50 = "", "", 'Indicator sheet_(IS)'!R50)</f>
        <v/>
      </c>
      <c r="H26" s="411">
        <f>Berechnung1!O67</f>
        <v>0</v>
      </c>
      <c r="I26" s="176"/>
      <c r="J26" s="176"/>
      <c r="K26" s="176"/>
    </row>
    <row r="27" spans="1:11" x14ac:dyDescent="0.25">
      <c r="A27" s="213">
        <v>15</v>
      </c>
      <c r="B27" s="210" t="str">
        <f>IF('Indicator sheet_(IS)'!O53 = "", "", 'Indicator sheet_(IS)'!O53)</f>
        <v/>
      </c>
      <c r="C27" s="210">
        <f>IF('Indicator sheet_(IS)'!O54="","",'Indicator sheet_(IS)'!O54)</f>
        <v>0</v>
      </c>
      <c r="D27" s="321" t="str">
        <f>IF('Indicator sheet_(IS)'!O55="n.d.","n.d.",'Indicator sheet_(IS)'!O55*100)</f>
        <v>n.d.</v>
      </c>
      <c r="E27" s="210">
        <f>Berechnung1!N70</f>
        <v>1</v>
      </c>
      <c r="F27" s="176" t="str">
        <f>IF('Indicator sheet_(IS)'!Q53 = "", "", 'Indicator sheet_(IS)'!Q53)</f>
        <v/>
      </c>
      <c r="G27" s="176" t="str">
        <f>IF('Indicator sheet_(IS)'!R53 = "", "", 'Indicator sheet_(IS)'!R53)</f>
        <v/>
      </c>
      <c r="H27" s="411">
        <f>Berechnung1!O70</f>
        <v>0</v>
      </c>
      <c r="I27" s="176"/>
      <c r="J27" s="176"/>
      <c r="K27" s="176"/>
    </row>
    <row r="28" spans="1:11" x14ac:dyDescent="0.25">
      <c r="A28" s="213">
        <v>16</v>
      </c>
      <c r="B28" s="210" t="str">
        <f>IF('Indicator sheet_(IS)'!O56 = "", "", 'Indicator sheet_(IS)'!O56)</f>
        <v/>
      </c>
      <c r="C28" s="210">
        <f>IF('Indicator sheet_(IS)'!O57="","",'Indicator sheet_(IS)'!O57)</f>
        <v>0</v>
      </c>
      <c r="D28" s="321" t="str">
        <f>IF('Indicator sheet_(IS)'!O58="n.d.","n.d.",'Indicator sheet_(IS)'!O58*100)</f>
        <v>n.d.</v>
      </c>
      <c r="E28" s="210">
        <f>Berechnung1!N73</f>
        <v>1</v>
      </c>
      <c r="F28" s="176" t="str">
        <f>IF('Indicator sheet_(IS)'!Q56 = "", "", 'Indicator sheet_(IS)'!Q56)</f>
        <v/>
      </c>
      <c r="G28" s="176" t="str">
        <f>IF('Indicator sheet_(IS)'!R56 = "", "", 'Indicator sheet_(IS)'!R56)</f>
        <v/>
      </c>
      <c r="H28" s="411">
        <f>Berechnung1!O73</f>
        <v>0</v>
      </c>
      <c r="I28" s="176"/>
      <c r="J28" s="176"/>
      <c r="K28" s="176"/>
    </row>
    <row r="29" spans="1:11" x14ac:dyDescent="0.25">
      <c r="A29" s="213">
        <v>17</v>
      </c>
      <c r="B29" s="210" t="str">
        <f>IF('Indicator sheet_(IS)'!O59 = "", "", 'Indicator sheet_(IS)'!O59)</f>
        <v/>
      </c>
      <c r="C29" s="210" t="str">
        <f>IF('Indicator sheet_(IS)'!O60="","",'Indicator sheet_(IS)'!O60)</f>
        <v/>
      </c>
      <c r="D29" s="321" t="str">
        <f>IF('Indicator sheet_(IS)'!O61="n.d.","n.d.",'Indicator sheet_(IS)'!O61*100)</f>
        <v>n.d.</v>
      </c>
      <c r="E29" s="210">
        <f>Berechnung1!N76</f>
        <v>1</v>
      </c>
      <c r="F29" s="176" t="str">
        <f>IF('Indicator sheet_(IS)'!Q59 = "", "", 'Indicator sheet_(IS)'!Q59)</f>
        <v/>
      </c>
      <c r="G29" s="176" t="str">
        <f>IF('Indicator sheet_(IS)'!R59 = "", "", 'Indicator sheet_(IS)'!R59)</f>
        <v/>
      </c>
      <c r="H29" s="411">
        <f>Berechnung1!O76</f>
        <v>0</v>
      </c>
      <c r="I29" s="176"/>
      <c r="J29" s="176"/>
      <c r="K29" s="176"/>
    </row>
    <row r="30" spans="1:11" x14ac:dyDescent="0.25">
      <c r="A30" s="213">
        <v>18</v>
      </c>
      <c r="B30" s="210" t="str">
        <f>IF('Indicator sheet_(IS)'!O62 = "", "", 'Indicator sheet_(IS)'!O62)</f>
        <v/>
      </c>
      <c r="C30" s="210" t="str">
        <f>IF('Indicator sheet_(IS)'!O63="","",'Indicator sheet_(IS)'!O63)</f>
        <v/>
      </c>
      <c r="D30" s="321" t="str">
        <f>IF('Indicator sheet_(IS)'!O64="n.d.","n.d.",'Indicator sheet_(IS)'!O64*100)</f>
        <v>n.d.</v>
      </c>
      <c r="E30" s="210">
        <f>Berechnung1!N79</f>
        <v>1</v>
      </c>
      <c r="F30" s="176" t="str">
        <f>IF('Indicator sheet_(IS)'!Q62 = "", "", 'Indicator sheet_(IS)'!Q62)</f>
        <v/>
      </c>
      <c r="G30" s="176" t="str">
        <f>IF('Indicator sheet_(IS)'!R62 = "", "", 'Indicator sheet_(IS)'!R62)</f>
        <v/>
      </c>
      <c r="H30" s="411">
        <f>Berechnung1!O79</f>
        <v>0</v>
      </c>
      <c r="I30" s="176"/>
      <c r="J30" s="176"/>
      <c r="K30" s="176"/>
    </row>
    <row r="31" spans="1:11" x14ac:dyDescent="0.25">
      <c r="A31" s="213">
        <v>19</v>
      </c>
      <c r="B31" s="210" t="str">
        <f>IF('Indicator sheet_(IS)'!O65 = "", "", 'Indicator sheet_(IS)'!O65)</f>
        <v/>
      </c>
      <c r="C31" s="210">
        <f>IF('Indicator sheet_(IS)'!O66="","",'Indicator sheet_(IS)'!O66)</f>
        <v>0</v>
      </c>
      <c r="D31" s="321" t="str">
        <f>IF('Indicator sheet_(IS)'!O67="n.d.","n.d.",'Indicator sheet_(IS)'!O67*100)</f>
        <v>n.d.</v>
      </c>
      <c r="E31" s="210">
        <f>Berechnung1!N82</f>
        <v>1</v>
      </c>
      <c r="F31" s="176" t="str">
        <f>IF('Indicator sheet_(IS)'!Q65 = "", "", 'Indicator sheet_(IS)'!Q65)</f>
        <v/>
      </c>
      <c r="G31" s="176" t="str">
        <f>IF('Indicator sheet_(IS)'!R65 = "", "", 'Indicator sheet_(IS)'!R65)</f>
        <v/>
      </c>
      <c r="H31" s="411">
        <f>Berechnung1!O82</f>
        <v>0</v>
      </c>
      <c r="I31" s="176"/>
      <c r="J31" s="176"/>
      <c r="K31" s="176"/>
    </row>
    <row r="32" spans="1:11" x14ac:dyDescent="0.25">
      <c r="A32" s="213">
        <v>20</v>
      </c>
      <c r="B32" s="210" t="str">
        <f>IF('Indicator sheet_(IS)'!O68 = "", "", 'Indicator sheet_(IS)'!O68)</f>
        <v/>
      </c>
      <c r="C32" s="210">
        <f>IF('Indicator sheet_(IS)'!O69="","",'Indicator sheet_(IS)'!O69)</f>
        <v>0</v>
      </c>
      <c r="D32" s="321" t="str">
        <f>IF('Indicator sheet_(IS)'!O70="n.d.","n.d.",'Indicator sheet_(IS)'!O70*100)</f>
        <v>n.d.</v>
      </c>
      <c r="E32" s="210">
        <f>Berechnung1!N85</f>
        <v>1</v>
      </c>
      <c r="F32" s="176" t="str">
        <f>IF('Indicator sheet_(IS)'!Q68 = "", "", 'Indicator sheet_(IS)'!Q68)</f>
        <v/>
      </c>
      <c r="G32" s="176" t="str">
        <f>IF('Indicator sheet_(IS)'!R68 = "", "", 'Indicator sheet_(IS)'!R68)</f>
        <v/>
      </c>
      <c r="H32" s="411">
        <f>Berechnung1!O85</f>
        <v>0</v>
      </c>
      <c r="I32" s="176"/>
      <c r="J32" s="176"/>
      <c r="K32" s="176"/>
    </row>
    <row r="33" spans="1:11" x14ac:dyDescent="0.25">
      <c r="A33" s="213">
        <v>21</v>
      </c>
      <c r="B33" s="210" t="str">
        <f>IF('Indicator sheet_(IS)'!O71 = "", "", 'Indicator sheet_(IS)'!O71)</f>
        <v/>
      </c>
      <c r="C33" s="210" t="str">
        <f>IF('Indicator sheet_(IS)'!O72="","",'Indicator sheet_(IS)'!O72)</f>
        <v/>
      </c>
      <c r="D33" s="321" t="str">
        <f>IF('Indicator sheet_(IS)'!O73="n.d.","n.d.",'Indicator sheet_(IS)'!O73*100)</f>
        <v>n.d.</v>
      </c>
      <c r="E33" s="210">
        <f>Berechnung1!N88</f>
        <v>1</v>
      </c>
      <c r="F33" s="176" t="str">
        <f>IF('Indicator sheet_(IS)'!Q71 = "", "", 'Indicator sheet_(IS)'!Q71)</f>
        <v/>
      </c>
      <c r="G33" s="176" t="str">
        <f>IF('Indicator sheet_(IS)'!R71 = "", "", 'Indicator sheet_(IS)'!R71)</f>
        <v/>
      </c>
      <c r="H33" s="411">
        <f>Berechnung1!O88</f>
        <v>0</v>
      </c>
      <c r="I33" s="176"/>
      <c r="J33" s="176"/>
      <c r="K33" s="176"/>
    </row>
    <row r="34" spans="1:11" x14ac:dyDescent="0.25">
      <c r="A34" s="373" t="s">
        <v>829</v>
      </c>
      <c r="B34" s="210" t="str">
        <f>IF('Indicator sheet_(IS)'!O74 = "", "", 'Indicator sheet_(IS)'!O74)</f>
        <v/>
      </c>
      <c r="C34" s="210" t="str">
        <f>IF('Indicator sheet_(IS)'!O75="","",'Indicator sheet_(IS)'!O75)</f>
        <v/>
      </c>
      <c r="D34" s="420" t="str">
        <f>IF('Indicator sheet_(IS)'!O76="n.d.","n.d.",IF('Indicator sheet_(IS)'!O76="","n.d.",'Indicator sheet_(IS)'!O76*100))</f>
        <v>n.d.</v>
      </c>
      <c r="E34" s="210">
        <f>Berechnung1!N91</f>
        <v>1</v>
      </c>
      <c r="F34" s="176" t="str">
        <f>IF('Indicator sheet_(IS)'!Q74 = "", "", 'Indicator sheet_(IS)'!Q74)</f>
        <v/>
      </c>
      <c r="G34" s="176" t="str">
        <f>IF('Indicator sheet_(IS)'!R74 = "", "", 'Indicator sheet_(IS)'!R74)</f>
        <v/>
      </c>
      <c r="H34" s="411">
        <f>Berechnung1!O91</f>
        <v>0</v>
      </c>
      <c r="I34" s="176"/>
      <c r="J34" s="176"/>
      <c r="K34" s="176"/>
    </row>
    <row r="35" spans="1:11" x14ac:dyDescent="0.25">
      <c r="A35" s="373" t="s">
        <v>830</v>
      </c>
      <c r="B35" s="210" t="str">
        <f>IF('Indicator sheet_(IS)'!O77 = "", "n.d.", 'Indicator sheet_(IS)'!O77)</f>
        <v>n.d.</v>
      </c>
      <c r="C35" s="400" t="str">
        <f>IF('Indicator sheet_(IS)'!O78="","",'Indicator sheet_(IS)'!O78)</f>
        <v/>
      </c>
      <c r="D35" s="403"/>
      <c r="E35" s="210">
        <f>Berechnung1!N94</f>
        <v>1</v>
      </c>
      <c r="F35" s="176" t="str">
        <f>IF('Indicator sheet_(IS)'!Q77 = "", "", 'Indicator sheet_(IS)'!Q77)</f>
        <v/>
      </c>
      <c r="G35" s="176" t="str">
        <f>IF('Indicator sheet_(IS)'!R77 = "", "", 'Indicator sheet_(IS)'!R77)</f>
        <v/>
      </c>
      <c r="H35" s="411">
        <f>Berechnung1!O94</f>
        <v>0</v>
      </c>
      <c r="I35" s="176"/>
      <c r="J35" s="176"/>
      <c r="K35" s="176"/>
    </row>
    <row r="36" spans="1:11" x14ac:dyDescent="0.25">
      <c r="A36" s="373" t="s">
        <v>831</v>
      </c>
      <c r="B36" s="210" t="str">
        <f>IF(E36=1, "n.d.", 'Indicator sheet_(IS)'!O80)</f>
        <v>n.d.</v>
      </c>
      <c r="C36" s="400" t="str">
        <f>IF('Indicator sheet_(IS)'!O81="","",'Indicator sheet_(IS)'!O81)</f>
        <v/>
      </c>
      <c r="D36" s="403"/>
      <c r="E36" s="210">
        <f>Berechnung1!N97</f>
        <v>1</v>
      </c>
      <c r="F36" s="176" t="str">
        <f>IF('Indicator sheet_(IS)'!Q80 = "", "", 'Indicator sheet_(IS)'!Q80)</f>
        <v/>
      </c>
      <c r="G36" s="176" t="str">
        <f>IF('Indicator sheet_(IS)'!R80 = "", "", 'Indicator sheet_(IS)'!R80)</f>
        <v/>
      </c>
      <c r="H36" s="411">
        <f>Berechnung1!O97</f>
        <v>0</v>
      </c>
      <c r="I36" s="176"/>
      <c r="J36" s="176"/>
      <c r="K36" s="176"/>
    </row>
    <row r="37" spans="1:11" x14ac:dyDescent="0.25">
      <c r="A37" s="213">
        <v>23</v>
      </c>
      <c r="B37" s="210" t="str">
        <f>IF('Indicator sheet_(IS)'!O83 = "", "", 'Indicator sheet_(IS)'!O83)</f>
        <v/>
      </c>
      <c r="C37" s="210" t="str">
        <f>IF('Indicator sheet_(IS)'!O84="","",'Indicator sheet_(IS)'!O84)</f>
        <v/>
      </c>
      <c r="D37" s="420" t="str">
        <f>IF('Indicator sheet_(IS)'!O85="n.d.","n.d.",IF('Indicator sheet_(IS)'!O85="","n.d.",'Indicator sheet_(IS)'!O85*100))</f>
        <v>n.d.</v>
      </c>
      <c r="E37" s="210">
        <f>Berechnung1!N100</f>
        <v>1</v>
      </c>
      <c r="F37" s="176" t="str">
        <f>IF('Indicator sheet_(IS)'!Q83 = "", "", 'Indicator sheet_(IS)'!Q83)</f>
        <v/>
      </c>
      <c r="G37" s="176" t="str">
        <f>IF('Indicator sheet_(IS)'!R83 = "", "", 'Indicator sheet_(IS)'!R83)</f>
        <v/>
      </c>
      <c r="H37" s="411">
        <f>Berechnung1!O100</f>
        <v>0</v>
      </c>
      <c r="I37" s="176"/>
      <c r="J37" s="176"/>
      <c r="K37" s="176"/>
    </row>
    <row r="38" spans="1:11" x14ac:dyDescent="0.25">
      <c r="A38" s="213">
        <v>24</v>
      </c>
      <c r="B38" s="210" t="str">
        <f>IF('Indicator sheet_(IS)'!O86 = "", "", 'Indicator sheet_(IS)'!O86)</f>
        <v/>
      </c>
      <c r="C38" s="210" t="str">
        <f>IF('Indicator sheet_(IS)'!O87="","",'Indicator sheet_(IS)'!O87)</f>
        <v/>
      </c>
      <c r="D38" s="420" t="str">
        <f>IF('Indicator sheet_(IS)'!O88="n.d.","n.d.",IF('Indicator sheet_(IS)'!O88="","n.d.",'Indicator sheet_(IS)'!O88*100))</f>
        <v>n.d.</v>
      </c>
      <c r="E38" s="210">
        <f>Berechnung1!N103</f>
        <v>1</v>
      </c>
      <c r="F38" s="176" t="str">
        <f>IF('Indicator sheet_(IS)'!Q86 = "", "", 'Indicator sheet_(IS)'!Q86)</f>
        <v/>
      </c>
      <c r="G38" s="176" t="str">
        <f>IF('Indicator sheet_(IS)'!R86 = "", "", 'Indicator sheet_(IS)'!R86)</f>
        <v/>
      </c>
      <c r="H38" s="411">
        <f>Berechnung1!O103</f>
        <v>0</v>
      </c>
      <c r="I38" s="176"/>
      <c r="J38" s="176"/>
      <c r="K38" s="176"/>
    </row>
    <row r="39" spans="1:11" x14ac:dyDescent="0.25">
      <c r="A39" s="213">
        <v>25</v>
      </c>
      <c r="B39" s="210" t="str">
        <f>IF('Indicator sheet_(IS)'!O89 = "", "", 'Indicator sheet_(IS)'!O89)</f>
        <v/>
      </c>
      <c r="C39" s="210" t="str">
        <f>IF('Indicator sheet_(IS)'!O90="","",'Indicator sheet_(IS)'!O90)</f>
        <v/>
      </c>
      <c r="D39" s="321" t="str">
        <f>IF('Indicator sheet_(IS)'!O91="n.d.","n.d.",'Indicator sheet_(IS)'!O91*100)</f>
        <v>n.d.</v>
      </c>
      <c r="E39" s="210">
        <f>Berechnung1!N106</f>
        <v>1</v>
      </c>
      <c r="F39" s="410" t="str">
        <f>IF('Indicator sheet_(IS)'!Q89 = "", "", 'Indicator sheet_(IS)'!Q89)</f>
        <v/>
      </c>
      <c r="G39" s="410" t="str">
        <f>IF('Indicator sheet_(IS)'!R89 = "", "", 'Indicator sheet_(IS)'!R89)</f>
        <v/>
      </c>
      <c r="H39" s="411">
        <f>Berechnung1!O106</f>
        <v>0</v>
      </c>
      <c r="I39" s="410"/>
      <c r="J39" s="410"/>
      <c r="K39" s="410"/>
    </row>
    <row r="40" spans="1:11" x14ac:dyDescent="0.25">
      <c r="A40" s="213">
        <v>26</v>
      </c>
      <c r="B40" s="210" t="str">
        <f>IF('Indicator sheet_(IS)'!O92 = "", "", 'Indicator sheet_(IS)'!O92)</f>
        <v/>
      </c>
      <c r="C40" s="210" t="str">
        <f>IF('Indicator sheet_(IS)'!O93="","",'Indicator sheet_(IS)'!O93)</f>
        <v/>
      </c>
      <c r="D40" s="321" t="str">
        <f>IF('Indicator sheet_(IS)'!O94="n.d.","n.d.",'Indicator sheet_(IS)'!O94*100)</f>
        <v>n.d.</v>
      </c>
      <c r="E40" s="210">
        <f>Berechnung1!N109</f>
        <v>1</v>
      </c>
      <c r="F40" s="410" t="str">
        <f>IF('Indicator sheet_(IS)'!Q92 = "", "", 'Indicator sheet_(IS)'!Q92)</f>
        <v/>
      </c>
      <c r="G40" s="410" t="str">
        <f>IF('Indicator sheet_(IS)'!R92 = "", "", 'Indicator sheet_(IS)'!R92)</f>
        <v/>
      </c>
      <c r="H40" s="411">
        <f>Berechnung1!O109</f>
        <v>0</v>
      </c>
      <c r="I40" s="410"/>
      <c r="J40" s="410"/>
      <c r="K40" s="410"/>
    </row>
    <row r="41" spans="1:11" x14ac:dyDescent="0.25">
      <c r="A41" s="213">
        <v>27</v>
      </c>
      <c r="B41" s="210" t="str">
        <f>IF('Indicator sheet_(IS)'!O95 = "", "", 'Indicator sheet_(IS)'!O95)</f>
        <v/>
      </c>
      <c r="C41" s="210" t="str">
        <f>IF('Indicator sheet_(IS)'!O96="","",'Indicator sheet_(IS)'!O96)</f>
        <v/>
      </c>
      <c r="D41" s="321" t="str">
        <f>IF('Indicator sheet_(IS)'!O97="n.d.","n.d.",'Indicator sheet_(IS)'!O97*100)</f>
        <v>n.d.</v>
      </c>
      <c r="E41" s="210">
        <f>Berechnung1!N112</f>
        <v>1</v>
      </c>
      <c r="F41" s="410" t="str">
        <f>IF('Indicator sheet_(IS)'!Q95 = "", "", 'Indicator sheet_(IS)'!Q95)</f>
        <v/>
      </c>
      <c r="G41" s="410" t="str">
        <f>IF('Indicator sheet_(IS)'!R95 = "", "", 'Indicator sheet_(IS)'!R95)</f>
        <v/>
      </c>
      <c r="H41" s="411">
        <f>Berechnung1!O112</f>
        <v>0</v>
      </c>
      <c r="I41" s="410"/>
      <c r="J41" s="410"/>
      <c r="K41" s="410"/>
    </row>
    <row r="42" spans="1:11" x14ac:dyDescent="0.25">
      <c r="A42" s="213">
        <v>28</v>
      </c>
      <c r="B42" s="210" t="str">
        <f>IF('Indicator sheet_(IS)'!O98 = "", "", 'Indicator sheet_(IS)'!O98)</f>
        <v/>
      </c>
      <c r="C42" s="210">
        <f>IF('Indicator sheet_(IS)'!O99="","",'Indicator sheet_(IS)'!O99)</f>
        <v>0</v>
      </c>
      <c r="D42" s="420" t="str">
        <f>IF('Indicator sheet_(IS)'!O100="n.d.","n.d.",IF('Indicator sheet_(IS)'!O100="","n.d.",'Indicator sheet_(IS)'!O100*100))</f>
        <v>n.d.</v>
      </c>
      <c r="E42" s="210">
        <f>Berechnung1!N115</f>
        <v>1</v>
      </c>
      <c r="F42" s="410" t="str">
        <f>IF('Indicator sheet_(IS)'!Q98 = "", "", 'Indicator sheet_(IS)'!Q98)</f>
        <v/>
      </c>
      <c r="G42" s="410" t="str">
        <f>IF('Indicator sheet_(IS)'!R98 = "", "", 'Indicator sheet_(IS)'!R98)</f>
        <v/>
      </c>
      <c r="H42" s="411">
        <f>Berechnung1!O115</f>
        <v>0</v>
      </c>
      <c r="I42" s="410"/>
      <c r="J42" s="410"/>
      <c r="K42" s="410"/>
    </row>
    <row r="43" spans="1:11" x14ac:dyDescent="0.25">
      <c r="A43" s="213">
        <v>29</v>
      </c>
      <c r="B43" s="210" t="str">
        <f>IF('Indicator sheet_(IS)'!O101 = "", "", 'Indicator sheet_(IS)'!O101)</f>
        <v/>
      </c>
      <c r="C43" s="210">
        <f>IF('Indicator sheet_(IS)'!O102="","",'Indicator sheet_(IS)'!O102)</f>
        <v>0</v>
      </c>
      <c r="D43" s="321" t="str">
        <f>IF('Indicator sheet_(IS)'!O103="n.d.","n.d.",IF('Indicator sheet_(IS)'!O103="","n.d.",'Indicator sheet_(IS)'!O103*100))</f>
        <v>n.d.</v>
      </c>
      <c r="E43" s="210">
        <f>Berechnung1!N118</f>
        <v>1</v>
      </c>
      <c r="F43" s="410" t="str">
        <f>IF('Indicator sheet_(IS)'!Q101 = "", "", 'Indicator sheet_(IS)'!Q101)</f>
        <v/>
      </c>
      <c r="G43" s="410" t="str">
        <f>IF('Indicator sheet_(IS)'!R101 = "", "", 'Indicator sheet_(IS)'!R101)</f>
        <v/>
      </c>
      <c r="H43" s="411">
        <f>Berechnung1!O118</f>
        <v>0</v>
      </c>
      <c r="I43" s="410"/>
      <c r="J43" s="410"/>
      <c r="K43" s="410"/>
    </row>
  </sheetData>
  <phoneticPr fontId="75" type="noConversion"/>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4"/>
  <dimension ref="A3:U120"/>
  <sheetViews>
    <sheetView zoomScaleNormal="100" workbookViewId="0">
      <selection activeCell="B9" sqref="B9"/>
    </sheetView>
  </sheetViews>
  <sheetFormatPr defaultColWidth="9.140625" defaultRowHeight="14.25" x14ac:dyDescent="0.25"/>
  <cols>
    <col min="1" max="1" width="7.7109375" style="358" customWidth="1"/>
    <col min="2" max="2" width="15.7109375" style="358" customWidth="1"/>
    <col min="3" max="3" width="9.140625" style="358" customWidth="1"/>
    <col min="4" max="4" width="13.7109375" style="358" customWidth="1"/>
    <col min="5" max="5" width="18.42578125" style="358" customWidth="1"/>
    <col min="6" max="6" width="15.42578125" style="358" customWidth="1"/>
    <col min="7" max="7" width="21.140625" style="358" customWidth="1"/>
    <col min="8" max="9" width="20.28515625" style="358" customWidth="1"/>
    <col min="10" max="10" width="14.5703125" style="358" customWidth="1"/>
    <col min="11" max="11" width="15.42578125" style="358" customWidth="1"/>
    <col min="12" max="12" width="16.28515625" style="358" customWidth="1"/>
    <col min="13" max="18" width="9.140625" style="358" customWidth="1"/>
    <col min="19" max="19" width="20.7109375" style="358" customWidth="1"/>
    <col min="20" max="20" width="24.140625" style="358" customWidth="1"/>
    <col min="21" max="21" width="20.7109375" style="358" customWidth="1"/>
    <col min="22" max="16384" width="9.140625" style="358"/>
  </cols>
  <sheetData>
    <row r="3" spans="2:15" s="344" customFormat="1" ht="15" x14ac:dyDescent="0.25">
      <c r="C3" s="343" t="s">
        <v>63</v>
      </c>
      <c r="M3" s="345"/>
      <c r="N3" s="345"/>
      <c r="O3" s="345"/>
    </row>
    <row r="4" spans="2:15" s="344" customFormat="1" ht="27" customHeight="1" x14ac:dyDescent="0.25">
      <c r="D4" s="268" t="s">
        <v>454</v>
      </c>
      <c r="I4" s="268"/>
      <c r="M4" s="345"/>
      <c r="N4" s="345"/>
      <c r="O4" s="345"/>
    </row>
    <row r="5" spans="2:15" s="344" customFormat="1" ht="22.5" x14ac:dyDescent="0.25">
      <c r="C5" s="268" t="s">
        <v>452</v>
      </c>
      <c r="D5" s="268" t="s">
        <v>459</v>
      </c>
      <c r="E5" s="268" t="s">
        <v>455</v>
      </c>
      <c r="F5" s="268" t="s">
        <v>457</v>
      </c>
      <c r="G5" s="268" t="s">
        <v>456</v>
      </c>
      <c r="H5" s="268" t="s">
        <v>460</v>
      </c>
      <c r="I5" s="268" t="s">
        <v>467</v>
      </c>
      <c r="K5" s="268" t="s">
        <v>468</v>
      </c>
      <c r="M5" s="345"/>
      <c r="N5" s="345"/>
      <c r="O5" s="345"/>
    </row>
    <row r="6" spans="2:15" s="344" customFormat="1" x14ac:dyDescent="0.25">
      <c r="C6" s="268">
        <f>COUNTIF('Indicator sheet_(IS)'!$P$8:$P$101,C5)</f>
        <v>0</v>
      </c>
      <c r="D6" s="268">
        <f>COUNTIF('Indicator sheet_(IS)'!$P$8:$P$101,D5)</f>
        <v>0</v>
      </c>
      <c r="E6" s="268">
        <f>COUNTIF('Indicator sheet_(IS)'!$P$8:$P$101,E5)</f>
        <v>0</v>
      </c>
      <c r="F6" s="268">
        <f>COUNTIF('Indicator sheet_(IS)'!$P$8:$P$101,F5)</f>
        <v>32</v>
      </c>
      <c r="G6" s="268">
        <f>COUNTIF('Indicator sheet_(IS)'!$P$8:$P$101,G5)</f>
        <v>0</v>
      </c>
      <c r="H6" s="268">
        <f>COUNTIF('Indicator sheet_(IS)'!$P$8:$P$101,H5)</f>
        <v>0</v>
      </c>
      <c r="I6" s="268">
        <f>SUM(D6:H6)</f>
        <v>32</v>
      </c>
      <c r="K6" s="268">
        <f>D6+H6</f>
        <v>0</v>
      </c>
      <c r="M6" s="345"/>
      <c r="N6" s="345"/>
      <c r="O6" s="345"/>
    </row>
    <row r="7" spans="2:15" s="344" customFormat="1" x14ac:dyDescent="0.25">
      <c r="C7" s="268"/>
      <c r="D7" s="268">
        <f>C6+D6+H6</f>
        <v>0</v>
      </c>
      <c r="E7" s="268">
        <f>E6</f>
        <v>0</v>
      </c>
      <c r="F7" s="268"/>
      <c r="G7" s="268">
        <f>F6+G6</f>
        <v>32</v>
      </c>
      <c r="H7" s="268">
        <f>H6+D6+C6</f>
        <v>0</v>
      </c>
      <c r="I7" s="268">
        <f>SUM(D7:H7)</f>
        <v>32</v>
      </c>
      <c r="K7" s="268"/>
      <c r="M7" s="345"/>
      <c r="N7" s="345"/>
      <c r="O7" s="345"/>
    </row>
    <row r="8" spans="2:15" s="344" customFormat="1" x14ac:dyDescent="0.25">
      <c r="B8" s="344" t="s">
        <v>368</v>
      </c>
      <c r="C8" s="268"/>
      <c r="D8" s="268"/>
      <c r="E8" s="268">
        <f>D7+E7</f>
        <v>0</v>
      </c>
      <c r="F8" s="268"/>
      <c r="G8" s="268">
        <f>G7</f>
        <v>32</v>
      </c>
      <c r="H8" s="268"/>
      <c r="I8" s="268">
        <f>SUM(D8:H8)</f>
        <v>32</v>
      </c>
      <c r="K8" s="268"/>
      <c r="M8" s="345"/>
      <c r="N8" s="345"/>
      <c r="O8" s="345"/>
    </row>
    <row r="9" spans="2:15" s="344" customFormat="1" x14ac:dyDescent="0.25">
      <c r="B9" s="398">
        <v>32</v>
      </c>
      <c r="C9" s="347">
        <f t="shared" ref="C9:H9" si="0">ROUND(C6/$B$9,4)</f>
        <v>0</v>
      </c>
      <c r="D9" s="347">
        <f t="shared" si="0"/>
        <v>0</v>
      </c>
      <c r="E9" s="347">
        <f t="shared" si="0"/>
        <v>0</v>
      </c>
      <c r="F9" s="347">
        <f t="shared" si="0"/>
        <v>1</v>
      </c>
      <c r="G9" s="347">
        <f t="shared" si="0"/>
        <v>0</v>
      </c>
      <c r="H9" s="347">
        <f t="shared" si="0"/>
        <v>0</v>
      </c>
      <c r="I9" s="347">
        <f>SUM(C9:H9)</f>
        <v>1</v>
      </c>
      <c r="K9" s="347">
        <f>D9+H9</f>
        <v>0</v>
      </c>
      <c r="M9" s="345"/>
      <c r="N9" s="345"/>
      <c r="O9" s="345"/>
    </row>
    <row r="10" spans="2:15" s="344" customFormat="1" x14ac:dyDescent="0.25">
      <c r="C10" s="346"/>
      <c r="D10" s="347">
        <f>ROUND((C6+D6+H6)/$B$9,4)</f>
        <v>0</v>
      </c>
      <c r="E10" s="347">
        <f>ROUND(E6/$B$9,4)</f>
        <v>0</v>
      </c>
      <c r="F10" s="347"/>
      <c r="G10" s="347">
        <f>ROUND((F6+G6)/$B$9,4)</f>
        <v>1</v>
      </c>
      <c r="H10" s="347">
        <f>ROUND((H6+D6+C6)/$B$9,4)</f>
        <v>0</v>
      </c>
      <c r="I10" s="347">
        <f>SUM(D10:G10)</f>
        <v>1</v>
      </c>
      <c r="K10" s="347"/>
      <c r="M10" s="345"/>
      <c r="N10" s="345"/>
      <c r="O10" s="345"/>
    </row>
    <row r="11" spans="2:15" s="344" customFormat="1" x14ac:dyDescent="0.25">
      <c r="D11" s="348"/>
      <c r="E11" s="347">
        <f>ROUND((C6+D6+E6+H6)/$B$9,4)</f>
        <v>0</v>
      </c>
      <c r="F11" s="348"/>
      <c r="G11" s="347">
        <f>G10</f>
        <v>1</v>
      </c>
      <c r="H11" s="347"/>
      <c r="I11" s="347">
        <f>SUM(D11:H11)</f>
        <v>1</v>
      </c>
      <c r="M11" s="345"/>
      <c r="N11" s="345"/>
      <c r="O11" s="345"/>
    </row>
    <row r="12" spans="2:15" s="344" customFormat="1" x14ac:dyDescent="0.25">
      <c r="E12" s="346"/>
      <c r="G12" s="346"/>
      <c r="H12" s="346"/>
      <c r="I12" s="346"/>
      <c r="M12" s="345"/>
      <c r="N12" s="345"/>
      <c r="O12" s="345"/>
    </row>
    <row r="13" spans="2:15" s="344" customFormat="1" x14ac:dyDescent="0.25">
      <c r="M13" s="345"/>
      <c r="N13" s="345"/>
      <c r="O13" s="345"/>
    </row>
    <row r="14" spans="2:15" s="344" customFormat="1" x14ac:dyDescent="0.25">
      <c r="M14" s="345"/>
      <c r="N14" s="345"/>
      <c r="O14" s="345"/>
    </row>
    <row r="15" spans="2:15" s="344" customFormat="1" x14ac:dyDescent="0.25">
      <c r="M15" s="345"/>
      <c r="N15" s="345"/>
      <c r="O15" s="345"/>
    </row>
    <row r="16" spans="2:15" s="344" customFormat="1" ht="15" x14ac:dyDescent="0.25">
      <c r="C16" s="421" t="s">
        <v>64</v>
      </c>
      <c r="D16" s="422"/>
      <c r="E16" s="422"/>
      <c r="F16" s="422"/>
      <c r="G16" s="422"/>
      <c r="H16" s="422"/>
      <c r="M16" s="345"/>
      <c r="N16" s="345"/>
      <c r="O16" s="345"/>
    </row>
    <row r="17" spans="1:15" s="344" customFormat="1" ht="33.75" x14ac:dyDescent="0.25">
      <c r="C17" s="423" t="s">
        <v>461</v>
      </c>
      <c r="D17" s="423" t="s">
        <v>462</v>
      </c>
      <c r="E17" s="423" t="s">
        <v>463</v>
      </c>
      <c r="F17" s="423" t="s">
        <v>465</v>
      </c>
      <c r="G17" s="423" t="s">
        <v>464</v>
      </c>
      <c r="H17" s="423" t="s">
        <v>466</v>
      </c>
      <c r="M17" s="345"/>
      <c r="N17" s="345"/>
      <c r="O17" s="345"/>
    </row>
    <row r="18" spans="1:15" s="344" customFormat="1" x14ac:dyDescent="0.25">
      <c r="C18" s="349"/>
      <c r="D18" s="349"/>
      <c r="E18" s="349"/>
      <c r="F18" s="349"/>
      <c r="G18" s="349"/>
      <c r="M18" s="345"/>
      <c r="N18" s="345"/>
      <c r="O18" s="345"/>
    </row>
    <row r="19" spans="1:15" s="344" customFormat="1" x14ac:dyDescent="0.25">
      <c r="C19" s="349"/>
      <c r="D19" s="349"/>
      <c r="E19" s="349"/>
      <c r="F19" s="349"/>
      <c r="G19" s="349"/>
      <c r="M19" s="345"/>
      <c r="N19" s="345"/>
      <c r="O19" s="345"/>
    </row>
    <row r="20" spans="1:15" s="344" customFormat="1" x14ac:dyDescent="0.25">
      <c r="C20" s="349"/>
      <c r="D20" s="349"/>
      <c r="E20" s="349"/>
      <c r="F20" s="349"/>
      <c r="G20" s="349"/>
      <c r="M20" s="345"/>
      <c r="N20" s="345"/>
      <c r="O20" s="345"/>
    </row>
    <row r="21" spans="1:15" s="344" customFormat="1" x14ac:dyDescent="0.25">
      <c r="B21" s="349"/>
      <c r="C21" s="349"/>
      <c r="D21" s="349"/>
      <c r="E21" s="349"/>
      <c r="F21" s="349"/>
      <c r="M21" s="345"/>
      <c r="N21" s="345"/>
      <c r="O21" s="345"/>
    </row>
    <row r="22" spans="1:15" s="344" customFormat="1" ht="15.75" x14ac:dyDescent="0.25">
      <c r="B22" s="349"/>
      <c r="C22" s="350" t="s">
        <v>65</v>
      </c>
      <c r="D22" s="349"/>
      <c r="E22" s="349"/>
      <c r="F22" s="349"/>
      <c r="M22" s="345"/>
      <c r="N22" s="345"/>
      <c r="O22" s="345"/>
    </row>
    <row r="23" spans="1:15" s="344" customFormat="1" x14ac:dyDescent="0.25">
      <c r="M23" s="345"/>
      <c r="N23" s="345"/>
      <c r="O23" s="345"/>
    </row>
    <row r="24" spans="1:15" s="344" customFormat="1" x14ac:dyDescent="0.25">
      <c r="C24" s="120" t="s">
        <v>66</v>
      </c>
      <c r="D24" s="120" t="s">
        <v>67</v>
      </c>
      <c r="E24" s="120" t="s">
        <v>293</v>
      </c>
      <c r="F24" s="120" t="s">
        <v>292</v>
      </c>
      <c r="G24" s="120" t="s">
        <v>68</v>
      </c>
      <c r="H24" s="120" t="s">
        <v>69</v>
      </c>
      <c r="I24" s="120"/>
      <c r="J24" s="120" t="s">
        <v>70</v>
      </c>
      <c r="K24" s="120" t="s">
        <v>71</v>
      </c>
      <c r="L24" s="120" t="s">
        <v>72</v>
      </c>
      <c r="M24" s="120" t="s">
        <v>73</v>
      </c>
      <c r="N24" s="120" t="s">
        <v>74</v>
      </c>
      <c r="O24" s="120" t="s">
        <v>75</v>
      </c>
    </row>
    <row r="25" spans="1:15" s="344" customFormat="1" x14ac:dyDescent="0.25">
      <c r="B25" s="35" t="s">
        <v>428</v>
      </c>
      <c r="C25" s="415" t="s">
        <v>777</v>
      </c>
      <c r="D25" s="416" t="s">
        <v>76</v>
      </c>
      <c r="E25" s="419">
        <v>0</v>
      </c>
      <c r="F25" s="419">
        <v>100000000</v>
      </c>
      <c r="G25" s="419">
        <v>-100000000</v>
      </c>
      <c r="H25" s="419">
        <v>100000000</v>
      </c>
      <c r="I25" s="417"/>
      <c r="J25" s="419">
        <v>-100000000</v>
      </c>
      <c r="K25" s="419">
        <v>100000000</v>
      </c>
      <c r="L25" s="419">
        <f>'Indicator sheet_(IS)'!O8</f>
        <v>0</v>
      </c>
      <c r="M25" s="418">
        <f>IF('Indicator sheet_(IS)'!P8=Berechnung1!$H$5,5,IF('Indicator sheet_(IS)'!P8=Berechnung1!$G$5,1,IF('Indicator sheet_(IS)'!P8=Berechnung1!$F$5,1,IF('Indicator sheet_(IS)'!P8=Berechnung1!$E$5,2,IF('Indicator sheet_(IS)'!P8=Berechnung1!$D$5,3,IF('Indicator sheet_(IS)'!P8=Berechnung1!$C$5,4,""))))))</f>
        <v>1</v>
      </c>
      <c r="N25" s="418">
        <f t="shared" ref="N25" si="1">IF(M25&gt;1,M25+3,M25)</f>
        <v>1</v>
      </c>
      <c r="O25" s="418">
        <f>IF('Indicator sheet_(IS)'!R8="",0,1)</f>
        <v>0</v>
      </c>
    </row>
    <row r="26" spans="1:15" s="344" customFormat="1" x14ac:dyDescent="0.25">
      <c r="A26" s="16"/>
      <c r="C26" s="147"/>
      <c r="D26" s="94"/>
      <c r="E26" s="441"/>
      <c r="F26" s="441"/>
      <c r="G26" s="441"/>
      <c r="H26" s="441"/>
      <c r="I26" s="441"/>
      <c r="J26" s="441"/>
      <c r="K26" s="441"/>
      <c r="L26" s="441"/>
      <c r="M26" s="354"/>
      <c r="N26" s="354"/>
      <c r="O26" s="354"/>
    </row>
    <row r="27" spans="1:15" s="344" customFormat="1" x14ac:dyDescent="0.25">
      <c r="A27" s="16"/>
      <c r="C27" s="147"/>
      <c r="D27" s="94"/>
      <c r="E27" s="441"/>
      <c r="F27" s="441"/>
      <c r="G27" s="441"/>
      <c r="H27" s="441"/>
      <c r="I27" s="441"/>
      <c r="J27" s="441"/>
      <c r="K27" s="441"/>
      <c r="L27" s="441"/>
      <c r="M27" s="354"/>
      <c r="N27" s="354"/>
      <c r="O27" s="354"/>
    </row>
    <row r="28" spans="1:15" s="344" customFormat="1" x14ac:dyDescent="0.25">
      <c r="A28" s="16"/>
      <c r="C28" s="404" t="s">
        <v>774</v>
      </c>
      <c r="D28" s="405" t="s">
        <v>76</v>
      </c>
      <c r="E28" s="406">
        <v>0</v>
      </c>
      <c r="F28" s="406">
        <v>1</v>
      </c>
      <c r="G28" s="406">
        <v>0.95</v>
      </c>
      <c r="H28" s="406">
        <v>10000</v>
      </c>
      <c r="I28" s="406"/>
      <c r="J28" s="406">
        <v>-10000</v>
      </c>
      <c r="K28" s="406">
        <v>10000</v>
      </c>
      <c r="L28" s="406" t="str">
        <f>'Indicator sheet_(IS)'!O13</f>
        <v>n.d.</v>
      </c>
      <c r="M28" s="407">
        <f>IF('Indicator sheet_(IS)'!P11=Berechnung1!$G$5,1,IF('Indicator sheet_(IS)'!P11=Berechnung1!$F$5,1,IF('Indicator sheet_(IS)'!P11=Berechnung1!$E$5,2,IF('Indicator sheet_(IS)'!P11=Berechnung1!$D$5,3,IF('Indicator sheet_(IS)'!P11=Berechnung1!$C$5,4,"")))))</f>
        <v>1</v>
      </c>
      <c r="N28" s="407">
        <f>IF(M28&gt;1,M28+3,M28)</f>
        <v>1</v>
      </c>
      <c r="O28" s="407">
        <f>IF('Indicator sheet_(IS)'!R11="",0,1)</f>
        <v>0</v>
      </c>
    </row>
    <row r="29" spans="1:15" s="344" customFormat="1" x14ac:dyDescent="0.25">
      <c r="A29" s="16"/>
      <c r="C29" s="147"/>
      <c r="D29" s="94"/>
      <c r="E29" s="351"/>
      <c r="F29" s="351"/>
      <c r="G29" s="351"/>
      <c r="H29" s="351"/>
      <c r="I29" s="351"/>
      <c r="J29" s="351"/>
      <c r="K29" s="351"/>
      <c r="L29" s="351"/>
      <c r="M29" s="351"/>
      <c r="N29" s="351"/>
      <c r="O29" s="352"/>
    </row>
    <row r="30" spans="1:15" s="344" customFormat="1" x14ac:dyDescent="0.25">
      <c r="A30" s="16"/>
      <c r="C30" s="147"/>
      <c r="D30" s="94"/>
      <c r="E30" s="351"/>
      <c r="F30" s="351"/>
      <c r="G30" s="351"/>
      <c r="H30" s="351"/>
      <c r="I30" s="351"/>
      <c r="J30" s="351"/>
      <c r="K30" s="351"/>
      <c r="L30" s="351"/>
      <c r="M30" s="351"/>
      <c r="N30" s="351"/>
      <c r="O30" s="352"/>
    </row>
    <row r="31" spans="1:15" s="344" customFormat="1" x14ac:dyDescent="0.25">
      <c r="A31" s="16"/>
      <c r="B31" s="35" t="s">
        <v>428</v>
      </c>
      <c r="C31" s="415" t="s">
        <v>775</v>
      </c>
      <c r="D31" s="416" t="s">
        <v>76</v>
      </c>
      <c r="E31" s="417">
        <v>0</v>
      </c>
      <c r="F31" s="417">
        <v>1</v>
      </c>
      <c r="G31" s="417">
        <v>0.95</v>
      </c>
      <c r="H31" s="417">
        <v>10000</v>
      </c>
      <c r="I31" s="417"/>
      <c r="J31" s="417">
        <v>-10000</v>
      </c>
      <c r="K31" s="417">
        <v>10000</v>
      </c>
      <c r="L31" s="417" t="str">
        <f>'Indicator sheet_(IS)'!O16</f>
        <v>n.d.</v>
      </c>
      <c r="M31" s="418">
        <f>IF('Indicator sheet_(IS)'!P14=Berechnung1!$H$5,5,IF('Indicator sheet_(IS)'!P14=Berechnung1!$G$5,1,IF('Indicator sheet_(IS)'!P14=Berechnung1!$F$5,1,IF('Indicator sheet_(IS)'!P14=Berechnung1!$E$5,2,IF('Indicator sheet_(IS)'!P14=Berechnung1!$D$5,3,IF('Indicator sheet_(IS)'!P14=Berechnung1!$C$5,4,""))))))</f>
        <v>1</v>
      </c>
      <c r="N31" s="418">
        <f t="shared" ref="N31:N85" si="2">IF(M31&gt;1,M31+3,M31)</f>
        <v>1</v>
      </c>
      <c r="O31" s="418">
        <f>IF('Indicator sheet_(IS)'!R14="",0,1)</f>
        <v>0</v>
      </c>
    </row>
    <row r="32" spans="1:15" s="344" customFormat="1" x14ac:dyDescent="0.25">
      <c r="A32" s="16"/>
      <c r="C32" s="353"/>
      <c r="D32" s="353"/>
      <c r="E32" s="353"/>
      <c r="F32" s="353"/>
      <c r="G32" s="353"/>
      <c r="H32" s="353"/>
      <c r="I32" s="353"/>
      <c r="J32" s="353"/>
      <c r="K32" s="353"/>
      <c r="L32" s="353"/>
      <c r="M32" s="353"/>
      <c r="N32" s="353"/>
      <c r="O32" s="353"/>
    </row>
    <row r="33" spans="1:15" s="344" customFormat="1" x14ac:dyDescent="0.25">
      <c r="A33" s="16"/>
      <c r="C33" s="147"/>
      <c r="D33" s="94"/>
      <c r="E33" s="351"/>
      <c r="F33" s="351"/>
      <c r="G33" s="351"/>
      <c r="H33" s="351"/>
      <c r="I33" s="351"/>
      <c r="J33" s="351"/>
      <c r="K33" s="351"/>
      <c r="L33" s="351"/>
      <c r="M33" s="351"/>
      <c r="N33" s="351"/>
      <c r="O33" s="352"/>
    </row>
    <row r="34" spans="1:15" s="344" customFormat="1" x14ac:dyDescent="0.25">
      <c r="A34" s="16"/>
      <c r="C34" s="404">
        <v>3</v>
      </c>
      <c r="D34" s="405" t="s">
        <v>76</v>
      </c>
      <c r="E34" s="406">
        <v>0</v>
      </c>
      <c r="F34" s="406">
        <v>1</v>
      </c>
      <c r="G34" s="406">
        <v>0.95</v>
      </c>
      <c r="H34" s="406">
        <v>10000</v>
      </c>
      <c r="I34" s="406"/>
      <c r="J34" s="406">
        <v>-10000</v>
      </c>
      <c r="K34" s="406">
        <v>10000</v>
      </c>
      <c r="L34" s="406" t="str">
        <f>'Indicator sheet_(IS)'!O19</f>
        <v>n.d.</v>
      </c>
      <c r="M34" s="407">
        <f>IF('Indicator sheet_(IS)'!P17=Berechnung1!$G$5,1,IF('Indicator sheet_(IS)'!P17=Berechnung1!$F$5,1,IF('Indicator sheet_(IS)'!P17=Berechnung1!$E$5,2,IF('Indicator sheet_(IS)'!P17=Berechnung1!$D$5,3,IF('Indicator sheet_(IS)'!P17=Berechnung1!$C$5,4,"")))))</f>
        <v>1</v>
      </c>
      <c r="N34" s="407">
        <f t="shared" si="2"/>
        <v>1</v>
      </c>
      <c r="O34" s="407">
        <f>IF('Indicator sheet_(IS)'!R17="",0,1)</f>
        <v>0</v>
      </c>
    </row>
    <row r="35" spans="1:15" s="344" customFormat="1" x14ac:dyDescent="0.25">
      <c r="A35" s="16"/>
      <c r="C35" s="147"/>
      <c r="D35" s="94"/>
      <c r="E35" s="351"/>
      <c r="F35" s="351"/>
      <c r="G35" s="351"/>
      <c r="H35" s="351"/>
      <c r="I35" s="351"/>
      <c r="J35" s="351"/>
      <c r="K35" s="351"/>
      <c r="L35" s="351"/>
      <c r="M35" s="351"/>
      <c r="N35" s="351"/>
      <c r="O35" s="352"/>
    </row>
    <row r="36" spans="1:15" s="344" customFormat="1" x14ac:dyDescent="0.25">
      <c r="A36" s="16"/>
      <c r="C36" s="147"/>
      <c r="D36" s="94"/>
      <c r="E36" s="351"/>
      <c r="F36" s="351"/>
      <c r="G36" s="351"/>
      <c r="H36" s="351"/>
      <c r="I36" s="351"/>
      <c r="J36" s="351"/>
      <c r="K36" s="351"/>
      <c r="L36" s="351"/>
      <c r="M36" s="351"/>
      <c r="N36" s="351"/>
      <c r="O36" s="352"/>
    </row>
    <row r="37" spans="1:15" s="344" customFormat="1" x14ac:dyDescent="0.25">
      <c r="A37" s="16"/>
      <c r="C37" s="405">
        <v>4</v>
      </c>
      <c r="D37" s="405" t="s">
        <v>76</v>
      </c>
      <c r="E37" s="406">
        <v>0</v>
      </c>
      <c r="F37" s="406">
        <v>1</v>
      </c>
      <c r="G37" s="406">
        <v>0.65</v>
      </c>
      <c r="H37" s="406">
        <v>10000</v>
      </c>
      <c r="I37" s="406"/>
      <c r="J37" s="406">
        <v>-10000</v>
      </c>
      <c r="K37" s="406">
        <v>10000</v>
      </c>
      <c r="L37" s="406" t="str">
        <f>'Indicator sheet_(IS)'!O22</f>
        <v>n.d.</v>
      </c>
      <c r="M37" s="407">
        <f>IF('Indicator sheet_(IS)'!P20=Berechnung1!$G$5,1,IF('Indicator sheet_(IS)'!P20=Berechnung1!$F$5,1,IF('Indicator sheet_(IS)'!P20=Berechnung1!$E$5,2,IF('Indicator sheet_(IS)'!P20=Berechnung1!$D$5,3,IF('Indicator sheet_(IS)'!P20=Berechnung1!$C$5,4,"")))))</f>
        <v>1</v>
      </c>
      <c r="N37" s="407">
        <f t="shared" si="2"/>
        <v>1</v>
      </c>
      <c r="O37" s="407">
        <f>IF('Indicator sheet_(IS)'!R20="",0,1)</f>
        <v>0</v>
      </c>
    </row>
    <row r="38" spans="1:15" s="344" customFormat="1" x14ac:dyDescent="0.25">
      <c r="A38" s="16"/>
      <c r="C38" s="147"/>
      <c r="D38" s="94"/>
      <c r="E38" s="351"/>
      <c r="F38" s="351"/>
      <c r="G38" s="351"/>
      <c r="H38" s="351"/>
      <c r="I38" s="351"/>
      <c r="J38" s="351"/>
      <c r="K38" s="351"/>
      <c r="L38" s="351"/>
      <c r="M38" s="351"/>
      <c r="N38" s="351"/>
      <c r="O38" s="352"/>
    </row>
    <row r="39" spans="1:15" s="344" customFormat="1" x14ac:dyDescent="0.25">
      <c r="A39" s="16"/>
      <c r="C39" s="147"/>
      <c r="D39" s="94"/>
      <c r="E39" s="351"/>
      <c r="F39" s="351"/>
      <c r="G39" s="351"/>
      <c r="H39" s="351"/>
      <c r="I39" s="351"/>
      <c r="J39" s="351"/>
      <c r="K39" s="351"/>
      <c r="L39" s="351"/>
      <c r="M39" s="351"/>
      <c r="N39" s="351"/>
      <c r="O39" s="352"/>
    </row>
    <row r="40" spans="1:15" s="344" customFormat="1" x14ac:dyDescent="0.25">
      <c r="A40" s="16"/>
      <c r="C40" s="405">
        <v>5</v>
      </c>
      <c r="D40" s="405" t="s">
        <v>76</v>
      </c>
      <c r="E40" s="406">
        <v>0</v>
      </c>
      <c r="F40" s="406">
        <v>1</v>
      </c>
      <c r="G40" s="406">
        <v>-10000</v>
      </c>
      <c r="H40" s="406">
        <v>10000</v>
      </c>
      <c r="I40" s="406"/>
      <c r="J40" s="406">
        <v>0.5</v>
      </c>
      <c r="K40" s="406">
        <v>10000</v>
      </c>
      <c r="L40" s="406" t="str">
        <f>'Indicator sheet_(IS)'!O25</f>
        <v>n.d.</v>
      </c>
      <c r="M40" s="407">
        <f>IF('Indicator sheet_(IS)'!P23=Berechnung1!$G$5,1,IF('Indicator sheet_(IS)'!P23=Berechnung1!$F$5,1,IF('Indicator sheet_(IS)'!P23=Berechnung1!$E$5,2,IF('Indicator sheet_(IS)'!P23=Berechnung1!$D$5,3,IF('Indicator sheet_(IS)'!P23=Berechnung1!$C$5,4,"")))))</f>
        <v>1</v>
      </c>
      <c r="N40" s="407">
        <f t="shared" si="2"/>
        <v>1</v>
      </c>
      <c r="O40" s="407">
        <f>IF('Indicator sheet_(IS)'!R23="",0,1)</f>
        <v>0</v>
      </c>
    </row>
    <row r="41" spans="1:15" s="344" customFormat="1" x14ac:dyDescent="0.25">
      <c r="A41" s="16"/>
      <c r="C41" s="147"/>
      <c r="D41" s="94"/>
      <c r="E41" s="351"/>
      <c r="F41" s="351"/>
      <c r="G41" s="351"/>
      <c r="H41" s="351"/>
      <c r="I41" s="351"/>
      <c r="J41" s="351"/>
      <c r="K41" s="351"/>
      <c r="L41" s="351"/>
      <c r="M41" s="351"/>
      <c r="N41" s="351"/>
      <c r="O41" s="352"/>
    </row>
    <row r="42" spans="1:15" s="344" customFormat="1" x14ac:dyDescent="0.25">
      <c r="A42" s="16"/>
      <c r="C42" s="147"/>
      <c r="D42" s="94"/>
      <c r="E42" s="351"/>
      <c r="F42" s="351"/>
      <c r="G42" s="351"/>
      <c r="H42" s="351"/>
      <c r="I42" s="351"/>
      <c r="J42" s="351"/>
      <c r="K42" s="351"/>
      <c r="L42" s="351"/>
      <c r="M42" s="351"/>
      <c r="N42" s="351"/>
      <c r="O42" s="352"/>
    </row>
    <row r="43" spans="1:15" s="344" customFormat="1" x14ac:dyDescent="0.25">
      <c r="A43" s="16"/>
      <c r="C43" s="405">
        <v>6</v>
      </c>
      <c r="D43" s="405" t="s">
        <v>76</v>
      </c>
      <c r="E43" s="406">
        <v>0</v>
      </c>
      <c r="F43" s="406">
        <v>100000000</v>
      </c>
      <c r="G43" s="406">
        <v>0.05</v>
      </c>
      <c r="H43" s="406">
        <v>10000</v>
      </c>
      <c r="I43" s="406"/>
      <c r="J43" s="406">
        <v>-10000</v>
      </c>
      <c r="K43" s="406">
        <v>10000</v>
      </c>
      <c r="L43" s="406" t="str">
        <f>'Indicator sheet_(IS)'!O28</f>
        <v>n.d.</v>
      </c>
      <c r="M43" s="407">
        <f>IF('Indicator sheet_(IS)'!P26=Berechnung1!$G$5,1,IF('Indicator sheet_(IS)'!P26=Berechnung1!$F$5,1,IF('Indicator sheet_(IS)'!P26=Berechnung1!$E$5,2,IF('Indicator sheet_(IS)'!P26=Berechnung1!$D$5,3,IF('Indicator sheet_(IS)'!P26=Berechnung1!$C$5,4,"")))))</f>
        <v>1</v>
      </c>
      <c r="N43" s="407">
        <f t="shared" si="2"/>
        <v>1</v>
      </c>
      <c r="O43" s="407">
        <f>IF('Indicator sheet_(IS)'!R26="",0,1)</f>
        <v>0</v>
      </c>
    </row>
    <row r="44" spans="1:15" s="344" customFormat="1" x14ac:dyDescent="0.25">
      <c r="A44" s="16"/>
      <c r="C44" s="147"/>
      <c r="D44" s="94"/>
      <c r="E44" s="351"/>
      <c r="F44" s="351"/>
      <c r="G44" s="351"/>
      <c r="H44" s="351"/>
      <c r="I44" s="351"/>
      <c r="J44" s="351"/>
      <c r="K44" s="351"/>
      <c r="L44" s="351"/>
      <c r="M44" s="351"/>
      <c r="N44" s="351"/>
      <c r="O44" s="352"/>
    </row>
    <row r="45" spans="1:15" s="344" customFormat="1" x14ac:dyDescent="0.25">
      <c r="A45" s="16"/>
      <c r="C45" s="147"/>
      <c r="D45" s="94"/>
      <c r="E45" s="351"/>
      <c r="F45" s="351"/>
      <c r="G45" s="351"/>
      <c r="H45" s="351"/>
      <c r="I45" s="351"/>
      <c r="J45" s="351"/>
      <c r="K45" s="351"/>
      <c r="L45" s="351"/>
      <c r="M45" s="351"/>
      <c r="N45" s="351"/>
      <c r="O45" s="352"/>
    </row>
    <row r="46" spans="1:15" s="344" customFormat="1" x14ac:dyDescent="0.25">
      <c r="A46" s="16"/>
      <c r="C46" s="405">
        <v>7</v>
      </c>
      <c r="D46" s="405" t="s">
        <v>76</v>
      </c>
      <c r="E46" s="406">
        <v>0</v>
      </c>
      <c r="F46" s="406">
        <v>1</v>
      </c>
      <c r="G46" s="406">
        <v>0.9</v>
      </c>
      <c r="H46" s="406">
        <v>10000</v>
      </c>
      <c r="I46" s="406"/>
      <c r="J46" s="406">
        <v>-10000</v>
      </c>
      <c r="K46" s="406">
        <v>10000</v>
      </c>
      <c r="L46" s="406" t="str">
        <f>'Indicator sheet_(IS)'!O31</f>
        <v>n.d.</v>
      </c>
      <c r="M46" s="408">
        <f>IF('Indicator sheet_(IS)'!P29=Berechnung1!$G$5,1,IF('Indicator sheet_(IS)'!P29=Berechnung1!$F$5,1,IF('Indicator sheet_(IS)'!P29=Berechnung1!$E$5,2,IF('Indicator sheet_(IS)'!P29=Berechnung1!$D$5,3,IF('Indicator sheet_(IS)'!P29=Berechnung1!$C$5,4,"")))))</f>
        <v>1</v>
      </c>
      <c r="N46" s="407">
        <f t="shared" si="2"/>
        <v>1</v>
      </c>
      <c r="O46" s="407">
        <f>IF('Indicator sheet_(IS)'!R29="",0,1)</f>
        <v>0</v>
      </c>
    </row>
    <row r="47" spans="1:15" s="344" customFormat="1" x14ac:dyDescent="0.25">
      <c r="A47" s="16"/>
      <c r="C47" s="147"/>
      <c r="D47" s="94"/>
      <c r="E47" s="351"/>
      <c r="F47" s="351"/>
      <c r="G47" s="351"/>
      <c r="H47" s="351"/>
      <c r="I47" s="351"/>
      <c r="J47" s="351"/>
      <c r="K47" s="351"/>
      <c r="L47" s="351"/>
      <c r="M47" s="351"/>
      <c r="N47" s="354"/>
      <c r="O47" s="354"/>
    </row>
    <row r="48" spans="1:15" s="344" customFormat="1" x14ac:dyDescent="0.25">
      <c r="A48" s="16"/>
      <c r="C48" s="147"/>
      <c r="D48" s="94"/>
      <c r="E48" s="351"/>
      <c r="F48" s="351"/>
      <c r="G48" s="351"/>
      <c r="H48" s="351"/>
      <c r="I48" s="351"/>
      <c r="J48" s="351"/>
      <c r="K48" s="351"/>
      <c r="L48" s="351"/>
      <c r="M48" s="351"/>
      <c r="N48" s="354"/>
      <c r="O48" s="354"/>
    </row>
    <row r="49" spans="1:21" s="344" customFormat="1" x14ac:dyDescent="0.25">
      <c r="A49" s="16"/>
      <c r="B49" s="35" t="s">
        <v>914</v>
      </c>
      <c r="C49" s="416">
        <v>8</v>
      </c>
      <c r="D49" s="416" t="s">
        <v>76</v>
      </c>
      <c r="E49" s="417">
        <v>0</v>
      </c>
      <c r="F49" s="417">
        <v>1</v>
      </c>
      <c r="G49" s="417">
        <v>0.9</v>
      </c>
      <c r="H49" s="417">
        <v>10000</v>
      </c>
      <c r="I49" s="417"/>
      <c r="J49" s="417">
        <v>-10000</v>
      </c>
      <c r="K49" s="417">
        <v>10000</v>
      </c>
      <c r="L49" s="417" t="str">
        <f>'Indicator sheet_(IS)'!O34</f>
        <v>n.d.</v>
      </c>
      <c r="M49" s="419">
        <f>IF('Indicator sheet_(IS)'!P32=Berechnung1!$H$5,5,IF('Indicator sheet_(IS)'!P32=Berechnung1!$G$5,1,IF('Indicator sheet_(IS)'!P32=Berechnung1!$F$5,1,IF('Indicator sheet_(IS)'!P32=Berechnung1!$E$5,2,IF('Indicator sheet_(IS)'!P32=Berechnung1!$D$5,3,IF('Indicator sheet_(IS)'!P32=Berechnung1!$C$5,4,""))))))</f>
        <v>1</v>
      </c>
      <c r="N49" s="418">
        <f t="shared" si="2"/>
        <v>1</v>
      </c>
      <c r="O49" s="418">
        <f>IF('Indicator sheet_(IS)'!R32="",0,1)</f>
        <v>0</v>
      </c>
      <c r="U49" s="355"/>
    </row>
    <row r="50" spans="1:21" s="344" customFormat="1" x14ac:dyDescent="0.25">
      <c r="A50" s="16"/>
      <c r="C50" s="147"/>
      <c r="D50" s="94"/>
      <c r="E50" s="351"/>
      <c r="F50" s="351"/>
      <c r="G50" s="351"/>
      <c r="H50" s="351"/>
      <c r="I50" s="351"/>
      <c r="J50" s="351"/>
      <c r="K50" s="351"/>
      <c r="L50" s="351"/>
      <c r="M50" s="351"/>
      <c r="N50" s="351"/>
      <c r="O50" s="352"/>
      <c r="U50" s="355"/>
    </row>
    <row r="51" spans="1:21" s="344" customFormat="1" x14ac:dyDescent="0.25">
      <c r="A51" s="16"/>
      <c r="C51" s="147"/>
      <c r="D51" s="94"/>
      <c r="E51" s="351"/>
      <c r="F51" s="351"/>
      <c r="G51" s="351"/>
      <c r="H51" s="351"/>
      <c r="I51" s="351"/>
      <c r="J51" s="351"/>
      <c r="K51" s="351"/>
      <c r="L51" s="351"/>
      <c r="M51" s="351"/>
      <c r="N51" s="351"/>
      <c r="O51" s="352"/>
      <c r="U51" s="355"/>
    </row>
    <row r="52" spans="1:21" s="344" customFormat="1" x14ac:dyDescent="0.25">
      <c r="A52" s="16"/>
      <c r="B52" s="35"/>
      <c r="C52" s="405">
        <v>9</v>
      </c>
      <c r="D52" s="405" t="s">
        <v>76</v>
      </c>
      <c r="E52" s="406">
        <v>0</v>
      </c>
      <c r="F52" s="406">
        <v>1</v>
      </c>
      <c r="G52" s="406">
        <v>0.9</v>
      </c>
      <c r="H52" s="406">
        <v>10000</v>
      </c>
      <c r="I52" s="406"/>
      <c r="J52" s="406">
        <v>-10000</v>
      </c>
      <c r="K52" s="406">
        <v>10000</v>
      </c>
      <c r="L52" s="406" t="str">
        <f>'Indicator sheet_(IS)'!O37</f>
        <v>n.d.</v>
      </c>
      <c r="M52" s="407">
        <f>IF('Indicator sheet_(IS)'!P35=Berechnung1!$H$5,5,IF('Indicator sheet_(IS)'!P35=Berechnung1!$G$5,1,IF('Indicator sheet_(IS)'!P35=Berechnung1!$F$5,1,IF('Indicator sheet_(IS)'!P35=Berechnung1!$E$5,2,IF('Indicator sheet_(IS)'!P35=Berechnung1!$D$5,3,IF('Indicator sheet_(IS)'!P35=Berechnung1!$C$5,4,""))))))</f>
        <v>1</v>
      </c>
      <c r="N52" s="407">
        <f t="shared" si="2"/>
        <v>1</v>
      </c>
      <c r="O52" s="407">
        <f>IF('Indicator sheet_(IS)'!R35="",0,1)</f>
        <v>0</v>
      </c>
      <c r="U52" s="355"/>
    </row>
    <row r="53" spans="1:21" s="344" customFormat="1" x14ac:dyDescent="0.25">
      <c r="A53" s="16"/>
      <c r="C53" s="147"/>
      <c r="D53" s="94"/>
      <c r="E53" s="351"/>
      <c r="F53" s="351"/>
      <c r="G53" s="351"/>
      <c r="H53" s="351"/>
      <c r="I53" s="351"/>
      <c r="J53" s="351"/>
      <c r="K53" s="351"/>
      <c r="L53" s="351"/>
      <c r="M53" s="351"/>
      <c r="N53" s="351"/>
      <c r="O53" s="352"/>
      <c r="U53" s="355"/>
    </row>
    <row r="54" spans="1:21" s="344" customFormat="1" x14ac:dyDescent="0.25">
      <c r="A54" s="16"/>
      <c r="C54" s="147"/>
      <c r="D54" s="94"/>
      <c r="E54" s="351"/>
      <c r="F54" s="351"/>
      <c r="G54" s="351"/>
      <c r="H54" s="351"/>
      <c r="I54" s="351"/>
      <c r="J54" s="351"/>
      <c r="K54" s="351"/>
      <c r="L54" s="351"/>
      <c r="M54" s="351"/>
      <c r="N54" s="351"/>
      <c r="O54" s="352"/>
      <c r="U54" s="355"/>
    </row>
    <row r="55" spans="1:21" s="344" customFormat="1" x14ac:dyDescent="0.25">
      <c r="A55" s="16"/>
      <c r="B55" s="35" t="s">
        <v>428</v>
      </c>
      <c r="C55" s="416" t="s">
        <v>422</v>
      </c>
      <c r="D55" s="416" t="s">
        <v>76</v>
      </c>
      <c r="E55" s="417">
        <v>0</v>
      </c>
      <c r="F55" s="417">
        <v>1</v>
      </c>
      <c r="G55" s="417">
        <v>0.5</v>
      </c>
      <c r="H55" s="417">
        <v>10000</v>
      </c>
      <c r="I55" s="417"/>
      <c r="J55" s="417">
        <v>-10000</v>
      </c>
      <c r="K55" s="417">
        <v>10000</v>
      </c>
      <c r="L55" s="417" t="str">
        <f>'Indicator sheet_(IS)'!O40</f>
        <v>n.d.</v>
      </c>
      <c r="M55" s="419">
        <f>IF('Indicator sheet_(IS)'!P38=Berechnung1!$H$5,5,IF('Indicator sheet_(IS)'!P38=Berechnung1!$G$5,1,IF('Indicator sheet_(IS)'!P38=Berechnung1!$F$5,1,IF('Indicator sheet_(IS)'!P38=Berechnung1!$E$5,2,IF('Indicator sheet_(IS)'!P38=Berechnung1!$D$5,3,IF('Indicator sheet_(IS)'!P38=Berechnung1!$C$5,4,""))))))</f>
        <v>1</v>
      </c>
      <c r="N55" s="418">
        <f t="shared" si="2"/>
        <v>1</v>
      </c>
      <c r="O55" s="418">
        <f>IF('Indicator sheet_(IS)'!R38="",0,1)</f>
        <v>0</v>
      </c>
      <c r="U55" s="355"/>
    </row>
    <row r="56" spans="1:21" s="344" customFormat="1" x14ac:dyDescent="0.25">
      <c r="A56" s="16"/>
      <c r="C56" s="147"/>
      <c r="D56" s="94"/>
      <c r="E56" s="351"/>
      <c r="F56" s="351"/>
      <c r="G56" s="351"/>
      <c r="H56" s="351"/>
      <c r="I56" s="351"/>
      <c r="J56" s="351"/>
      <c r="K56" s="351"/>
      <c r="L56" s="351"/>
      <c r="M56" s="351"/>
      <c r="N56" s="351"/>
      <c r="O56" s="352"/>
      <c r="U56" s="355"/>
    </row>
    <row r="57" spans="1:21" s="344" customFormat="1" x14ac:dyDescent="0.25">
      <c r="A57" s="16"/>
      <c r="C57" s="147"/>
      <c r="D57" s="94"/>
      <c r="E57" s="351"/>
      <c r="F57" s="351"/>
      <c r="G57" s="351"/>
      <c r="H57" s="351"/>
      <c r="I57" s="351"/>
      <c r="J57" s="351"/>
      <c r="K57" s="351"/>
      <c r="L57" s="351"/>
      <c r="M57" s="351"/>
      <c r="N57" s="351"/>
      <c r="O57" s="352"/>
      <c r="U57" s="355"/>
    </row>
    <row r="58" spans="1:21" s="344" customFormat="1" x14ac:dyDescent="0.25">
      <c r="A58" s="16"/>
      <c r="B58" s="35"/>
      <c r="C58" s="405">
        <v>11</v>
      </c>
      <c r="D58" s="405" t="s">
        <v>76</v>
      </c>
      <c r="E58" s="406">
        <v>0</v>
      </c>
      <c r="F58" s="406">
        <v>1</v>
      </c>
      <c r="G58" s="406">
        <v>-10000</v>
      </c>
      <c r="H58" s="406">
        <v>0.01</v>
      </c>
      <c r="I58" s="406"/>
      <c r="J58" s="409">
        <v>1E-4</v>
      </c>
      <c r="K58" s="406">
        <v>10000</v>
      </c>
      <c r="L58" s="406" t="str">
        <f>'Indicator sheet_(IS)'!O43</f>
        <v>n.d.</v>
      </c>
      <c r="M58" s="407">
        <f>IF('Indicator sheet_(IS)'!P41=Berechnung1!$G$5,1,IF('Indicator sheet_(IS)'!P41=Berechnung1!$F$5,1,IF('Indicator sheet_(IS)'!P41=Berechnung1!$E$5,2,IF('Indicator sheet_(IS)'!P41=Berechnung1!$D$5,3,IF('Indicator sheet_(IS)'!P41=Berechnung1!$C$5,4,"")))))</f>
        <v>1</v>
      </c>
      <c r="N58" s="407">
        <f t="shared" si="2"/>
        <v>1</v>
      </c>
      <c r="O58" s="407">
        <f>IF('Indicator sheet_(IS)'!R41="",0,1)</f>
        <v>0</v>
      </c>
    </row>
    <row r="59" spans="1:21" s="344" customFormat="1" x14ac:dyDescent="0.25">
      <c r="A59" s="16"/>
      <c r="C59" s="147"/>
      <c r="D59" s="94"/>
      <c r="E59" s="351"/>
      <c r="F59" s="351"/>
      <c r="G59" s="351"/>
      <c r="H59" s="351"/>
      <c r="I59" s="351"/>
      <c r="J59" s="351"/>
      <c r="K59" s="351"/>
      <c r="L59" s="351"/>
      <c r="M59" s="351"/>
      <c r="N59" s="351"/>
      <c r="O59" s="352"/>
    </row>
    <row r="60" spans="1:21" s="344" customFormat="1" x14ac:dyDescent="0.25">
      <c r="A60" s="16"/>
      <c r="C60" s="147"/>
      <c r="D60" s="94"/>
      <c r="E60" s="351"/>
      <c r="F60" s="351"/>
      <c r="G60" s="351"/>
      <c r="H60" s="351"/>
      <c r="I60" s="351"/>
      <c r="J60" s="351"/>
      <c r="K60" s="351"/>
      <c r="L60" s="351"/>
      <c r="M60" s="351"/>
      <c r="N60" s="351"/>
      <c r="O60" s="352"/>
    </row>
    <row r="61" spans="1:21" s="344" customFormat="1" x14ac:dyDescent="0.25">
      <c r="A61" s="16"/>
      <c r="B61" s="35" t="s">
        <v>428</v>
      </c>
      <c r="C61" s="416">
        <v>12</v>
      </c>
      <c r="D61" s="416" t="s">
        <v>76</v>
      </c>
      <c r="E61" s="417">
        <v>0</v>
      </c>
      <c r="F61" s="417">
        <v>1</v>
      </c>
      <c r="G61" s="417">
        <v>0.9</v>
      </c>
      <c r="H61" s="417">
        <v>10000</v>
      </c>
      <c r="I61" s="417"/>
      <c r="J61" s="417">
        <v>-10000</v>
      </c>
      <c r="K61" s="417">
        <v>10000</v>
      </c>
      <c r="L61" s="417" t="str">
        <f>'Indicator sheet_(IS)'!O46</f>
        <v>n.d.</v>
      </c>
      <c r="M61" s="418">
        <f>IF('Indicator sheet_(IS)'!P44=Berechnung1!$H$5,5,IF('Indicator sheet_(IS)'!P44=Berechnung1!$G$5,1,IF('Indicator sheet_(IS)'!P44=Berechnung1!$F$5,1,IF('Indicator sheet_(IS)'!P44=Berechnung1!$E$5,2,IF('Indicator sheet_(IS)'!P44=Berechnung1!$D$5,3,IF('Indicator sheet_(IS)'!P44=Berechnung1!$C$5,4,""))))))</f>
        <v>1</v>
      </c>
      <c r="N61" s="418">
        <f t="shared" si="2"/>
        <v>1</v>
      </c>
      <c r="O61" s="418">
        <f>IF('Indicator sheet_(IS)'!R44="",0,1)</f>
        <v>0</v>
      </c>
    </row>
    <row r="62" spans="1:21" s="344" customFormat="1" x14ac:dyDescent="0.25">
      <c r="A62" s="16"/>
      <c r="C62" s="147"/>
      <c r="D62" s="94"/>
      <c r="E62" s="351"/>
      <c r="F62" s="351"/>
      <c r="G62" s="351"/>
      <c r="H62" s="351"/>
      <c r="I62" s="351"/>
      <c r="J62" s="351"/>
      <c r="K62" s="351"/>
      <c r="L62" s="351"/>
      <c r="M62" s="351"/>
      <c r="N62" s="351"/>
      <c r="O62" s="352"/>
    </row>
    <row r="63" spans="1:21" s="344" customFormat="1" x14ac:dyDescent="0.25">
      <c r="A63" s="16"/>
      <c r="C63" s="147"/>
      <c r="D63" s="94"/>
      <c r="E63" s="351"/>
      <c r="F63" s="351"/>
      <c r="G63" s="351"/>
      <c r="H63" s="351"/>
      <c r="I63" s="351"/>
      <c r="J63" s="351"/>
      <c r="K63" s="351"/>
      <c r="L63" s="351"/>
      <c r="M63" s="351"/>
      <c r="N63" s="351"/>
      <c r="O63" s="352"/>
    </row>
    <row r="64" spans="1:21" s="344" customFormat="1" x14ac:dyDescent="0.25">
      <c r="A64" s="16"/>
      <c r="C64" s="405">
        <v>13</v>
      </c>
      <c r="D64" s="405">
        <v>0</v>
      </c>
      <c r="E64" s="406">
        <v>0</v>
      </c>
      <c r="F64" s="406">
        <v>1000000000000</v>
      </c>
      <c r="G64" s="408">
        <v>30</v>
      </c>
      <c r="H64" s="406">
        <v>1000000000000000</v>
      </c>
      <c r="I64" s="406"/>
      <c r="J64" s="406">
        <v>-10000</v>
      </c>
      <c r="K64" s="406">
        <v>1000000000000</v>
      </c>
      <c r="L64" s="407">
        <f>'Indicator sheet_(IS)'!O47</f>
        <v>0</v>
      </c>
      <c r="M64" s="407">
        <f>IF('Indicator sheet_(IS)'!P47=Berechnung1!$G$5,1,IF('Indicator sheet_(IS)'!P47=Berechnung1!$F$5,1,IF('Indicator sheet_(IS)'!P47=Berechnung1!$E$5,2,IF('Indicator sheet_(IS)'!P47=Berechnung1!$D$5,3,IF('Indicator sheet_(IS)'!P47=Berechnung1!$C$5,4,"")))))</f>
        <v>1</v>
      </c>
      <c r="N64" s="407">
        <f t="shared" si="2"/>
        <v>1</v>
      </c>
      <c r="O64" s="407">
        <f>IF('Indicator sheet_(IS)'!R47="",0,1)</f>
        <v>0</v>
      </c>
    </row>
    <row r="65" spans="1:15" s="344" customFormat="1" x14ac:dyDescent="0.25">
      <c r="A65" s="16"/>
      <c r="C65" s="147"/>
      <c r="D65" s="94"/>
      <c r="E65" s="351"/>
      <c r="F65" s="351"/>
      <c r="G65" s="351"/>
      <c r="H65" s="351"/>
      <c r="I65" s="351"/>
      <c r="J65" s="351"/>
      <c r="K65" s="351"/>
      <c r="L65" s="351"/>
      <c r="M65" s="351"/>
      <c r="N65" s="351"/>
      <c r="O65" s="352"/>
    </row>
    <row r="66" spans="1:15" s="344" customFormat="1" x14ac:dyDescent="0.25">
      <c r="A66" s="16"/>
      <c r="C66" s="147"/>
      <c r="D66" s="94"/>
      <c r="E66" s="351"/>
      <c r="F66" s="351"/>
      <c r="G66" s="351"/>
      <c r="H66" s="351"/>
      <c r="I66" s="351"/>
      <c r="J66" s="351"/>
      <c r="K66" s="351"/>
      <c r="L66" s="351"/>
      <c r="M66" s="351"/>
      <c r="N66" s="351"/>
      <c r="O66" s="352"/>
    </row>
    <row r="67" spans="1:15" s="344" customFormat="1" x14ac:dyDescent="0.25">
      <c r="A67" s="16"/>
      <c r="C67" s="405">
        <v>14</v>
      </c>
      <c r="D67" s="405">
        <v>0</v>
      </c>
      <c r="E67" s="406">
        <v>0</v>
      </c>
      <c r="F67" s="406">
        <v>1000000000000</v>
      </c>
      <c r="G67" s="408">
        <v>20</v>
      </c>
      <c r="H67" s="406">
        <v>1000000000000</v>
      </c>
      <c r="I67" s="406"/>
      <c r="J67" s="406">
        <v>-10000</v>
      </c>
      <c r="K67" s="406">
        <v>1000000000000</v>
      </c>
      <c r="L67" s="407">
        <f>'Indicator sheet_(IS)'!O50</f>
        <v>0</v>
      </c>
      <c r="M67" s="407">
        <f>IF('Indicator sheet_(IS)'!P50=Berechnung1!$G$5,1,IF('Indicator sheet_(IS)'!P50=Berechnung1!$F$5,1,IF('Indicator sheet_(IS)'!P50=Berechnung1!$E$5,2,IF('Indicator sheet_(IS)'!P50=Berechnung1!$D$5,3,IF('Indicator sheet_(IS)'!P50=Berechnung1!$C$5,4,"")))))</f>
        <v>1</v>
      </c>
      <c r="N67" s="407">
        <f t="shared" si="2"/>
        <v>1</v>
      </c>
      <c r="O67" s="407">
        <f>IF('Indicator sheet_(IS)'!R50="",0,1)</f>
        <v>0</v>
      </c>
    </row>
    <row r="68" spans="1:15" s="344" customFormat="1" x14ac:dyDescent="0.25">
      <c r="A68" s="16"/>
      <c r="C68" s="147"/>
      <c r="D68" s="94"/>
      <c r="E68" s="351"/>
      <c r="F68" s="351"/>
      <c r="G68" s="351"/>
      <c r="H68" s="351"/>
      <c r="I68" s="351"/>
      <c r="J68" s="351"/>
      <c r="K68" s="351"/>
      <c r="L68" s="351"/>
      <c r="M68" s="351"/>
      <c r="N68" s="351"/>
      <c r="O68" s="352"/>
    </row>
    <row r="69" spans="1:15" s="344" customFormat="1" x14ac:dyDescent="0.25">
      <c r="A69" s="16"/>
      <c r="C69" s="147"/>
      <c r="D69" s="94"/>
      <c r="E69" s="351"/>
      <c r="F69" s="351"/>
      <c r="G69" s="351"/>
      <c r="H69" s="351"/>
      <c r="I69" s="351"/>
      <c r="J69" s="351"/>
      <c r="K69" s="351"/>
      <c r="L69" s="351"/>
      <c r="M69" s="351"/>
      <c r="N69" s="351"/>
      <c r="O69" s="352"/>
    </row>
    <row r="70" spans="1:15" s="344" customFormat="1" x14ac:dyDescent="0.25">
      <c r="A70" s="16"/>
      <c r="C70" s="405">
        <v>15</v>
      </c>
      <c r="D70" s="405" t="s">
        <v>76</v>
      </c>
      <c r="E70" s="406">
        <v>0</v>
      </c>
      <c r="F70" s="406">
        <v>1</v>
      </c>
      <c r="G70" s="406">
        <v>-10000</v>
      </c>
      <c r="H70" s="406">
        <v>0.15</v>
      </c>
      <c r="I70" s="406"/>
      <c r="J70" s="409">
        <v>1E-4</v>
      </c>
      <c r="K70" s="406">
        <v>0.1</v>
      </c>
      <c r="L70" s="406" t="str">
        <f>'Indicator sheet_(IS)'!O55</f>
        <v>n.d.</v>
      </c>
      <c r="M70" s="407">
        <f>IF('Indicator sheet_(IS)'!P53=Berechnung1!$G$5,1,IF('Indicator sheet_(IS)'!P53=Berechnung1!$F$5,1,IF('Indicator sheet_(IS)'!P53=Berechnung1!$E$5,2,IF('Indicator sheet_(IS)'!P53=Berechnung1!$D$5,3,IF('Indicator sheet_(IS)'!P53=Berechnung1!$C$5,4,"")))))</f>
        <v>1</v>
      </c>
      <c r="N70" s="407">
        <f t="shared" si="2"/>
        <v>1</v>
      </c>
      <c r="O70" s="407">
        <f>IF('Indicator sheet_(IS)'!R53="",0,1)</f>
        <v>0</v>
      </c>
    </row>
    <row r="71" spans="1:15" s="344" customFormat="1" x14ac:dyDescent="0.25">
      <c r="A71" s="16"/>
      <c r="C71" s="353"/>
      <c r="D71" s="94"/>
      <c r="E71" s="351"/>
      <c r="F71" s="351"/>
      <c r="G71" s="351"/>
      <c r="H71" s="351"/>
      <c r="I71" s="351"/>
      <c r="J71" s="351"/>
      <c r="K71" s="351"/>
      <c r="L71" s="351"/>
      <c r="M71" s="351"/>
      <c r="N71" s="351"/>
      <c r="O71" s="352"/>
    </row>
    <row r="72" spans="1:15" s="344" customFormat="1" x14ac:dyDescent="0.25">
      <c r="A72" s="16"/>
      <c r="C72" s="147"/>
      <c r="D72" s="94"/>
      <c r="E72" s="351"/>
      <c r="F72" s="351"/>
      <c r="G72" s="351"/>
      <c r="H72" s="351"/>
      <c r="I72" s="351"/>
      <c r="J72" s="351"/>
      <c r="K72" s="351"/>
      <c r="L72" s="351"/>
      <c r="M72" s="351"/>
      <c r="N72" s="351"/>
      <c r="O72" s="352"/>
    </row>
    <row r="73" spans="1:15" s="344" customFormat="1" x14ac:dyDescent="0.25">
      <c r="A73" s="16"/>
      <c r="C73" s="405">
        <v>16</v>
      </c>
      <c r="D73" s="405" t="s">
        <v>76</v>
      </c>
      <c r="E73" s="406">
        <v>0</v>
      </c>
      <c r="F73" s="406">
        <v>1</v>
      </c>
      <c r="G73" s="406">
        <v>-10000</v>
      </c>
      <c r="H73" s="406">
        <v>0.15</v>
      </c>
      <c r="I73" s="406"/>
      <c r="J73" s="409">
        <v>1E-4</v>
      </c>
      <c r="K73" s="406">
        <v>0.1</v>
      </c>
      <c r="L73" s="406" t="str">
        <f>'Indicator sheet_(IS)'!O58</f>
        <v>n.d.</v>
      </c>
      <c r="M73" s="407">
        <f>IF('Indicator sheet_(IS)'!P56=Berechnung1!$G$5,1,IF('Indicator sheet_(IS)'!P56=Berechnung1!$F$5,1,IF('Indicator sheet_(IS)'!P56=Berechnung1!$E$5,2,IF('Indicator sheet_(IS)'!P56=Berechnung1!$D$5,3,IF('Indicator sheet_(IS)'!P56=Berechnung1!$C$5,4,"")))))</f>
        <v>1</v>
      </c>
      <c r="N73" s="407">
        <f t="shared" si="2"/>
        <v>1</v>
      </c>
      <c r="O73" s="407">
        <f>IF('Indicator sheet_(IS)'!R56="",0,1)</f>
        <v>0</v>
      </c>
    </row>
    <row r="74" spans="1:15" s="344" customFormat="1" x14ac:dyDescent="0.25">
      <c r="A74" s="16"/>
      <c r="C74" s="147"/>
      <c r="D74" s="94"/>
      <c r="E74" s="351"/>
      <c r="F74" s="351"/>
      <c r="G74" s="351"/>
      <c r="H74" s="351"/>
      <c r="I74" s="351"/>
      <c r="J74" s="351"/>
      <c r="K74" s="351"/>
      <c r="L74" s="351"/>
      <c r="M74" s="351"/>
      <c r="N74" s="351"/>
      <c r="O74" s="352"/>
    </row>
    <row r="75" spans="1:15" s="344" customFormat="1" x14ac:dyDescent="0.25">
      <c r="A75" s="16"/>
      <c r="C75" s="147"/>
      <c r="D75" s="94"/>
      <c r="E75" s="351"/>
      <c r="F75" s="351"/>
      <c r="G75" s="351"/>
      <c r="H75" s="351"/>
      <c r="I75" s="351"/>
      <c r="J75" s="351"/>
      <c r="K75" s="351"/>
      <c r="L75" s="351"/>
      <c r="M75" s="351"/>
      <c r="N75" s="351"/>
      <c r="O75" s="352"/>
    </row>
    <row r="76" spans="1:15" s="344" customFormat="1" x14ac:dyDescent="0.25">
      <c r="A76" s="16"/>
      <c r="C76" s="405">
        <v>17</v>
      </c>
      <c r="D76" s="405" t="s">
        <v>76</v>
      </c>
      <c r="E76" s="406">
        <v>0</v>
      </c>
      <c r="F76" s="406">
        <v>1</v>
      </c>
      <c r="G76" s="406">
        <v>-10000</v>
      </c>
      <c r="H76" s="406">
        <v>0.06</v>
      </c>
      <c r="I76" s="406"/>
      <c r="J76" s="409">
        <v>1E-4</v>
      </c>
      <c r="K76" s="406">
        <v>10000</v>
      </c>
      <c r="L76" s="406" t="str">
        <f>'Indicator sheet_(IS)'!O61</f>
        <v>n.d.</v>
      </c>
      <c r="M76" s="407">
        <f>IF('Indicator sheet_(IS)'!P59=Berechnung1!$G$5,1,IF('Indicator sheet_(IS)'!P59=Berechnung1!$F$5,1,IF('Indicator sheet_(IS)'!P59=Berechnung1!$E$5,2,IF('Indicator sheet_(IS)'!P59=Berechnung1!$D$5,3,IF('Indicator sheet_(IS)'!P59=Berechnung1!$C$5,4,"")))))</f>
        <v>1</v>
      </c>
      <c r="N76" s="407">
        <f t="shared" si="2"/>
        <v>1</v>
      </c>
      <c r="O76" s="407">
        <f>IF('Indicator sheet_(IS)'!R59="",0,1)</f>
        <v>0</v>
      </c>
    </row>
    <row r="77" spans="1:15" s="344" customFormat="1" x14ac:dyDescent="0.25">
      <c r="A77" s="16"/>
      <c r="C77" s="147"/>
      <c r="D77" s="94"/>
      <c r="E77" s="351"/>
      <c r="F77" s="351"/>
      <c r="G77" s="351"/>
      <c r="H77" s="351"/>
      <c r="I77" s="351"/>
      <c r="J77" s="351"/>
      <c r="K77" s="351"/>
      <c r="L77" s="351"/>
      <c r="M77" s="351"/>
      <c r="N77" s="351"/>
      <c r="O77" s="352"/>
    </row>
    <row r="78" spans="1:15" s="344" customFormat="1" x14ac:dyDescent="0.25">
      <c r="A78" s="16"/>
      <c r="C78" s="147"/>
      <c r="D78" s="94"/>
      <c r="E78" s="351"/>
      <c r="F78" s="351"/>
      <c r="G78" s="351"/>
      <c r="H78" s="351"/>
      <c r="I78" s="351"/>
      <c r="J78" s="351"/>
      <c r="K78" s="351"/>
      <c r="L78" s="351"/>
      <c r="M78" s="351"/>
      <c r="N78" s="351"/>
      <c r="O78" s="352"/>
    </row>
    <row r="79" spans="1:15" s="344" customFormat="1" x14ac:dyDescent="0.25">
      <c r="A79" s="16"/>
      <c r="C79" s="405">
        <v>18</v>
      </c>
      <c r="D79" s="405" t="s">
        <v>76</v>
      </c>
      <c r="E79" s="406">
        <v>0</v>
      </c>
      <c r="F79" s="406">
        <v>1</v>
      </c>
      <c r="G79" s="406">
        <v>-10000</v>
      </c>
      <c r="H79" s="406">
        <v>0.15</v>
      </c>
      <c r="I79" s="406"/>
      <c r="J79" s="409">
        <v>1E-4</v>
      </c>
      <c r="K79" s="406">
        <v>10000</v>
      </c>
      <c r="L79" s="406" t="str">
        <f>'Indicator sheet_(IS)'!O64</f>
        <v>n.d.</v>
      </c>
      <c r="M79" s="407">
        <f>IF('Indicator sheet_(IS)'!P62=Berechnung1!$G$5,1,IF('Indicator sheet_(IS)'!P62=Berechnung1!$F$5,1,IF('Indicator sheet_(IS)'!P62=Berechnung1!$E$5,2,IF('Indicator sheet_(IS)'!P62=Berechnung1!$D$5,3,IF('Indicator sheet_(IS)'!P62=Berechnung1!$C$5,4,"")))))</f>
        <v>1</v>
      </c>
      <c r="N79" s="407">
        <f t="shared" si="2"/>
        <v>1</v>
      </c>
      <c r="O79" s="407">
        <f>IF('Indicator sheet_(IS)'!R62="",0,1)</f>
        <v>0</v>
      </c>
    </row>
    <row r="80" spans="1:15" s="344" customFormat="1" x14ac:dyDescent="0.25">
      <c r="A80" s="16"/>
      <c r="C80" s="147"/>
      <c r="D80" s="94"/>
      <c r="E80" s="351"/>
      <c r="F80" s="351"/>
      <c r="G80" s="351"/>
      <c r="H80" s="351"/>
      <c r="I80" s="351"/>
      <c r="J80" s="351"/>
      <c r="K80" s="351"/>
      <c r="L80" s="351"/>
      <c r="M80" s="351"/>
      <c r="N80" s="351"/>
      <c r="O80" s="352"/>
    </row>
    <row r="81" spans="1:15" s="344" customFormat="1" x14ac:dyDescent="0.25">
      <c r="A81" s="16"/>
      <c r="C81" s="147"/>
      <c r="D81" s="94"/>
      <c r="E81" s="351"/>
      <c r="F81" s="351"/>
      <c r="G81" s="351"/>
      <c r="H81" s="351"/>
      <c r="I81" s="351"/>
      <c r="J81" s="351"/>
      <c r="K81" s="351"/>
      <c r="L81" s="351"/>
      <c r="M81" s="351"/>
      <c r="N81" s="351"/>
      <c r="O81" s="352"/>
    </row>
    <row r="82" spans="1:15" s="344" customFormat="1" x14ac:dyDescent="0.25">
      <c r="A82" s="16"/>
      <c r="C82" s="405">
        <v>19</v>
      </c>
      <c r="D82" s="405" t="s">
        <v>76</v>
      </c>
      <c r="E82" s="406">
        <v>0</v>
      </c>
      <c r="F82" s="406">
        <v>1</v>
      </c>
      <c r="G82" s="406">
        <v>-10000</v>
      </c>
      <c r="H82" s="406">
        <v>0.05</v>
      </c>
      <c r="I82" s="406"/>
      <c r="J82" s="409">
        <v>1E-4</v>
      </c>
      <c r="K82" s="406">
        <v>10000</v>
      </c>
      <c r="L82" s="406" t="str">
        <f>'Indicator sheet_(IS)'!O67</f>
        <v>n.d.</v>
      </c>
      <c r="M82" s="407">
        <f>IF('Indicator sheet_(IS)'!P65=Berechnung1!$G$5,1,IF('Indicator sheet_(IS)'!P65=Berechnung1!$F$5,1,IF('Indicator sheet_(IS)'!P65=Berechnung1!$E$5,2,IF('Indicator sheet_(IS)'!P65=Berechnung1!$D$5,3,IF('Indicator sheet_(IS)'!P65=Berechnung1!$C$5,4,"")))))</f>
        <v>1</v>
      </c>
      <c r="N82" s="407">
        <f t="shared" si="2"/>
        <v>1</v>
      </c>
      <c r="O82" s="407">
        <f>IF('Indicator sheet_(IS)'!R65="",0,1)</f>
        <v>0</v>
      </c>
    </row>
    <row r="83" spans="1:15" s="344" customFormat="1" x14ac:dyDescent="0.25">
      <c r="A83" s="16"/>
      <c r="C83" s="147"/>
      <c r="D83" s="94"/>
      <c r="E83" s="351"/>
      <c r="F83" s="351"/>
      <c r="G83" s="351"/>
      <c r="H83" s="351"/>
      <c r="I83" s="351"/>
      <c r="J83" s="351"/>
      <c r="K83" s="351"/>
      <c r="L83" s="351"/>
      <c r="M83" s="351"/>
      <c r="N83" s="351"/>
      <c r="O83" s="352"/>
    </row>
    <row r="84" spans="1:15" s="344" customFormat="1" x14ac:dyDescent="0.25">
      <c r="A84" s="16"/>
      <c r="C84" s="147"/>
      <c r="D84" s="94"/>
      <c r="E84" s="351"/>
      <c r="F84" s="351"/>
      <c r="G84" s="351"/>
      <c r="H84" s="351"/>
      <c r="I84" s="351"/>
      <c r="J84" s="351"/>
      <c r="K84" s="351"/>
      <c r="L84" s="351"/>
      <c r="M84" s="351"/>
      <c r="N84" s="351"/>
      <c r="O84" s="352"/>
    </row>
    <row r="85" spans="1:15" s="344" customFormat="1" x14ac:dyDescent="0.25">
      <c r="A85" s="16"/>
      <c r="C85" s="405">
        <v>20</v>
      </c>
      <c r="D85" s="405" t="s">
        <v>76</v>
      </c>
      <c r="E85" s="406">
        <v>0</v>
      </c>
      <c r="F85" s="406">
        <v>1</v>
      </c>
      <c r="G85" s="406">
        <v>0.9</v>
      </c>
      <c r="H85" s="406">
        <v>10000</v>
      </c>
      <c r="I85" s="406"/>
      <c r="J85" s="406">
        <v>-10000</v>
      </c>
      <c r="K85" s="406">
        <v>10000</v>
      </c>
      <c r="L85" s="406" t="str">
        <f>'Indicator sheet_(IS)'!O70</f>
        <v>n.d.</v>
      </c>
      <c r="M85" s="407">
        <f>IF('Indicator sheet_(IS)'!P68=Berechnung1!$G$5,1,IF('Indicator sheet_(IS)'!P68=Berechnung1!$F$5,1,IF('Indicator sheet_(IS)'!P68=Berechnung1!$E$5,2,IF('Indicator sheet_(IS)'!P68=Berechnung1!$D$5,3,IF('Indicator sheet_(IS)'!P68=Berechnung1!$C$5,4,"")))))</f>
        <v>1</v>
      </c>
      <c r="N85" s="407">
        <f t="shared" si="2"/>
        <v>1</v>
      </c>
      <c r="O85" s="407">
        <f>IF('Indicator sheet_(IS)'!R68="",0,1)</f>
        <v>0</v>
      </c>
    </row>
    <row r="86" spans="1:15" s="344" customFormat="1" x14ac:dyDescent="0.25">
      <c r="A86" s="16"/>
      <c r="C86" s="147"/>
      <c r="D86" s="353"/>
      <c r="E86" s="353"/>
      <c r="F86" s="353"/>
      <c r="G86" s="353"/>
      <c r="H86" s="353"/>
      <c r="I86" s="353"/>
      <c r="J86" s="353"/>
      <c r="K86" s="353"/>
      <c r="L86" s="353"/>
      <c r="M86" s="353"/>
      <c r="N86" s="353"/>
      <c r="O86" s="353"/>
    </row>
    <row r="87" spans="1:15" s="344" customFormat="1" x14ac:dyDescent="0.25">
      <c r="A87" s="16"/>
      <c r="C87" s="147"/>
      <c r="D87" s="94"/>
      <c r="E87" s="351"/>
      <c r="F87" s="351"/>
      <c r="G87" s="351"/>
      <c r="H87" s="351"/>
      <c r="I87" s="351"/>
      <c r="J87" s="351"/>
      <c r="K87" s="351"/>
      <c r="L87" s="351"/>
      <c r="M87" s="351"/>
      <c r="N87" s="351"/>
      <c r="O87" s="352"/>
    </row>
    <row r="88" spans="1:15" s="344" customFormat="1" x14ac:dyDescent="0.25">
      <c r="A88" s="16"/>
      <c r="C88" s="405">
        <v>21</v>
      </c>
      <c r="D88" s="405" t="s">
        <v>76</v>
      </c>
      <c r="E88" s="406">
        <v>0</v>
      </c>
      <c r="F88" s="406">
        <v>1</v>
      </c>
      <c r="G88" s="406">
        <v>0.9</v>
      </c>
      <c r="H88" s="406">
        <v>10000</v>
      </c>
      <c r="I88" s="406"/>
      <c r="J88" s="406">
        <v>-10000</v>
      </c>
      <c r="K88" s="406">
        <v>10000</v>
      </c>
      <c r="L88" s="406" t="str">
        <f>'Indicator sheet_(IS)'!O73</f>
        <v>n.d.</v>
      </c>
      <c r="M88" s="407">
        <f>IF('Indicator sheet_(IS)'!P71=Berechnung1!$G$5,1,IF('Indicator sheet_(IS)'!P71=Berechnung1!$F$5,1,IF('Indicator sheet_(IS)'!P71=Berechnung1!$E$5,2,IF('Indicator sheet_(IS)'!P71=Berechnung1!$D$5,3,IF('Indicator sheet_(IS)'!P71=Berechnung1!$C$5,4,"")))))</f>
        <v>1</v>
      </c>
      <c r="N88" s="407">
        <f t="shared" ref="N88:N115" si="3">IF(M88&gt;1,M88+3,M88)</f>
        <v>1</v>
      </c>
      <c r="O88" s="407">
        <f>IF('Indicator sheet_(IS)'!R71="",0,1)</f>
        <v>0</v>
      </c>
    </row>
    <row r="89" spans="1:15" s="344" customFormat="1" x14ac:dyDescent="0.25">
      <c r="A89" s="16"/>
      <c r="C89" s="147"/>
      <c r="D89" s="94"/>
      <c r="E89" s="351"/>
      <c r="F89" s="351"/>
      <c r="G89" s="351"/>
      <c r="H89" s="351"/>
      <c r="I89" s="351"/>
      <c r="J89" s="351"/>
      <c r="K89" s="351"/>
      <c r="L89" s="351"/>
      <c r="M89" s="351"/>
      <c r="N89" s="351"/>
      <c r="O89" s="352"/>
    </row>
    <row r="90" spans="1:15" s="344" customFormat="1" x14ac:dyDescent="0.25">
      <c r="A90" s="16"/>
      <c r="C90" s="147"/>
      <c r="D90" s="94"/>
      <c r="E90" s="351"/>
      <c r="F90" s="351"/>
      <c r="G90" s="351"/>
      <c r="H90" s="351"/>
      <c r="I90" s="351"/>
      <c r="J90" s="351"/>
      <c r="K90" s="351"/>
      <c r="L90" s="351"/>
      <c r="M90" s="351"/>
      <c r="N90" s="351"/>
      <c r="O90" s="352"/>
    </row>
    <row r="91" spans="1:15" s="344" customFormat="1" x14ac:dyDescent="0.25">
      <c r="A91" s="16"/>
      <c r="B91" s="35" t="s">
        <v>428</v>
      </c>
      <c r="C91" s="416" t="s">
        <v>829</v>
      </c>
      <c r="D91" s="416" t="s">
        <v>76</v>
      </c>
      <c r="E91" s="417">
        <v>0</v>
      </c>
      <c r="F91" s="417">
        <v>1</v>
      </c>
      <c r="G91" s="417">
        <v>-10000</v>
      </c>
      <c r="H91" s="417">
        <v>10000</v>
      </c>
      <c r="I91" s="417"/>
      <c r="J91" s="417">
        <v>0.2</v>
      </c>
      <c r="K91" s="417">
        <v>10000</v>
      </c>
      <c r="L91" s="417" t="str">
        <f>'Indicator sheet_(IS)'!O76</f>
        <v>n.d.</v>
      </c>
      <c r="M91" s="418">
        <f>IF('Indicator sheet_(IS)'!P74=Berechnung1!$H$5,5,IF('Indicator sheet_(IS)'!P74=Berechnung1!$G$5,1,IF('Indicator sheet_(IS)'!P74=Berechnung1!$F$5,1,IF('Indicator sheet_(IS)'!P74=Berechnung1!$E$5,2,IF('Indicator sheet_(IS)'!P74=Berechnung1!$D$5,3,IF('Indicator sheet_(IS)'!P74=Berechnung1!$C$5,4,""))))))</f>
        <v>1</v>
      </c>
      <c r="N91" s="418">
        <f t="shared" si="3"/>
        <v>1</v>
      </c>
      <c r="O91" s="418">
        <f>IF('Indicator sheet_(IS)'!R74="",0,1)</f>
        <v>0</v>
      </c>
    </row>
    <row r="92" spans="1:15" s="344" customFormat="1" x14ac:dyDescent="0.25">
      <c r="A92" s="16"/>
      <c r="C92" s="147"/>
      <c r="D92" s="94"/>
      <c r="E92" s="351"/>
      <c r="F92" s="351"/>
      <c r="G92" s="351"/>
      <c r="H92" s="351"/>
      <c r="I92" s="351"/>
      <c r="J92" s="351"/>
      <c r="K92" s="356"/>
      <c r="L92" s="351"/>
      <c r="M92" s="351"/>
      <c r="N92" s="351"/>
      <c r="O92" s="352"/>
    </row>
    <row r="93" spans="1:15" s="344" customFormat="1" x14ac:dyDescent="0.25">
      <c r="A93" s="16"/>
      <c r="C93" s="147"/>
      <c r="D93" s="94"/>
      <c r="E93" s="351"/>
      <c r="F93" s="351"/>
      <c r="G93" s="351"/>
      <c r="H93" s="351"/>
      <c r="I93" s="351"/>
      <c r="J93" s="351"/>
      <c r="K93" s="356"/>
      <c r="L93" s="351"/>
      <c r="M93" s="351"/>
      <c r="N93" s="351"/>
      <c r="O93" s="352"/>
    </row>
    <row r="94" spans="1:15" s="344" customFormat="1" x14ac:dyDescent="0.25">
      <c r="A94" s="16"/>
      <c r="B94" s="35"/>
      <c r="C94" s="404" t="s">
        <v>830</v>
      </c>
      <c r="D94" s="405" t="s">
        <v>76</v>
      </c>
      <c r="E94" s="407">
        <v>0</v>
      </c>
      <c r="F94" s="407">
        <v>100000000</v>
      </c>
      <c r="G94" s="407">
        <v>-100000000</v>
      </c>
      <c r="H94" s="407">
        <v>100000000</v>
      </c>
      <c r="I94" s="406"/>
      <c r="J94" s="407">
        <v>-100000000</v>
      </c>
      <c r="K94" s="407">
        <v>1000000</v>
      </c>
      <c r="L94" s="407">
        <f>'Indicator sheet_(IS)'!O77</f>
        <v>0</v>
      </c>
      <c r="M94" s="407">
        <f>IF('Indicator sheet_(IS)'!P77=Berechnung1!$H$5,5,IF('Indicator sheet_(IS)'!P77=Berechnung1!$G$5,1,IF('Indicator sheet_(IS)'!P77=Berechnung1!$F$5,1,IF('Indicator sheet_(IS)'!P77=Berechnung1!$E$5,2,IF('Indicator sheet_(IS)'!P77=Berechnung1!$D$5,3,IF('Indicator sheet_(IS)'!P77=Berechnung1!$C$5,4,""))))))</f>
        <v>1</v>
      </c>
      <c r="N94" s="407">
        <f>IF(M94&gt;1,M94+3,M94)</f>
        <v>1</v>
      </c>
      <c r="O94" s="407">
        <f>IF('Indicator sheet_(IS)'!R77="",0,1)</f>
        <v>0</v>
      </c>
    </row>
    <row r="95" spans="1:15" s="344" customFormat="1" x14ac:dyDescent="0.25">
      <c r="A95" s="16"/>
      <c r="B95" s="35"/>
      <c r="C95" s="147"/>
      <c r="D95" s="94"/>
      <c r="E95" s="351"/>
      <c r="F95" s="351"/>
      <c r="G95" s="351"/>
      <c r="H95" s="351"/>
      <c r="I95" s="351"/>
      <c r="J95" s="351"/>
      <c r="K95" s="356"/>
      <c r="L95" s="351"/>
      <c r="M95" s="351"/>
      <c r="N95" s="351"/>
      <c r="O95" s="352"/>
    </row>
    <row r="96" spans="1:15" s="344" customFormat="1" x14ac:dyDescent="0.25">
      <c r="A96" s="16"/>
      <c r="B96" s="35"/>
      <c r="C96" s="147"/>
      <c r="D96" s="94"/>
      <c r="E96" s="351"/>
      <c r="F96" s="351"/>
      <c r="G96" s="351"/>
      <c r="H96" s="351"/>
      <c r="I96" s="351"/>
      <c r="J96" s="351"/>
      <c r="K96" s="356"/>
      <c r="L96" s="351"/>
      <c r="M96" s="351"/>
      <c r="N96" s="351"/>
      <c r="O96" s="352"/>
    </row>
    <row r="97" spans="1:15" s="344" customFormat="1" x14ac:dyDescent="0.25">
      <c r="A97" s="16"/>
      <c r="B97" s="35"/>
      <c r="C97" s="404" t="s">
        <v>831</v>
      </c>
      <c r="D97" s="405">
        <v>0</v>
      </c>
      <c r="E97" s="407">
        <v>0</v>
      </c>
      <c r="F97" s="407">
        <v>100000000</v>
      </c>
      <c r="G97" s="407">
        <v>-100000000</v>
      </c>
      <c r="H97" s="407">
        <v>100000000</v>
      </c>
      <c r="I97" s="407"/>
      <c r="J97" s="407">
        <v>-100000000</v>
      </c>
      <c r="K97" s="407">
        <v>1000000</v>
      </c>
      <c r="L97" s="407">
        <f>'Indicator sheet_(IS)'!O80</f>
        <v>0</v>
      </c>
      <c r="M97" s="407">
        <f>IF('Indicator sheet_(IS)'!P80=Berechnung1!$G$5,1,IF('Indicator sheet_(IS)'!P80=Berechnung1!$F$5,1,IF('Indicator sheet_(IS)'!P80=Berechnung1!$E$5,2,IF('Indicator sheet_(IS)'!P80=Berechnung1!$D$5,3,IF('Indicator sheet_(IS)'!P80=Berechnung1!$C$5,4,"")))))</f>
        <v>1</v>
      </c>
      <c r="N97" s="407">
        <f>IF(M97&gt;1,M97+3,M97)</f>
        <v>1</v>
      </c>
      <c r="O97" s="407">
        <f>IF('Indicator sheet_(IS)'!R80="",0,1)</f>
        <v>0</v>
      </c>
    </row>
    <row r="98" spans="1:15" s="344" customFormat="1" x14ac:dyDescent="0.25">
      <c r="A98" s="16"/>
      <c r="C98" s="147"/>
      <c r="D98" s="94"/>
      <c r="E98" s="351"/>
      <c r="F98" s="351"/>
      <c r="G98" s="351"/>
      <c r="H98" s="351"/>
      <c r="I98" s="351"/>
      <c r="J98" s="351"/>
      <c r="K98" s="356"/>
      <c r="L98" s="351"/>
      <c r="M98" s="351"/>
      <c r="N98" s="351"/>
      <c r="O98" s="352"/>
    </row>
    <row r="99" spans="1:15" s="344" customFormat="1" x14ac:dyDescent="0.25">
      <c r="A99" s="16"/>
      <c r="C99" s="147"/>
      <c r="D99" s="94"/>
      <c r="E99" s="351"/>
      <c r="F99" s="351"/>
      <c r="G99" s="351"/>
      <c r="H99" s="351"/>
      <c r="I99" s="351"/>
      <c r="J99" s="351"/>
      <c r="K99" s="356"/>
      <c r="L99" s="351"/>
      <c r="M99" s="351"/>
      <c r="N99" s="351"/>
      <c r="O99" s="352"/>
    </row>
    <row r="100" spans="1:15" s="344" customFormat="1" x14ac:dyDescent="0.25">
      <c r="A100" s="16"/>
      <c r="B100" s="35" t="s">
        <v>428</v>
      </c>
      <c r="C100" s="416">
        <v>23</v>
      </c>
      <c r="D100" s="416" t="s">
        <v>76</v>
      </c>
      <c r="E100" s="417">
        <v>0</v>
      </c>
      <c r="F100" s="417">
        <v>1</v>
      </c>
      <c r="G100" s="417">
        <v>0.7</v>
      </c>
      <c r="H100" s="417">
        <v>10000</v>
      </c>
      <c r="I100" s="417"/>
      <c r="J100" s="417">
        <v>-10000</v>
      </c>
      <c r="K100" s="417">
        <v>10000</v>
      </c>
      <c r="L100" s="417" t="str">
        <f>'Indicator sheet_(IS)'!O85</f>
        <v>n.d.</v>
      </c>
      <c r="M100" s="418">
        <f>IF('Indicator sheet_(IS)'!P83=Berechnung1!$H$5,5,IF('Indicator sheet_(IS)'!P83=Berechnung1!$G$5,1,IF('Indicator sheet_(IS)'!P83=Berechnung1!$F$5,1,IF('Indicator sheet_(IS)'!P83=Berechnung1!$E$5,2,IF('Indicator sheet_(IS)'!P83=Berechnung1!$D$5,3,IF('Indicator sheet_(IS)'!P83=Berechnung1!$C$5,4,""))))))</f>
        <v>1</v>
      </c>
      <c r="N100" s="418">
        <f t="shared" si="3"/>
        <v>1</v>
      </c>
      <c r="O100" s="418">
        <f>IF('Indicator sheet_(IS)'!R83="",0,1)</f>
        <v>0</v>
      </c>
    </row>
    <row r="101" spans="1:15" s="344" customFormat="1" x14ac:dyDescent="0.25">
      <c r="A101" s="16"/>
      <c r="C101" s="357"/>
      <c r="D101" s="94"/>
      <c r="E101" s="351"/>
      <c r="F101" s="351"/>
      <c r="G101" s="351"/>
      <c r="H101" s="351"/>
      <c r="I101" s="351"/>
      <c r="J101" s="351"/>
      <c r="K101" s="351"/>
      <c r="L101" s="351"/>
      <c r="M101" s="351"/>
      <c r="N101" s="351"/>
      <c r="O101" s="352"/>
    </row>
    <row r="102" spans="1:15" s="344" customFormat="1" x14ac:dyDescent="0.25">
      <c r="A102" s="16"/>
      <c r="C102" s="357"/>
      <c r="D102" s="94"/>
      <c r="E102" s="351"/>
      <c r="F102" s="351"/>
      <c r="G102" s="351"/>
      <c r="H102" s="351"/>
      <c r="I102" s="351"/>
      <c r="J102" s="351"/>
      <c r="K102" s="351"/>
      <c r="L102" s="351"/>
      <c r="M102" s="351"/>
      <c r="N102" s="351"/>
      <c r="O102" s="352"/>
    </row>
    <row r="103" spans="1:15" s="344" customFormat="1" x14ac:dyDescent="0.25">
      <c r="A103" s="16"/>
      <c r="B103" s="35" t="s">
        <v>428</v>
      </c>
      <c r="C103" s="415" t="s">
        <v>832</v>
      </c>
      <c r="D103" s="416" t="s">
        <v>76</v>
      </c>
      <c r="E103" s="417">
        <v>0</v>
      </c>
      <c r="F103" s="417">
        <v>1</v>
      </c>
      <c r="G103" s="417">
        <v>-10000</v>
      </c>
      <c r="H103" s="417">
        <v>10000</v>
      </c>
      <c r="I103" s="417"/>
      <c r="J103" s="417">
        <v>0.5</v>
      </c>
      <c r="K103" s="417">
        <v>10000</v>
      </c>
      <c r="L103" s="417" t="str">
        <f>'Indicator sheet_(IS)'!O88</f>
        <v>n.d.</v>
      </c>
      <c r="M103" s="418">
        <f>IF('Indicator sheet_(IS)'!P86=Berechnung1!$H$5,5,IF('Indicator sheet_(IS)'!P86=Berechnung1!$G$5,1,IF('Indicator sheet_(IS)'!P86=Berechnung1!$F$5,1,IF('Indicator sheet_(IS)'!P86=Berechnung1!$E$5,2,IF('Indicator sheet_(IS)'!P86=Berechnung1!$D$5,3,IF('Indicator sheet_(IS)'!P86=Berechnung1!$C$5,4,""))))))</f>
        <v>1</v>
      </c>
      <c r="N103" s="418">
        <f t="shared" si="3"/>
        <v>1</v>
      </c>
      <c r="O103" s="418">
        <f>IF('Indicator sheet_(IS)'!R86="",0,1)</f>
        <v>0</v>
      </c>
    </row>
    <row r="104" spans="1:15" s="344" customFormat="1" x14ac:dyDescent="0.25">
      <c r="A104" s="16"/>
      <c r="C104" s="357"/>
      <c r="D104" s="94"/>
      <c r="E104" s="351"/>
      <c r="F104" s="351"/>
      <c r="G104" s="351"/>
      <c r="H104" s="351"/>
      <c r="I104" s="351"/>
      <c r="J104" s="351"/>
      <c r="K104" s="351"/>
      <c r="L104" s="351"/>
      <c r="M104" s="351"/>
      <c r="N104" s="351"/>
      <c r="O104" s="352"/>
    </row>
    <row r="105" spans="1:15" s="344" customFormat="1" x14ac:dyDescent="0.25">
      <c r="A105" s="16"/>
      <c r="C105" s="357"/>
      <c r="D105" s="94"/>
      <c r="E105" s="351"/>
      <c r="F105" s="351"/>
      <c r="G105" s="351"/>
      <c r="H105" s="351"/>
      <c r="I105" s="351"/>
      <c r="J105" s="351"/>
      <c r="K105" s="351"/>
      <c r="L105" s="351"/>
      <c r="M105" s="351"/>
      <c r="N105" s="351"/>
      <c r="O105" s="352"/>
    </row>
    <row r="106" spans="1:15" s="344" customFormat="1" x14ac:dyDescent="0.25">
      <c r="A106" s="16"/>
      <c r="C106" s="405">
        <v>25</v>
      </c>
      <c r="D106" s="405" t="s">
        <v>76</v>
      </c>
      <c r="E106" s="406">
        <v>0</v>
      </c>
      <c r="F106" s="406">
        <v>1</v>
      </c>
      <c r="G106" s="406">
        <v>0.85</v>
      </c>
      <c r="H106" s="406">
        <v>10000</v>
      </c>
      <c r="I106" s="406"/>
      <c r="J106" s="406">
        <v>-10000</v>
      </c>
      <c r="K106" s="406">
        <v>10000</v>
      </c>
      <c r="L106" s="406" t="str">
        <f>'Indicator sheet_(IS)'!O91</f>
        <v>n.d.</v>
      </c>
      <c r="M106" s="407">
        <f>IF('Indicator sheet_(IS)'!P89=Berechnung1!$G$5,1,IF('Indicator sheet_(IS)'!P89=Berechnung1!$F$5,1,IF('Indicator sheet_(IS)'!P89=Berechnung1!$E$5,2,IF('Indicator sheet_(IS)'!P89=Berechnung1!$D$5,3,IF('Indicator sheet_(IS)'!P89=Berechnung1!$C$5,4,"")))))</f>
        <v>1</v>
      </c>
      <c r="N106" s="407">
        <f t="shared" si="3"/>
        <v>1</v>
      </c>
      <c r="O106" s="407">
        <f>IF('Indicator sheet_(IS)'!R89="",0,1)</f>
        <v>0</v>
      </c>
    </row>
    <row r="107" spans="1:15" s="344" customFormat="1" x14ac:dyDescent="0.25">
      <c r="A107" s="16"/>
      <c r="C107" s="353"/>
      <c r="D107" s="94"/>
      <c r="E107" s="351"/>
      <c r="F107" s="351"/>
      <c r="G107" s="351"/>
      <c r="H107" s="351"/>
      <c r="I107" s="351"/>
      <c r="J107" s="351"/>
      <c r="K107" s="351"/>
      <c r="L107" s="351"/>
      <c r="M107" s="351"/>
      <c r="N107" s="351"/>
      <c r="O107" s="352"/>
    </row>
    <row r="108" spans="1:15" s="344" customFormat="1" x14ac:dyDescent="0.25">
      <c r="A108" s="16"/>
      <c r="C108" s="353"/>
      <c r="D108" s="94"/>
      <c r="E108" s="351"/>
      <c r="F108" s="351"/>
      <c r="G108" s="351"/>
      <c r="H108" s="351"/>
      <c r="I108" s="351"/>
      <c r="J108" s="351"/>
      <c r="K108" s="351"/>
      <c r="L108" s="351"/>
      <c r="M108" s="351"/>
      <c r="N108" s="351"/>
      <c r="O108" s="352"/>
    </row>
    <row r="109" spans="1:15" s="344" customFormat="1" ht="15" customHeight="1" x14ac:dyDescent="0.25">
      <c r="A109" s="16"/>
      <c r="B109" s="35"/>
      <c r="C109" s="404" t="s">
        <v>833</v>
      </c>
      <c r="D109" s="405" t="s">
        <v>76</v>
      </c>
      <c r="E109" s="406">
        <v>0</v>
      </c>
      <c r="F109" s="406">
        <v>1</v>
      </c>
      <c r="G109" s="406">
        <v>0.95</v>
      </c>
      <c r="H109" s="406">
        <v>10000</v>
      </c>
      <c r="I109" s="406"/>
      <c r="J109" s="406">
        <v>-10000</v>
      </c>
      <c r="K109" s="406">
        <v>10000</v>
      </c>
      <c r="L109" s="406" t="str">
        <f>'Indicator sheet_(IS)'!O94</f>
        <v>n.d.</v>
      </c>
      <c r="M109" s="407">
        <f>IF('Indicator sheet_(IS)'!P92=Berechnung1!$G$5,1,IF('Indicator sheet_(IS)'!P92=Berechnung1!$F$5,1,IF('Indicator sheet_(IS)'!P92=Berechnung1!$E$5,2,IF('Indicator sheet_(IS)'!P92=Berechnung1!$D$5,3,IF('Indicator sheet_(IS)'!P92=Berechnung1!$C$5,4,"")))))</f>
        <v>1</v>
      </c>
      <c r="N109" s="407">
        <f t="shared" si="3"/>
        <v>1</v>
      </c>
      <c r="O109" s="407">
        <f>IF('Indicator sheet_(IS)'!R92="",0,1)</f>
        <v>0</v>
      </c>
    </row>
    <row r="110" spans="1:15" s="344" customFormat="1" ht="15" customHeight="1" x14ac:dyDescent="0.25">
      <c r="A110" s="16"/>
      <c r="C110" s="353"/>
      <c r="D110" s="94"/>
      <c r="E110" s="351"/>
      <c r="F110" s="351"/>
      <c r="G110" s="351"/>
      <c r="H110" s="351"/>
      <c r="I110" s="351"/>
      <c r="J110" s="351"/>
      <c r="K110" s="351"/>
      <c r="L110" s="351"/>
      <c r="M110" s="351"/>
      <c r="N110" s="351"/>
      <c r="O110" s="352"/>
    </row>
    <row r="111" spans="1:15" s="344" customFormat="1" ht="15" customHeight="1" x14ac:dyDescent="0.25">
      <c r="A111" s="16"/>
      <c r="C111" s="353"/>
      <c r="D111" s="94"/>
      <c r="E111" s="351"/>
      <c r="F111" s="351"/>
      <c r="G111" s="351"/>
      <c r="H111" s="351"/>
      <c r="I111" s="351"/>
      <c r="J111" s="351"/>
      <c r="K111" s="351"/>
      <c r="L111" s="351"/>
      <c r="M111" s="351"/>
      <c r="N111" s="351"/>
      <c r="O111" s="352"/>
    </row>
    <row r="112" spans="1:15" s="344" customFormat="1" x14ac:dyDescent="0.25">
      <c r="A112" s="16"/>
      <c r="C112" s="404" t="s">
        <v>801</v>
      </c>
      <c r="D112" s="405" t="s">
        <v>76</v>
      </c>
      <c r="E112" s="406">
        <v>0</v>
      </c>
      <c r="F112" s="406">
        <v>1</v>
      </c>
      <c r="G112" s="406">
        <v>0.95</v>
      </c>
      <c r="H112" s="406">
        <v>10000</v>
      </c>
      <c r="I112" s="406"/>
      <c r="J112" s="406">
        <v>-10000</v>
      </c>
      <c r="K112" s="409">
        <v>10000</v>
      </c>
      <c r="L112" s="406" t="str">
        <f>'Indicator sheet_(IS)'!O97</f>
        <v>n.d.</v>
      </c>
      <c r="M112" s="407">
        <f>IF('Indicator sheet_(IS)'!P95=Berechnung1!$G$5,1,IF('Indicator sheet_(IS)'!P95=Berechnung1!$F$5,1,IF('Indicator sheet_(IS)'!P95=Berechnung1!$E$5,2,IF('Indicator sheet_(IS)'!P95=Berechnung1!$D$5,3,IF('Indicator sheet_(IS)'!P95=Berechnung1!$C$5,4,"")))))</f>
        <v>1</v>
      </c>
      <c r="N112" s="407">
        <f t="shared" si="3"/>
        <v>1</v>
      </c>
      <c r="O112" s="407">
        <f>IF('Indicator sheet_(IS)'!R95="",0,1)</f>
        <v>0</v>
      </c>
    </row>
    <row r="113" spans="1:15" s="344" customFormat="1" x14ac:dyDescent="0.25">
      <c r="A113" s="16"/>
      <c r="C113" s="353"/>
      <c r="D113" s="94"/>
      <c r="E113" s="351"/>
      <c r="F113" s="351"/>
      <c r="G113" s="351"/>
      <c r="H113" s="351"/>
      <c r="I113" s="351"/>
      <c r="J113" s="351"/>
      <c r="K113" s="351"/>
      <c r="L113" s="351"/>
      <c r="M113" s="351"/>
      <c r="N113" s="351"/>
      <c r="O113" s="352"/>
    </row>
    <row r="114" spans="1:15" x14ac:dyDescent="0.25">
      <c r="C114" s="353"/>
      <c r="D114" s="94"/>
      <c r="E114" s="351"/>
      <c r="F114" s="351"/>
      <c r="G114" s="351"/>
      <c r="H114" s="351"/>
      <c r="I114" s="351"/>
      <c r="J114" s="351"/>
      <c r="K114" s="351"/>
      <c r="L114" s="351"/>
      <c r="M114" s="351"/>
      <c r="N114" s="351"/>
      <c r="O114" s="352"/>
    </row>
    <row r="115" spans="1:15" x14ac:dyDescent="0.25">
      <c r="B115" s="35" t="s">
        <v>428</v>
      </c>
      <c r="C115" s="416">
        <v>28</v>
      </c>
      <c r="D115" s="416" t="s">
        <v>76</v>
      </c>
      <c r="E115" s="417">
        <v>0</v>
      </c>
      <c r="F115" s="417">
        <v>1</v>
      </c>
      <c r="G115" s="417">
        <v>0.8</v>
      </c>
      <c r="H115" s="417">
        <v>10000</v>
      </c>
      <c r="I115" s="417"/>
      <c r="J115" s="417">
        <v>-10000</v>
      </c>
      <c r="K115" s="417">
        <v>10000</v>
      </c>
      <c r="L115" s="417" t="str">
        <f>'Indicator sheet_(IS)'!O100</f>
        <v>n.d.</v>
      </c>
      <c r="M115" s="418">
        <f>IF('Indicator sheet_(IS)'!P98=Berechnung1!$H$5,5,IF('Indicator sheet_(IS)'!P98=Berechnung1!$G$5,1,IF('Indicator sheet_(IS)'!P98=Berechnung1!$F$5,1,IF('Indicator sheet_(IS)'!P98=Berechnung1!$E$5,2,IF('Indicator sheet_(IS)'!P98=Berechnung1!$D$5,3,IF('Indicator sheet_(IS)'!P98=Berechnung1!$C$5,4,""))))))</f>
        <v>1</v>
      </c>
      <c r="N115" s="418">
        <f t="shared" si="3"/>
        <v>1</v>
      </c>
      <c r="O115" s="418">
        <f>IF('Indicator sheet_(IS)'!R98="",0,1)</f>
        <v>0</v>
      </c>
    </row>
    <row r="116" spans="1:15" x14ac:dyDescent="0.25">
      <c r="C116" s="353"/>
      <c r="D116" s="94"/>
      <c r="E116" s="351"/>
      <c r="F116" s="351"/>
      <c r="G116" s="351"/>
      <c r="H116" s="351"/>
      <c r="I116" s="351"/>
      <c r="J116" s="351"/>
      <c r="K116" s="351"/>
      <c r="L116" s="351"/>
      <c r="M116" s="351"/>
      <c r="N116" s="351"/>
      <c r="O116" s="352"/>
    </row>
    <row r="117" spans="1:15" x14ac:dyDescent="0.25">
      <c r="C117" s="353"/>
      <c r="D117" s="94"/>
      <c r="E117" s="351"/>
      <c r="F117" s="351"/>
      <c r="G117" s="351"/>
      <c r="H117" s="351"/>
      <c r="I117" s="351"/>
      <c r="J117" s="351"/>
      <c r="K117" s="351"/>
      <c r="L117" s="351"/>
      <c r="M117" s="351"/>
      <c r="N117" s="351"/>
      <c r="O117" s="352"/>
    </row>
    <row r="118" spans="1:15" x14ac:dyDescent="0.25">
      <c r="C118" s="405">
        <v>29</v>
      </c>
      <c r="D118" s="405" t="s">
        <v>76</v>
      </c>
      <c r="E118" s="406">
        <v>0</v>
      </c>
      <c r="F118" s="406">
        <v>1</v>
      </c>
      <c r="G118" s="406">
        <v>-10000</v>
      </c>
      <c r="H118" s="406">
        <v>10000</v>
      </c>
      <c r="I118" s="406"/>
      <c r="J118" s="406">
        <v>-10000</v>
      </c>
      <c r="K118" s="406">
        <v>0.1</v>
      </c>
      <c r="L118" s="406" t="str">
        <f>'Indicator sheet_(IS)'!O103</f>
        <v>n.d.</v>
      </c>
      <c r="M118" s="407">
        <f>IF('Indicator sheet_(IS)'!P101=Berechnung1!$G$5,1,IF('Indicator sheet_(IS)'!P101=Berechnung1!$F$5,1,IF('Indicator sheet_(IS)'!P101=Berechnung1!$E$5,2,IF('Indicator sheet_(IS)'!P101=Berechnung1!$D$5,3,IF('Indicator sheet_(IS)'!P101=Berechnung1!$C$5,4,"")))))</f>
        <v>1</v>
      </c>
      <c r="N118" s="407">
        <f t="shared" ref="N118" si="4">IF(M118&gt;1,M118+3,M118)</f>
        <v>1</v>
      </c>
      <c r="O118" s="407">
        <f>IF('Indicator sheet_(IS)'!R101="",0,1)</f>
        <v>0</v>
      </c>
    </row>
    <row r="119" spans="1:15" x14ac:dyDescent="0.25">
      <c r="C119" s="444"/>
      <c r="D119" s="444"/>
      <c r="E119" s="444"/>
      <c r="F119" s="444"/>
      <c r="G119" s="444"/>
      <c r="H119" s="444"/>
      <c r="I119" s="444"/>
      <c r="J119" s="444"/>
      <c r="K119" s="444"/>
      <c r="L119" s="444"/>
      <c r="M119" s="444"/>
      <c r="N119" s="444"/>
      <c r="O119" s="444"/>
    </row>
    <row r="120" spans="1:15" x14ac:dyDescent="0.25">
      <c r="C120" s="444"/>
      <c r="D120" s="444"/>
      <c r="E120" s="444"/>
      <c r="F120" s="444"/>
      <c r="G120" s="444"/>
      <c r="H120" s="444"/>
      <c r="I120" s="444"/>
      <c r="J120" s="444"/>
      <c r="K120" s="444"/>
      <c r="L120" s="444"/>
      <c r="M120" s="444"/>
      <c r="N120" s="444"/>
      <c r="O120" s="444"/>
    </row>
  </sheetData>
  <phoneticPr fontId="75" type="noConversion"/>
  <pageMargins left="0.7" right="0.7" top="0.78740157499999996" bottom="0.78740157499999996" header="0.3" footer="0.3"/>
  <pageSetup paperSize="9" orientation="portrait" horizontalDpi="200" verticalDpi="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3"/>
  <dimension ref="A1:Y93"/>
  <sheetViews>
    <sheetView showGridLines="0" showRuler="0" showWhiteSpace="0" zoomScaleNormal="100" zoomScaleSheetLayoutView="100" workbookViewId="0">
      <pane ySplit="1" topLeftCell="A2" activePane="bottomLeft" state="frozen"/>
      <selection pane="bottomLeft" activeCell="M6" sqref="M6"/>
    </sheetView>
  </sheetViews>
  <sheetFormatPr defaultColWidth="9.140625" defaultRowHeight="11.25" x14ac:dyDescent="0.25"/>
  <cols>
    <col min="1" max="1" width="13.5703125" style="273" customWidth="1"/>
    <col min="2" max="2" width="3.85546875" style="273" customWidth="1"/>
    <col min="3" max="3" width="3.5703125" style="273" customWidth="1"/>
    <col min="4" max="4" width="16.5703125" style="273" customWidth="1"/>
    <col min="5" max="5" width="6.85546875" style="273" customWidth="1"/>
    <col min="6" max="6" width="11.7109375" style="273" customWidth="1"/>
    <col min="7" max="7" width="6.85546875" style="273" customWidth="1"/>
    <col min="8" max="8" width="7.140625" style="273" customWidth="1"/>
    <col min="9" max="9" width="7.5703125" style="273" customWidth="1"/>
    <col min="10" max="10" width="6.7109375" style="273" customWidth="1"/>
    <col min="11" max="11" width="14.140625" style="273" customWidth="1"/>
    <col min="12" max="12" width="33.28515625" style="273" customWidth="1"/>
    <col min="13" max="13" width="29.85546875" style="273" customWidth="1"/>
    <col min="14" max="14" width="12.5703125" style="273" customWidth="1"/>
    <col min="15" max="15" width="9.140625" style="134" customWidth="1"/>
    <col min="16" max="16" width="17.7109375" style="134" customWidth="1"/>
    <col min="17" max="23" width="9.140625" style="134" customWidth="1"/>
    <col min="24" max="24" width="31.42578125" style="187" customWidth="1"/>
    <col min="25" max="25" width="24" style="187" customWidth="1"/>
    <col min="26" max="16384" width="9.140625" style="273"/>
  </cols>
  <sheetData>
    <row r="1" spans="1:25" ht="40.5" customHeight="1" x14ac:dyDescent="0.25">
      <c r="A1" s="272" t="s">
        <v>240</v>
      </c>
      <c r="B1" s="282" t="s">
        <v>135</v>
      </c>
      <c r="C1" s="91" t="s">
        <v>368</v>
      </c>
      <c r="D1" s="91" t="s">
        <v>78</v>
      </c>
      <c r="E1" s="274" t="s">
        <v>107</v>
      </c>
      <c r="F1" s="91" t="s">
        <v>153</v>
      </c>
      <c r="G1" s="274" t="s">
        <v>107</v>
      </c>
      <c r="H1" s="91" t="s">
        <v>89</v>
      </c>
      <c r="I1" s="91" t="s">
        <v>77</v>
      </c>
      <c r="J1" s="91" t="s">
        <v>84</v>
      </c>
      <c r="K1" s="91" t="s">
        <v>140</v>
      </c>
      <c r="L1" s="91" t="s">
        <v>99</v>
      </c>
      <c r="M1" s="91" t="s">
        <v>100</v>
      </c>
      <c r="O1" s="192" t="s">
        <v>134</v>
      </c>
    </row>
    <row r="2" spans="1:25" ht="54.95" customHeight="1" x14ac:dyDescent="0.25">
      <c r="A2" s="275" t="str">
        <f>IF('Indicator sheet_(IS)'!P8=0,"",'Indicator sheet_(IS)'!P8)</f>
        <v>Incomplete</v>
      </c>
      <c r="B2" s="412">
        <v>1</v>
      </c>
      <c r="C2" s="34">
        <f>IF($A2="I.O.","",'Indicator sheet_(IS)'!A8)</f>
        <v>1</v>
      </c>
      <c r="D2" s="121" t="str">
        <f>IF($A2="I.O.","",'Indicator sheet_(IS)'!C8)</f>
        <v>Patients with new recurrence and/or distant metastases</v>
      </c>
      <c r="E2" s="283" t="str">
        <f>IF(AND('Indicator sheet_(IS)'!J8="",$A2&lt;&gt;"I.O."),"-----",IF($A2="I.O.","",'Indicator sheet_(IS)'!J8))</f>
        <v>-----</v>
      </c>
      <c r="F2" s="309" t="str">
        <f>IF($A2="I.O.","",'Indicator sheet_(IS)'!K8)</f>
        <v>No target value</v>
      </c>
      <c r="G2" s="283" t="str">
        <f>IF(AND('Indicator sheet_(IS)'!M8="",$A2&lt;&gt;"I.O."),"-----",IF($A2="I.O.","",'Indicator sheet_(IS)'!M8))</f>
        <v>-----</v>
      </c>
      <c r="H2" s="308" t="str">
        <f>IF($A2="I.O.","",IF('Indicator sheet_(IS)'!O8="","-----",'Indicator sheet_(IS)'!O8))</f>
        <v>-----</v>
      </c>
      <c r="I2" s="308" t="str">
        <f>IF($A2="I.O.","",IF('Indicator sheet_(IS)'!O9="","-----",'Indicator sheet_(IS)'!O9))</f>
        <v>-----</v>
      </c>
      <c r="J2" s="276">
        <f>IF($A2="I.O.","",IF('Indicator sheet_(IS)'!O10="",0,'Indicator sheet_(IS)'!O10))</f>
        <v>0</v>
      </c>
      <c r="K2" s="234" t="str">
        <f>IF($A2="I.O.","",'Indicator sheet_(IS)'!P8)</f>
        <v>Incomplete</v>
      </c>
      <c r="L2" s="277" t="str">
        <f>IF(AND('Indicator sheet_(IS)'!Q8="",$A2&lt;&gt;"I.O."),"-----",IF($A2="I.O.","",'Indicator sheet_(IS)'!Q8))</f>
        <v>-----</v>
      </c>
      <c r="M2" s="277" t="str">
        <f>IF(AND('Indicator sheet_(IS)'!R8="",$A2&lt;&gt;"I.O."),"-----",IF($A2="I.O.","",'Indicator sheet_(IS)'!R8))</f>
        <v>-----</v>
      </c>
      <c r="O2" s="217" t="e">
        <f t="array" aca="1" ref="O2" ca="1">IF(ROW()-ROW($D$2:$D$34)+1&gt;ROWS($C$2:$C$34)-COUNTBLANK($C$2:$C$34),"",INDIRECT(ADDRESS(SMALL((IF($C$2:$C$34&lt;&gt;"",ROW($C$2:$C$34),ROW()+ROWS($C$2:$C$34))),ROW()-ROW($D$2:$D$34)+1),COLUMN($C$2:$C$34),4)))</f>
        <v>#REF!</v>
      </c>
      <c r="P2" s="278" t="e">
        <f t="array" aca="1" ref="P2" ca="1">IF(ROW()-ROW($E$2:$E$34)+1&gt;ROWS($D$2:$D$34)-COUNTBLANK($D$2:$D$34),"",INDIRECT(ADDRESS(SMALL((IF($D$2:$D$34&gt;"",ROW($D$2:$D$34),ROW()+ROWS($D$2:$D$34))),ROW()-ROW($E$2:$E$34)+1),COLUMN($D$2:$D$34),4)))</f>
        <v>#REF!</v>
      </c>
      <c r="Q2" s="206" t="e">
        <f t="array" aca="1" ref="Q2" ca="1">IF(ROW()-ROW($F$2:$F$34)+1&gt;ROWS($E$2:$E$34)-COUNTBLANK($E$2:$E$34),"",INDIRECT(ADDRESS(SMALL((IF($E$2:$E$34&gt;"",ROW($E$2:$E$34),ROW()+ROWS($E$2:$E$34))),ROW()-ROW($F$2:$F$34)+1),COLUMN($E$2:$E$34),4)))</f>
        <v>#REF!</v>
      </c>
      <c r="R2" s="206" t="e">
        <f t="array" aca="1" ref="R2" ca="1">IF(ROW()-ROW($G$2:$G$34)+1&gt;ROWS($F$2:$F$34)-COUNTBLANK($F$2:$F$34),"",INDIRECT(ADDRESS(SMALL((IF($F$2:$F$34&gt;"",ROW($F$2:$F$34),ROW()+ROWS($F$2:$F$34))),ROW()-ROW($G$2:$G$34)+1),COLUMN($F$2:$F$34),4)))</f>
        <v>#REF!</v>
      </c>
      <c r="S2" s="206" t="e">
        <f t="array" aca="1" ref="S2" ca="1">IF(ROW()-ROW($H$2:$H$34)+1&gt;ROWS($G$2:$G$29)-COUNTBLANK($G$2:$G$34),"",INDIRECT(ADDRESS(SMALL((IF($G$2:$G$34&lt;&gt;"",ROW($G$2:$G$34),ROW()+ROWS($G$2:$G$34))),ROW()-ROW($H$2:$H$34)+1),COLUMN($G$2:$G$34),4)))</f>
        <v>#REF!</v>
      </c>
      <c r="T2" s="307" t="e">
        <f t="array" aca="1" ref="T2" ca="1">IF(ROW()-ROW($I$2:$I$34)+1&gt;ROWS($H$2:$H$34)-COUNTBLANK($H$2:$H$34),"",INDIRECT(ADDRESS(SMALL((IF($H$2:$H$34&lt;&gt;"",ROW($H$2:$H$34),ROW()+ROWS($H$2:$H$34))),ROW()-ROW($I$2:$I$34)+1),COLUMN($H$2:$H$34),4)))</f>
        <v>#REF!</v>
      </c>
      <c r="U2" s="307" t="e">
        <f t="array" aca="1" ref="U2" ca="1">IF(ROW()-ROW($J$2:$J$34)+1&gt;ROWS($I$2:$I$34)-COUNTBLANK($I$2:$I$34),"",INDIRECT(ADDRESS(SMALL((IF($I$2:$I$34&lt;&gt;"",ROW($I$2:$I$34),ROW()+ROWS($I$2:$I$34))),ROW()-ROW($J$2:$J$34)+1),COLUMN($I$2:$I$34),4)))</f>
        <v>#REF!</v>
      </c>
      <c r="V2" s="279" t="e">
        <f t="array" aca="1" ref="V2" ca="1">IF(ROW()-ROW($K$2:$K$34)+1&gt;ROWS($J$2:$J$34)-COUNTBLANK($J$2:$J$34),"",INDIRECT(ADDRESS(SMALL((IF($J$2:$J$34&lt;&gt;"",ROW($J$2:$J$34),ROW()+ROWS($J$2:$J$34))),ROW()-ROW($K$2:$K$34)+1),COLUMN($J$2:$J$34),4)))</f>
        <v>#REF!</v>
      </c>
      <c r="W2" s="201" t="e">
        <f t="array" aca="1" ref="W2" ca="1">IF(ROW()-ROW($L$2:$L$34)+1&gt;ROWS($K$2:$K$34)-COUNTBLANK($K$2:$K$34),"",INDIRECT(ADDRESS(SMALL((IF($K$2:$K$34&lt;&gt;"",ROW($K$2:$K$34),ROW()+ROWS($K$2:$K$34))),ROW()-ROW($L$2:$L$34)+1),COLUMN($K$2:$K$34),4)))</f>
        <v>#REF!</v>
      </c>
      <c r="X2" s="278" t="e">
        <f t="array" aca="1" ref="X2" ca="1">IF(ROW()-ROW($M$2:$M$34)+1&gt;ROWS($L$2:$L$34)-COUNTBLANK($L$2:$L$34),"",INDIRECT(ADDRESS(SMALL((IF($L$2:$L$34&lt;&gt;"",ROW($L$2:$L$34),ROW()+ROWS($L$2:$L$34))),ROW()-ROW($M$2:$M$34)+1),COLUMN($L$2:$L$34),4)))</f>
        <v>#REF!</v>
      </c>
      <c r="Y2" s="278" t="e">
        <f t="array" aca="1" ref="Y2" ca="1">IF(ROW()-ROW($N$2:$N$34)+1&gt;ROWS($M$2:$M$34)-COUNTBLANK($M$2:$M$34),"",INDIRECT(ADDRESS(SMALL((IF($M$2:$M$34&lt;&gt;"",ROW($M$2:$M$34),ROW()+ROWS($M$2:$M$34))),ROW()-ROW($N$2:$N$34)+1),COLUMN($M$2:$M$34),4)))</f>
        <v>#REF!</v>
      </c>
    </row>
    <row r="3" spans="1:25" ht="54.95" customHeight="1" x14ac:dyDescent="0.25">
      <c r="A3" s="275" t="str">
        <f>IF('Indicator sheet_(IS)'!P11=0,"",'Indicator sheet_(IS)'!P11)</f>
        <v>Incomplete</v>
      </c>
      <c r="B3" s="412">
        <v>2</v>
      </c>
      <c r="C3" s="34" t="str">
        <f>IF($A3="I.O.","",'Indicator sheet_(IS)'!A11)</f>
        <v>2a</v>
      </c>
      <c r="D3" s="121" t="str">
        <f>IF($A3="I.O.","",'Indicator sheet_(IS)'!C11)</f>
        <v>Pre-therapeutic tumour board</v>
      </c>
      <c r="E3" s="283" t="str">
        <f>IF(AND('Indicator sheet_(IS)'!J11="",$A3&lt;&gt;"I.O."),"-----",IF($A3="I.O.","",'Indicator sheet_(IS)'!J11))</f>
        <v>-----</v>
      </c>
      <c r="F3" s="309" t="str">
        <f>IF($A3="I.O.","",'Indicator sheet_(IS)'!K11)</f>
        <v>≥ 95%</v>
      </c>
      <c r="G3" s="283" t="str">
        <f>IF(AND('Indicator sheet_(IS)'!M11="",$A3&lt;&gt;"I.O."),"-----",IF($A3="I.O.","",'Indicator sheet_(IS)'!M11))</f>
        <v>-----</v>
      </c>
      <c r="H3" s="308" t="str">
        <f>IF($A3="I.O.","",IF('Indicator sheet_(IS)'!O11="","-----",'Indicator sheet_(IS)'!O11))</f>
        <v>-----</v>
      </c>
      <c r="I3" s="308" t="str">
        <f>IF($A3="I.O.","",IF('Indicator sheet_(IS)'!O12="","-----",'Indicator sheet_(IS)'!O12))</f>
        <v>-----</v>
      </c>
      <c r="J3" s="276" t="str">
        <f>IF($A3="I.O.","",IF('Indicator sheet_(IS)'!O13="","-----",'Indicator sheet_(IS)'!O13))</f>
        <v>n.d.</v>
      </c>
      <c r="K3" s="234" t="str">
        <f>IF($A3="I.O.","",'Indicator sheet_(IS)'!P11)</f>
        <v>Incomplete</v>
      </c>
      <c r="L3" s="277" t="str">
        <f>IF(AND('Indicator sheet_(IS)'!Q11="",$A3&lt;&gt;"I.O."),"-----",IF($A3="I.O.","",'Indicator sheet_(IS)'!Q11))</f>
        <v>-----</v>
      </c>
      <c r="M3" s="277" t="str">
        <f>IF(AND('Indicator sheet_(IS)'!R11="",$A3&lt;&gt;"I.O."),"-----",IF($A3="I.O.","",'Indicator sheet_(IS)'!R11))</f>
        <v>-----</v>
      </c>
      <c r="O3" s="217" t="e">
        <f t="array" aca="1" ref="O3" ca="1">IF(ROW()-ROW($D$2:$D$34)+1&gt;ROWS($C$2:$C$34)-COUNTBLANK($C$2:$C$34),"",INDIRECT(ADDRESS(SMALL((IF($C$2:$C$34&lt;&gt;"",ROW($C$2:$C$34),ROW()+ROWS($C$2:$C$34))),ROW()-ROW($D$2:$D$34)+1),COLUMN($C$2:$C$34),4)))</f>
        <v>#REF!</v>
      </c>
      <c r="P3" s="278" t="e">
        <f t="array" aca="1" ref="P3" ca="1">IF(ROW()-ROW($E$2:$E$34)+1&gt;ROWS($D$2:$D$34)-COUNTBLANK($D$2:$D$34),"",INDIRECT(ADDRESS(SMALL((IF($D$2:$D$34&gt;"",ROW($D$2:$D$34),ROW()+ROWS($D$2:$D$34))),ROW()-ROW($E$2:$E$34)+1),COLUMN($D$2:$D$34),4)))</f>
        <v>#REF!</v>
      </c>
      <c r="Q3" s="206" t="e">
        <f t="array" aca="1" ref="Q3" ca="1">IF(ROW()-ROW($F$2:$F$34)+1&gt;ROWS($E$2:$E$34)-COUNTBLANK($E$2:$E$34),"",INDIRECT(ADDRESS(SMALL((IF($E$2:$E$34&gt;"",ROW($E$2:$E$34),ROW()+ROWS($E$2:$E$34))),ROW()-ROW($F$2:$F$34)+1),COLUMN($E$2:$E$34),4)))</f>
        <v>#REF!</v>
      </c>
      <c r="R3" s="206" t="e">
        <f t="array" aca="1" ref="R3" ca="1">IF(ROW()-ROW($G$2:$G$34)+1&gt;ROWS($F$2:$F$34)-COUNTBLANK($F$2:$F$34),"",INDIRECT(ADDRESS(SMALL((IF($F$2:$F$34&gt;"",ROW($F$2:$F$34),ROW()+ROWS($F$2:$F$34))),ROW()-ROW($G$2:$G$34)+1),COLUMN($F$2:$F$34),4)))</f>
        <v>#REF!</v>
      </c>
      <c r="S3" s="206" t="e">
        <f t="array" aca="1" ref="S3" ca="1">IF(ROW()-ROW($H$2:$H$34)+1&gt;ROWS($G$2:$G$29)-COUNTBLANK($G$2:$G$34),"",INDIRECT(ADDRESS(SMALL((IF($G$2:$G$34&lt;&gt;"",ROW($G$2:$G$34),ROW()+ROWS($G$2:$G$34))),ROW()-ROW($H$2:$H$34)+1),COLUMN($G$2:$G$34),4)))</f>
        <v>#REF!</v>
      </c>
      <c r="T3" s="307" t="e">
        <f t="array" aca="1" ref="T3" ca="1">IF(ROW()-ROW($I$2:$I$34)+1&gt;ROWS($H$2:$H$34)-COUNTBLANK($H$2:$H$34),"",INDIRECT(ADDRESS(SMALL((IF($H$2:$H$34&lt;&gt;"",ROW($H$2:$H$34),ROW()+ROWS($H$2:$H$34))),ROW()-ROW($I$2:$I$34)+1),COLUMN($H$2:$H$34),4)))</f>
        <v>#REF!</v>
      </c>
      <c r="U3" s="307" t="e">
        <f t="array" aca="1" ref="U3" ca="1">IF(ROW()-ROW($J$2:$J$34)+1&gt;ROWS($I$2:$I$34)-COUNTBLANK($I$2:$I$34),"",INDIRECT(ADDRESS(SMALL((IF($I$2:$I$34&lt;&gt;"",ROW($I$2:$I$34),ROW()+ROWS($I$2:$I$34))),ROW()-ROW($J$2:$J$34)+1),COLUMN($I$2:$I$34),4)))</f>
        <v>#REF!</v>
      </c>
      <c r="V3" s="279" t="e">
        <f t="array" aca="1" ref="V3" ca="1">IF(ROW()-ROW($K$2:$K$34)+1&gt;ROWS($J$2:$J$34)-COUNTBLANK($J$2:$J$34),"",INDIRECT(ADDRESS(SMALL((IF($J$2:$J$34&lt;&gt;"",ROW($J$2:$J$34),ROW()+ROWS($J$2:$J$34))),ROW()-ROW($K$2:$K$34)+1),COLUMN($J$2:$J$34),4)))</f>
        <v>#REF!</v>
      </c>
      <c r="W3" s="201" t="e">
        <f t="array" aca="1" ref="W3" ca="1">IF(ROW()-ROW($L$2:$L$34)+1&gt;ROWS($K$2:$K$34)-COUNTBLANK($K$2:$K$34),"",INDIRECT(ADDRESS(SMALL((IF($K$2:$K$34&lt;&gt;"",ROW($K$2:$K$34),ROW()+ROWS($K$2:$K$34))),ROW()-ROW($L$2:$L$34)+1),COLUMN($K$2:$K$34),4)))</f>
        <v>#REF!</v>
      </c>
      <c r="X3" s="278" t="e">
        <f t="array" aca="1" ref="X3" ca="1">IF(ROW()-ROW($M$2:$M$34)+1&gt;ROWS($L$2:$L$34)-COUNTBLANK($L$2:$L$34),"",INDIRECT(ADDRESS(SMALL((IF($L$2:$L$34&lt;&gt;"",ROW($L$2:$L$34),ROW()+ROWS($L$2:$L$34))),ROW()-ROW($M$2:$M$34)+1),COLUMN($L$2:$L$34),4)))</f>
        <v>#REF!</v>
      </c>
      <c r="Y3" s="278" t="e">
        <f t="array" aca="1" ref="Y3" ca="1">IF(ROW()-ROW($N$2:$N$34)+1&gt;ROWS($M$2:$M$34)-COUNTBLANK($M$2:$M$34),"",INDIRECT(ADDRESS(SMALL((IF($M$2:$M$34&lt;&gt;"",ROW($M$2:$M$34),ROW()+ROWS($M$2:$M$34))),ROW()-ROW($N$2:$N$34)+1),COLUMN($M$2:$M$34),4)))</f>
        <v>#REF!</v>
      </c>
    </row>
    <row r="4" spans="1:25" ht="54.95" customHeight="1" x14ac:dyDescent="0.25">
      <c r="A4" s="275" t="str">
        <f>IF('Indicator sheet_(IS)'!P14=0,"",'Indicator sheet_(IS)'!P14)</f>
        <v>Incomplete</v>
      </c>
      <c r="B4" s="412">
        <v>2</v>
      </c>
      <c r="C4" s="34" t="str">
        <f>IF($A4="I.O.","",'Indicator sheet_(IS)'!A14)</f>
        <v>2b</v>
      </c>
      <c r="D4" s="121" t="str">
        <f>IF($A4="I.O.","",'Indicator sheet_(IS)'!C14)</f>
        <v>Pre-therapeutic tumour board: recurrences/meta-chronous metastases</v>
      </c>
      <c r="E4" s="283" t="str">
        <f>IF(AND('Indicator sheet_(IS)'!J14="",$A4&lt;&gt;"I.O."),"-----",IF($A4="I.O.","",'Indicator sheet_(IS)'!J14))</f>
        <v>-----</v>
      </c>
      <c r="F4" s="309" t="str">
        <f>IF($A4="I.O.","",'Indicator sheet_(IS)'!K14)</f>
        <v>≥ 95%</v>
      </c>
      <c r="G4" s="283" t="str">
        <f>IF(AND('Indicator sheet_(IS)'!M14="",$A4&lt;&gt;"I.O."),"-----",IF($A4="I.O.","",'Indicator sheet_(IS)'!M14))</f>
        <v>-----</v>
      </c>
      <c r="H4" s="308" t="str">
        <f>IF($A4="I.O.","",IF('Indicator sheet_(IS)'!O14="","-----",'Indicator sheet_(IS)'!O14))</f>
        <v>-----</v>
      </c>
      <c r="I4" s="308">
        <f>IF($A4="I.O.","",IF('Indicator sheet_(IS)'!O15="","-----",'Indicator sheet_(IS)'!O15))</f>
        <v>0</v>
      </c>
      <c r="J4" s="276" t="str">
        <f>IF($A4="I.O.","",IF('Indicator sheet_(IS)'!O16="",0,'Indicator sheet_(IS)'!O16))</f>
        <v>n.d.</v>
      </c>
      <c r="K4" s="234" t="str">
        <f>IF($A4="I.O.","",'Indicator sheet_(IS)'!P14)</f>
        <v>Incomplete</v>
      </c>
      <c r="L4" s="277" t="str">
        <f>IF(AND('Indicator sheet_(IS)'!Q14="",$A4&lt;&gt;"I.O."),"-----",IF($A4="I.O.","",'Indicator sheet_(IS)'!Q14))</f>
        <v>-----</v>
      </c>
      <c r="M4" s="277" t="str">
        <f>IF(AND('Indicator sheet_(IS)'!R14="",$A4&lt;&gt;"I.O."),"-----",IF($A4="I.O.","",'Indicator sheet_(IS)'!R14))</f>
        <v>-----</v>
      </c>
      <c r="O4" s="217" t="e">
        <f t="array" aca="1" ref="O4" ca="1">IF(ROW()-ROW($D$2:$D$34)+1&gt;ROWS($C$2:$C$34)-COUNTBLANK($C$2:$C$34),"",INDIRECT(ADDRESS(SMALL((IF($C$2:$C$34&lt;&gt;"",ROW($C$2:$C$34),ROW()+ROWS($C$2:$C$34))),ROW()-ROW($D$2:$D$34)+1),COLUMN($C$2:$C$34),4)))</f>
        <v>#REF!</v>
      </c>
      <c r="P4" s="278" t="e">
        <f t="array" aca="1" ref="P4" ca="1">IF(ROW()-ROW($E$2:$E$34)+1&gt;ROWS($D$2:$D$34)-COUNTBLANK($D$2:$D$34),"",INDIRECT(ADDRESS(SMALL((IF($D$2:$D$34&gt;"",ROW($D$2:$D$34),ROW()+ROWS($D$2:$D$34))),ROW()-ROW($E$2:$E$34)+1),COLUMN($D$2:$D$34),4)))</f>
        <v>#REF!</v>
      </c>
      <c r="Q4" s="206" t="e">
        <f t="array" aca="1" ref="Q4" ca="1">IF(ROW()-ROW($F$2:$F$34)+1&gt;ROWS($E$2:$E$34)-COUNTBLANK($E$2:$E$34),"",INDIRECT(ADDRESS(SMALL((IF($E$2:$E$34&gt;"",ROW($E$2:$E$34),ROW()+ROWS($E$2:$E$34))),ROW()-ROW($F$2:$F$34)+1),COLUMN($E$2:$E$34),4)))</f>
        <v>#REF!</v>
      </c>
      <c r="R4" s="206" t="e">
        <f t="array" aca="1" ref="R4" ca="1">IF(ROW()-ROW($G$2:$G$34)+1&gt;ROWS($F$2:$F$34)-COUNTBLANK($F$2:$F$34),"",INDIRECT(ADDRESS(SMALL((IF($F$2:$F$34&gt;"",ROW($F$2:$F$34),ROW()+ROWS($F$2:$F$34))),ROW()-ROW($G$2:$G$34)+1),COLUMN($F$2:$F$34),4)))</f>
        <v>#REF!</v>
      </c>
      <c r="S4" s="206" t="e">
        <f t="array" aca="1" ref="S4" ca="1">IF(ROW()-ROW($H$2:$H$34)+1&gt;ROWS($G$2:$G$29)-COUNTBLANK($G$2:$G$34),"",INDIRECT(ADDRESS(SMALL((IF($G$2:$G$34&lt;&gt;"",ROW($G$2:$G$34),ROW()+ROWS($G$2:$G$34))),ROW()-ROW($H$2:$H$34)+1),COLUMN($G$2:$G$34),4)))</f>
        <v>#REF!</v>
      </c>
      <c r="T4" s="307" t="e">
        <f t="array" aca="1" ref="T4" ca="1">IF(ROW()-ROW($I$2:$I$34)+1&gt;ROWS($H$2:$H$34)-COUNTBLANK($H$2:$H$34),"",INDIRECT(ADDRESS(SMALL((IF($H$2:$H$34&lt;&gt;"",ROW($H$2:$H$34),ROW()+ROWS($H$2:$H$34))),ROW()-ROW($I$2:$I$34)+1),COLUMN($H$2:$H$34),4)))</f>
        <v>#REF!</v>
      </c>
      <c r="U4" s="307" t="e">
        <f t="array" aca="1" ref="U4" ca="1">IF(ROW()-ROW($J$2:$J$34)+1&gt;ROWS($I$2:$I$34)-COUNTBLANK($I$2:$I$34),"",INDIRECT(ADDRESS(SMALL((IF($I$2:$I$34&lt;&gt;"",ROW($I$2:$I$34),ROW()+ROWS($I$2:$I$34))),ROW()-ROW($J$2:$J$34)+1),COLUMN($I$2:$I$34),4)))</f>
        <v>#REF!</v>
      </c>
      <c r="V4" s="279" t="e">
        <f t="array" aca="1" ref="V4" ca="1">IF(ROW()-ROW($K$2:$K$34)+1&gt;ROWS($J$2:$J$34)-COUNTBLANK($J$2:$J$34),"",INDIRECT(ADDRESS(SMALL((IF($J$2:$J$34&lt;&gt;"",ROW($J$2:$J$34),ROW()+ROWS($J$2:$J$34))),ROW()-ROW($K$2:$K$34)+1),COLUMN($J$2:$J$34),4)))</f>
        <v>#REF!</v>
      </c>
      <c r="W4" s="201" t="e">
        <f t="array" aca="1" ref="W4" ca="1">IF(ROW()-ROW($L$2:$L$34)+1&gt;ROWS($K$2:$K$34)-COUNTBLANK($K$2:$K$34),"",INDIRECT(ADDRESS(SMALL((IF($K$2:$K$34&lt;&gt;"",ROW($K$2:$K$34),ROW()+ROWS($K$2:$K$34))),ROW()-ROW($L$2:$L$34)+1),COLUMN($K$2:$K$34),4)))</f>
        <v>#REF!</v>
      </c>
      <c r="X4" s="278" t="e">
        <f t="array" aca="1" ref="X4" ca="1">IF(ROW()-ROW($M$2:$M$34)+1&gt;ROWS($L$2:$L$34)-COUNTBLANK($L$2:$L$34),"",INDIRECT(ADDRESS(SMALL((IF($L$2:$L$34&lt;&gt;"",ROW($L$2:$L$34),ROW()+ROWS($L$2:$L$34))),ROW()-ROW($M$2:$M$34)+1),COLUMN($L$2:$L$34),4)))</f>
        <v>#REF!</v>
      </c>
      <c r="Y4" s="278" t="e">
        <f t="array" aca="1" ref="Y4" ca="1">IF(ROW()-ROW($N$2:$N$34)+1&gt;ROWS($M$2:$M$34)-COUNTBLANK($M$2:$M$34),"",INDIRECT(ADDRESS(SMALL((IF($M$2:$M$34&lt;&gt;"",ROW($M$2:$M$34),ROW()+ROWS($M$2:$M$34))),ROW()-ROW($N$2:$N$34)+1),COLUMN($M$2:$M$34),4)))</f>
        <v>#REF!</v>
      </c>
    </row>
    <row r="5" spans="1:25" ht="54.95" customHeight="1" x14ac:dyDescent="0.25">
      <c r="A5" s="275" t="str">
        <f>IF('Indicator sheet_(IS)'!P17=0,"",'Indicator sheet_(IS)'!P17)</f>
        <v>Incomplete</v>
      </c>
      <c r="B5" s="413">
        <v>3</v>
      </c>
      <c r="C5" s="34">
        <f>IF($A5="I.O.","",'Indicator sheet_(IS)'!A17)</f>
        <v>3</v>
      </c>
      <c r="D5" s="121" t="str">
        <f>IF($A5="I.O.","",'Indicator sheet_(IS)'!C17)</f>
        <v>Post-operative presentation of all primary-case patients</v>
      </c>
      <c r="E5" s="283" t="str">
        <f>IF(AND('Indicator sheet_(IS)'!J17="",$A5&lt;&gt;"I.O."),"-----",IF($A5="I.O.","",'Indicator sheet_(IS)'!J17))</f>
        <v>-----</v>
      </c>
      <c r="F5" s="309" t="str">
        <f>IF($A5="I.O.","",'Indicator sheet_(IS)'!K17)</f>
        <v>≥ 95%</v>
      </c>
      <c r="G5" s="283" t="str">
        <f>IF(AND('Indicator sheet_(IS)'!M17="",$A5&lt;&gt;"I.O."),"-----",IF($A5="I.O.","",'Indicator sheet_(IS)'!M17))</f>
        <v>-----</v>
      </c>
      <c r="H5" s="308" t="str">
        <f>IF($A5="I.O.","",IF('Indicator sheet_(IS)'!O17="","-----",'Indicator sheet_(IS)'!O17))</f>
        <v>-----</v>
      </c>
      <c r="I5" s="308">
        <f>IF($A5="I.O.","",IF('Indicator sheet_(IS)'!O18="","-----",'Indicator sheet_(IS)'!O18))</f>
        <v>0</v>
      </c>
      <c r="J5" s="276" t="str">
        <f>IF($A5="I.O.","",IF('Indicator sheet_(IS)'!O19="",0,'Indicator sheet_(IS)'!O19))</f>
        <v>n.d.</v>
      </c>
      <c r="K5" s="234" t="str">
        <f>IF($A5="I.O.","",'Indicator sheet_(IS)'!P17)</f>
        <v>Incomplete</v>
      </c>
      <c r="L5" s="277" t="str">
        <f>IF(AND('Indicator sheet_(IS)'!Q17="",$A5&lt;&gt;"I.O."),"-----",IF($A5="I.O.","",'Indicator sheet_(IS)'!Q17))</f>
        <v>-----</v>
      </c>
      <c r="M5" s="277" t="str">
        <f>IF(AND('Indicator sheet_(IS)'!R17="",$A5&lt;&gt;"I.O."),"-----",IF($A5="I.O.","",'Indicator sheet_(IS)'!R17))</f>
        <v>-----</v>
      </c>
      <c r="O5" s="217" t="e">
        <f t="array" aca="1" ref="O5" ca="1">IF(ROW()-ROW($D$2:$D$34)+1&gt;ROWS($C$2:$C$34)-COUNTBLANK($C$2:$C$34),"",INDIRECT(ADDRESS(SMALL((IF($C$2:$C$34&lt;&gt;"",ROW($C$2:$C$34),ROW()+ROWS($C$2:$C$34))),ROW()-ROW($D$2:$D$34)+1),COLUMN($C$2:$C$34),4)))</f>
        <v>#REF!</v>
      </c>
      <c r="P5" s="278" t="e">
        <f t="array" aca="1" ref="P5" ca="1">IF(ROW()-ROW($E$2:$E$34)+1&gt;ROWS($D$2:$D$34)-COUNTBLANK($D$2:$D$34),"",INDIRECT(ADDRESS(SMALL((IF($D$2:$D$34&gt;"",ROW($D$2:$D$34),ROW()+ROWS($D$2:$D$34))),ROW()-ROW($E$2:$E$34)+1),COLUMN($D$2:$D$34),4)))</f>
        <v>#REF!</v>
      </c>
      <c r="Q5" s="206" t="e">
        <f t="array" aca="1" ref="Q5" ca="1">IF(ROW()-ROW($F$2:$F$34)+1&gt;ROWS($E$2:$E$34)-COUNTBLANK($E$2:$E$34),"",INDIRECT(ADDRESS(SMALL((IF($E$2:$E$34&gt;"",ROW($E$2:$E$34),ROW()+ROWS($E$2:$E$34))),ROW()-ROW($F$2:$F$34)+1),COLUMN($E$2:$E$34),4)))</f>
        <v>#REF!</v>
      </c>
      <c r="R5" s="206" t="e">
        <f t="array" aca="1" ref="R5" ca="1">IF(ROW()-ROW($G$2:$G$34)+1&gt;ROWS($F$2:$F$34)-COUNTBLANK($F$2:$F$34),"",INDIRECT(ADDRESS(SMALL((IF($F$2:$F$34&gt;"",ROW($F$2:$F$34),ROW()+ROWS($F$2:$F$34))),ROW()-ROW($G$2:$G$34)+1),COLUMN($F$2:$F$34),4)))</f>
        <v>#REF!</v>
      </c>
      <c r="S5" s="206" t="e">
        <f t="array" aca="1" ref="S5" ca="1">IF(ROW()-ROW($H$2:$H$34)+1&gt;ROWS($G$2:$G$29)-COUNTBLANK($G$2:$G$34),"",INDIRECT(ADDRESS(SMALL((IF($G$2:$G$34&lt;&gt;"",ROW($G$2:$G$34),ROW()+ROWS($G$2:$G$34))),ROW()-ROW($H$2:$H$34)+1),COLUMN($G$2:$G$34),4)))</f>
        <v>#REF!</v>
      </c>
      <c r="T5" s="307" t="e">
        <f t="array" aca="1" ref="T5" ca="1">IF(ROW()-ROW($I$2:$I$34)+1&gt;ROWS($H$2:$H$34)-COUNTBLANK($H$2:$H$34),"",INDIRECT(ADDRESS(SMALL((IF($H$2:$H$34&lt;&gt;"",ROW($H$2:$H$34),ROW()+ROWS($H$2:$H$34))),ROW()-ROW($I$2:$I$34)+1),COLUMN($H$2:$H$34),4)))</f>
        <v>#REF!</v>
      </c>
      <c r="U5" s="307" t="e">
        <f t="array" aca="1" ref="U5" ca="1">IF(ROW()-ROW($J$2:$J$34)+1&gt;ROWS($I$2:$I$34)-COUNTBLANK($I$2:$I$34),"",INDIRECT(ADDRESS(SMALL((IF($I$2:$I$34&lt;&gt;"",ROW($I$2:$I$34),ROW()+ROWS($I$2:$I$34))),ROW()-ROW($J$2:$J$34)+1),COLUMN($I$2:$I$34),4)))</f>
        <v>#REF!</v>
      </c>
      <c r="V5" s="279" t="e">
        <f t="array" aca="1" ref="V5" ca="1">IF(ROW()-ROW($K$2:$K$34)+1&gt;ROWS($J$2:$J$34)-COUNTBLANK($J$2:$J$34),"",INDIRECT(ADDRESS(SMALL((IF($J$2:$J$34&lt;&gt;"",ROW($J$2:$J$34),ROW()+ROWS($J$2:$J$34))),ROW()-ROW($K$2:$K$34)+1),COLUMN($J$2:$J$34),4)))</f>
        <v>#REF!</v>
      </c>
      <c r="W5" s="201" t="e">
        <f t="array" aca="1" ref="W5" ca="1">IF(ROW()-ROW($L$2:$L$34)+1&gt;ROWS($K$2:$K$34)-COUNTBLANK($K$2:$K$34),"",INDIRECT(ADDRESS(SMALL((IF($K$2:$K$34&lt;&gt;"",ROW($K$2:$K$34),ROW()+ROWS($K$2:$K$34))),ROW()-ROW($L$2:$L$34)+1),COLUMN($K$2:$K$34),4)))</f>
        <v>#REF!</v>
      </c>
      <c r="X5" s="278" t="e">
        <f t="array" aca="1" ref="X5" ca="1">IF(ROW()-ROW($M$2:$M$34)+1&gt;ROWS($L$2:$L$34)-COUNTBLANK($L$2:$L$34),"",INDIRECT(ADDRESS(SMALL((IF($L$2:$L$34&lt;&gt;"",ROW($L$2:$L$34),ROW()+ROWS($L$2:$L$34))),ROW()-ROW($M$2:$M$34)+1),COLUMN($L$2:$L$34),4)))</f>
        <v>#REF!</v>
      </c>
      <c r="Y5" s="278" t="e">
        <f t="array" aca="1" ref="Y5" ca="1">IF(ROW()-ROW($N$2:$N$34)+1&gt;ROWS($M$2:$M$34)-COUNTBLANK($M$2:$M$34),"",INDIRECT(ADDRESS(SMALL((IF($M$2:$M$34&lt;&gt;"",ROW($M$2:$M$34),ROW()+ROWS($M$2:$M$34))),ROW()-ROW($N$2:$N$34)+1),COLUMN($M$2:$M$34),4)))</f>
        <v>#REF!</v>
      </c>
    </row>
    <row r="6" spans="1:25" ht="54.95" customHeight="1" x14ac:dyDescent="0.25">
      <c r="A6" s="275" t="str">
        <f>IF('Indicator sheet_(IS)'!P20=0,"",'Indicator sheet_(IS)'!P20)</f>
        <v>Incomplete</v>
      </c>
      <c r="B6" s="413">
        <v>4</v>
      </c>
      <c r="C6" s="34">
        <f>IF($A6="I.O.","",'Indicator sheet_(IS)'!A20)</f>
        <v>4</v>
      </c>
      <c r="D6" s="121" t="str">
        <f>IF($A6="I.O.","",'Indicator sheet_(IS)'!C20)</f>
        <v>Psycho-oncological distress-screening</v>
      </c>
      <c r="E6" s="283" t="str">
        <f>IF(AND('Indicator sheet_(IS)'!J20="",$A6&lt;&gt;"I.O."),"-----",IF($A6="I.O.","",'Indicator sheet_(IS)'!J20))</f>
        <v>-----</v>
      </c>
      <c r="F6" s="309" t="str">
        <f>IF($A6="I.O.","",'Indicator sheet_(IS)'!K20)</f>
        <v>≥ 65%</v>
      </c>
      <c r="G6" s="283" t="str">
        <f>IF(AND('Indicator sheet_(IS)'!M20="",$A6&lt;&gt;"I.O."),"-----",IF($A6="I.O.","",'Indicator sheet_(IS)'!M20))</f>
        <v>-----</v>
      </c>
      <c r="H6" s="308" t="str">
        <f>IF($A6="I.O.","",IF('Indicator sheet_(IS)'!O20="","-----",'Indicator sheet_(IS)'!O20))</f>
        <v>-----</v>
      </c>
      <c r="I6" s="308">
        <f>IF($A6="I.O.","",IF('Indicator sheet_(IS)'!O21="","-----",'Indicator sheet_(IS)'!O21))</f>
        <v>0</v>
      </c>
      <c r="J6" s="276" t="str">
        <f>IF($A6="I.O.","",IF('Indicator sheet_(IS)'!O22="",0,'Indicator sheet_(IS)'!O22))</f>
        <v>n.d.</v>
      </c>
      <c r="K6" s="234" t="str">
        <f>IF($A6="I.O.","",'Indicator sheet_(IS)'!P20)</f>
        <v>Incomplete</v>
      </c>
      <c r="L6" s="277" t="str">
        <f>IF(AND('Indicator sheet_(IS)'!Q20="",$A6&lt;&gt;"I.O."),"-----",IF($A6="I.O.","",'Indicator sheet_(IS)'!Q20))</f>
        <v>-----</v>
      </c>
      <c r="M6" s="277" t="str">
        <f>IF(AND('Indicator sheet_(IS)'!R20="",$A6&lt;&gt;"I.O."),"-----",IF($A6="I.O.","",'Indicator sheet_(IS)'!R20))</f>
        <v>-----</v>
      </c>
      <c r="O6" s="217" t="e">
        <f t="array" aca="1" ref="O6" ca="1">IF(ROW()-ROW($D$2:$D$34)+1&gt;ROWS($C$2:$C$34)-COUNTBLANK($C$2:$C$34),"",INDIRECT(ADDRESS(SMALL((IF($C$2:$C$34&lt;&gt;"",ROW($C$2:$C$34),ROW()+ROWS($C$2:$C$34))),ROW()-ROW($D$2:$D$34)+1),COLUMN($C$2:$C$34),4)))</f>
        <v>#REF!</v>
      </c>
      <c r="P6" s="278" t="e">
        <f t="array" aca="1" ref="P6" ca="1">IF(ROW()-ROW($E$2:$E$34)+1&gt;ROWS($D$2:$D$34)-COUNTBLANK($D$2:$D$34),"",INDIRECT(ADDRESS(SMALL((IF($D$2:$D$34&gt;"",ROW($D$2:$D$34),ROW()+ROWS($D$2:$D$34))),ROW()-ROW($E$2:$E$34)+1),COLUMN($D$2:$D$34),4)))</f>
        <v>#REF!</v>
      </c>
      <c r="Q6" s="206" t="e">
        <f t="array" aca="1" ref="Q6" ca="1">IF(ROW()-ROW($F$2:$F$34)+1&gt;ROWS($E$2:$E$34)-COUNTBLANK($E$2:$E$34),"",INDIRECT(ADDRESS(SMALL((IF($E$2:$E$34&gt;"",ROW($E$2:$E$34),ROW()+ROWS($E$2:$E$34))),ROW()-ROW($F$2:$F$34)+1),COLUMN($E$2:$E$34),4)))</f>
        <v>#REF!</v>
      </c>
      <c r="R6" s="206" t="e">
        <f t="array" aca="1" ref="R6" ca="1">IF(ROW()-ROW($G$2:$G$34)+1&gt;ROWS($F$2:$F$34)-COUNTBLANK($F$2:$F$34),"",INDIRECT(ADDRESS(SMALL((IF($F$2:$F$34&gt;"",ROW($F$2:$F$34),ROW()+ROWS($F$2:$F$34))),ROW()-ROW($G$2:$G$34)+1),COLUMN($F$2:$F$34),4)))</f>
        <v>#REF!</v>
      </c>
      <c r="S6" s="206" t="e">
        <f t="array" aca="1" ref="S6" ca="1">IF(ROW()-ROW($H$2:$H$34)+1&gt;ROWS($G$2:$G$29)-COUNTBLANK($G$2:$G$34),"",INDIRECT(ADDRESS(SMALL((IF($G$2:$G$34&lt;&gt;"",ROW($G$2:$G$34),ROW()+ROWS($G$2:$G$34))),ROW()-ROW($H$2:$H$34)+1),COLUMN($G$2:$G$34),4)))</f>
        <v>#REF!</v>
      </c>
      <c r="T6" s="307" t="e">
        <f t="array" aca="1" ref="T6" ca="1">IF(ROW()-ROW($I$2:$I$34)+1&gt;ROWS($H$2:$H$34)-COUNTBLANK($H$2:$H$34),"",INDIRECT(ADDRESS(SMALL((IF($H$2:$H$34&lt;&gt;"",ROW($H$2:$H$34),ROW()+ROWS($H$2:$H$34))),ROW()-ROW($I$2:$I$34)+1),COLUMN($H$2:$H$34),4)))</f>
        <v>#REF!</v>
      </c>
      <c r="U6" s="307" t="e">
        <f t="array" aca="1" ref="U6" ca="1">IF(ROW()-ROW($J$2:$J$34)+1&gt;ROWS($I$2:$I$34)-COUNTBLANK($I$2:$I$34),"",INDIRECT(ADDRESS(SMALL((IF($I$2:$I$34&lt;&gt;"",ROW($I$2:$I$34),ROW()+ROWS($I$2:$I$34))),ROW()-ROW($J$2:$J$34)+1),COLUMN($I$2:$I$34),4)))</f>
        <v>#REF!</v>
      </c>
      <c r="V6" s="279" t="e">
        <f t="array" aca="1" ref="V6" ca="1">IF(ROW()-ROW($K$2:$K$34)+1&gt;ROWS($J$2:$J$34)-COUNTBLANK($J$2:$J$34),"",INDIRECT(ADDRESS(SMALL((IF($J$2:$J$34&lt;&gt;"",ROW($J$2:$J$34),ROW()+ROWS($J$2:$J$34))),ROW()-ROW($K$2:$K$34)+1),COLUMN($J$2:$J$34),4)))</f>
        <v>#REF!</v>
      </c>
      <c r="W6" s="201" t="e">
        <f t="array" aca="1" ref="W6" ca="1">IF(ROW()-ROW($L$2:$L$34)+1&gt;ROWS($K$2:$K$34)-COUNTBLANK($K$2:$K$34),"",INDIRECT(ADDRESS(SMALL((IF($K$2:$K$34&lt;&gt;"",ROW($K$2:$K$34),ROW()+ROWS($K$2:$K$34))),ROW()-ROW($L$2:$L$34)+1),COLUMN($K$2:$K$34),4)))</f>
        <v>#REF!</v>
      </c>
      <c r="X6" s="278" t="e">
        <f t="array" aca="1" ref="X6" ca="1">IF(ROW()-ROW($M$2:$M$34)+1&gt;ROWS($L$2:$L$34)-COUNTBLANK($L$2:$L$34),"",INDIRECT(ADDRESS(SMALL((IF($L$2:$L$34&lt;&gt;"",ROW($L$2:$L$34),ROW()+ROWS($L$2:$L$34))),ROW()-ROW($M$2:$M$34)+1),COLUMN($L$2:$L$34),4)))</f>
        <v>#REF!</v>
      </c>
      <c r="Y6" s="278" t="e">
        <f t="array" aca="1" ref="Y6" ca="1">IF(ROW()-ROW($N$2:$N$34)+1&gt;ROWS($M$2:$M$34)-COUNTBLANK($M$2:$M$34),"",INDIRECT(ADDRESS(SMALL((IF($M$2:$M$34&lt;&gt;"",ROW($M$2:$M$34),ROW()+ROWS($M$2:$M$34))),ROW()-ROW($N$2:$N$34)+1),COLUMN($M$2:$M$34),4)))</f>
        <v>#REF!</v>
      </c>
    </row>
    <row r="7" spans="1:25" ht="54.95" customHeight="1" x14ac:dyDescent="0.25">
      <c r="A7" s="275" t="str">
        <f>IF('Indicator sheet_(IS)'!P23=0,"",'Indicator sheet_(IS)'!P23)</f>
        <v>Incomplete</v>
      </c>
      <c r="B7" s="413">
        <v>5</v>
      </c>
      <c r="C7" s="34">
        <f>IF($A7="I.O.","",'Indicator sheet_(IS)'!A23)</f>
        <v>5</v>
      </c>
      <c r="D7" s="121" t="str">
        <f>IF($A7="I.O.","",'Indicator sheet_(IS)'!C23)</f>
        <v>Social services counselling</v>
      </c>
      <c r="E7" s="283" t="str">
        <f>IF(AND('Indicator sheet_(IS)'!J23="",$A7&lt;&gt;"I.O."),"-----",IF($A7="I.O.","",'Indicator sheet_(IS)'!J23))</f>
        <v>&lt; 50%</v>
      </c>
      <c r="F7" s="309" t="str">
        <f>IF($A7="I.O.","",'Indicator sheet_(IS)'!K23)</f>
        <v>No target value</v>
      </c>
      <c r="G7" s="283" t="str">
        <f>IF(AND('Indicator sheet_(IS)'!M23="",$A7&lt;&gt;"I.O."),"-----",IF($A7="I.O.","",'Indicator sheet_(IS)'!M23))</f>
        <v>-----</v>
      </c>
      <c r="H7" s="308" t="str">
        <f>IF($A7="I.O.","",IF('Indicator sheet_(IS)'!O23="","-----",'Indicator sheet_(IS)'!O23))</f>
        <v>-----</v>
      </c>
      <c r="I7" s="308">
        <f>IF($A7="I.O.","",IF('Indicator sheet_(IS)'!O24="","-----",'Indicator sheet_(IS)'!O24))</f>
        <v>0</v>
      </c>
      <c r="J7" s="276" t="str">
        <f>IF($A7="I.O.","",IF('Indicator sheet_(IS)'!O25="",0,'Indicator sheet_(IS)'!O25))</f>
        <v>n.d.</v>
      </c>
      <c r="K7" s="234" t="str">
        <f>IF($A7="I.O.","",'Indicator sheet_(IS)'!P23)</f>
        <v>Incomplete</v>
      </c>
      <c r="L7" s="277" t="str">
        <f>IF(AND('Indicator sheet_(IS)'!Q23="",$A7&lt;&gt;"I.O."),"-----",IF($A7="I.O.","",'Indicator sheet_(IS)'!Q23))</f>
        <v>-----</v>
      </c>
      <c r="M7" s="277" t="str">
        <f>IF(AND('Indicator sheet_(IS)'!R23="",$A7&lt;&gt;"I.O."),"-----",IF($A7="I.O.","",'Indicator sheet_(IS)'!R23))</f>
        <v>-----</v>
      </c>
      <c r="O7" s="217" t="e">
        <f t="array" aca="1" ref="O7" ca="1">IF(ROW()-ROW($D$2:$D$34)+1&gt;ROWS($C$2:$C$34)-COUNTBLANK($C$2:$C$34),"",INDIRECT(ADDRESS(SMALL((IF($C$2:$C$34&lt;&gt;"",ROW($C$2:$C$34),ROW()+ROWS($C$2:$C$34))),ROW()-ROW($D$2:$D$34)+1),COLUMN($C$2:$C$34),4)))</f>
        <v>#REF!</v>
      </c>
      <c r="P7" s="278" t="e">
        <f t="array" aca="1" ref="P7" ca="1">IF(ROW()-ROW($E$2:$E$34)+1&gt;ROWS($D$2:$D$34)-COUNTBLANK($D$2:$D$34),"",INDIRECT(ADDRESS(SMALL((IF($D$2:$D$34&gt;"",ROW($D$2:$D$34),ROW()+ROWS($D$2:$D$34))),ROW()-ROW($E$2:$E$34)+1),COLUMN($D$2:$D$34),4)))</f>
        <v>#REF!</v>
      </c>
      <c r="Q7" s="206" t="e">
        <f t="array" aca="1" ref="Q7" ca="1">IF(ROW()-ROW($F$2:$F$34)+1&gt;ROWS($E$2:$E$34)-COUNTBLANK($E$2:$E$34),"",INDIRECT(ADDRESS(SMALL((IF($E$2:$E$34&gt;"",ROW($E$2:$E$34),ROW()+ROWS($E$2:$E$34))),ROW()-ROW($F$2:$F$34)+1),COLUMN($E$2:$E$34),4)))</f>
        <v>#REF!</v>
      </c>
      <c r="R7" s="206" t="e">
        <f t="array" aca="1" ref="R7" ca="1">IF(ROW()-ROW($G$2:$G$34)+1&gt;ROWS($F$2:$F$34)-COUNTBLANK($F$2:$F$34),"",INDIRECT(ADDRESS(SMALL((IF($F$2:$F$34&gt;"",ROW($F$2:$F$34),ROW()+ROWS($F$2:$F$34))),ROW()-ROW($G$2:$G$34)+1),COLUMN($F$2:$F$34),4)))</f>
        <v>#REF!</v>
      </c>
      <c r="S7" s="206" t="e">
        <f t="array" aca="1" ref="S7" ca="1">IF(ROW()-ROW($H$2:$H$34)+1&gt;ROWS($G$2:$G$29)-COUNTBLANK($G$2:$G$34),"",INDIRECT(ADDRESS(SMALL((IF($G$2:$G$34&lt;&gt;"",ROW($G$2:$G$34),ROW()+ROWS($G$2:$G$34))),ROW()-ROW($H$2:$H$34)+1),COLUMN($G$2:$G$34),4)))</f>
        <v>#REF!</v>
      </c>
      <c r="T7" s="307" t="e">
        <f t="array" aca="1" ref="T7" ca="1">IF(ROW()-ROW($I$2:$I$34)+1&gt;ROWS($H$2:$H$34)-COUNTBLANK($H$2:$H$34),"",INDIRECT(ADDRESS(SMALL((IF($H$2:$H$34&lt;&gt;"",ROW($H$2:$H$34),ROW()+ROWS($H$2:$H$34))),ROW()-ROW($I$2:$I$34)+1),COLUMN($H$2:$H$34),4)))</f>
        <v>#REF!</v>
      </c>
      <c r="U7" s="307" t="e">
        <f t="array" aca="1" ref="U7" ca="1">IF(ROW()-ROW($J$2:$J$34)+1&gt;ROWS($I$2:$I$34)-COUNTBLANK($I$2:$I$34),"",INDIRECT(ADDRESS(SMALL((IF($I$2:$I$34&lt;&gt;"",ROW($I$2:$I$34),ROW()+ROWS($I$2:$I$34))),ROW()-ROW($J$2:$J$34)+1),COLUMN($I$2:$I$34),4)))</f>
        <v>#REF!</v>
      </c>
      <c r="V7" s="279" t="e">
        <f t="array" aca="1" ref="V7" ca="1">IF(ROW()-ROW($K$2:$K$34)+1&gt;ROWS($J$2:$J$34)-COUNTBLANK($J$2:$J$34),"",INDIRECT(ADDRESS(SMALL((IF($J$2:$J$34&lt;&gt;"",ROW($J$2:$J$34),ROW()+ROWS($J$2:$J$34))),ROW()-ROW($K$2:$K$34)+1),COLUMN($J$2:$J$34),4)))</f>
        <v>#REF!</v>
      </c>
      <c r="W7" s="201" t="e">
        <f t="array" aca="1" ref="W7" ca="1">IF(ROW()-ROW($L$2:$L$34)+1&gt;ROWS($K$2:$K$34)-COUNTBLANK($K$2:$K$34),"",INDIRECT(ADDRESS(SMALL((IF($K$2:$K$34&lt;&gt;"",ROW($K$2:$K$34),ROW()+ROWS($K$2:$K$34))),ROW()-ROW($L$2:$L$34)+1),COLUMN($K$2:$K$34),4)))</f>
        <v>#REF!</v>
      </c>
      <c r="X7" s="278" t="e">
        <f t="array" aca="1" ref="X7" ca="1">IF(ROW()-ROW($M$2:$M$34)+1&gt;ROWS($L$2:$L$34)-COUNTBLANK($L$2:$L$34),"",INDIRECT(ADDRESS(SMALL((IF($L$2:$L$34&lt;&gt;"",ROW($L$2:$L$34),ROW()+ROWS($L$2:$L$34))),ROW()-ROW($M$2:$M$34)+1),COLUMN($L$2:$L$34),4)))</f>
        <v>#REF!</v>
      </c>
      <c r="Y7" s="278" t="e">
        <f t="array" aca="1" ref="Y7" ca="1">IF(ROW()-ROW($N$2:$N$34)+1&gt;ROWS($M$2:$M$34)-COUNTBLANK($M$2:$M$34),"",INDIRECT(ADDRESS(SMALL((IF($M$2:$M$34&lt;&gt;"",ROW($M$2:$M$34),ROW()+ROWS($M$2:$M$34))),ROW()-ROW($N$2:$N$34)+1),COLUMN($M$2:$M$34),4)))</f>
        <v>#REF!</v>
      </c>
    </row>
    <row r="8" spans="1:25" ht="54.95" customHeight="1" x14ac:dyDescent="0.25">
      <c r="A8" s="275" t="str">
        <f>IF('Indicator sheet_(IS)'!P26=0,"",'Indicator sheet_(IS)'!P26)</f>
        <v>Incomplete</v>
      </c>
      <c r="B8" s="413">
        <v>6</v>
      </c>
      <c r="C8" s="34" t="str">
        <f>IF($A8="I.O.","",LEFT('Indicator sheet_(IS)'!A26,1))</f>
        <v>6</v>
      </c>
      <c r="D8" s="121" t="str">
        <f>IF($A8="I.O.","",'Indicator sheet_(IS)'!C26)</f>
        <v xml:space="preserve">Patients enrolled in a study </v>
      </c>
      <c r="E8" s="283" t="str">
        <f>IF(AND('Indicator sheet_(IS)'!J26="",$A8&lt;&gt;"I.O."),"-----",IF($A8="I.O.","",'Indicator sheet_(IS)'!J26))</f>
        <v>-----</v>
      </c>
      <c r="F8" s="309" t="str">
        <f>IF($A8="I.O.","",'Indicator sheet_(IS)'!K26)</f>
        <v>≥ 5%</v>
      </c>
      <c r="G8" s="283" t="str">
        <f>IF(AND('Indicator sheet_(IS)'!M26="",$A8&lt;&gt;"I.O."),"-----",IF($A8="I.O.","",'Indicator sheet_(IS)'!M26))</f>
        <v>-----</v>
      </c>
      <c r="H8" s="308">
        <f>IF($A8="I.O.","",IF('Indicator sheet_(IS)'!O26="","-----",'Indicator sheet_(IS)'!O26))</f>
        <v>0</v>
      </c>
      <c r="I8" s="308">
        <f>IF($A8="I.O.","",IF('Indicator sheet_(IS)'!O27="","-----",'Indicator sheet_(IS)'!O27))</f>
        <v>0</v>
      </c>
      <c r="J8" s="276" t="str">
        <f>IF($A8="I.O.","",IF('Indicator sheet_(IS)'!O28="",0,'Indicator sheet_(IS)'!O28))</f>
        <v>n.d.</v>
      </c>
      <c r="K8" s="234" t="str">
        <f>IF($A8="I.O.","",'Indicator sheet_(IS)'!P26)</f>
        <v>Incomplete</v>
      </c>
      <c r="L8" s="277" t="str">
        <f>IF(AND('Indicator sheet_(IS)'!Q26="",$A8&lt;&gt;"I.O."),"-----",IF($A8="I.O.","",'Indicator sheet_(IS)'!Q26))</f>
        <v>-----</v>
      </c>
      <c r="M8" s="277" t="str">
        <f>IF(AND('Indicator sheet_(IS)'!R26="",$A8&lt;&gt;"I.O."),"-----",IF($A8="I.O.","",'Indicator sheet_(IS)'!R26))</f>
        <v>-----</v>
      </c>
      <c r="O8" s="217" t="e">
        <f t="array" aca="1" ref="O8" ca="1">IF(ROW()-ROW($D$2:$D$34)+1&gt;ROWS($C$2:$C$34)-COUNTBLANK($C$2:$C$34),"",INDIRECT(ADDRESS(SMALL((IF($C$2:$C$34&lt;&gt;"",ROW($C$2:$C$34),ROW()+ROWS($C$2:$C$34))),ROW()-ROW($D$2:$D$34)+1),COLUMN($C$2:$C$34),4)))</f>
        <v>#REF!</v>
      </c>
      <c r="P8" s="278" t="e">
        <f t="array" aca="1" ref="P8" ca="1">IF(ROW()-ROW($E$2:$E$34)+1&gt;ROWS($D$2:$D$34)-COUNTBLANK($D$2:$D$34),"",INDIRECT(ADDRESS(SMALL((IF($D$2:$D$34&gt;"",ROW($D$2:$D$34),ROW()+ROWS($D$2:$D$34))),ROW()-ROW($E$2:$E$34)+1),COLUMN($D$2:$D$34),4)))</f>
        <v>#REF!</v>
      </c>
      <c r="Q8" s="206" t="e">
        <f t="array" aca="1" ref="Q8" ca="1">IF(ROW()-ROW($F$2:$F$34)+1&gt;ROWS($E$2:$E$34)-COUNTBLANK($E$2:$E$34),"",INDIRECT(ADDRESS(SMALL((IF($E$2:$E$34&gt;"",ROW($E$2:$E$34),ROW()+ROWS($E$2:$E$34))),ROW()-ROW($F$2:$F$34)+1),COLUMN($E$2:$E$34),4)))</f>
        <v>#REF!</v>
      </c>
      <c r="R8" s="206" t="e">
        <f t="array" aca="1" ref="R8" ca="1">IF(ROW()-ROW($G$2:$G$34)+1&gt;ROWS($F$2:$F$34)-COUNTBLANK($F$2:$F$34),"",INDIRECT(ADDRESS(SMALL((IF($F$2:$F$34&gt;"",ROW($F$2:$F$34),ROW()+ROWS($F$2:$F$34))),ROW()-ROW($G$2:$G$34)+1),COLUMN($F$2:$F$34),4)))</f>
        <v>#REF!</v>
      </c>
      <c r="S8" s="206" t="e">
        <f t="array" aca="1" ref="S8" ca="1">IF(ROW()-ROW($H$2:$H$34)+1&gt;ROWS($G$2:$G$29)-COUNTBLANK($G$2:$G$34),"",INDIRECT(ADDRESS(SMALL((IF($G$2:$G$34&lt;&gt;"",ROW($G$2:$G$34),ROW()+ROWS($G$2:$G$34))),ROW()-ROW($H$2:$H$34)+1),COLUMN($G$2:$G$34),4)))</f>
        <v>#REF!</v>
      </c>
      <c r="T8" s="307" t="e">
        <f t="array" aca="1" ref="T8" ca="1">IF(ROW()-ROW($I$2:$I$34)+1&gt;ROWS($H$2:$H$34)-COUNTBLANK($H$2:$H$34),"",INDIRECT(ADDRESS(SMALL((IF($H$2:$H$34&lt;&gt;"",ROW($H$2:$H$34),ROW()+ROWS($H$2:$H$34))),ROW()-ROW($I$2:$I$34)+1),COLUMN($H$2:$H$34),4)))</f>
        <v>#REF!</v>
      </c>
      <c r="U8" s="307" t="e">
        <f t="array" aca="1" ref="U8" ca="1">IF(ROW()-ROW($J$2:$J$34)+1&gt;ROWS($I$2:$I$34)-COUNTBLANK($I$2:$I$34),"",INDIRECT(ADDRESS(SMALL((IF($I$2:$I$34&lt;&gt;"",ROW($I$2:$I$34),ROW()+ROWS($I$2:$I$34))),ROW()-ROW($J$2:$J$34)+1),COLUMN($I$2:$I$34),4)))</f>
        <v>#REF!</v>
      </c>
      <c r="V8" s="279" t="e">
        <f t="array" aca="1" ref="V8" ca="1">IF(ROW()-ROW($K$2:$K$34)+1&gt;ROWS($J$2:$J$34)-COUNTBLANK($J$2:$J$34),"",INDIRECT(ADDRESS(SMALL((IF($J$2:$J$34&lt;&gt;"",ROW($J$2:$J$34),ROW()+ROWS($J$2:$J$34))),ROW()-ROW($K$2:$K$34)+1),COLUMN($J$2:$J$34),4)))</f>
        <v>#REF!</v>
      </c>
      <c r="W8" s="201" t="e">
        <f t="array" aca="1" ref="W8" ca="1">IF(ROW()-ROW($L$2:$L$34)+1&gt;ROWS($K$2:$K$34)-COUNTBLANK($K$2:$K$34),"",INDIRECT(ADDRESS(SMALL((IF($K$2:$K$34&lt;&gt;"",ROW($K$2:$K$34),ROW()+ROWS($K$2:$K$34))),ROW()-ROW($L$2:$L$34)+1),COLUMN($K$2:$K$34),4)))</f>
        <v>#REF!</v>
      </c>
      <c r="X8" s="278" t="e">
        <f t="array" aca="1" ref="X8" ca="1">IF(ROW()-ROW($M$2:$M$34)+1&gt;ROWS($L$2:$L$34)-COUNTBLANK($L$2:$L$34),"",INDIRECT(ADDRESS(SMALL((IF($L$2:$L$34&lt;&gt;"",ROW($L$2:$L$34),ROW()+ROWS($L$2:$L$34))),ROW()-ROW($M$2:$M$34)+1),COLUMN($L$2:$L$34),4)))</f>
        <v>#REF!</v>
      </c>
      <c r="Y8" s="278" t="e">
        <f t="array" aca="1" ref="Y8" ca="1">IF(ROW()-ROW($N$2:$N$34)+1&gt;ROWS($M$2:$M$34)-COUNTBLANK($M$2:$M$34),"",INDIRECT(ADDRESS(SMALL((IF($M$2:$M$34&lt;&gt;"",ROW($M$2:$M$34),ROW()+ROWS($M$2:$M$34))),ROW()-ROW($N$2:$N$34)+1),COLUMN($M$2:$M$34),4)))</f>
        <v>#REF!</v>
      </c>
    </row>
    <row r="9" spans="1:25" ht="54.95" customHeight="1" x14ac:dyDescent="0.25">
      <c r="A9" s="275" t="str">
        <f>IF('Indicator sheet_(IS)'!P29=0,"",'Indicator sheet_(IS)'!P29)</f>
        <v>Incomplete</v>
      </c>
      <c r="B9" s="413">
        <v>7</v>
      </c>
      <c r="C9" s="34" t="str">
        <f>IF($A9="I.O.","",LEFT('Indicator sheet_(IS)'!A29,1))</f>
        <v>7</v>
      </c>
      <c r="D9" s="121" t="str">
        <f>IF($A9="I.O.","",'Indicator sheet_(IS)'!C29)</f>
        <v>Colorectal carcinoma patients with a recorded family history</v>
      </c>
      <c r="E9" s="283" t="str">
        <f>IF(AND('Indicator sheet_(IS)'!J29="",$A9&lt;&gt;"I.O."),"-----",IF($A9="I.O.","",'Indicator sheet_(IS)'!J29))</f>
        <v>-----</v>
      </c>
      <c r="F9" s="309" t="str">
        <f>IF($A9="I.O.","",'Indicator sheet_(IS)'!K29)</f>
        <v>≥ 90%</v>
      </c>
      <c r="G9" s="283" t="str">
        <f>IF(AND('Indicator sheet_(IS)'!M29="",$A9&lt;&gt;"I.O."),"-----",IF($A9="I.O.","",'Indicator sheet_(IS)'!M29))</f>
        <v>-----</v>
      </c>
      <c r="H9" s="308" t="str">
        <f>IF($A9="I.O.","",IF('Indicator sheet_(IS)'!O29="","-----",'Indicator sheet_(IS)'!O29))</f>
        <v>-----</v>
      </c>
      <c r="I9" s="308">
        <f>IF($A9="I.O.","",IF('Indicator sheet_(IS)'!O30="","-----",'Indicator sheet_(IS)'!O30))</f>
        <v>0</v>
      </c>
      <c r="J9" s="276" t="str">
        <f>IF($A9="I.O.","",IF('Indicator sheet_(IS)'!O31="","-----",'Indicator sheet_(IS)'!O31))</f>
        <v>n.d.</v>
      </c>
      <c r="K9" s="234" t="str">
        <f>IF($A9="I.O.","",'Indicator sheet_(IS)'!P29)</f>
        <v>Incomplete</v>
      </c>
      <c r="L9" s="277" t="str">
        <f>IF(AND('Indicator sheet_(IS)'!Q29="",$A9&lt;&gt;"I.O."),"-----",IF($A9="I.O.","",'Indicator sheet_(IS)'!Q29))</f>
        <v>-----</v>
      </c>
      <c r="M9" s="277" t="str">
        <f>IF(AND('Indicator sheet_(IS)'!R29="",$A9&lt;&gt;"I.O."),"-----",IF($A9="I.O.","",'Indicator sheet_(IS)'!R29))</f>
        <v>-----</v>
      </c>
      <c r="O9" s="217" t="e">
        <f t="array" aca="1" ref="O9" ca="1">IF(ROW()-ROW($D$2:$D$34)+1&gt;ROWS($C$2:$C$34)-COUNTBLANK($C$2:$C$34),"",INDIRECT(ADDRESS(SMALL((IF($C$2:$C$34&lt;&gt;"",ROW($C$2:$C$34),ROW()+ROWS($C$2:$C$34))),ROW()-ROW($D$2:$D$34)+1),COLUMN($C$2:$C$34),4)))</f>
        <v>#REF!</v>
      </c>
      <c r="P9" s="278" t="e">
        <f t="array" aca="1" ref="P9" ca="1">IF(ROW()-ROW($E$2:$E$34)+1&gt;ROWS($D$2:$D$34)-COUNTBLANK($D$2:$D$34),"",INDIRECT(ADDRESS(SMALL((IF($D$2:$D$34&gt;"",ROW($D$2:$D$34),ROW()+ROWS($D$2:$D$34))),ROW()-ROW($E$2:$E$34)+1),COLUMN($D$2:$D$34),4)))</f>
        <v>#REF!</v>
      </c>
      <c r="Q9" s="206" t="e">
        <f t="array" aca="1" ref="Q9" ca="1">IF(ROW()-ROW($F$2:$F$34)+1&gt;ROWS($E$2:$E$34)-COUNTBLANK($E$2:$E$34),"",INDIRECT(ADDRESS(SMALL((IF($E$2:$E$34&gt;"",ROW($E$2:$E$34),ROW()+ROWS($E$2:$E$34))),ROW()-ROW($F$2:$F$34)+1),COLUMN($E$2:$E$34),4)))</f>
        <v>#REF!</v>
      </c>
      <c r="R9" s="206" t="e">
        <f t="array" aca="1" ref="R9" ca="1">IF(ROW()-ROW($G$2:$G$34)+1&gt;ROWS($F$2:$F$34)-COUNTBLANK($F$2:$F$34),"",INDIRECT(ADDRESS(SMALL((IF($F$2:$F$34&gt;"",ROW($F$2:$F$34),ROW()+ROWS($F$2:$F$34))),ROW()-ROW($G$2:$G$34)+1),COLUMN($F$2:$F$34),4)))</f>
        <v>#REF!</v>
      </c>
      <c r="S9" s="206" t="e">
        <f t="array" aca="1" ref="S9" ca="1">IF(ROW()-ROW($H$2:$H$34)+1&gt;ROWS($G$2:$G$29)-COUNTBLANK($G$2:$G$34),"",INDIRECT(ADDRESS(SMALL((IF($G$2:$G$34&lt;&gt;"",ROW($G$2:$G$34),ROW()+ROWS($G$2:$G$34))),ROW()-ROW($H$2:$H$34)+1),COLUMN($G$2:$G$34),4)))</f>
        <v>#REF!</v>
      </c>
      <c r="T9" s="307" t="e">
        <f t="array" aca="1" ref="T9" ca="1">IF(ROW()-ROW($I$2:$I$34)+1&gt;ROWS($H$2:$H$34)-COUNTBLANK($H$2:$H$34),"",INDIRECT(ADDRESS(SMALL((IF($H$2:$H$34&lt;&gt;"",ROW($H$2:$H$34),ROW()+ROWS($H$2:$H$34))),ROW()-ROW($I$2:$I$34)+1),COLUMN($H$2:$H$34),4)))</f>
        <v>#REF!</v>
      </c>
      <c r="U9" s="307" t="e">
        <f t="array" aca="1" ref="U9" ca="1">IF(ROW()-ROW($J$2:$J$34)+1&gt;ROWS($I$2:$I$34)-COUNTBLANK($I$2:$I$34),"",INDIRECT(ADDRESS(SMALL((IF($I$2:$I$34&lt;&gt;"",ROW($I$2:$I$34),ROW()+ROWS($I$2:$I$34))),ROW()-ROW($J$2:$J$34)+1),COLUMN($I$2:$I$34),4)))</f>
        <v>#REF!</v>
      </c>
      <c r="V9" s="279" t="e">
        <f t="array" aca="1" ref="V9" ca="1">IF(ROW()-ROW($K$2:$K$34)+1&gt;ROWS($J$2:$J$34)-COUNTBLANK($J$2:$J$34),"",INDIRECT(ADDRESS(SMALL((IF($J$2:$J$34&lt;&gt;"",ROW($J$2:$J$34),ROW()+ROWS($J$2:$J$34))),ROW()-ROW($K$2:$K$34)+1),COLUMN($J$2:$J$34),4)))</f>
        <v>#REF!</v>
      </c>
      <c r="W9" s="201" t="e">
        <f t="array" aca="1" ref="W9" ca="1">IF(ROW()-ROW($L$2:$L$34)+1&gt;ROWS($K$2:$K$34)-COUNTBLANK($K$2:$K$34),"",INDIRECT(ADDRESS(SMALL((IF($K$2:$K$34&lt;&gt;"",ROW($K$2:$K$34),ROW()+ROWS($K$2:$K$34))),ROW()-ROW($L$2:$L$34)+1),COLUMN($K$2:$K$34),4)))</f>
        <v>#REF!</v>
      </c>
      <c r="X9" s="278" t="e">
        <f t="array" aca="1" ref="X9" ca="1">IF(ROW()-ROW($M$2:$M$34)+1&gt;ROWS($L$2:$L$34)-COUNTBLANK($L$2:$L$34),"",INDIRECT(ADDRESS(SMALL((IF($L$2:$L$34&lt;&gt;"",ROW($L$2:$L$34),ROW()+ROWS($L$2:$L$34))),ROW()-ROW($M$2:$M$34)+1),COLUMN($L$2:$L$34),4)))</f>
        <v>#REF!</v>
      </c>
      <c r="Y9" s="278" t="e">
        <f t="array" aca="1" ref="Y9" ca="1">IF(ROW()-ROW($N$2:$N$34)+1&gt;ROWS($M$2:$M$34)-COUNTBLANK($M$2:$M$34),"",INDIRECT(ADDRESS(SMALL((IF($M$2:$M$34&lt;&gt;"",ROW($M$2:$M$34),ROW()+ROWS($M$2:$M$34))),ROW()-ROW($N$2:$N$34)+1),COLUMN($M$2:$M$34),4)))</f>
        <v>#REF!</v>
      </c>
    </row>
    <row r="10" spans="1:25" ht="54.95" customHeight="1" x14ac:dyDescent="0.25">
      <c r="A10" s="275" t="str">
        <f>IF('Indicator sheet_(IS)'!P32=0,"",'Indicator sheet_(IS)'!P32)</f>
        <v>Incomplete</v>
      </c>
      <c r="B10" s="412">
        <v>8</v>
      </c>
      <c r="C10" s="34" t="str">
        <f>IF($A10="I.O.","",'Indicator sheet_(IS)'!A32)</f>
        <v xml:space="preserve">8
</v>
      </c>
      <c r="D10" s="121" t="str">
        <f>IF($A10="I.O.","",'Indicator sheet_(IS)'!C32)</f>
        <v>Genetic counselling</v>
      </c>
      <c r="E10" s="283" t="str">
        <f>IF(AND('Indicator sheet_(IS)'!J32="",$A10&lt;&gt;"I.O."),"-----",IF($A10="I.O.","",'Indicator sheet_(IS)'!J32))</f>
        <v>-----</v>
      </c>
      <c r="F10" s="309" t="str">
        <f>IF($A10="I.O.","",'Indicator sheet_(IS)'!K32)</f>
        <v>≥ 90%</v>
      </c>
      <c r="G10" s="283" t="str">
        <f>IF(AND('Indicator sheet_(IS)'!M32="",$A10&lt;&gt;"I.O."),"-----",IF($A10="I.O.","",'Indicator sheet_(IS)'!M32))</f>
        <v>-----</v>
      </c>
      <c r="H10" s="308" t="str">
        <f>IF($A10="I.O.","",IF('Indicator sheet_(IS)'!O32="","-----",'Indicator sheet_(IS)'!O32))</f>
        <v>-----</v>
      </c>
      <c r="I10" s="308" t="str">
        <f>IF($A10="I.O.","",IF('Indicator sheet_(IS)'!O33="","-----",'Indicator sheet_(IS)'!O33))</f>
        <v>-----</v>
      </c>
      <c r="J10" s="276" t="str">
        <f>IF($A10="I.O.","",IF('Indicator sheet_(IS)'!O34="","-----",'Indicator sheet_(IS)'!O34))</f>
        <v>n.d.</v>
      </c>
      <c r="K10" s="234" t="str">
        <f>IF($A10="I.O.","",'Indicator sheet_(IS)'!P32)</f>
        <v>Incomplete</v>
      </c>
      <c r="L10" s="277" t="str">
        <f>IF(AND('Indicator sheet_(IS)'!Q32="",$A10&lt;&gt;"I.O."),"-----",IF($A10="I.O.","",'Indicator sheet_(IS)'!Q32))</f>
        <v>-----</v>
      </c>
      <c r="M10" s="277" t="str">
        <f>IF(AND('Indicator sheet_(IS)'!R32="",$A10&lt;&gt;"I.O."),"-----",IF($A10="I.O.","",'Indicator sheet_(IS)'!R32))</f>
        <v>-----</v>
      </c>
      <c r="O10" s="217" t="e">
        <f t="array" aca="1" ref="O10" ca="1">IF(ROW()-ROW($D$2:$D$34)+1&gt;ROWS($C$2:$C$34)-COUNTBLANK($C$2:$C$34),"",INDIRECT(ADDRESS(SMALL((IF($C$2:$C$34&lt;&gt;"",ROW($C$2:$C$34),ROW()+ROWS($C$2:$C$34))),ROW()-ROW($D$2:$D$34)+1),COLUMN($C$2:$C$34),4)))</f>
        <v>#REF!</v>
      </c>
      <c r="P10" s="278" t="e">
        <f t="array" aca="1" ref="P10" ca="1">IF(ROW()-ROW($E$2:$E$34)+1&gt;ROWS($D$2:$D$34)-COUNTBLANK($D$2:$D$34),"",INDIRECT(ADDRESS(SMALL((IF($D$2:$D$34&gt;"",ROW($D$2:$D$34),ROW()+ROWS($D$2:$D$34))),ROW()-ROW($E$2:$E$34)+1),COLUMN($D$2:$D$34),4)))</f>
        <v>#REF!</v>
      </c>
      <c r="Q10" s="206" t="e">
        <f t="array" aca="1" ref="Q10" ca="1">IF(ROW()-ROW($F$2:$F$34)+1&gt;ROWS($E$2:$E$34)-COUNTBLANK($E$2:$E$34),"",INDIRECT(ADDRESS(SMALL((IF($E$2:$E$34&gt;"",ROW($E$2:$E$34),ROW()+ROWS($E$2:$E$34))),ROW()-ROW($F$2:$F$34)+1),COLUMN($E$2:$E$34),4)))</f>
        <v>#REF!</v>
      </c>
      <c r="R10" s="206" t="e">
        <f t="array" aca="1" ref="R10" ca="1">IF(ROW()-ROW($G$2:$G$34)+1&gt;ROWS($F$2:$F$34)-COUNTBLANK($F$2:$F$34),"",INDIRECT(ADDRESS(SMALL((IF($F$2:$F$34&gt;"",ROW($F$2:$F$34),ROW()+ROWS($F$2:$F$34))),ROW()-ROW($G$2:$G$34)+1),COLUMN($F$2:$F$34),4)))</f>
        <v>#REF!</v>
      </c>
      <c r="S10" s="206" t="e">
        <f t="array" aca="1" ref="S10" ca="1">IF(ROW()-ROW($H$2:$H$34)+1&gt;ROWS($G$2:$G$29)-COUNTBLANK($G$2:$G$34),"",INDIRECT(ADDRESS(SMALL((IF($G$2:$G$34&lt;&gt;"",ROW($G$2:$G$34),ROW()+ROWS($G$2:$G$34))),ROW()-ROW($H$2:$H$34)+1),COLUMN($G$2:$G$34),4)))</f>
        <v>#REF!</v>
      </c>
      <c r="T10" s="307" t="e">
        <f t="array" aca="1" ref="T10" ca="1">IF(ROW()-ROW($I$2:$I$34)+1&gt;ROWS($H$2:$H$34)-COUNTBLANK($H$2:$H$34),"",INDIRECT(ADDRESS(SMALL((IF($H$2:$H$34&lt;&gt;"",ROW($H$2:$H$34),ROW()+ROWS($H$2:$H$34))),ROW()-ROW($I$2:$I$34)+1),COLUMN($H$2:$H$34),4)))</f>
        <v>#REF!</v>
      </c>
      <c r="U10" s="307" t="e">
        <f t="array" aca="1" ref="U10" ca="1">IF(ROW()-ROW($J$2:$J$34)+1&gt;ROWS($I$2:$I$34)-COUNTBLANK($I$2:$I$34),"",INDIRECT(ADDRESS(SMALL((IF($I$2:$I$34&lt;&gt;"",ROW($I$2:$I$34),ROW()+ROWS($I$2:$I$34))),ROW()-ROW($J$2:$J$34)+1),COLUMN($I$2:$I$34),4)))</f>
        <v>#REF!</v>
      </c>
      <c r="V10" s="279" t="e">
        <f t="array" aca="1" ref="V10" ca="1">IF(ROW()-ROW($K$2:$K$34)+1&gt;ROWS($J$2:$J$34)-COUNTBLANK($J$2:$J$34),"",INDIRECT(ADDRESS(SMALL((IF($J$2:$J$34&lt;&gt;"",ROW($J$2:$J$34),ROW()+ROWS($J$2:$J$34))),ROW()-ROW($K$2:$K$34)+1),COLUMN($J$2:$J$34),4)))</f>
        <v>#REF!</v>
      </c>
      <c r="W10" s="201" t="e">
        <f t="array" aca="1" ref="W10" ca="1">IF(ROW()-ROW($L$2:$L$34)+1&gt;ROWS($K$2:$K$34)-COUNTBLANK($K$2:$K$34),"",INDIRECT(ADDRESS(SMALL((IF($K$2:$K$34&lt;&gt;"",ROW($K$2:$K$34),ROW()+ROWS($K$2:$K$34))),ROW()-ROW($L$2:$L$34)+1),COLUMN($K$2:$K$34),4)))</f>
        <v>#REF!</v>
      </c>
      <c r="X10" s="278" t="e">
        <f t="array" aca="1" ref="X10" ca="1">IF(ROW()-ROW($M$2:$M$34)+1&gt;ROWS($L$2:$L$34)-COUNTBLANK($L$2:$L$34),"",INDIRECT(ADDRESS(SMALL((IF($L$2:$L$34&lt;&gt;"",ROW($L$2:$L$34),ROW()+ROWS($L$2:$L$34))),ROW()-ROW($M$2:$M$34)+1),COLUMN($L$2:$L$34),4)))</f>
        <v>#REF!</v>
      </c>
      <c r="Y10" s="278" t="e">
        <f t="array" aca="1" ref="Y10" ca="1">IF(ROW()-ROW($N$2:$N$34)+1&gt;ROWS($M$2:$M$34)-COUNTBLANK($M$2:$M$34),"",INDIRECT(ADDRESS(SMALL((IF($M$2:$M$34&lt;&gt;"",ROW($M$2:$M$34),ROW()+ROWS($M$2:$M$34))),ROW()-ROW($N$2:$N$34)+1),COLUMN($M$2:$M$34),4)))</f>
        <v>#REF!</v>
      </c>
    </row>
    <row r="11" spans="1:25" ht="54.95" customHeight="1" x14ac:dyDescent="0.25">
      <c r="A11" s="275" t="str">
        <f>IF('Indicator sheet_(IS)'!P35=0,"",'Indicator sheet_(IS)'!P35)</f>
        <v>Incomplete</v>
      </c>
      <c r="B11" s="413">
        <v>9</v>
      </c>
      <c r="C11" s="34" t="str">
        <f>IF($A11="I.O.","",'Indicator sheet_(IS)'!A35)</f>
        <v xml:space="preserve">9
</v>
      </c>
      <c r="D11" s="121" t="str">
        <f>IF($A11="I.O.","",'Indicator sheet_(IS)'!C35)</f>
        <v>Immunohistochemical determination of MMR proteins</v>
      </c>
      <c r="E11" s="283" t="str">
        <f>IF(AND('Indicator sheet_(IS)'!J35="",$A11&lt;&gt;"I.O."),"-----",IF($A11="I.O.","",'Indicator sheet_(IS)'!J35))</f>
        <v>-----</v>
      </c>
      <c r="F11" s="309" t="str">
        <f>IF($A11="I.O.","",'Indicator sheet_(IS)'!K35)</f>
        <v>≥ 90%</v>
      </c>
      <c r="G11" s="283" t="str">
        <f>IF(AND('Indicator sheet_(IS)'!M35="",$A11&lt;&gt;"I.O."),"-----",IF($A11="I.O.","",'Indicator sheet_(IS)'!M35))</f>
        <v>-----</v>
      </c>
      <c r="H11" s="308" t="str">
        <f>IF($A11="I.O.","",IF('Indicator sheet_(IS)'!O35="","-----",'Indicator sheet_(IS)'!O35))</f>
        <v>-----</v>
      </c>
      <c r="I11" s="308" t="str">
        <f>IF($A11="I.O.","",IF('Indicator sheet_(IS)'!O36="","-----",'Indicator sheet_(IS)'!O36))</f>
        <v>-----</v>
      </c>
      <c r="J11" s="276" t="str">
        <f>IF($A11="I.O.","",IF('Indicator sheet_(IS)'!O37="",0,'Indicator sheet_(IS)'!O37))</f>
        <v>n.d.</v>
      </c>
      <c r="K11" s="234" t="str">
        <f>IF($A11="I.O.","",'Indicator sheet_(IS)'!P35)</f>
        <v>Incomplete</v>
      </c>
      <c r="L11" s="277" t="str">
        <f>IF(AND('Indicator sheet_(IS)'!Q35="",$A11&lt;&gt;"I.O."),"-----",IF($A11="I.O.","",'Indicator sheet_(IS)'!Q35))</f>
        <v>-----</v>
      </c>
      <c r="M11" s="277" t="str">
        <f>IF(AND('Indicator sheet_(IS)'!R35="",$A11&lt;&gt;"I.O."),"-----",IF($A11="I.O.","",'Indicator sheet_(IS)'!R35))</f>
        <v>-----</v>
      </c>
      <c r="O11" s="217" t="e">
        <f t="array" aca="1" ref="O11" ca="1">IF(ROW()-ROW($D$2:$D$34)+1&gt;ROWS($C$2:$C$34)-COUNTBLANK($C$2:$C$34),"",INDIRECT(ADDRESS(SMALL((IF($C$2:$C$34&lt;&gt;"",ROW($C$2:$C$34),ROW()+ROWS($C$2:$C$34))),ROW()-ROW($D$2:$D$34)+1),COLUMN($C$2:$C$34),4)))</f>
        <v>#REF!</v>
      </c>
      <c r="P11" s="278" t="e">
        <f t="array" aca="1" ref="P11" ca="1">IF(ROW()-ROW($E$2:$E$34)+1&gt;ROWS($D$2:$D$34)-COUNTBLANK($D$2:$D$34),"",INDIRECT(ADDRESS(SMALL((IF($D$2:$D$34&gt;"",ROW($D$2:$D$34),ROW()+ROWS($D$2:$D$34))),ROW()-ROW($E$2:$E$34)+1),COLUMN($D$2:$D$34),4)))</f>
        <v>#REF!</v>
      </c>
      <c r="Q11" s="206" t="e">
        <f t="array" aca="1" ref="Q11" ca="1">IF(ROW()-ROW($F$2:$F$34)+1&gt;ROWS($E$2:$E$34)-COUNTBLANK($E$2:$E$34),"",INDIRECT(ADDRESS(SMALL((IF($E$2:$E$34&gt;"",ROW($E$2:$E$34),ROW()+ROWS($E$2:$E$34))),ROW()-ROW($F$2:$F$34)+1),COLUMN($E$2:$E$34),4)))</f>
        <v>#REF!</v>
      </c>
      <c r="R11" s="206" t="e">
        <f t="array" aca="1" ref="R11" ca="1">IF(ROW()-ROW($G$2:$G$34)+1&gt;ROWS($F$2:$F$34)-COUNTBLANK($F$2:$F$34),"",INDIRECT(ADDRESS(SMALL((IF($F$2:$F$34&gt;"",ROW($F$2:$F$34),ROW()+ROWS($F$2:$F$34))),ROW()-ROW($G$2:$G$34)+1),COLUMN($F$2:$F$34),4)))</f>
        <v>#REF!</v>
      </c>
      <c r="S11" s="206" t="e">
        <f t="array" aca="1" ref="S11" ca="1">IF(ROW()-ROW($H$2:$H$34)+1&gt;ROWS($G$2:$G$29)-COUNTBLANK($G$2:$G$34),"",INDIRECT(ADDRESS(SMALL((IF($G$2:$G$34&lt;&gt;"",ROW($G$2:$G$34),ROW()+ROWS($G$2:$G$34))),ROW()-ROW($H$2:$H$34)+1),COLUMN($G$2:$G$34),4)))</f>
        <v>#REF!</v>
      </c>
      <c r="T11" s="307" t="e">
        <f t="array" aca="1" ref="T11" ca="1">IF(ROW()-ROW($I$2:$I$34)+1&gt;ROWS($H$2:$H$34)-COUNTBLANK($H$2:$H$34),"",INDIRECT(ADDRESS(SMALL((IF($H$2:$H$34&lt;&gt;"",ROW($H$2:$H$34),ROW()+ROWS($H$2:$H$34))),ROW()-ROW($I$2:$I$34)+1),COLUMN($H$2:$H$34),4)))</f>
        <v>#REF!</v>
      </c>
      <c r="U11" s="307" t="e">
        <f t="array" aca="1" ref="U11" ca="1">IF(ROW()-ROW($J$2:$J$34)+1&gt;ROWS($I$2:$I$34)-COUNTBLANK($I$2:$I$34),"",INDIRECT(ADDRESS(SMALL((IF($I$2:$I$34&lt;&gt;"",ROW($I$2:$I$34),ROW()+ROWS($I$2:$I$34))),ROW()-ROW($J$2:$J$34)+1),COLUMN($I$2:$I$34),4)))</f>
        <v>#REF!</v>
      </c>
      <c r="V11" s="279" t="e">
        <f t="array" aca="1" ref="V11" ca="1">IF(ROW()-ROW($K$2:$K$34)+1&gt;ROWS($J$2:$J$34)-COUNTBLANK($J$2:$J$34),"",INDIRECT(ADDRESS(SMALL((IF($J$2:$J$34&lt;&gt;"",ROW($J$2:$J$34),ROW()+ROWS($J$2:$J$34))),ROW()-ROW($K$2:$K$34)+1),COLUMN($J$2:$J$34),4)))</f>
        <v>#REF!</v>
      </c>
      <c r="W11" s="201" t="e">
        <f t="array" aca="1" ref="W11" ca="1">IF(ROW()-ROW($L$2:$L$34)+1&gt;ROWS($K$2:$K$34)-COUNTBLANK($K$2:$K$34),"",INDIRECT(ADDRESS(SMALL((IF($K$2:$K$34&lt;&gt;"",ROW($K$2:$K$34),ROW()+ROWS($K$2:$K$34))),ROW()-ROW($L$2:$L$34)+1),COLUMN($K$2:$K$34),4)))</f>
        <v>#REF!</v>
      </c>
      <c r="X11" s="278" t="e">
        <f t="array" aca="1" ref="X11" ca="1">IF(ROW()-ROW($M$2:$M$34)+1&gt;ROWS($L$2:$L$34)-COUNTBLANK($L$2:$L$34),"",INDIRECT(ADDRESS(SMALL((IF($L$2:$L$34&lt;&gt;"",ROW($L$2:$L$34),ROW()+ROWS($L$2:$L$34))),ROW()-ROW($M$2:$M$34)+1),COLUMN($L$2:$L$34),4)))</f>
        <v>#REF!</v>
      </c>
      <c r="Y11" s="278" t="e">
        <f t="array" aca="1" ref="Y11" ca="1">IF(ROW()-ROW($N$2:$N$34)+1&gt;ROWS($M$2:$M$34)-COUNTBLANK($M$2:$M$34),"",INDIRECT(ADDRESS(SMALL((IF($M$2:$M$34&lt;&gt;"",ROW($M$2:$M$34),ROW()+ROWS($M$2:$M$34))),ROW()-ROW($N$2:$N$34)+1),COLUMN($M$2:$M$34),4)))</f>
        <v>#REF!</v>
      </c>
    </row>
    <row r="12" spans="1:25" ht="54.95" customHeight="1" x14ac:dyDescent="0.25">
      <c r="A12" s="275" t="str">
        <f>IF('Indicator sheet_(IS)'!P38=0,"",'Indicator sheet_(IS)'!P38)</f>
        <v>Incomplete</v>
      </c>
      <c r="B12" s="413">
        <v>10</v>
      </c>
      <c r="C12" s="34">
        <f>IF($A12="I.O.","",'Indicator sheet_(IS)'!A38)</f>
        <v>10</v>
      </c>
      <c r="D12" s="121" t="str">
        <f>IF($A12="I.O.","",'Indicator sheet_(IS)'!C38)</f>
        <v>RAS and BRAF determination at the start of first-line treatment for metastasised colorectal carcinoma</v>
      </c>
      <c r="E12" s="283" t="str">
        <f>IF(AND('Indicator sheet_(IS)'!J38="",$A12&lt;&gt;"I.O."),"-----",IF($A12="I.O.","",'Indicator sheet_(IS)'!J38))</f>
        <v>-----</v>
      </c>
      <c r="F12" s="309" t="str">
        <f>IF($A12="I.O.","",'Indicator sheet_(IS)'!K38)</f>
        <v>≥ 50%</v>
      </c>
      <c r="G12" s="283" t="str">
        <f>IF(AND('Indicator sheet_(IS)'!M38="",$A12&lt;&gt;"I.O."),"-----",IF($A12="I.O.","",'Indicator sheet_(IS)'!M38))</f>
        <v>-----</v>
      </c>
      <c r="H12" s="308" t="str">
        <f>IF($A12="I.O.","",IF('Indicator sheet_(IS)'!O38="","-----",'Indicator sheet_(IS)'!O38))</f>
        <v>-----</v>
      </c>
      <c r="I12" s="308" t="str">
        <f>IF($A12="I.O.","",IF('Indicator sheet_(IS)'!O39="","-----",'Indicator sheet_(IS)'!O39))</f>
        <v>-----</v>
      </c>
      <c r="J12" s="276" t="str">
        <f>IF($A12="I.O.","",IF('Indicator sheet_(IS)'!O40="",0,'Indicator sheet_(IS)'!O40))</f>
        <v>n.d.</v>
      </c>
      <c r="K12" s="234" t="str">
        <f>IF($A12="I.O.","",'Indicator sheet_(IS)'!P38)</f>
        <v>Incomplete</v>
      </c>
      <c r="L12" s="277" t="str">
        <f>IF(AND('Indicator sheet_(IS)'!Q38="",$A12&lt;&gt;"I.O."),"-----",IF($A12="I.O.","",'Indicator sheet_(IS)'!Q38))</f>
        <v>-----</v>
      </c>
      <c r="M12" s="277" t="str">
        <f>IF(AND('Indicator sheet_(IS)'!R38="",$A12&lt;&gt;"I.O."),"-----",IF($A12="I.O.","",'Indicator sheet_(IS)'!R38))</f>
        <v>-----</v>
      </c>
      <c r="O12" s="217" t="e">
        <f t="array" aca="1" ref="O12" ca="1">IF(ROW()-ROW($D$2:$D$34)+1&gt;ROWS($C$2:$C$34)-COUNTBLANK($C$2:$C$34),"",INDIRECT(ADDRESS(SMALL((IF($C$2:$C$34&lt;&gt;"",ROW($C$2:$C$34),ROW()+ROWS($C$2:$C$34))),ROW()-ROW($D$2:$D$34)+1),COLUMN($C$2:$C$34),4)))</f>
        <v>#REF!</v>
      </c>
      <c r="P12" s="278" t="e">
        <f t="array" aca="1" ref="P12" ca="1">IF(ROW()-ROW($E$2:$E$34)+1&gt;ROWS($D$2:$D$34)-COUNTBLANK($D$2:$D$34),"",INDIRECT(ADDRESS(SMALL((IF($D$2:$D$34&gt;"",ROW($D$2:$D$34),ROW()+ROWS($D$2:$D$34))),ROW()-ROW($E$2:$E$34)+1),COLUMN($D$2:$D$34),4)))</f>
        <v>#REF!</v>
      </c>
      <c r="Q12" s="206" t="e">
        <f t="array" aca="1" ref="Q12" ca="1">IF(ROW()-ROW($F$2:$F$34)+1&gt;ROWS($E$2:$E$34)-COUNTBLANK($E$2:$E$34),"",INDIRECT(ADDRESS(SMALL((IF($E$2:$E$34&gt;"",ROW($E$2:$E$34),ROW()+ROWS($E$2:$E$34))),ROW()-ROW($F$2:$F$34)+1),COLUMN($E$2:$E$34),4)))</f>
        <v>#REF!</v>
      </c>
      <c r="R12" s="206" t="e">
        <f t="array" aca="1" ref="R12" ca="1">IF(ROW()-ROW($G$2:$G$34)+1&gt;ROWS($F$2:$F$34)-COUNTBLANK($F$2:$F$34),"",INDIRECT(ADDRESS(SMALL((IF($F$2:$F$34&gt;"",ROW($F$2:$F$34),ROW()+ROWS($F$2:$F$34))),ROW()-ROW($G$2:$G$34)+1),COLUMN($F$2:$F$34),4)))</f>
        <v>#REF!</v>
      </c>
      <c r="S12" s="206" t="e">
        <f t="array" aca="1" ref="S12" ca="1">IF(ROW()-ROW($H$2:$H$34)+1&gt;ROWS($G$2:$G$29)-COUNTBLANK($G$2:$G$34),"",INDIRECT(ADDRESS(SMALL((IF($G$2:$G$34&lt;&gt;"",ROW($G$2:$G$34),ROW()+ROWS($G$2:$G$34))),ROW()-ROW($H$2:$H$34)+1),COLUMN($G$2:$G$34),4)))</f>
        <v>#REF!</v>
      </c>
      <c r="T12" s="307" t="e">
        <f t="array" aca="1" ref="T12" ca="1">IF(ROW()-ROW($I$2:$I$34)+1&gt;ROWS($H$2:$H$34)-COUNTBLANK($H$2:$H$34),"",INDIRECT(ADDRESS(SMALL((IF($H$2:$H$34&lt;&gt;"",ROW($H$2:$H$34),ROW()+ROWS($H$2:$H$34))),ROW()-ROW($I$2:$I$34)+1),COLUMN($H$2:$H$34),4)))</f>
        <v>#REF!</v>
      </c>
      <c r="U12" s="307" t="e">
        <f t="array" aca="1" ref="U12" ca="1">IF(ROW()-ROW($J$2:$J$34)+1&gt;ROWS($I$2:$I$34)-COUNTBLANK($I$2:$I$34),"",INDIRECT(ADDRESS(SMALL((IF($I$2:$I$34&lt;&gt;"",ROW($I$2:$I$34),ROW()+ROWS($I$2:$I$34))),ROW()-ROW($J$2:$J$34)+1),COLUMN($I$2:$I$34),4)))</f>
        <v>#REF!</v>
      </c>
      <c r="V12" s="279" t="e">
        <f t="array" aca="1" ref="V12" ca="1">IF(ROW()-ROW($K$2:$K$34)+1&gt;ROWS($J$2:$J$34)-COUNTBLANK($J$2:$J$34),"",INDIRECT(ADDRESS(SMALL((IF($J$2:$J$34&lt;&gt;"",ROW($J$2:$J$34),ROW()+ROWS($J$2:$J$34))),ROW()-ROW($K$2:$K$34)+1),COLUMN($J$2:$J$34),4)))</f>
        <v>#REF!</v>
      </c>
      <c r="W12" s="201" t="e">
        <f t="array" aca="1" ref="W12" ca="1">IF(ROW()-ROW($L$2:$L$34)+1&gt;ROWS($K$2:$K$34)-COUNTBLANK($K$2:$K$34),"",INDIRECT(ADDRESS(SMALL((IF($K$2:$K$34&lt;&gt;"",ROW($K$2:$K$34),ROW()+ROWS($K$2:$K$34))),ROW()-ROW($L$2:$L$34)+1),COLUMN($K$2:$K$34),4)))</f>
        <v>#REF!</v>
      </c>
      <c r="X12" s="278" t="e">
        <f t="array" aca="1" ref="X12" ca="1">IF(ROW()-ROW($M$2:$M$34)+1&gt;ROWS($L$2:$L$34)-COUNTBLANK($L$2:$L$34),"",INDIRECT(ADDRESS(SMALL((IF($L$2:$L$34&lt;&gt;"",ROW($L$2:$L$34),ROW()+ROWS($L$2:$L$34))),ROW()-ROW($M$2:$M$34)+1),COLUMN($L$2:$L$34),4)))</f>
        <v>#REF!</v>
      </c>
      <c r="Y12" s="278" t="e">
        <f t="array" aca="1" ref="Y12" ca="1">IF(ROW()-ROW($N$2:$N$34)+1&gt;ROWS($M$2:$M$34)-COUNTBLANK($M$2:$M$34),"",INDIRECT(ADDRESS(SMALL((IF($M$2:$M$34&lt;&gt;"",ROW($M$2:$M$34),ROW()+ROWS($M$2:$M$34))),ROW()-ROW($N$2:$N$34)+1),COLUMN($M$2:$M$34),4)))</f>
        <v>#REF!</v>
      </c>
    </row>
    <row r="13" spans="1:25" ht="54.95" customHeight="1" x14ac:dyDescent="0.25">
      <c r="A13" s="275" t="str">
        <f>IF('Indicator sheet_(IS)'!P41=0,"",'Indicator sheet_(IS)'!P41)</f>
        <v>Incomplete</v>
      </c>
      <c r="B13" s="412">
        <v>11</v>
      </c>
      <c r="C13" s="34" t="str">
        <f>IF($A13="I.O.","",'Indicator sheet_(IS)'!A41)</f>
        <v xml:space="preserve">11
</v>
      </c>
      <c r="D13" s="121" t="str">
        <f>IF($A13="I.O.","",'Indicator sheet_(IS)'!C41)</f>
        <v>Complication rate therapeutic colonoscopies</v>
      </c>
      <c r="E13" s="283" t="str">
        <f>IF(AND('Indicator sheet_(IS)'!J41="",$A13&lt;&gt;"I.O."),"-----",IF($A13="I.O.","",'Indicator sheet_(IS)'!J41))</f>
        <v>&lt; 0,01%</v>
      </c>
      <c r="F13" s="309" t="str">
        <f>IF($A13="I.O.","",'Indicator sheet_(IS)'!K41)</f>
        <v>≤ 1%</v>
      </c>
      <c r="G13" s="283" t="str">
        <f>IF(AND('Indicator sheet_(IS)'!M41="",$A13&lt;&gt;"I.O."),"-----",IF($A13="I.O.","",'Indicator sheet_(IS)'!M41))</f>
        <v>-----</v>
      </c>
      <c r="H13" s="308" t="str">
        <f>IF($A13="I.O.","",IF('Indicator sheet_(IS)'!O41="","-----",'Indicator sheet_(IS)'!O41))</f>
        <v>-----</v>
      </c>
      <c r="I13" s="308" t="str">
        <f>IF($A13="I.O.","",IF('Indicator sheet_(IS)'!O42="","-----",'Indicator sheet_(IS)'!O42))</f>
        <v>-----</v>
      </c>
      <c r="J13" s="276" t="str">
        <f>IF($A13="I.O.","",IF('Indicator sheet_(IS)'!O43="","-----",'Indicator sheet_(IS)'!O43))</f>
        <v>n.d.</v>
      </c>
      <c r="K13" s="234" t="str">
        <f>IF($A13="I.O.","",'Indicator sheet_(IS)'!P41)</f>
        <v>Incomplete</v>
      </c>
      <c r="L13" s="277" t="str">
        <f>IF(AND('Indicator sheet_(IS)'!Q41="",$A13&lt;&gt;"I.O."),"-----",IF($A13="I.O.","",'Indicator sheet_(IS)'!Q41))</f>
        <v>-----</v>
      </c>
      <c r="M13" s="277" t="str">
        <f>IF(AND('Indicator sheet_(IS)'!R41="",$A13&lt;&gt;"I.O."),"-----",IF($A13="I.O.","",'Indicator sheet_(IS)'!R41))</f>
        <v>-----</v>
      </c>
      <c r="O13" s="217" t="e">
        <f t="array" aca="1" ref="O13" ca="1">IF(ROW()-ROW($D$2:$D$34)+1&gt;ROWS($C$2:$C$34)-COUNTBLANK($C$2:$C$34),"",INDIRECT(ADDRESS(SMALL((IF($C$2:$C$34&lt;&gt;"",ROW($C$2:$C$34),ROW()+ROWS($C$2:$C$34))),ROW()-ROW($D$2:$D$34)+1),COLUMN($C$2:$C$34),4)))</f>
        <v>#REF!</v>
      </c>
      <c r="P13" s="278" t="e">
        <f t="array" aca="1" ref="P13" ca="1">IF(ROW()-ROW($E$2:$E$34)+1&gt;ROWS($D$2:$D$34)-COUNTBLANK($D$2:$D$34),"",INDIRECT(ADDRESS(SMALL((IF($D$2:$D$34&gt;"",ROW($D$2:$D$34),ROW()+ROWS($D$2:$D$34))),ROW()-ROW($E$2:$E$34)+1),COLUMN($D$2:$D$34),4)))</f>
        <v>#REF!</v>
      </c>
      <c r="Q13" s="206" t="e">
        <f t="array" aca="1" ref="Q13" ca="1">IF(ROW()-ROW($F$2:$F$34)+1&gt;ROWS($E$2:$E$34)-COUNTBLANK($E$2:$E$34),"",INDIRECT(ADDRESS(SMALL((IF($E$2:$E$34&gt;"",ROW($E$2:$E$34),ROW()+ROWS($E$2:$E$34))),ROW()-ROW($F$2:$F$34)+1),COLUMN($E$2:$E$34),4)))</f>
        <v>#REF!</v>
      </c>
      <c r="R13" s="206" t="e">
        <f t="array" aca="1" ref="R13" ca="1">IF(ROW()-ROW($G$2:$G$34)+1&gt;ROWS($F$2:$F$34)-COUNTBLANK($F$2:$F$34),"",INDIRECT(ADDRESS(SMALL((IF($F$2:$F$34&gt;"",ROW($F$2:$F$34),ROW()+ROWS($F$2:$F$34))),ROW()-ROW($G$2:$G$34)+1),COLUMN($F$2:$F$34),4)))</f>
        <v>#REF!</v>
      </c>
      <c r="S13" s="206" t="e">
        <f t="array" aca="1" ref="S13" ca="1">IF(ROW()-ROW($H$2:$H$34)+1&gt;ROWS($G$2:$G$29)-COUNTBLANK($G$2:$G$34),"",INDIRECT(ADDRESS(SMALL((IF($G$2:$G$34&lt;&gt;"",ROW($G$2:$G$34),ROW()+ROWS($G$2:$G$34))),ROW()-ROW($H$2:$H$34)+1),COLUMN($G$2:$G$34),4)))</f>
        <v>#REF!</v>
      </c>
      <c r="T13" s="307" t="e">
        <f t="array" aca="1" ref="T13" ca="1">IF(ROW()-ROW($I$2:$I$34)+1&gt;ROWS($H$2:$H$34)-COUNTBLANK($H$2:$H$34),"",INDIRECT(ADDRESS(SMALL((IF($H$2:$H$34&lt;&gt;"",ROW($H$2:$H$34),ROW()+ROWS($H$2:$H$34))),ROW()-ROW($I$2:$I$34)+1),COLUMN($H$2:$H$34),4)))</f>
        <v>#REF!</v>
      </c>
      <c r="U13" s="307" t="e">
        <f t="array" aca="1" ref="U13" ca="1">IF(ROW()-ROW($J$2:$J$34)+1&gt;ROWS($I$2:$I$34)-COUNTBLANK($I$2:$I$34),"",INDIRECT(ADDRESS(SMALL((IF($I$2:$I$34&lt;&gt;"",ROW($I$2:$I$34),ROW()+ROWS($I$2:$I$34))),ROW()-ROW($J$2:$J$34)+1),COLUMN($I$2:$I$34),4)))</f>
        <v>#REF!</v>
      </c>
      <c r="V13" s="279" t="e">
        <f t="array" aca="1" ref="V13" ca="1">IF(ROW()-ROW($K$2:$K$34)+1&gt;ROWS($J$2:$J$34)-COUNTBLANK($J$2:$J$34),"",INDIRECT(ADDRESS(SMALL((IF($J$2:$J$34&lt;&gt;"",ROW($J$2:$J$34),ROW()+ROWS($J$2:$J$34))),ROW()-ROW($K$2:$K$34)+1),COLUMN($J$2:$J$34),4)))</f>
        <v>#REF!</v>
      </c>
      <c r="W13" s="201" t="e">
        <f t="array" aca="1" ref="W13" ca="1">IF(ROW()-ROW($L$2:$L$34)+1&gt;ROWS($K$2:$K$34)-COUNTBLANK($K$2:$K$34),"",INDIRECT(ADDRESS(SMALL((IF($K$2:$K$34&lt;&gt;"",ROW($K$2:$K$34),ROW()+ROWS($K$2:$K$34))),ROW()-ROW($L$2:$L$34)+1),COLUMN($K$2:$K$34),4)))</f>
        <v>#REF!</v>
      </c>
      <c r="X13" s="278" t="e">
        <f t="array" aca="1" ref="X13" ca="1">IF(ROW()-ROW($M$2:$M$34)+1&gt;ROWS($L$2:$L$34)-COUNTBLANK($L$2:$L$34),"",INDIRECT(ADDRESS(SMALL((IF($L$2:$L$34&lt;&gt;"",ROW($L$2:$L$34),ROW()+ROWS($L$2:$L$34))),ROW()-ROW($M$2:$M$34)+1),COLUMN($L$2:$L$34),4)))</f>
        <v>#REF!</v>
      </c>
      <c r="Y13" s="278" t="e">
        <f t="array" aca="1" ref="Y13" ca="1">IF(ROW()-ROW($N$2:$N$34)+1&gt;ROWS($M$2:$M$34)-COUNTBLANK($M$2:$M$34),"",INDIRECT(ADDRESS(SMALL((IF($M$2:$M$34&lt;&gt;"",ROW($M$2:$M$34),ROW()+ROWS($M$2:$M$34))),ROW()-ROW($N$2:$N$34)+1),COLUMN($M$2:$M$34),4)))</f>
        <v>#REF!</v>
      </c>
    </row>
    <row r="14" spans="1:25" ht="54.95" customHeight="1" x14ac:dyDescent="0.25">
      <c r="A14" s="275" t="e">
        <f>IF('Indicator sheet_(IS)'!#REF!=0,"",'Indicator sheet_(IS)'!#REF!)</f>
        <v>#REF!</v>
      </c>
      <c r="B14" s="412">
        <v>12</v>
      </c>
      <c r="C14" s="34" t="e">
        <f>IF($A14="I.O.","",'Indicator sheet_(IS)'!#REF!)</f>
        <v>#REF!</v>
      </c>
      <c r="D14" s="121" t="e">
        <f>IF($A14="I.O.","",'Indicator sheet_(IS)'!#REF!)</f>
        <v>#REF!</v>
      </c>
      <c r="E14" s="283" t="e">
        <f>IF(AND('Indicator sheet_(IS)'!#REF!="",$A14&lt;&gt;"I.O."),"-----",IF($A14="I.O.","",'Indicator sheet_(IS)'!#REF!))</f>
        <v>#REF!</v>
      </c>
      <c r="F14" s="309" t="e">
        <f>IF($A14="I.O.","",'Indicator sheet_(IS)'!#REF!)</f>
        <v>#REF!</v>
      </c>
      <c r="G14" s="283" t="e">
        <f>IF(AND('Indicator sheet_(IS)'!#REF!="",$A14&lt;&gt;"I.O."),"-----",IF($A14="I.O.","",'Indicator sheet_(IS)'!#REF!))</f>
        <v>#REF!</v>
      </c>
      <c r="H14" s="308" t="e">
        <f>IF($A14="I.O.","",IF('Indicator sheet_(IS)'!#REF!="","-----",'Indicator sheet_(IS)'!#REF!))</f>
        <v>#REF!</v>
      </c>
      <c r="I14" s="308" t="e">
        <f>IF($A14="I.O.","","-----")</f>
        <v>#REF!</v>
      </c>
      <c r="J14" s="276" t="e">
        <f>IF($A14="I.O.","","-----")</f>
        <v>#REF!</v>
      </c>
      <c r="K14" s="234" t="e">
        <f>IF($A14="I.O.","",'Indicator sheet_(IS)'!#REF!)</f>
        <v>#REF!</v>
      </c>
      <c r="L14" s="277" t="e">
        <f>IF(AND('Indicator sheet_(IS)'!#REF!="",$A14&lt;&gt;"I.O."),"-----",IF($A14="I.O.","",'Indicator sheet_(IS)'!#REF!))</f>
        <v>#REF!</v>
      </c>
      <c r="M14" s="277" t="e">
        <f>IF(AND('Indicator sheet_(IS)'!#REF!="",$A14&lt;&gt;"I.O."),"-----",IF($A14="I.O.","",'Indicator sheet_(IS)'!#REF!))</f>
        <v>#REF!</v>
      </c>
      <c r="O14" s="217" t="e">
        <f t="array" aca="1" ref="O14" ca="1">IF(ROW()-ROW($D$2:$D$34)+1&gt;ROWS($C$2:$C$34)-COUNTBLANK($C$2:$C$34),"",INDIRECT(ADDRESS(SMALL((IF($C$2:$C$34&lt;&gt;"",ROW($C$2:$C$34),ROW()+ROWS($C$2:$C$34))),ROW()-ROW($D$2:$D$34)+1),COLUMN($C$2:$C$34),4)))</f>
        <v>#REF!</v>
      </c>
      <c r="P14" s="278" t="e">
        <f t="array" aca="1" ref="P14" ca="1">IF(ROW()-ROW($E$2:$E$34)+1&gt;ROWS($D$2:$D$34)-COUNTBLANK($D$2:$D$34),"",INDIRECT(ADDRESS(SMALL((IF($D$2:$D$34&gt;"",ROW($D$2:$D$34),ROW()+ROWS($D$2:$D$34))),ROW()-ROW($E$2:$E$34)+1),COLUMN($D$2:$D$34),4)))</f>
        <v>#REF!</v>
      </c>
      <c r="Q14" s="206" t="e">
        <f t="array" aca="1" ref="Q14" ca="1">IF(ROW()-ROW($F$2:$F$34)+1&gt;ROWS($E$2:$E$34)-COUNTBLANK($E$2:$E$34),"",INDIRECT(ADDRESS(SMALL((IF($E$2:$E$34&gt;"",ROW($E$2:$E$34),ROW()+ROWS($E$2:$E$34))),ROW()-ROW($F$2:$F$34)+1),COLUMN($E$2:$E$34),4)))</f>
        <v>#REF!</v>
      </c>
      <c r="R14" s="206" t="e">
        <f t="array" aca="1" ref="R14" ca="1">IF(ROW()-ROW($G$2:$G$34)+1&gt;ROWS($F$2:$F$34)-COUNTBLANK($F$2:$F$34),"",INDIRECT(ADDRESS(SMALL((IF($F$2:$F$34&gt;"",ROW($F$2:$F$34),ROW()+ROWS($F$2:$F$34))),ROW()-ROW($G$2:$G$34)+1),COLUMN($F$2:$F$34),4)))</f>
        <v>#REF!</v>
      </c>
      <c r="S14" s="206" t="e">
        <f t="array" aca="1" ref="S14" ca="1">IF(ROW()-ROW($H$2:$H$34)+1&gt;ROWS($G$2:$G$29)-COUNTBLANK($G$2:$G$34),"",INDIRECT(ADDRESS(SMALL((IF($G$2:$G$34&lt;&gt;"",ROW($G$2:$G$34),ROW()+ROWS($G$2:$G$34))),ROW()-ROW($H$2:$H$34)+1),COLUMN($G$2:$G$34),4)))</f>
        <v>#REF!</v>
      </c>
      <c r="T14" s="307" t="e">
        <f t="array" aca="1" ref="T14" ca="1">IF(ROW()-ROW($I$2:$I$34)+1&gt;ROWS($H$2:$H$34)-COUNTBLANK($H$2:$H$34),"",INDIRECT(ADDRESS(SMALL((IF($H$2:$H$34&lt;&gt;"",ROW($H$2:$H$34),ROW()+ROWS($H$2:$H$34))),ROW()-ROW($I$2:$I$34)+1),COLUMN($H$2:$H$34),4)))</f>
        <v>#REF!</v>
      </c>
      <c r="U14" s="307" t="e">
        <f t="array" aca="1" ref="U14" ca="1">IF(ROW()-ROW($J$2:$J$34)+1&gt;ROWS($I$2:$I$34)-COUNTBLANK($I$2:$I$34),"",INDIRECT(ADDRESS(SMALL((IF($I$2:$I$34&lt;&gt;"",ROW($I$2:$I$34),ROW()+ROWS($I$2:$I$34))),ROW()-ROW($J$2:$J$34)+1),COLUMN($I$2:$I$34),4)))</f>
        <v>#REF!</v>
      </c>
      <c r="V14" s="279" t="e">
        <f t="array" aca="1" ref="V14" ca="1">IF(ROW()-ROW($K$2:$K$34)+1&gt;ROWS($J$2:$J$34)-COUNTBLANK($J$2:$J$34),"",INDIRECT(ADDRESS(SMALL((IF($J$2:$J$34&lt;&gt;"",ROW($J$2:$J$34),ROW()+ROWS($J$2:$J$34))),ROW()-ROW($K$2:$K$34)+1),COLUMN($J$2:$J$34),4)))</f>
        <v>#REF!</v>
      </c>
      <c r="W14" s="201" t="e">
        <f t="array" aca="1" ref="W14" ca="1">IF(ROW()-ROW($L$2:$L$34)+1&gt;ROWS($K$2:$K$34)-COUNTBLANK($K$2:$K$34),"",INDIRECT(ADDRESS(SMALL((IF($K$2:$K$34&lt;&gt;"",ROW($K$2:$K$34),ROW()+ROWS($K$2:$K$34))),ROW()-ROW($L$2:$L$34)+1),COLUMN($K$2:$K$34),4)))</f>
        <v>#REF!</v>
      </c>
      <c r="X14" s="278" t="e">
        <f t="array" aca="1" ref="X14" ca="1">IF(ROW()-ROW($M$2:$M$34)+1&gt;ROWS($L$2:$L$34)-COUNTBLANK($L$2:$L$34),"",INDIRECT(ADDRESS(SMALL((IF($L$2:$L$34&lt;&gt;"",ROW($L$2:$L$34),ROW()+ROWS($L$2:$L$34))),ROW()-ROW($M$2:$M$34)+1),COLUMN($L$2:$L$34),4)))</f>
        <v>#REF!</v>
      </c>
      <c r="Y14" s="278" t="e">
        <f t="array" aca="1" ref="Y14" ca="1">IF(ROW()-ROW($N$2:$N$34)+1&gt;ROWS($M$2:$M$34)-COUNTBLANK($M$2:$M$34),"",INDIRECT(ADDRESS(SMALL((IF($M$2:$M$34&lt;&gt;"",ROW($M$2:$M$34),ROW()+ROWS($M$2:$M$34))),ROW()-ROW($N$2:$N$34)+1),COLUMN($M$2:$M$34),4)))</f>
        <v>#REF!</v>
      </c>
    </row>
    <row r="15" spans="1:25" ht="54.95" customHeight="1" x14ac:dyDescent="0.25">
      <c r="A15" s="275" t="str">
        <f>IF('Indicator sheet_(IS)'!P44=0,"",'Indicator sheet_(IS)'!P44)</f>
        <v>Incomplete</v>
      </c>
      <c r="B15" s="412">
        <v>13</v>
      </c>
      <c r="C15" s="34">
        <f>IF($A15="I.O.","",'Indicator sheet_(IS)'!A44)</f>
        <v>12</v>
      </c>
      <c r="D15" s="121" t="str">
        <f>IF($A15="I.O.","",'Indicator sheet_(IS)'!C44)</f>
        <v>Information on distance to mesorectal fascia in the diagnostic report (RC of the lower and middle third)</v>
      </c>
      <c r="E15" s="283" t="str">
        <f>IF(AND('Indicator sheet_(IS)'!J44="",$A15&lt;&gt;"I.O."),"-----",IF($A15="I.O.","",'Indicator sheet_(IS)'!J44))</f>
        <v>-----</v>
      </c>
      <c r="F15" s="309" t="str">
        <f>IF($A15="I.O.","",'Indicator sheet_(IS)'!K44)</f>
        <v>≥ 90%</v>
      </c>
      <c r="G15" s="283" t="str">
        <f>IF(AND('Indicator sheet_(IS)'!M44="",$A15&lt;&gt;"I.O."),"-----",IF($A15="I.O.","",'Indicator sheet_(IS)'!M44))</f>
        <v>-----</v>
      </c>
      <c r="H15" s="308" t="str">
        <f>IF($A15="I.O.","",IF('Indicator sheet_(IS)'!O44="","-----",'Indicator sheet_(IS)'!O44))</f>
        <v>-----</v>
      </c>
      <c r="I15" s="308" t="str">
        <f>IF($A15="I.O.","","-----")</f>
        <v>-----</v>
      </c>
      <c r="J15" s="276" t="str">
        <f>IF($A15="I.O.","","-----")</f>
        <v>-----</v>
      </c>
      <c r="K15" s="234" t="str">
        <f>IF($A15="I.O.","",'Indicator sheet_(IS)'!P44)</f>
        <v>Incomplete</v>
      </c>
      <c r="L15" s="277" t="str">
        <f>IF(AND('Indicator sheet_(IS)'!Q44="",$A15&lt;&gt;"I.O."),"-----",IF($A15="I.O.","",'Indicator sheet_(IS)'!Q44))</f>
        <v>-----</v>
      </c>
      <c r="M15" s="277" t="str">
        <f>IF(AND('Indicator sheet_(IS)'!R44="",$A15&lt;&gt;"I.O."),"-----",IF($A15="I.O.","",'Indicator sheet_(IS)'!R44))</f>
        <v>-----</v>
      </c>
      <c r="O15" s="217" t="e">
        <f t="array" aca="1" ref="O15" ca="1">IF(ROW()-ROW($D$2:$D$34)+1&gt;ROWS($C$2:$C$34)-COUNTBLANK($C$2:$C$34),"",INDIRECT(ADDRESS(SMALL((IF($C$2:$C$34&lt;&gt;"",ROW($C$2:$C$34),ROW()+ROWS($C$2:$C$34))),ROW()-ROW($D$2:$D$34)+1),COLUMN($C$2:$C$34),4)))</f>
        <v>#REF!</v>
      </c>
      <c r="P15" s="278" t="e">
        <f t="array" aca="1" ref="P15" ca="1">IF(ROW()-ROW($E$2:$E$34)+1&gt;ROWS($D$2:$D$34)-COUNTBLANK($D$2:$D$34),"",INDIRECT(ADDRESS(SMALL((IF($D$2:$D$34&gt;"",ROW($D$2:$D$34),ROW()+ROWS($D$2:$D$34))),ROW()-ROW($E$2:$E$34)+1),COLUMN($D$2:$D$34),4)))</f>
        <v>#REF!</v>
      </c>
      <c r="Q15" s="206" t="e">
        <f t="array" aca="1" ref="Q15" ca="1">IF(ROW()-ROW($F$2:$F$34)+1&gt;ROWS($E$2:$E$34)-COUNTBLANK($E$2:$E$34),"",INDIRECT(ADDRESS(SMALL((IF($E$2:$E$34&gt;"",ROW($E$2:$E$34),ROW()+ROWS($E$2:$E$34))),ROW()-ROW($F$2:$F$34)+1),COLUMN($E$2:$E$34),4)))</f>
        <v>#REF!</v>
      </c>
      <c r="R15" s="206" t="e">
        <f t="array" aca="1" ref="R15" ca="1">IF(ROW()-ROW($G$2:$G$34)+1&gt;ROWS($F$2:$F$34)-COUNTBLANK($F$2:$F$34),"",INDIRECT(ADDRESS(SMALL((IF($F$2:$F$34&gt;"",ROW($F$2:$F$34),ROW()+ROWS($F$2:$F$34))),ROW()-ROW($G$2:$G$34)+1),COLUMN($F$2:$F$34),4)))</f>
        <v>#REF!</v>
      </c>
      <c r="S15" s="206" t="e">
        <f t="array" aca="1" ref="S15" ca="1">IF(ROW()-ROW($H$2:$H$34)+1&gt;ROWS($G$2:$G$29)-COUNTBLANK($G$2:$G$34),"",INDIRECT(ADDRESS(SMALL((IF($G$2:$G$34&lt;&gt;"",ROW($G$2:$G$34),ROW()+ROWS($G$2:$G$34))),ROW()-ROW($H$2:$H$34)+1),COLUMN($G$2:$G$34),4)))</f>
        <v>#REF!</v>
      </c>
      <c r="T15" s="307" t="e">
        <f t="array" aca="1" ref="T15" ca="1">IF(ROW()-ROW($I$2:$I$34)+1&gt;ROWS($H$2:$H$34)-COUNTBLANK($H$2:$H$34),"",INDIRECT(ADDRESS(SMALL((IF($H$2:$H$34&lt;&gt;"",ROW($H$2:$H$34),ROW()+ROWS($H$2:$H$34))),ROW()-ROW($I$2:$I$34)+1),COLUMN($H$2:$H$34),4)))</f>
        <v>#REF!</v>
      </c>
      <c r="U15" s="307" t="e">
        <f t="array" aca="1" ref="U15" ca="1">IF(ROW()-ROW($J$2:$J$34)+1&gt;ROWS($I$2:$I$34)-COUNTBLANK($I$2:$I$34),"",INDIRECT(ADDRESS(SMALL((IF($I$2:$I$34&lt;&gt;"",ROW($I$2:$I$34),ROW()+ROWS($I$2:$I$34))),ROW()-ROW($J$2:$J$34)+1),COLUMN($I$2:$I$34),4)))</f>
        <v>#REF!</v>
      </c>
      <c r="V15" s="279" t="e">
        <f t="array" aca="1" ref="V15" ca="1">IF(ROW()-ROW($K$2:$K$34)+1&gt;ROWS($J$2:$J$34)-COUNTBLANK($J$2:$J$34),"",INDIRECT(ADDRESS(SMALL((IF($J$2:$J$34&lt;&gt;"",ROW($J$2:$J$34),ROW()+ROWS($J$2:$J$34))),ROW()-ROW($K$2:$K$34)+1),COLUMN($J$2:$J$34),4)))</f>
        <v>#REF!</v>
      </c>
      <c r="W15" s="201" t="e">
        <f t="array" aca="1" ref="W15" ca="1">IF(ROW()-ROW($L$2:$L$34)+1&gt;ROWS($K$2:$K$34)-COUNTBLANK($K$2:$K$34),"",INDIRECT(ADDRESS(SMALL((IF($K$2:$K$34&lt;&gt;"",ROW($K$2:$K$34),ROW()+ROWS($K$2:$K$34))),ROW()-ROW($L$2:$L$34)+1),COLUMN($K$2:$K$34),4)))</f>
        <v>#REF!</v>
      </c>
      <c r="X15" s="278" t="e">
        <f t="array" aca="1" ref="X15" ca="1">IF(ROW()-ROW($M$2:$M$34)+1&gt;ROWS($L$2:$L$34)-COUNTBLANK($L$2:$L$34),"",INDIRECT(ADDRESS(SMALL((IF($L$2:$L$34&lt;&gt;"",ROW($L$2:$L$34),ROW()+ROWS($L$2:$L$34))),ROW()-ROW($M$2:$M$34)+1),COLUMN($L$2:$L$34),4)))</f>
        <v>#REF!</v>
      </c>
      <c r="Y15" s="278" t="e">
        <f t="array" aca="1" ref="Y15" ca="1">IF(ROW()-ROW($N$2:$N$34)+1&gt;ROWS($M$2:$M$34)-COUNTBLANK($M$2:$M$34),"",INDIRECT(ADDRESS(SMALL((IF($M$2:$M$34&lt;&gt;"",ROW($M$2:$M$34),ROW()+ROWS($M$2:$M$34))),ROW()-ROW($N$2:$N$34)+1),COLUMN($M$2:$M$34),4)))</f>
        <v>#REF!</v>
      </c>
    </row>
    <row r="16" spans="1:25" ht="54.95" customHeight="1" x14ac:dyDescent="0.25">
      <c r="A16" s="275" t="str">
        <f>IF('Indicator sheet_(IS)'!P47=0,"",'Indicator sheet_(IS)'!P47)</f>
        <v>Incomplete</v>
      </c>
      <c r="B16" s="413">
        <v>14</v>
      </c>
      <c r="C16" s="34">
        <f>IF($A16="I.O.","",'Indicator sheet_(IS)'!A47)</f>
        <v>13</v>
      </c>
      <c r="D16" s="121" t="str">
        <f>IF($A16="I.O.","",'Indicator sheet_(IS)'!C47)</f>
        <v>Surgical primary cases: colon</v>
      </c>
      <c r="E16" s="283" t="str">
        <f>IF(AND('Indicator sheet_(IS)'!J47="",$A16&lt;&gt;"I.O."),"-----",IF($A16="I.O.","",'Indicator sheet_(IS)'!J47))</f>
        <v>-----</v>
      </c>
      <c r="F16" s="309" t="str">
        <f>IF($A16="I.O.","",'Indicator sheet_(IS)'!K47)</f>
        <v>≥ 30</v>
      </c>
      <c r="G16" s="283" t="str">
        <f>IF(AND('Indicator sheet_(IS)'!M47="",$A16&lt;&gt;"I.O."),"-----",IF($A16="I.O.","",'Indicator sheet_(IS)'!M47))</f>
        <v>-----</v>
      </c>
      <c r="H16" s="308">
        <f>IF($A16="I.O.","",IF('Indicator sheet_(IS)'!O47="","-----",'Indicator sheet_(IS)'!O47))</f>
        <v>0</v>
      </c>
      <c r="I16" s="308" t="str">
        <f>IF($A16="I.O.","",IF('Indicator sheet_(IS)'!O48="","-----",'Indicator sheet_(IS)'!O48))</f>
        <v>-----</v>
      </c>
      <c r="J16" s="276">
        <f>IF($A16="I.O.","",IF('Indicator sheet_(IS)'!O49="",0,'Indicator sheet_(IS)'!O49))</f>
        <v>0</v>
      </c>
      <c r="K16" s="234" t="str">
        <f>IF($A16="I.O.","",'Indicator sheet_(IS)'!P47)</f>
        <v>Incomplete</v>
      </c>
      <c r="L16" s="277" t="str">
        <f>IF(AND('Indicator sheet_(IS)'!Q47="",$A16&lt;&gt;"I.O."),"-----",IF($A16="I.O.","",'Indicator sheet_(IS)'!Q47))</f>
        <v>-----</v>
      </c>
      <c r="M16" s="277" t="str">
        <f>IF(AND('Indicator sheet_(IS)'!R47="",$A16&lt;&gt;"I.O."),"-----",IF($A16="I.O.","",'Indicator sheet_(IS)'!R47))</f>
        <v>-----</v>
      </c>
      <c r="O16" s="217" t="e">
        <f t="array" aca="1" ref="O16" ca="1">IF(ROW()-ROW($D$2:$D$34)+1&gt;ROWS($C$2:$C$34)-COUNTBLANK($C$2:$C$34),"",INDIRECT(ADDRESS(SMALL((IF($C$2:$C$34&lt;&gt;"",ROW($C$2:$C$34),ROW()+ROWS($C$2:$C$34))),ROW()-ROW($D$2:$D$34)+1),COLUMN($C$2:$C$34),4)))</f>
        <v>#REF!</v>
      </c>
      <c r="P16" s="278" t="e">
        <f t="array" aca="1" ref="P16" ca="1">IF(ROW()-ROW($E$2:$E$34)+1&gt;ROWS($D$2:$D$34)-COUNTBLANK($D$2:$D$34),"",INDIRECT(ADDRESS(SMALL((IF($D$2:$D$34&gt;"",ROW($D$2:$D$34),ROW()+ROWS($D$2:$D$34))),ROW()-ROW($E$2:$E$34)+1),COLUMN($D$2:$D$34),4)))</f>
        <v>#REF!</v>
      </c>
      <c r="Q16" s="206" t="e">
        <f t="array" aca="1" ref="Q16" ca="1">IF(ROW()-ROW($F$2:$F$34)+1&gt;ROWS($E$2:$E$34)-COUNTBLANK($E$2:$E$34),"",INDIRECT(ADDRESS(SMALL((IF($E$2:$E$34&gt;"",ROW($E$2:$E$34),ROW()+ROWS($E$2:$E$34))),ROW()-ROW($F$2:$F$34)+1),COLUMN($E$2:$E$34),4)))</f>
        <v>#REF!</v>
      </c>
      <c r="R16" s="206" t="e">
        <f t="array" aca="1" ref="R16" ca="1">IF(ROW()-ROW($G$2:$G$34)+1&gt;ROWS($F$2:$F$34)-COUNTBLANK($F$2:$F$34),"",INDIRECT(ADDRESS(SMALL((IF($F$2:$F$34&gt;"",ROW($F$2:$F$34),ROW()+ROWS($F$2:$F$34))),ROW()-ROW($G$2:$G$34)+1),COLUMN($F$2:$F$34),4)))</f>
        <v>#REF!</v>
      </c>
      <c r="S16" s="206" t="e">
        <f t="array" aca="1" ref="S16" ca="1">IF(ROW()-ROW($H$2:$H$34)+1&gt;ROWS($G$2:$G$29)-COUNTBLANK($G$2:$G$34),"",INDIRECT(ADDRESS(SMALL((IF($G$2:$G$34&lt;&gt;"",ROW($G$2:$G$34),ROW()+ROWS($G$2:$G$34))),ROW()-ROW($H$2:$H$34)+1),COLUMN($G$2:$G$34),4)))</f>
        <v>#REF!</v>
      </c>
      <c r="T16" s="307" t="e">
        <f t="array" aca="1" ref="T16" ca="1">IF(ROW()-ROW($I$2:$I$34)+1&gt;ROWS($H$2:$H$34)-COUNTBLANK($H$2:$H$34),"",INDIRECT(ADDRESS(SMALL((IF($H$2:$H$34&lt;&gt;"",ROW($H$2:$H$34),ROW()+ROWS($H$2:$H$34))),ROW()-ROW($I$2:$I$34)+1),COLUMN($H$2:$H$34),4)))</f>
        <v>#REF!</v>
      </c>
      <c r="U16" s="307" t="e">
        <f t="array" aca="1" ref="U16" ca="1">IF(ROW()-ROW($J$2:$J$34)+1&gt;ROWS($I$2:$I$34)-COUNTBLANK($I$2:$I$34),"",INDIRECT(ADDRESS(SMALL((IF($I$2:$I$34&lt;&gt;"",ROW($I$2:$I$34),ROW()+ROWS($I$2:$I$34))),ROW()-ROW($J$2:$J$34)+1),COLUMN($I$2:$I$34),4)))</f>
        <v>#REF!</v>
      </c>
      <c r="V16" s="279" t="e">
        <f t="array" aca="1" ref="V16" ca="1">IF(ROW()-ROW($K$2:$K$34)+1&gt;ROWS($J$2:$J$34)-COUNTBLANK($J$2:$J$34),"",INDIRECT(ADDRESS(SMALL((IF($J$2:$J$34&lt;&gt;"",ROW($J$2:$J$34),ROW()+ROWS($J$2:$J$34))),ROW()-ROW($K$2:$K$34)+1),COLUMN($J$2:$J$34),4)))</f>
        <v>#REF!</v>
      </c>
      <c r="W16" s="201" t="e">
        <f t="array" aca="1" ref="W16" ca="1">IF(ROW()-ROW($L$2:$L$34)+1&gt;ROWS($K$2:$K$34)-COUNTBLANK($K$2:$K$34),"",INDIRECT(ADDRESS(SMALL((IF($K$2:$K$34&lt;&gt;"",ROW($K$2:$K$34),ROW()+ROWS($K$2:$K$34))),ROW()-ROW($L$2:$L$34)+1),COLUMN($K$2:$K$34),4)))</f>
        <v>#REF!</v>
      </c>
      <c r="X16" s="278" t="e">
        <f t="array" aca="1" ref="X16" ca="1">IF(ROW()-ROW($M$2:$M$34)+1&gt;ROWS($L$2:$L$34)-COUNTBLANK($L$2:$L$34),"",INDIRECT(ADDRESS(SMALL((IF($L$2:$L$34&lt;&gt;"",ROW($L$2:$L$34),ROW()+ROWS($L$2:$L$34))),ROW()-ROW($M$2:$M$34)+1),COLUMN($L$2:$L$34),4)))</f>
        <v>#REF!</v>
      </c>
      <c r="Y16" s="278" t="e">
        <f t="array" aca="1" ref="Y16" ca="1">IF(ROW()-ROW($N$2:$N$34)+1&gt;ROWS($M$2:$M$34)-COUNTBLANK($M$2:$M$34),"",INDIRECT(ADDRESS(SMALL((IF($M$2:$M$34&lt;&gt;"",ROW($M$2:$M$34),ROW()+ROWS($M$2:$M$34))),ROW()-ROW($N$2:$N$34)+1),COLUMN($M$2:$M$34),4)))</f>
        <v>#REF!</v>
      </c>
    </row>
    <row r="17" spans="1:25" ht="54.95" customHeight="1" x14ac:dyDescent="0.25">
      <c r="A17" s="275" t="str">
        <f>IF('Indicator sheet_(IS)'!P50=0,"",'Indicator sheet_(IS)'!P50)</f>
        <v>Incomplete</v>
      </c>
      <c r="B17" s="413">
        <v>15</v>
      </c>
      <c r="C17" s="34">
        <f>IF($A17="I.O.","",'Indicator sheet_(IS)'!A50)</f>
        <v>14</v>
      </c>
      <c r="D17" s="121" t="str">
        <f>IF($A17="I.O.","",'Indicator sheet_(IS)'!C50)</f>
        <v>Surgical primary cases: rectum</v>
      </c>
      <c r="E17" s="283" t="str">
        <f>IF(AND('Indicator sheet_(IS)'!J50="",$A17&lt;&gt;"I.O."),"-----",IF($A17="I.O.","",'Indicator sheet_(IS)'!J50))</f>
        <v>-----</v>
      </c>
      <c r="F17" s="309" t="str">
        <f>IF($A17="I.O.","",'Indicator sheet_(IS)'!K50)</f>
        <v>≥ 20</v>
      </c>
      <c r="G17" s="283" t="str">
        <f>IF(AND('Indicator sheet_(IS)'!M50="",$A17&lt;&gt;"I.O."),"-----",IF($A17="I.O.","",'Indicator sheet_(IS)'!M50))</f>
        <v>-----</v>
      </c>
      <c r="H17" s="308">
        <f>IF($A17="I.O.","",IF('Indicator sheet_(IS)'!O50="","-----",'Indicator sheet_(IS)'!O50))</f>
        <v>0</v>
      </c>
      <c r="I17" s="308" t="str">
        <f>IF($A17="I.O.","",IF('Indicator sheet_(IS)'!O51="","-----",'Indicator sheet_(IS)'!O51))</f>
        <v>-----</v>
      </c>
      <c r="J17" s="276">
        <f>IF($A17="I.O.","",IF('Indicator sheet_(IS)'!O52="",0,'Indicator sheet_(IS)'!O52))</f>
        <v>0</v>
      </c>
      <c r="K17" s="234" t="str">
        <f>IF($A17="I.O.","",'Indicator sheet_(IS)'!P50)</f>
        <v>Incomplete</v>
      </c>
      <c r="L17" s="277" t="str">
        <f>IF(AND('Indicator sheet_(IS)'!Q50="",$A17&lt;&gt;"I.O."),"-----",IF($A17="I.O.","",'Indicator sheet_(IS)'!Q50))</f>
        <v>-----</v>
      </c>
      <c r="M17" s="277" t="str">
        <f>IF(AND('Indicator sheet_(IS)'!R50="",$A17&lt;&gt;"I.O."),"-----",IF($A17="I.O.","",'Indicator sheet_(IS)'!R50))</f>
        <v>-----</v>
      </c>
      <c r="O17" s="217" t="e">
        <f t="array" aca="1" ref="O17" ca="1">IF(ROW()-ROW($D$2:$D$34)+1&gt;ROWS($C$2:$C$34)-COUNTBLANK($C$2:$C$34),"",INDIRECT(ADDRESS(SMALL((IF($C$2:$C$34&lt;&gt;"",ROW($C$2:$C$34),ROW()+ROWS($C$2:$C$34))),ROW()-ROW($D$2:$D$34)+1),COLUMN($C$2:$C$34),4)))</f>
        <v>#REF!</v>
      </c>
      <c r="P17" s="278" t="e">
        <f t="array" aca="1" ref="P17" ca="1">IF(ROW()-ROW($E$2:$E$34)+1&gt;ROWS($D$2:$D$34)-COUNTBLANK($D$2:$D$34),"",INDIRECT(ADDRESS(SMALL((IF($D$2:$D$34&gt;"",ROW($D$2:$D$34),ROW()+ROWS($D$2:$D$34))),ROW()-ROW($E$2:$E$34)+1),COLUMN($D$2:$D$34),4)))</f>
        <v>#REF!</v>
      </c>
      <c r="Q17" s="206" t="e">
        <f t="array" aca="1" ref="Q17" ca="1">IF(ROW()-ROW($F$2:$F$34)+1&gt;ROWS($E$2:$E$34)-COUNTBLANK($E$2:$E$34),"",INDIRECT(ADDRESS(SMALL((IF($E$2:$E$34&gt;"",ROW($E$2:$E$34),ROW()+ROWS($E$2:$E$34))),ROW()-ROW($F$2:$F$34)+1),COLUMN($E$2:$E$34),4)))</f>
        <v>#REF!</v>
      </c>
      <c r="R17" s="206" t="e">
        <f t="array" aca="1" ref="R17" ca="1">IF(ROW()-ROW($G$2:$G$34)+1&gt;ROWS($F$2:$F$34)-COUNTBLANK($F$2:$F$34),"",INDIRECT(ADDRESS(SMALL((IF($F$2:$F$34&gt;"",ROW($F$2:$F$34),ROW()+ROWS($F$2:$F$34))),ROW()-ROW($G$2:$G$34)+1),COLUMN($F$2:$F$34),4)))</f>
        <v>#REF!</v>
      </c>
      <c r="S17" s="206" t="e">
        <f t="array" aca="1" ref="S17" ca="1">IF(ROW()-ROW($H$2:$H$34)+1&gt;ROWS($G$2:$G$29)-COUNTBLANK($G$2:$G$34),"",INDIRECT(ADDRESS(SMALL((IF($G$2:$G$34&lt;&gt;"",ROW($G$2:$G$34),ROW()+ROWS($G$2:$G$34))),ROW()-ROW($H$2:$H$34)+1),COLUMN($G$2:$G$34),4)))</f>
        <v>#REF!</v>
      </c>
      <c r="T17" s="307" t="e">
        <f t="array" aca="1" ref="T17" ca="1">IF(ROW()-ROW($I$2:$I$34)+1&gt;ROWS($H$2:$H$34)-COUNTBLANK($H$2:$H$34),"",INDIRECT(ADDRESS(SMALL((IF($H$2:$H$34&lt;&gt;"",ROW($H$2:$H$34),ROW()+ROWS($H$2:$H$34))),ROW()-ROW($I$2:$I$34)+1),COLUMN($H$2:$H$34),4)))</f>
        <v>#REF!</v>
      </c>
      <c r="U17" s="307" t="e">
        <f t="array" aca="1" ref="U17" ca="1">IF(ROW()-ROW($J$2:$J$34)+1&gt;ROWS($I$2:$I$34)-COUNTBLANK($I$2:$I$34),"",INDIRECT(ADDRESS(SMALL((IF($I$2:$I$34&lt;&gt;"",ROW($I$2:$I$34),ROW()+ROWS($I$2:$I$34))),ROW()-ROW($J$2:$J$34)+1),COLUMN($I$2:$I$34),4)))</f>
        <v>#REF!</v>
      </c>
      <c r="V17" s="279" t="e">
        <f t="array" aca="1" ref="V17" ca="1">IF(ROW()-ROW($K$2:$K$34)+1&gt;ROWS($J$2:$J$34)-COUNTBLANK($J$2:$J$34),"",INDIRECT(ADDRESS(SMALL((IF($J$2:$J$34&lt;&gt;"",ROW($J$2:$J$34),ROW()+ROWS($J$2:$J$34))),ROW()-ROW($K$2:$K$34)+1),COLUMN($J$2:$J$34),4)))</f>
        <v>#REF!</v>
      </c>
      <c r="W17" s="201" t="e">
        <f t="array" aca="1" ref="W17" ca="1">IF(ROW()-ROW($L$2:$L$34)+1&gt;ROWS($K$2:$K$34)-COUNTBLANK($K$2:$K$34),"",INDIRECT(ADDRESS(SMALL((IF($K$2:$K$34&lt;&gt;"",ROW($K$2:$K$34),ROW()+ROWS($K$2:$K$34))),ROW()-ROW($L$2:$L$34)+1),COLUMN($K$2:$K$34),4)))</f>
        <v>#REF!</v>
      </c>
      <c r="X17" s="278" t="e">
        <f t="array" aca="1" ref="X17" ca="1">IF(ROW()-ROW($M$2:$M$34)+1&gt;ROWS($L$2:$L$34)-COUNTBLANK($L$2:$L$34),"",INDIRECT(ADDRESS(SMALL((IF($L$2:$L$34&lt;&gt;"",ROW($L$2:$L$34),ROW()+ROWS($L$2:$L$34))),ROW()-ROW($M$2:$M$34)+1),COLUMN($L$2:$L$34),4)))</f>
        <v>#REF!</v>
      </c>
      <c r="Y17" s="278" t="e">
        <f t="array" aca="1" ref="Y17" ca="1">IF(ROW()-ROW($N$2:$N$34)+1&gt;ROWS($M$2:$M$34)-COUNTBLANK($M$2:$M$34),"",INDIRECT(ADDRESS(SMALL((IF($M$2:$M$34&lt;&gt;"",ROW($M$2:$M$34),ROW()+ROWS($M$2:$M$34))),ROW()-ROW($N$2:$N$34)+1),COLUMN($M$2:$M$34),4)))</f>
        <v>#REF!</v>
      </c>
    </row>
    <row r="18" spans="1:25" ht="54.95" customHeight="1" x14ac:dyDescent="0.25">
      <c r="A18" s="275" t="str">
        <f>IF('Indicator sheet_(IS)'!P53=0,"",'Indicator sheet_(IS)'!P53)</f>
        <v>Incomplete</v>
      </c>
      <c r="B18" s="413">
        <v>16</v>
      </c>
      <c r="C18" s="34">
        <f>IF($A18="I.O.","",'Indicator sheet_(IS)'!A53)</f>
        <v>15</v>
      </c>
      <c r="D18" s="121" t="str">
        <f>IF($A18="I.O.","",'Indicator sheet_(IS)'!C53)</f>
        <v>Revision surgery: colon</v>
      </c>
      <c r="E18" s="283" t="str">
        <f>IF(AND('Indicator sheet_(IS)'!J53="",$A18&lt;&gt;"I.O."),"-----",IF($A18="I.O.","",'Indicator sheet_(IS)'!J53))</f>
        <v>&lt; 0,01%</v>
      </c>
      <c r="F18" s="309" t="str">
        <f>IF($A18="I.O.","",'Indicator sheet_(IS)'!K53)</f>
        <v>≤ 15%</v>
      </c>
      <c r="G18" s="283" t="str">
        <f>IF(AND('Indicator sheet_(IS)'!M53="",$A18&lt;&gt;"I.O."),"-----",IF($A18="I.O.","",'Indicator sheet_(IS)'!M53))</f>
        <v>&gt;10%</v>
      </c>
      <c r="H18" s="308" t="str">
        <f>IF($A18="I.O.","",IF('Indicator sheet_(IS)'!O53="","-----",'Indicator sheet_(IS)'!O53))</f>
        <v>-----</v>
      </c>
      <c r="I18" s="308">
        <f>IF($A18="I.O.","",IF('Indicator sheet_(IS)'!O54="","-----",'Indicator sheet_(IS)'!O54))</f>
        <v>0</v>
      </c>
      <c r="J18" s="276" t="str">
        <f>IF($A18="I.O.","",IF('Indicator sheet_(IS)'!O55="",0,'Indicator sheet_(IS)'!O55))</f>
        <v>n.d.</v>
      </c>
      <c r="K18" s="234" t="str">
        <f>IF($A18="I.O.","",'Indicator sheet_(IS)'!P53)</f>
        <v>Incomplete</v>
      </c>
      <c r="L18" s="277" t="str">
        <f>IF(AND('Indicator sheet_(IS)'!Q53="",$A18&lt;&gt;"I.O."),"-----",IF($A18="I.O.","",'Indicator sheet_(IS)'!Q53))</f>
        <v>-----</v>
      </c>
      <c r="M18" s="277" t="str">
        <f>IF(AND('Indicator sheet_(IS)'!R53="",$A18&lt;&gt;"I.O."),"-----",IF($A18="I.O.","",'Indicator sheet_(IS)'!R53))</f>
        <v>-----</v>
      </c>
      <c r="O18" s="217" t="e">
        <f t="array" aca="1" ref="O18" ca="1">IF(ROW()-ROW($D$2:$D$34)+1&gt;ROWS($C$2:$C$34)-COUNTBLANK($C$2:$C$34),"",INDIRECT(ADDRESS(SMALL((IF($C$2:$C$34&lt;&gt;"",ROW($C$2:$C$34),ROW()+ROWS($C$2:$C$34))),ROW()-ROW($D$2:$D$34)+1),COLUMN($C$2:$C$34),4)))</f>
        <v>#REF!</v>
      </c>
      <c r="P18" s="278" t="e">
        <f t="array" aca="1" ref="P18" ca="1">IF(ROW()-ROW($E$2:$E$34)+1&gt;ROWS($D$2:$D$34)-COUNTBLANK($D$2:$D$34),"",INDIRECT(ADDRESS(SMALL((IF($D$2:$D$34&gt;"",ROW($D$2:$D$34),ROW()+ROWS($D$2:$D$34))),ROW()-ROW($E$2:$E$34)+1),COLUMN($D$2:$D$34),4)))</f>
        <v>#REF!</v>
      </c>
      <c r="Q18" s="206" t="e">
        <f t="array" aca="1" ref="Q18" ca="1">IF(ROW()-ROW($F$2:$F$34)+1&gt;ROWS($E$2:$E$34)-COUNTBLANK($E$2:$E$34),"",INDIRECT(ADDRESS(SMALL((IF($E$2:$E$34&gt;"",ROW($E$2:$E$34),ROW()+ROWS($E$2:$E$34))),ROW()-ROW($F$2:$F$34)+1),COLUMN($E$2:$E$34),4)))</f>
        <v>#REF!</v>
      </c>
      <c r="R18" s="206" t="e">
        <f t="array" aca="1" ref="R18" ca="1">IF(ROW()-ROW($G$2:$G$34)+1&gt;ROWS($F$2:$F$34)-COUNTBLANK($F$2:$F$34),"",INDIRECT(ADDRESS(SMALL((IF($F$2:$F$34&gt;"",ROW($F$2:$F$34),ROW()+ROWS($F$2:$F$34))),ROW()-ROW($G$2:$G$34)+1),COLUMN($F$2:$F$34),4)))</f>
        <v>#REF!</v>
      </c>
      <c r="S18" s="206" t="e">
        <f t="array" aca="1" ref="S18" ca="1">IF(ROW()-ROW($H$2:$H$34)+1&gt;ROWS($G$2:$G$29)-COUNTBLANK($G$2:$G$34),"",INDIRECT(ADDRESS(SMALL((IF($G$2:$G$34&lt;&gt;"",ROW($G$2:$G$34),ROW()+ROWS($G$2:$G$34))),ROW()-ROW($H$2:$H$34)+1),COLUMN($G$2:$G$34),4)))</f>
        <v>#REF!</v>
      </c>
      <c r="T18" s="307" t="e">
        <f t="array" aca="1" ref="T18" ca="1">IF(ROW()-ROW($I$2:$I$34)+1&gt;ROWS($H$2:$H$34)-COUNTBLANK($H$2:$H$34),"",INDIRECT(ADDRESS(SMALL((IF($H$2:$H$34&lt;&gt;"",ROW($H$2:$H$34),ROW()+ROWS($H$2:$H$34))),ROW()-ROW($I$2:$I$34)+1),COLUMN($H$2:$H$34),4)))</f>
        <v>#REF!</v>
      </c>
      <c r="U18" s="307" t="e">
        <f t="array" aca="1" ref="U18" ca="1">IF(ROW()-ROW($J$2:$J$34)+1&gt;ROWS($I$2:$I$34)-COUNTBLANK($I$2:$I$34),"",INDIRECT(ADDRESS(SMALL((IF($I$2:$I$34&lt;&gt;"",ROW($I$2:$I$34),ROW()+ROWS($I$2:$I$34))),ROW()-ROW($J$2:$J$34)+1),COLUMN($I$2:$I$34),4)))</f>
        <v>#REF!</v>
      </c>
      <c r="V18" s="279" t="e">
        <f t="array" aca="1" ref="V18" ca="1">IF(ROW()-ROW($K$2:$K$34)+1&gt;ROWS($J$2:$J$34)-COUNTBLANK($J$2:$J$34),"",INDIRECT(ADDRESS(SMALL((IF($J$2:$J$34&lt;&gt;"",ROW($J$2:$J$34),ROW()+ROWS($J$2:$J$34))),ROW()-ROW($K$2:$K$34)+1),COLUMN($J$2:$J$34),4)))</f>
        <v>#REF!</v>
      </c>
      <c r="W18" s="201" t="e">
        <f t="array" aca="1" ref="W18" ca="1">IF(ROW()-ROW($L$2:$L$34)+1&gt;ROWS($K$2:$K$34)-COUNTBLANK($K$2:$K$34),"",INDIRECT(ADDRESS(SMALL((IF($K$2:$K$34&lt;&gt;"",ROW($K$2:$K$34),ROW()+ROWS($K$2:$K$34))),ROW()-ROW($L$2:$L$34)+1),COLUMN($K$2:$K$34),4)))</f>
        <v>#REF!</v>
      </c>
      <c r="X18" s="278" t="e">
        <f t="array" aca="1" ref="X18" ca="1">IF(ROW()-ROW($M$2:$M$34)+1&gt;ROWS($L$2:$L$34)-COUNTBLANK($L$2:$L$34),"",INDIRECT(ADDRESS(SMALL((IF($L$2:$L$34&lt;&gt;"",ROW($L$2:$L$34),ROW()+ROWS($L$2:$L$34))),ROW()-ROW($M$2:$M$34)+1),COLUMN($L$2:$L$34),4)))</f>
        <v>#REF!</v>
      </c>
      <c r="Y18" s="278" t="e">
        <f t="array" aca="1" ref="Y18" ca="1">IF(ROW()-ROW($N$2:$N$34)+1&gt;ROWS($M$2:$M$34)-COUNTBLANK($M$2:$M$34),"",INDIRECT(ADDRESS(SMALL((IF($M$2:$M$34&lt;&gt;"",ROW($M$2:$M$34),ROW()+ROWS($M$2:$M$34))),ROW()-ROW($N$2:$N$34)+1),COLUMN($M$2:$M$34),4)))</f>
        <v>#REF!</v>
      </c>
    </row>
    <row r="19" spans="1:25" ht="54.95" customHeight="1" x14ac:dyDescent="0.25">
      <c r="A19" s="275" t="str">
        <f>IF('Indicator sheet_(IS)'!P56=0,"",'Indicator sheet_(IS)'!P56)</f>
        <v>Incomplete</v>
      </c>
      <c r="B19" s="413">
        <v>17</v>
      </c>
      <c r="C19" s="34">
        <f>IF($A19="I.O.","",'Indicator sheet_(IS)'!A56)</f>
        <v>16</v>
      </c>
      <c r="D19" s="121" t="str">
        <f>IF($A19="I.O.","",'Indicator sheet_(IS)'!C56)</f>
        <v>Revision Surgery: rectum</v>
      </c>
      <c r="E19" s="283" t="str">
        <f>IF(AND('Indicator sheet_(IS)'!J56="",$A19&lt;&gt;"I.O."),"-----",IF($A19="I.O.","",'Indicator sheet_(IS)'!J56))</f>
        <v>&lt; 0,01%</v>
      </c>
      <c r="F19" s="309" t="str">
        <f>IF($A19="I.O.","",'Indicator sheet_(IS)'!K56)</f>
        <v>≤ 15%</v>
      </c>
      <c r="G19" s="283" t="str">
        <f>IF(AND('Indicator sheet_(IS)'!M56="",$A19&lt;&gt;"I.O."),"-----",IF($A19="I.O.","",'Indicator sheet_(IS)'!M56))</f>
        <v>&gt;10%</v>
      </c>
      <c r="H19" s="308" t="str">
        <f>IF($A19="I.O.","",IF('Indicator sheet_(IS)'!O56="","-----",'Indicator sheet_(IS)'!O56))</f>
        <v>-----</v>
      </c>
      <c r="I19" s="308">
        <f>IF($A19="I.O.","",IF('Indicator sheet_(IS)'!O57="","-----",'Indicator sheet_(IS)'!O57))</f>
        <v>0</v>
      </c>
      <c r="J19" s="276" t="str">
        <f>IF($A19="I.O.","",IF('Indicator sheet_(IS)'!O58="",0,'Indicator sheet_(IS)'!O58))</f>
        <v>n.d.</v>
      </c>
      <c r="K19" s="234" t="str">
        <f>IF($A19="I.O.","",'Indicator sheet_(IS)'!P56)</f>
        <v>Incomplete</v>
      </c>
      <c r="L19" s="277" t="str">
        <f>IF(AND('Indicator sheet_(IS)'!Q56="",$A19&lt;&gt;"I.O."),"-----",IF($A19="I.O.","",'Indicator sheet_(IS)'!Q56))</f>
        <v>-----</v>
      </c>
      <c r="M19" s="277" t="str">
        <f>IF(AND('Indicator sheet_(IS)'!R56="",$A19&lt;&gt;"I.O."),"-----",IF($A19="I.O.","",'Indicator sheet_(IS)'!R56))</f>
        <v>-----</v>
      </c>
      <c r="O19" s="217" t="e">
        <f t="array" aca="1" ref="O19" ca="1">IF(ROW()-ROW($D$2:$D$34)+1&gt;ROWS($C$2:$C$34)-COUNTBLANK($C$2:$C$34),"",INDIRECT(ADDRESS(SMALL((IF($C$2:$C$34&lt;&gt;"",ROW($C$2:$C$34),ROW()+ROWS($C$2:$C$34))),ROW()-ROW($D$2:$D$34)+1),COLUMN($C$2:$C$34),4)))</f>
        <v>#REF!</v>
      </c>
      <c r="P19" s="278" t="e">
        <f t="array" aca="1" ref="P19" ca="1">IF(ROW()-ROW($E$2:$E$34)+1&gt;ROWS($D$2:$D$34)-COUNTBLANK($D$2:$D$34),"",INDIRECT(ADDRESS(SMALL((IF($D$2:$D$34&gt;"",ROW($D$2:$D$34),ROW()+ROWS($D$2:$D$34))),ROW()-ROW($E$2:$E$34)+1),COLUMN($D$2:$D$34),4)))</f>
        <v>#REF!</v>
      </c>
      <c r="Q19" s="206" t="e">
        <f t="array" aca="1" ref="Q19" ca="1">IF(ROW()-ROW($F$2:$F$34)+1&gt;ROWS($E$2:$E$34)-COUNTBLANK($E$2:$E$34),"",INDIRECT(ADDRESS(SMALL((IF($E$2:$E$34&gt;"",ROW($E$2:$E$34),ROW()+ROWS($E$2:$E$34))),ROW()-ROW($F$2:$F$34)+1),COLUMN($E$2:$E$34),4)))</f>
        <v>#REF!</v>
      </c>
      <c r="R19" s="206" t="e">
        <f t="array" aca="1" ref="R19" ca="1">IF(ROW()-ROW($G$2:$G$34)+1&gt;ROWS($F$2:$F$34)-COUNTBLANK($F$2:$F$34),"",INDIRECT(ADDRESS(SMALL((IF($F$2:$F$34&gt;"",ROW($F$2:$F$34),ROW()+ROWS($F$2:$F$34))),ROW()-ROW($G$2:$G$34)+1),COLUMN($F$2:$F$34),4)))</f>
        <v>#REF!</v>
      </c>
      <c r="S19" s="206" t="e">
        <f t="array" aca="1" ref="S19" ca="1">IF(ROW()-ROW($H$2:$H$34)+1&gt;ROWS($G$2:$G$29)-COUNTBLANK($G$2:$G$34),"",INDIRECT(ADDRESS(SMALL((IF($G$2:$G$34&lt;&gt;"",ROW($G$2:$G$34),ROW()+ROWS($G$2:$G$34))),ROW()-ROW($H$2:$H$34)+1),COLUMN($G$2:$G$34),4)))</f>
        <v>#REF!</v>
      </c>
      <c r="T19" s="307" t="e">
        <f t="array" aca="1" ref="T19" ca="1">IF(ROW()-ROW($I$2:$I$34)+1&gt;ROWS($H$2:$H$34)-COUNTBLANK($H$2:$H$34),"",INDIRECT(ADDRESS(SMALL((IF($H$2:$H$34&lt;&gt;"",ROW($H$2:$H$34),ROW()+ROWS($H$2:$H$34))),ROW()-ROW($I$2:$I$34)+1),COLUMN($H$2:$H$34),4)))</f>
        <v>#REF!</v>
      </c>
      <c r="U19" s="307" t="e">
        <f t="array" aca="1" ref="U19" ca="1">IF(ROW()-ROW($J$2:$J$34)+1&gt;ROWS($I$2:$I$34)-COUNTBLANK($I$2:$I$34),"",INDIRECT(ADDRESS(SMALL((IF($I$2:$I$34&lt;&gt;"",ROW($I$2:$I$34),ROW()+ROWS($I$2:$I$34))),ROW()-ROW($J$2:$J$34)+1),COLUMN($I$2:$I$34),4)))</f>
        <v>#REF!</v>
      </c>
      <c r="V19" s="279" t="e">
        <f t="array" aca="1" ref="V19" ca="1">IF(ROW()-ROW($K$2:$K$34)+1&gt;ROWS($J$2:$J$34)-COUNTBLANK($J$2:$J$34),"",INDIRECT(ADDRESS(SMALL((IF($J$2:$J$34&lt;&gt;"",ROW($J$2:$J$34),ROW()+ROWS($J$2:$J$34))),ROW()-ROW($K$2:$K$34)+1),COLUMN($J$2:$J$34),4)))</f>
        <v>#REF!</v>
      </c>
      <c r="W19" s="201" t="e">
        <f t="array" aca="1" ref="W19" ca="1">IF(ROW()-ROW($L$2:$L$34)+1&gt;ROWS($K$2:$K$34)-COUNTBLANK($K$2:$K$34),"",INDIRECT(ADDRESS(SMALL((IF($K$2:$K$34&lt;&gt;"",ROW($K$2:$K$34),ROW()+ROWS($K$2:$K$34))),ROW()-ROW($L$2:$L$34)+1),COLUMN($K$2:$K$34),4)))</f>
        <v>#REF!</v>
      </c>
      <c r="X19" s="278" t="e">
        <f t="array" aca="1" ref="X19" ca="1">IF(ROW()-ROW($M$2:$M$34)+1&gt;ROWS($L$2:$L$34)-COUNTBLANK($L$2:$L$34),"",INDIRECT(ADDRESS(SMALL((IF($L$2:$L$34&lt;&gt;"",ROW($L$2:$L$34),ROW()+ROWS($L$2:$L$34))),ROW()-ROW($M$2:$M$34)+1),COLUMN($L$2:$L$34),4)))</f>
        <v>#REF!</v>
      </c>
      <c r="Y19" s="278" t="e">
        <f t="array" aca="1" ref="Y19" ca="1">IF(ROW()-ROW($N$2:$N$34)+1&gt;ROWS($M$2:$M$34)-COUNTBLANK($M$2:$M$34),"",INDIRECT(ADDRESS(SMALL((IF($M$2:$M$34&lt;&gt;"",ROW($M$2:$M$34),ROW()+ROWS($M$2:$M$34))),ROW()-ROW($N$2:$N$34)+1),COLUMN($M$2:$M$34),4)))</f>
        <v>#REF!</v>
      </c>
    </row>
    <row r="20" spans="1:25" ht="54.95" customHeight="1" x14ac:dyDescent="0.25">
      <c r="A20" s="275" t="str">
        <f>IF('Indicator sheet_(IS)'!P59=0,"",'Indicator sheet_(IS)'!P59)</f>
        <v>Incomplete</v>
      </c>
      <c r="B20" s="413">
        <v>18</v>
      </c>
      <c r="C20" s="34">
        <f>IF($A20="I.O.","",'Indicator sheet_(IS)'!A59)</f>
        <v>17</v>
      </c>
      <c r="D20" s="121" t="str">
        <f>IF($A20="I.O.","",'Indicator sheet_(IS)'!C59)</f>
        <v>Anastomotic insufficiency: colon</v>
      </c>
      <c r="E20" s="283" t="str">
        <f>IF(AND('Indicator sheet_(IS)'!J59="",$A20&lt;&gt;"I.O."),"-----",IF($A20="I.O.","",'Indicator sheet_(IS)'!J59))</f>
        <v>&lt; 0,01%</v>
      </c>
      <c r="F20" s="309" t="str">
        <f>IF($A20="I.O.","",'Indicator sheet_(IS)'!K59)</f>
        <v>≤ 6%</v>
      </c>
      <c r="G20" s="283" t="str">
        <f>IF(AND('Indicator sheet_(IS)'!M59="",$A20&lt;&gt;"I.O."),"-----",IF($A20="I.O.","",'Indicator sheet_(IS)'!M59))</f>
        <v>-----</v>
      </c>
      <c r="H20" s="308" t="str">
        <f>IF($A20="I.O.","",IF('Indicator sheet_(IS)'!O59="","-----",'Indicator sheet_(IS)'!O59))</f>
        <v>-----</v>
      </c>
      <c r="I20" s="308" t="str">
        <f>IF($A20="I.O.","",IF('Indicator sheet_(IS)'!O60="","-----",'Indicator sheet_(IS)'!O60))</f>
        <v>-----</v>
      </c>
      <c r="J20" s="276" t="str">
        <f>IF($A20="I.O.","",IF('Indicator sheet_(IS)'!O61="",0,'Indicator sheet_(IS)'!O61))</f>
        <v>n.d.</v>
      </c>
      <c r="K20" s="234" t="str">
        <f>IF($A20="I.O.","",'Indicator sheet_(IS)'!P59)</f>
        <v>Incomplete</v>
      </c>
      <c r="L20" s="277" t="str">
        <f>IF(AND('Indicator sheet_(IS)'!Q59="",$A20&lt;&gt;"I.O."),"-----",IF($A20="I.O.","",'Indicator sheet_(IS)'!Q59))</f>
        <v>-----</v>
      </c>
      <c r="M20" s="277" t="str">
        <f>IF(AND('Indicator sheet_(IS)'!R59="",$A20&lt;&gt;"I.O."),"-----",IF($A20="I.O.","",'Indicator sheet_(IS)'!R59))</f>
        <v>-----</v>
      </c>
      <c r="O20" s="217" t="e">
        <f t="array" aca="1" ref="O20" ca="1">IF(ROW()-ROW($D$2:$D$34)+1&gt;ROWS($C$2:$C$34)-COUNTBLANK($C$2:$C$34),"",INDIRECT(ADDRESS(SMALL((IF($C$2:$C$34&lt;&gt;"",ROW($C$2:$C$34),ROW()+ROWS($C$2:$C$34))),ROW()-ROW($D$2:$D$34)+1),COLUMN($C$2:$C$34),4)))</f>
        <v>#REF!</v>
      </c>
      <c r="P20" s="278" t="e">
        <f t="array" aca="1" ref="P20" ca="1">IF(ROW()-ROW($E$2:$E$34)+1&gt;ROWS($D$2:$D$34)-COUNTBLANK($D$2:$D$34),"",INDIRECT(ADDRESS(SMALL((IF($D$2:$D$34&gt;"",ROW($D$2:$D$34),ROW()+ROWS($D$2:$D$34))),ROW()-ROW($E$2:$E$34)+1),COLUMN($D$2:$D$34),4)))</f>
        <v>#REF!</v>
      </c>
      <c r="Q20" s="206" t="e">
        <f t="array" aca="1" ref="Q20" ca="1">IF(ROW()-ROW($F$2:$F$34)+1&gt;ROWS($E$2:$E$34)-COUNTBLANK($E$2:$E$34),"",INDIRECT(ADDRESS(SMALL((IF($E$2:$E$34&gt;"",ROW($E$2:$E$34),ROW()+ROWS($E$2:$E$34))),ROW()-ROW($F$2:$F$34)+1),COLUMN($E$2:$E$34),4)))</f>
        <v>#REF!</v>
      </c>
      <c r="R20" s="206" t="e">
        <f t="array" aca="1" ref="R20" ca="1">IF(ROW()-ROW($G$2:$G$34)+1&gt;ROWS($F$2:$F$34)-COUNTBLANK($F$2:$F$34),"",INDIRECT(ADDRESS(SMALL((IF($F$2:$F$34&gt;"",ROW($F$2:$F$34),ROW()+ROWS($F$2:$F$34))),ROW()-ROW($G$2:$G$34)+1),COLUMN($F$2:$F$34),4)))</f>
        <v>#REF!</v>
      </c>
      <c r="S20" s="206" t="e">
        <f t="array" aca="1" ref="S20" ca="1">IF(ROW()-ROW($H$2:$H$34)+1&gt;ROWS($G$2:$G$29)-COUNTBLANK($G$2:$G$34),"",INDIRECT(ADDRESS(SMALL((IF($G$2:$G$34&lt;&gt;"",ROW($G$2:$G$34),ROW()+ROWS($G$2:$G$34))),ROW()-ROW($H$2:$H$34)+1),COLUMN($G$2:$G$34),4)))</f>
        <v>#REF!</v>
      </c>
      <c r="T20" s="307" t="e">
        <f t="array" aca="1" ref="T20" ca="1">IF(ROW()-ROW($I$2:$I$34)+1&gt;ROWS($H$2:$H$34)-COUNTBLANK($H$2:$H$34),"",INDIRECT(ADDRESS(SMALL((IF($H$2:$H$34&lt;&gt;"",ROW($H$2:$H$34),ROW()+ROWS($H$2:$H$34))),ROW()-ROW($I$2:$I$34)+1),COLUMN($H$2:$H$34),4)))</f>
        <v>#REF!</v>
      </c>
      <c r="U20" s="307" t="e">
        <f t="array" aca="1" ref="U20" ca="1">IF(ROW()-ROW($J$2:$J$34)+1&gt;ROWS($I$2:$I$34)-COUNTBLANK($I$2:$I$34),"",INDIRECT(ADDRESS(SMALL((IF($I$2:$I$34&lt;&gt;"",ROW($I$2:$I$34),ROW()+ROWS($I$2:$I$34))),ROW()-ROW($J$2:$J$34)+1),COLUMN($I$2:$I$34),4)))</f>
        <v>#REF!</v>
      </c>
      <c r="V20" s="279" t="e">
        <f t="array" aca="1" ref="V20" ca="1">IF(ROW()-ROW($K$2:$K$34)+1&gt;ROWS($J$2:$J$34)-COUNTBLANK($J$2:$J$34),"",INDIRECT(ADDRESS(SMALL((IF($J$2:$J$34&lt;&gt;"",ROW($J$2:$J$34),ROW()+ROWS($J$2:$J$34))),ROW()-ROW($K$2:$K$34)+1),COLUMN($J$2:$J$34),4)))</f>
        <v>#REF!</v>
      </c>
      <c r="W20" s="201" t="e">
        <f t="array" aca="1" ref="W20" ca="1">IF(ROW()-ROW($L$2:$L$34)+1&gt;ROWS($K$2:$K$34)-COUNTBLANK($K$2:$K$34),"",INDIRECT(ADDRESS(SMALL((IF($K$2:$K$34&lt;&gt;"",ROW($K$2:$K$34),ROW()+ROWS($K$2:$K$34))),ROW()-ROW($L$2:$L$34)+1),COLUMN($K$2:$K$34),4)))</f>
        <v>#REF!</v>
      </c>
      <c r="X20" s="278" t="e">
        <f t="array" aca="1" ref="X20" ca="1">IF(ROW()-ROW($M$2:$M$34)+1&gt;ROWS($L$2:$L$34)-COUNTBLANK($L$2:$L$34),"",INDIRECT(ADDRESS(SMALL((IF($L$2:$L$34&lt;&gt;"",ROW($L$2:$L$34),ROW()+ROWS($L$2:$L$34))),ROW()-ROW($M$2:$M$34)+1),COLUMN($L$2:$L$34),4)))</f>
        <v>#REF!</v>
      </c>
      <c r="Y20" s="278" t="e">
        <f t="array" aca="1" ref="Y20" ca="1">IF(ROW()-ROW($N$2:$N$34)+1&gt;ROWS($M$2:$M$34)-COUNTBLANK($M$2:$M$34),"",INDIRECT(ADDRESS(SMALL((IF($M$2:$M$34&lt;&gt;"",ROW($M$2:$M$34),ROW()+ROWS($M$2:$M$34))),ROW()-ROW($N$2:$N$34)+1),COLUMN($M$2:$M$34),4)))</f>
        <v>#REF!</v>
      </c>
    </row>
    <row r="21" spans="1:25" ht="54.95" customHeight="1" x14ac:dyDescent="0.25">
      <c r="A21" s="275" t="str">
        <f>IF('Indicator sheet_(IS)'!P62=0,"",'Indicator sheet_(IS)'!P62)</f>
        <v>Incomplete</v>
      </c>
      <c r="B21" s="413">
        <v>19</v>
      </c>
      <c r="C21" s="34">
        <f>IF($A21="I.O.","",'Indicator sheet_(IS)'!A62)</f>
        <v>18</v>
      </c>
      <c r="D21" s="121" t="str">
        <f>IF($A21="I.O.","",'Indicator sheet_(IS)'!C62)</f>
        <v>Anastomotic insufficiency: rectum</v>
      </c>
      <c r="E21" s="283" t="str">
        <f>IF(AND('Indicator sheet_(IS)'!J62="",$A21&lt;&gt;"I.O."),"-----",IF($A21="I.O.","",'Indicator sheet_(IS)'!J62))</f>
        <v>&lt; 0,01%</v>
      </c>
      <c r="F21" s="309" t="str">
        <f>IF($A21="I.O.","",'Indicator sheet_(IS)'!K62)</f>
        <v>≤ 15%</v>
      </c>
      <c r="G21" s="283" t="str">
        <f>IF(AND('Indicator sheet_(IS)'!M62="",$A21&lt;&gt;"I.O."),"-----",IF($A21="I.O.","",'Indicator sheet_(IS)'!M62))</f>
        <v>-----</v>
      </c>
      <c r="H21" s="308" t="str">
        <f>IF($A21="I.O.","",IF('Indicator sheet_(IS)'!O62="","-----",'Indicator sheet_(IS)'!O62))</f>
        <v>-----</v>
      </c>
      <c r="I21" s="308" t="str">
        <f>IF($A21="I.O.","",IF('Indicator sheet_(IS)'!O63="","-----",'Indicator sheet_(IS)'!O63))</f>
        <v>-----</v>
      </c>
      <c r="J21" s="276" t="str">
        <f>IF($A21="I.O.","",IF('Indicator sheet_(IS)'!O64="",0,'Indicator sheet_(IS)'!O64))</f>
        <v>n.d.</v>
      </c>
      <c r="K21" s="234" t="str">
        <f>IF($A21="I.O.","",'Indicator sheet_(IS)'!P62)</f>
        <v>Incomplete</v>
      </c>
      <c r="L21" s="277" t="str">
        <f>IF(AND('Indicator sheet_(IS)'!Q62="",$A21&lt;&gt;"I.O."),"-----",IF($A21="I.O.","",'Indicator sheet_(IS)'!Q62))</f>
        <v>-----</v>
      </c>
      <c r="M21" s="277" t="str">
        <f>IF(AND('Indicator sheet_(IS)'!R62="",$A21&lt;&gt;"I.O."),"-----",IF($A21="I.O.","",'Indicator sheet_(IS)'!R62))</f>
        <v>-----</v>
      </c>
      <c r="O21" s="217" t="e">
        <f t="array" aca="1" ref="O21" ca="1">IF(ROW()-ROW($D$2:$D$34)+1&gt;ROWS($C$2:$C$34)-COUNTBLANK($C$2:$C$34),"",INDIRECT(ADDRESS(SMALL((IF($C$2:$C$34&lt;&gt;"",ROW($C$2:$C$34),ROW()+ROWS($C$2:$C$34))),ROW()-ROW($D$2:$D$34)+1),COLUMN($C$2:$C$34),4)))</f>
        <v>#REF!</v>
      </c>
      <c r="P21" s="278" t="e">
        <f t="array" aca="1" ref="P21" ca="1">IF(ROW()-ROW($E$2:$E$34)+1&gt;ROWS($D$2:$D$34)-COUNTBLANK($D$2:$D$34),"",INDIRECT(ADDRESS(SMALL((IF($D$2:$D$34&gt;"",ROW($D$2:$D$34),ROW()+ROWS($D$2:$D$34))),ROW()-ROW($E$2:$E$34)+1),COLUMN($D$2:$D$34),4)))</f>
        <v>#REF!</v>
      </c>
      <c r="Q21" s="206" t="e">
        <f t="array" aca="1" ref="Q21" ca="1">IF(ROW()-ROW($F$2:$F$34)+1&gt;ROWS($E$2:$E$34)-COUNTBLANK($E$2:$E$34),"",INDIRECT(ADDRESS(SMALL((IF($E$2:$E$34&gt;"",ROW($E$2:$E$34),ROW()+ROWS($E$2:$E$34))),ROW()-ROW($F$2:$F$34)+1),COLUMN($E$2:$E$34),4)))</f>
        <v>#REF!</v>
      </c>
      <c r="R21" s="206" t="e">
        <f t="array" aca="1" ref="R21" ca="1">IF(ROW()-ROW($G$2:$G$34)+1&gt;ROWS($F$2:$F$34)-COUNTBLANK($F$2:$F$34),"",INDIRECT(ADDRESS(SMALL((IF($F$2:$F$34&gt;"",ROW($F$2:$F$34),ROW()+ROWS($F$2:$F$34))),ROW()-ROW($G$2:$G$34)+1),COLUMN($F$2:$F$34),4)))</f>
        <v>#REF!</v>
      </c>
      <c r="S21" s="206" t="e">
        <f t="array" aca="1" ref="S21" ca="1">IF(ROW()-ROW($H$2:$H$34)+1&gt;ROWS($G$2:$G$29)-COUNTBLANK($G$2:$G$34),"",INDIRECT(ADDRESS(SMALL((IF($G$2:$G$34&lt;&gt;"",ROW($G$2:$G$34),ROW()+ROWS($G$2:$G$34))),ROW()-ROW($H$2:$H$34)+1),COLUMN($G$2:$G$34),4)))</f>
        <v>#REF!</v>
      </c>
      <c r="T21" s="307" t="e">
        <f t="array" aca="1" ref="T21" ca="1">IF(ROW()-ROW($I$2:$I$34)+1&gt;ROWS($H$2:$H$34)-COUNTBLANK($H$2:$H$34),"",INDIRECT(ADDRESS(SMALL((IF($H$2:$H$34&lt;&gt;"",ROW($H$2:$H$34),ROW()+ROWS($H$2:$H$34))),ROW()-ROW($I$2:$I$34)+1),COLUMN($H$2:$H$34),4)))</f>
        <v>#REF!</v>
      </c>
      <c r="U21" s="307" t="e">
        <f t="array" aca="1" ref="U21" ca="1">IF(ROW()-ROW($J$2:$J$34)+1&gt;ROWS($I$2:$I$34)-COUNTBLANK($I$2:$I$34),"",INDIRECT(ADDRESS(SMALL((IF($I$2:$I$34&lt;&gt;"",ROW($I$2:$I$34),ROW()+ROWS($I$2:$I$34))),ROW()-ROW($J$2:$J$34)+1),COLUMN($I$2:$I$34),4)))</f>
        <v>#REF!</v>
      </c>
      <c r="V21" s="279" t="e">
        <f t="array" aca="1" ref="V21" ca="1">IF(ROW()-ROW($K$2:$K$34)+1&gt;ROWS($J$2:$J$34)-COUNTBLANK($J$2:$J$34),"",INDIRECT(ADDRESS(SMALL((IF($J$2:$J$34&lt;&gt;"",ROW($J$2:$J$34),ROW()+ROWS($J$2:$J$34))),ROW()-ROW($K$2:$K$34)+1),COLUMN($J$2:$J$34),4)))</f>
        <v>#REF!</v>
      </c>
      <c r="W21" s="201" t="e">
        <f t="array" aca="1" ref="W21" ca="1">IF(ROW()-ROW($L$2:$L$34)+1&gt;ROWS($K$2:$K$34)-COUNTBLANK($K$2:$K$34),"",INDIRECT(ADDRESS(SMALL((IF($K$2:$K$34&lt;&gt;"",ROW($K$2:$K$34),ROW()+ROWS($K$2:$K$34))),ROW()-ROW($L$2:$L$34)+1),COLUMN($K$2:$K$34),4)))</f>
        <v>#REF!</v>
      </c>
      <c r="X21" s="278" t="e">
        <f t="array" aca="1" ref="X21" ca="1">IF(ROW()-ROW($M$2:$M$34)+1&gt;ROWS($L$2:$L$34)-COUNTBLANK($L$2:$L$34),"",INDIRECT(ADDRESS(SMALL((IF($L$2:$L$34&lt;&gt;"",ROW($L$2:$L$34),ROW()+ROWS($L$2:$L$34))),ROW()-ROW($M$2:$M$34)+1),COLUMN($L$2:$L$34),4)))</f>
        <v>#REF!</v>
      </c>
      <c r="Y21" s="278" t="e">
        <f t="array" aca="1" ref="Y21" ca="1">IF(ROW()-ROW($N$2:$N$34)+1&gt;ROWS($M$2:$M$34)-COUNTBLANK($M$2:$M$34),"",INDIRECT(ADDRESS(SMALL((IF($M$2:$M$34&lt;&gt;"",ROW($M$2:$M$34),ROW()+ROWS($M$2:$M$34))),ROW()-ROW($N$2:$N$34)+1),COLUMN($M$2:$M$34),4)))</f>
        <v>#REF!</v>
      </c>
    </row>
    <row r="22" spans="1:25" ht="54.95" customHeight="1" x14ac:dyDescent="0.25">
      <c r="A22" s="275" t="str">
        <f>IF('Indicator sheet_(IS)'!P65=0,"",'Indicator sheet_(IS)'!P65)</f>
        <v>Incomplete</v>
      </c>
      <c r="B22" s="412">
        <v>20</v>
      </c>
      <c r="C22" s="34">
        <f>IF($A22="I.O.","",'Indicator sheet_(IS)'!A65)</f>
        <v>19</v>
      </c>
      <c r="D22" s="121" t="str">
        <f>IF($A22="I.O.","",'Indicator sheet_(IS)'!C65)</f>
        <v>Post-operative mortality</v>
      </c>
      <c r="E22" s="283" t="str">
        <f>IF(AND('Indicator sheet_(IS)'!J65="",$A22&lt;&gt;"I.O."),"-----",IF($A22="I.O.","",'Indicator sheet_(IS)'!J65))</f>
        <v>&lt; 0,01%</v>
      </c>
      <c r="F22" s="309" t="str">
        <f>IF($A22="I.O.","",'Indicator sheet_(IS)'!K65)</f>
        <v>≤ 5%</v>
      </c>
      <c r="G22" s="283" t="str">
        <f>IF(AND('Indicator sheet_(IS)'!M65="",$A22&lt;&gt;"I.O."),"-----",IF($A22="I.O.","",'Indicator sheet_(IS)'!M65))</f>
        <v>-----</v>
      </c>
      <c r="H22" s="308" t="str">
        <f>IF($A22="I.O.","",IF('Indicator sheet_(IS)'!O65="","-----",'Indicator sheet_(IS)'!O65))</f>
        <v>-----</v>
      </c>
      <c r="I22" s="308">
        <f>IF($A22="I.O.","",IF('Indicator sheet_(IS)'!O66="","-----",'Indicator sheet_(IS)'!O66))</f>
        <v>0</v>
      </c>
      <c r="J22" s="276" t="str">
        <f>IF($A22="I.O.","",IF('Indicator sheet_(IS)'!O67="",0,'Indicator sheet_(IS)'!O67))</f>
        <v>n.d.</v>
      </c>
      <c r="K22" s="234" t="str">
        <f>IF($A22="I.O.","",'Indicator sheet_(IS)'!P65)</f>
        <v>Incomplete</v>
      </c>
      <c r="L22" s="277" t="str">
        <f>IF(AND('Indicator sheet_(IS)'!Q65="",$A22&lt;&gt;"I.O."),"-----",IF($A22="I.O.","",'Indicator sheet_(IS)'!Q65))</f>
        <v>-----</v>
      </c>
      <c r="M22" s="277" t="str">
        <f>IF(AND('Indicator sheet_(IS)'!R65="",$A22&lt;&gt;"I.O."),"-----",IF($A22="I.O.","",'Indicator sheet_(IS)'!R65))</f>
        <v>-----</v>
      </c>
      <c r="O22" s="217" t="e">
        <f t="array" aca="1" ref="O22" ca="1">IF(ROW()-ROW($D$2:$D$34)+1&gt;ROWS($C$2:$C$34)-COUNTBLANK($C$2:$C$34),"",INDIRECT(ADDRESS(SMALL((IF($C$2:$C$34&lt;&gt;"",ROW($C$2:$C$34),ROW()+ROWS($C$2:$C$34))),ROW()-ROW($D$2:$D$34)+1),COLUMN($C$2:$C$34),4)))</f>
        <v>#REF!</v>
      </c>
      <c r="P22" s="278" t="e">
        <f t="array" aca="1" ref="P22" ca="1">IF(ROW()-ROW($E$2:$E$34)+1&gt;ROWS($D$2:$D$34)-COUNTBLANK($D$2:$D$34),"",INDIRECT(ADDRESS(SMALL((IF($D$2:$D$34&gt;"",ROW($D$2:$D$34),ROW()+ROWS($D$2:$D$34))),ROW()-ROW($E$2:$E$34)+1),COLUMN($D$2:$D$34),4)))</f>
        <v>#REF!</v>
      </c>
      <c r="Q22" s="206" t="e">
        <f t="array" aca="1" ref="Q22" ca="1">IF(ROW()-ROW($F$2:$F$34)+1&gt;ROWS($E$2:$E$34)-COUNTBLANK($E$2:$E$34),"",INDIRECT(ADDRESS(SMALL((IF($E$2:$E$34&gt;"",ROW($E$2:$E$34),ROW()+ROWS($E$2:$E$34))),ROW()-ROW($F$2:$F$34)+1),COLUMN($E$2:$E$34),4)))</f>
        <v>#REF!</v>
      </c>
      <c r="R22" s="206" t="e">
        <f t="array" aca="1" ref="R22" ca="1">IF(ROW()-ROW($G$2:$G$34)+1&gt;ROWS($F$2:$F$34)-COUNTBLANK($F$2:$F$34),"",INDIRECT(ADDRESS(SMALL((IF($F$2:$F$34&gt;"",ROW($F$2:$F$34),ROW()+ROWS($F$2:$F$34))),ROW()-ROW($G$2:$G$34)+1),COLUMN($F$2:$F$34),4)))</f>
        <v>#REF!</v>
      </c>
      <c r="S22" s="206" t="e">
        <f t="array" aca="1" ref="S22" ca="1">IF(ROW()-ROW($H$2:$H$34)+1&gt;ROWS($G$2:$G$29)-COUNTBLANK($G$2:$G$34),"",INDIRECT(ADDRESS(SMALL((IF($G$2:$G$34&lt;&gt;"",ROW($G$2:$G$34),ROW()+ROWS($G$2:$G$34))),ROW()-ROW($H$2:$H$34)+1),COLUMN($G$2:$G$34),4)))</f>
        <v>#REF!</v>
      </c>
      <c r="T22" s="307" t="e">
        <f t="array" aca="1" ref="T22" ca="1">IF(ROW()-ROW($I$2:$I$34)+1&gt;ROWS($H$2:$H$34)-COUNTBLANK($H$2:$H$34),"",INDIRECT(ADDRESS(SMALL((IF($H$2:$H$34&lt;&gt;"",ROW($H$2:$H$34),ROW()+ROWS($H$2:$H$34))),ROW()-ROW($I$2:$I$34)+1),COLUMN($H$2:$H$34),4)))</f>
        <v>#REF!</v>
      </c>
      <c r="U22" s="307" t="e">
        <f t="array" aca="1" ref="U22" ca="1">IF(ROW()-ROW($J$2:$J$34)+1&gt;ROWS($I$2:$I$34)-COUNTBLANK($I$2:$I$34),"",INDIRECT(ADDRESS(SMALL((IF($I$2:$I$34&lt;&gt;"",ROW($I$2:$I$34),ROW()+ROWS($I$2:$I$34))),ROW()-ROW($J$2:$J$34)+1),COLUMN($I$2:$I$34),4)))</f>
        <v>#REF!</v>
      </c>
      <c r="V22" s="279" t="e">
        <f t="array" aca="1" ref="V22" ca="1">IF(ROW()-ROW($K$2:$K$34)+1&gt;ROWS($J$2:$J$34)-COUNTBLANK($J$2:$J$34),"",INDIRECT(ADDRESS(SMALL((IF($J$2:$J$34&lt;&gt;"",ROW($J$2:$J$34),ROW()+ROWS($J$2:$J$34))),ROW()-ROW($K$2:$K$34)+1),COLUMN($J$2:$J$34),4)))</f>
        <v>#REF!</v>
      </c>
      <c r="W22" s="201" t="e">
        <f t="array" aca="1" ref="W22" ca="1">IF(ROW()-ROW($L$2:$L$34)+1&gt;ROWS($K$2:$K$34)-COUNTBLANK($K$2:$K$34),"",INDIRECT(ADDRESS(SMALL((IF($K$2:$K$34&lt;&gt;"",ROW($K$2:$K$34),ROW()+ROWS($K$2:$K$34))),ROW()-ROW($L$2:$L$34)+1),COLUMN($K$2:$K$34),4)))</f>
        <v>#REF!</v>
      </c>
      <c r="X22" s="278" t="e">
        <f t="array" aca="1" ref="X22" ca="1">IF(ROW()-ROW($M$2:$M$34)+1&gt;ROWS($L$2:$L$34)-COUNTBLANK($L$2:$L$34),"",INDIRECT(ADDRESS(SMALL((IF($L$2:$L$34&lt;&gt;"",ROW($L$2:$L$34),ROW()+ROWS($L$2:$L$34))),ROW()-ROW($M$2:$M$34)+1),COLUMN($L$2:$L$34),4)))</f>
        <v>#REF!</v>
      </c>
      <c r="Y22" s="278" t="e">
        <f t="array" aca="1" ref="Y22" ca="1">IF(ROW()-ROW($N$2:$N$34)+1&gt;ROWS($M$2:$M$34)-COUNTBLANK($M$2:$M$34),"",INDIRECT(ADDRESS(SMALL((IF($M$2:$M$34&lt;&gt;"",ROW($M$2:$M$34),ROW()+ROWS($M$2:$M$34))),ROW()-ROW($N$2:$N$34)+1),COLUMN($M$2:$M$34),4)))</f>
        <v>#REF!</v>
      </c>
    </row>
    <row r="23" spans="1:25" ht="54.95" customHeight="1" x14ac:dyDescent="0.25">
      <c r="A23" s="275" t="str">
        <f>IF('Indicator sheet_(IS)'!P68=0,"",'Indicator sheet_(IS)'!P68)</f>
        <v>Incomplete</v>
      </c>
      <c r="B23" s="412">
        <v>21</v>
      </c>
      <c r="C23" s="34">
        <f>IF($A23="I.O.","",'Indicator sheet_(IS)'!A68)</f>
        <v>20</v>
      </c>
      <c r="D23" s="121" t="str">
        <f>IF($A23="I.O.","",'Indicator sheet_(IS)'!C68)</f>
        <v>Local R0 resections: rectum</v>
      </c>
      <c r="E23" s="283" t="str">
        <f>IF(AND('Indicator sheet_(IS)'!J68="",$A23&lt;&gt;"I.O."),"-----",IF($A23="I.O.","",'Indicator sheet_(IS)'!J68))</f>
        <v>-----</v>
      </c>
      <c r="F23" s="309" t="str">
        <f>IF($A23="I.O.","",'Indicator sheet_(IS)'!K68)</f>
        <v>≥ 90%</v>
      </c>
      <c r="G23" s="283" t="str">
        <f>IF(AND('Indicator sheet_(IS)'!M68="",$A23&lt;&gt;"I.O."),"-----",IF($A23="I.O.","",'Indicator sheet_(IS)'!M68))</f>
        <v>-----</v>
      </c>
      <c r="H23" s="308" t="str">
        <f>IF($A23="I.O.","",IF('Indicator sheet_(IS)'!O68="","-----",'Indicator sheet_(IS)'!O68))</f>
        <v>-----</v>
      </c>
      <c r="I23" s="308">
        <f>IF($A23="I.O.","",IF('Indicator sheet_(IS)'!O69="","-----",'Indicator sheet_(IS)'!O69))</f>
        <v>0</v>
      </c>
      <c r="J23" s="276" t="str">
        <f>IF($A23="I.O.","",IF('Indicator sheet_(IS)'!O70="",0,'Indicator sheet_(IS)'!O70))</f>
        <v>n.d.</v>
      </c>
      <c r="K23" s="234" t="str">
        <f>IF($A23="I.O.","",'Indicator sheet_(IS)'!P68)</f>
        <v>Incomplete</v>
      </c>
      <c r="L23" s="277" t="str">
        <f>IF(AND('Indicator sheet_(IS)'!Q68="",$A23&lt;&gt;"I.O."),"-----",IF($A23="I.O.","",'Indicator sheet_(IS)'!Q68))</f>
        <v>-----</v>
      </c>
      <c r="M23" s="277" t="str">
        <f>IF(AND('Indicator sheet_(IS)'!R68="",$A23&lt;&gt;"I.O."),"-----",IF($A23="I.O.","",'Indicator sheet_(IS)'!R68))</f>
        <v>-----</v>
      </c>
      <c r="O23" s="217" t="e">
        <f t="array" aca="1" ref="O23" ca="1">IF(ROW()-ROW($D$2:$D$34)+1&gt;ROWS($C$2:$C$34)-COUNTBLANK($C$2:$C$34),"",INDIRECT(ADDRESS(SMALL((IF($C$2:$C$34&lt;&gt;"",ROW($C$2:$C$34),ROW()+ROWS($C$2:$C$34))),ROW()-ROW($D$2:$D$34)+1),COLUMN($C$2:$C$34),4)))</f>
        <v>#REF!</v>
      </c>
      <c r="P23" s="278" t="e">
        <f t="array" aca="1" ref="P23" ca="1">IF(ROW()-ROW($E$2:$E$34)+1&gt;ROWS($D$2:$D$34)-COUNTBLANK($D$2:$D$34),"",INDIRECT(ADDRESS(SMALL((IF($D$2:$D$34&gt;"",ROW($D$2:$D$34),ROW()+ROWS($D$2:$D$34))),ROW()-ROW($E$2:$E$34)+1),COLUMN($D$2:$D$34),4)))</f>
        <v>#REF!</v>
      </c>
      <c r="Q23" s="206" t="e">
        <f t="array" aca="1" ref="Q23" ca="1">IF(ROW()-ROW($F$2:$F$34)+1&gt;ROWS($E$2:$E$34)-COUNTBLANK($E$2:$E$34),"",INDIRECT(ADDRESS(SMALL((IF($E$2:$E$34&gt;"",ROW($E$2:$E$34),ROW()+ROWS($E$2:$E$34))),ROW()-ROW($F$2:$F$34)+1),COLUMN($E$2:$E$34),4)))</f>
        <v>#REF!</v>
      </c>
      <c r="R23" s="206" t="e">
        <f t="array" aca="1" ref="R23" ca="1">IF(ROW()-ROW($G$2:$G$34)+1&gt;ROWS($F$2:$F$34)-COUNTBLANK($F$2:$F$34),"",INDIRECT(ADDRESS(SMALL((IF($F$2:$F$34&gt;"",ROW($F$2:$F$34),ROW()+ROWS($F$2:$F$34))),ROW()-ROW($G$2:$G$34)+1),COLUMN($F$2:$F$34),4)))</f>
        <v>#REF!</v>
      </c>
      <c r="S23" s="206" t="e">
        <f t="array" aca="1" ref="S23" ca="1">IF(ROW()-ROW($H$2:$H$34)+1&gt;ROWS($G$2:$G$29)-COUNTBLANK($G$2:$G$34),"",INDIRECT(ADDRESS(SMALL((IF($G$2:$G$34&lt;&gt;"",ROW($G$2:$G$34),ROW()+ROWS($G$2:$G$34))),ROW()-ROW($H$2:$H$34)+1),COLUMN($G$2:$G$34),4)))</f>
        <v>#REF!</v>
      </c>
      <c r="T23" s="307" t="e">
        <f t="array" aca="1" ref="T23" ca="1">IF(ROW()-ROW($I$2:$I$34)+1&gt;ROWS($H$2:$H$34)-COUNTBLANK($H$2:$H$34),"",INDIRECT(ADDRESS(SMALL((IF($H$2:$H$34&lt;&gt;"",ROW($H$2:$H$34),ROW()+ROWS($H$2:$H$34))),ROW()-ROW($I$2:$I$34)+1),COLUMN($H$2:$H$34),4)))</f>
        <v>#REF!</v>
      </c>
      <c r="U23" s="307" t="e">
        <f t="array" aca="1" ref="U23" ca="1">IF(ROW()-ROW($J$2:$J$34)+1&gt;ROWS($I$2:$I$34)-COUNTBLANK($I$2:$I$34),"",INDIRECT(ADDRESS(SMALL((IF($I$2:$I$34&lt;&gt;"",ROW($I$2:$I$34),ROW()+ROWS($I$2:$I$34))),ROW()-ROW($J$2:$J$34)+1),COLUMN($I$2:$I$34),4)))</f>
        <v>#REF!</v>
      </c>
      <c r="V23" s="279" t="e">
        <f t="array" aca="1" ref="V23" ca="1">IF(ROW()-ROW($K$2:$K$34)+1&gt;ROWS($J$2:$J$34)-COUNTBLANK($J$2:$J$34),"",INDIRECT(ADDRESS(SMALL((IF($J$2:$J$34&lt;&gt;"",ROW($J$2:$J$34),ROW()+ROWS($J$2:$J$34))),ROW()-ROW($K$2:$K$34)+1),COLUMN($J$2:$J$34),4)))</f>
        <v>#REF!</v>
      </c>
      <c r="W23" s="201" t="e">
        <f t="array" aca="1" ref="W23" ca="1">IF(ROW()-ROW($L$2:$L$34)+1&gt;ROWS($K$2:$K$34)-COUNTBLANK($K$2:$K$34),"",INDIRECT(ADDRESS(SMALL((IF($K$2:$K$34&lt;&gt;"",ROW($K$2:$K$34),ROW()+ROWS($K$2:$K$34))),ROW()-ROW($L$2:$L$34)+1),COLUMN($K$2:$K$34),4)))</f>
        <v>#REF!</v>
      </c>
      <c r="X23" s="278" t="e">
        <f t="array" aca="1" ref="X23" ca="1">IF(ROW()-ROW($M$2:$M$34)+1&gt;ROWS($L$2:$L$34)-COUNTBLANK($L$2:$L$34),"",INDIRECT(ADDRESS(SMALL((IF($L$2:$L$34&lt;&gt;"",ROW($L$2:$L$34),ROW()+ROWS($L$2:$L$34))),ROW()-ROW($M$2:$M$34)+1),COLUMN($L$2:$L$34),4)))</f>
        <v>#REF!</v>
      </c>
      <c r="Y23" s="278" t="e">
        <f t="array" aca="1" ref="Y23" ca="1">IF(ROW()-ROW($N$2:$N$34)+1&gt;ROWS($M$2:$M$34)-COUNTBLANK($M$2:$M$34),"",INDIRECT(ADDRESS(SMALL((IF($M$2:$M$34&lt;&gt;"",ROW($M$2:$M$34),ROW()+ROWS($M$2:$M$34))),ROW()-ROW($N$2:$N$34)+1),COLUMN($M$2:$M$34),4)))</f>
        <v>#REF!</v>
      </c>
    </row>
    <row r="24" spans="1:25" ht="54.95" customHeight="1" x14ac:dyDescent="0.25">
      <c r="A24" s="275" t="str">
        <f>IF('Indicator sheet_(IS)'!P71=0,"",'Indicator sheet_(IS)'!P71)</f>
        <v>Incomplete</v>
      </c>
      <c r="B24" s="412">
        <v>22</v>
      </c>
      <c r="C24" s="34">
        <f>IF($A24="I.O.","",'Indicator sheet_(IS)'!A71)</f>
        <v>21</v>
      </c>
      <c r="D24" s="121" t="str">
        <f>IF($A24="I.O.","",'Indicator sheet_(IS)'!C71)</f>
        <v>Marking of stoma position</v>
      </c>
      <c r="E24" s="283" t="str">
        <f>IF(AND('Indicator sheet_(IS)'!J71="",$A24&lt;&gt;"I.O."),"-----",IF($A24="I.O.","",'Indicator sheet_(IS)'!J71))</f>
        <v>-----</v>
      </c>
      <c r="F24" s="309" t="str">
        <f>IF($A24="I.O.","",'Indicator sheet_(IS)'!K71)</f>
        <v>≥ 90%</v>
      </c>
      <c r="G24" s="283" t="str">
        <f>IF(AND('Indicator sheet_(IS)'!M71="",$A24&lt;&gt;"I.O."),"-----",IF($A24="I.O.","",'Indicator sheet_(IS)'!M71))</f>
        <v>-----</v>
      </c>
      <c r="H24" s="308" t="str">
        <f>IF($A24="I.O.","",IF('Indicator sheet_(IS)'!O71="","-----",'Indicator sheet_(IS)'!O71))</f>
        <v>-----</v>
      </c>
      <c r="I24" s="308" t="str">
        <f>IF($A24="I.O.","",IF('Indicator sheet_(IS)'!O72="","-----",'Indicator sheet_(IS)'!O72))</f>
        <v>-----</v>
      </c>
      <c r="J24" s="276" t="str">
        <f>IF($A24="I.O.","",IF('Indicator sheet_(IS)'!O73="","-----",'Indicator sheet_(IS)'!O73))</f>
        <v>n.d.</v>
      </c>
      <c r="K24" s="234" t="str">
        <f>IF($A24="I.O.","",'Indicator sheet_(IS)'!P71)</f>
        <v>Incomplete</v>
      </c>
      <c r="L24" s="277" t="str">
        <f>IF(AND('Indicator sheet_(IS)'!Q71="",$A24&lt;&gt;"I.O."),"-----",IF($A24="I.O.","",'Indicator sheet_(IS)'!Q71))</f>
        <v>-----</v>
      </c>
      <c r="M24" s="277" t="str">
        <f>IF(AND('Indicator sheet_(IS)'!R74="",$A79&lt;&gt;"I.O."),"-----",IF($A24="I.O.","",'Indicator sheet_(IS)'!R71))</f>
        <v>-----</v>
      </c>
      <c r="O24" s="217" t="e">
        <f t="array" aca="1" ref="O24" ca="1">IF(ROW()-ROW($D$2:$D$34)+1&gt;ROWS($C$2:$C$34)-COUNTBLANK($C$2:$C$34),"",INDIRECT(ADDRESS(SMALL((IF($C$2:$C$34&lt;&gt;"",ROW($C$2:$C$34),ROW()+ROWS($C$2:$C$34))),ROW()-ROW($D$2:$D$34)+1),COLUMN($C$2:$C$34),4)))</f>
        <v>#REF!</v>
      </c>
      <c r="P24" s="278" t="e">
        <f t="array" aca="1" ref="P24" ca="1">IF(ROW()-ROW($E$2:$E$34)+1&gt;ROWS($D$2:$D$34)-COUNTBLANK($D$2:$D$34),"",INDIRECT(ADDRESS(SMALL((IF($D$2:$D$34&gt;"",ROW($D$2:$D$34),ROW()+ROWS($D$2:$D$34))),ROW()-ROW($E$2:$E$34)+1),COLUMN($D$2:$D$34),4)))</f>
        <v>#REF!</v>
      </c>
      <c r="Q24" s="206" t="e">
        <f t="array" aca="1" ref="Q24" ca="1">IF(ROW()-ROW($F$2:$F$34)+1&gt;ROWS($E$2:$E$34)-COUNTBLANK($E$2:$E$34),"",INDIRECT(ADDRESS(SMALL((IF($E$2:$E$34&gt;"",ROW($E$2:$E$34),ROW()+ROWS($E$2:$E$34))),ROW()-ROW($F$2:$F$34)+1),COLUMN($E$2:$E$34),4)))</f>
        <v>#REF!</v>
      </c>
      <c r="R24" s="206" t="e">
        <f t="array" aca="1" ref="R24" ca="1">IF(ROW()-ROW($G$2:$G$34)+1&gt;ROWS($F$2:$F$34)-COUNTBLANK($F$2:$F$34),"",INDIRECT(ADDRESS(SMALL((IF($F$2:$F$34&gt;"",ROW($F$2:$F$34),ROW()+ROWS($F$2:$F$34))),ROW()-ROW($G$2:$G$34)+1),COLUMN($F$2:$F$34),4)))</f>
        <v>#REF!</v>
      </c>
      <c r="S24" s="206" t="e">
        <f t="array" aca="1" ref="S24" ca="1">IF(ROW()-ROW($H$2:$H$34)+1&gt;ROWS($G$2:$G$29)-COUNTBLANK($G$2:$G$34),"",INDIRECT(ADDRESS(SMALL((IF($G$2:$G$34&lt;&gt;"",ROW($G$2:$G$34),ROW()+ROWS($G$2:$G$34))),ROW()-ROW($H$2:$H$34)+1),COLUMN($G$2:$G$34),4)))</f>
        <v>#REF!</v>
      </c>
      <c r="T24" s="307" t="e">
        <f t="array" aca="1" ref="T24" ca="1">IF(ROW()-ROW($I$2:$I$34)+1&gt;ROWS($H$2:$H$34)-COUNTBLANK($H$2:$H$34),"",INDIRECT(ADDRESS(SMALL((IF($H$2:$H$34&lt;&gt;"",ROW($H$2:$H$34),ROW()+ROWS($H$2:$H$34))),ROW()-ROW($I$2:$I$34)+1),COLUMN($H$2:$H$34),4)))</f>
        <v>#REF!</v>
      </c>
      <c r="U24" s="307" t="e">
        <f t="array" aca="1" ref="U24" ca="1">IF(ROW()-ROW($J$2:$J$34)+1&gt;ROWS($I$2:$I$34)-COUNTBLANK($I$2:$I$34),"",INDIRECT(ADDRESS(SMALL((IF($I$2:$I$34&lt;&gt;"",ROW($I$2:$I$34),ROW()+ROWS($I$2:$I$34))),ROW()-ROW($J$2:$J$34)+1),COLUMN($I$2:$I$34),4)))</f>
        <v>#REF!</v>
      </c>
      <c r="V24" s="279" t="e">
        <f t="array" aca="1" ref="V24" ca="1">IF(ROW()-ROW($K$2:$K$34)+1&gt;ROWS($J$2:$J$34)-COUNTBLANK($J$2:$J$34),"",INDIRECT(ADDRESS(SMALL((IF($J$2:$J$34&lt;&gt;"",ROW($J$2:$J$34),ROW()+ROWS($J$2:$J$34))),ROW()-ROW($K$2:$K$34)+1),COLUMN($J$2:$J$34),4)))</f>
        <v>#REF!</v>
      </c>
      <c r="W24" s="201" t="e">
        <f t="array" aca="1" ref="W24" ca="1">IF(ROW()-ROW($L$2:$L$34)+1&gt;ROWS($K$2:$K$34)-COUNTBLANK($K$2:$K$34),"",INDIRECT(ADDRESS(SMALL((IF($K$2:$K$34&lt;&gt;"",ROW($K$2:$K$34),ROW()+ROWS($K$2:$K$34))),ROW()-ROW($L$2:$L$34)+1),COLUMN($K$2:$K$34),4)))</f>
        <v>#REF!</v>
      </c>
      <c r="X24" s="278" t="e">
        <f t="array" aca="1" ref="X24" ca="1">IF(ROW()-ROW($M$2:$M$34)+1&gt;ROWS($L$2:$L$34)-COUNTBLANK($L$2:$L$34),"",INDIRECT(ADDRESS(SMALL((IF($L$2:$L$34&lt;&gt;"",ROW($L$2:$L$34),ROW()+ROWS($L$2:$L$34))),ROW()-ROW($M$2:$M$34)+1),COLUMN($L$2:$L$34),4)))</f>
        <v>#REF!</v>
      </c>
      <c r="Y24" s="278" t="e">
        <f t="array" aca="1" ref="Y24" ca="1">IF(ROW()-ROW($N$2:$N$34)+1&gt;ROWS($M$2:$M$34)-COUNTBLANK($M$2:$M$34),"",INDIRECT(ADDRESS(SMALL((IF($M$2:$M$34&lt;&gt;"",ROW($M$2:$M$34),ROW()+ROWS($M$2:$M$34))),ROW()-ROW($N$2:$N$34)+1),COLUMN($M$2:$M$34),4)))</f>
        <v>#REF!</v>
      </c>
    </row>
    <row r="25" spans="1:25" ht="54.95" customHeight="1" x14ac:dyDescent="0.25">
      <c r="A25" s="275" t="str">
        <f>IF('Indicator sheet_(IS)'!P74=0,"",'Indicator sheet_(IS)'!P74)</f>
        <v>Incomplete</v>
      </c>
      <c r="B25" s="412">
        <v>23</v>
      </c>
      <c r="C25" s="34" t="str">
        <f>IF($A25="I.O.","",'Indicator sheet_(IS)'!A74)</f>
        <v xml:space="preserve">22a
</v>
      </c>
      <c r="D25" s="121" t="str">
        <f>IF($A25="I.O.","",'Indicator sheet_(IS)'!C74)</f>
        <v>Liver metastasis resection</v>
      </c>
      <c r="E25" s="283" t="str">
        <f>IF(AND('Indicator sheet_(IS)'!J74="",$A25&lt;&gt;"I.O."),"-----",IF($A25="I.O.","",'Indicator sheet_(IS)'!J74))</f>
        <v>&lt; 20%</v>
      </c>
      <c r="F25" s="309" t="str">
        <f>IF($A25="I.O.","",'Indicator sheet_(IS)'!K74)</f>
        <v>No target value</v>
      </c>
      <c r="G25" s="283" t="str">
        <f>IF(AND('Indicator sheet_(IS)'!M74="",$A25&lt;&gt;"I.O."),"-----",IF($A25="I.O.","",'Indicator sheet_(IS)'!M74))</f>
        <v>-----</v>
      </c>
      <c r="H25" s="308" t="str">
        <f>IF($A25="I.O.","",IF('Indicator sheet_(IS)'!O74="","-----",'Indicator sheet_(IS)'!O74))</f>
        <v>-----</v>
      </c>
      <c r="I25" s="308" t="str">
        <f>IF($A25="I.O.","",IF('Indicator sheet_(IS)'!O75="","-----",'Indicator sheet_(IS)'!O75))</f>
        <v>-----</v>
      </c>
      <c r="J25" s="276" t="str">
        <f>IF($A25="I.O.","",IF('Indicator sheet_(IS)'!O76="","-----",'Indicator sheet_(IS)'!O76))</f>
        <v>n.d.</v>
      </c>
      <c r="K25" s="234" t="str">
        <f>IF($A25="I.O.","",'Indicator sheet_(IS)'!P74)</f>
        <v>Incomplete</v>
      </c>
      <c r="L25" s="277" t="str">
        <f>IF(AND('Indicator sheet_(IS)'!Q74="",$A25&lt;&gt;"I.O."),"-----",IF($A25="I.O.","",'Indicator sheet_(IS)'!Q74))</f>
        <v>-----</v>
      </c>
      <c r="M25" s="277" t="str">
        <f>IF(AND('Indicator sheet_(IS)'!R74="",$A25&lt;&gt;"I.O."),"-----",IF($A25="I.O.","",'Indicator sheet_(IS)'!R74))</f>
        <v>-----</v>
      </c>
      <c r="O25" s="217" t="e">
        <f t="array" aca="1" ref="O25" ca="1">IF(ROW()-ROW($D$2:$D$34)+1&gt;ROWS($C$2:$C$34)-COUNTBLANK($C$2:$C$34),"",INDIRECT(ADDRESS(SMALL((IF($C$2:$C$34&lt;&gt;"",ROW($C$2:$C$34),ROW()+ROWS($C$2:$C$34))),ROW()-ROW($D$2:$D$34)+1),COLUMN($C$2:$C$34),4)))</f>
        <v>#REF!</v>
      </c>
      <c r="P25" s="278" t="e">
        <f t="array" aca="1" ref="P25" ca="1">IF(ROW()-ROW($E$2:$E$34)+1&gt;ROWS($D$2:$D$34)-COUNTBLANK($D$2:$D$34),"",INDIRECT(ADDRESS(SMALL((IF($D$2:$D$34&gt;"",ROW($D$2:$D$34),ROW()+ROWS($D$2:$D$34))),ROW()-ROW($E$2:$E$34)+1),COLUMN($D$2:$D$34),4)))</f>
        <v>#REF!</v>
      </c>
      <c r="Q25" s="206" t="e">
        <f t="array" aca="1" ref="Q25" ca="1">IF(ROW()-ROW($F$2:$F$34)+1&gt;ROWS($E$2:$E$34)-COUNTBLANK($E$2:$E$34),"",INDIRECT(ADDRESS(SMALL((IF($E$2:$E$34&gt;"",ROW($E$2:$E$34),ROW()+ROWS($E$2:$E$34))),ROW()-ROW($F$2:$F$34)+1),COLUMN($E$2:$E$34),4)))</f>
        <v>#REF!</v>
      </c>
      <c r="R25" s="206" t="e">
        <f t="array" aca="1" ref="R25" ca="1">IF(ROW()-ROW($G$2:$G$34)+1&gt;ROWS($F$2:$F$34)-COUNTBLANK($F$2:$F$34),"",INDIRECT(ADDRESS(SMALL((IF($F$2:$F$34&gt;"",ROW($F$2:$F$34),ROW()+ROWS($F$2:$F$34))),ROW()-ROW($G$2:$G$34)+1),COLUMN($F$2:$F$34),4)))</f>
        <v>#REF!</v>
      </c>
      <c r="S25" s="206" t="e">
        <f t="array" aca="1" ref="S25" ca="1">IF(ROW()-ROW($H$2:$H$34)+1&gt;ROWS($G$2:$G$29)-COUNTBLANK($G$2:$G$34),"",INDIRECT(ADDRESS(SMALL((IF($G$2:$G$34&lt;&gt;"",ROW($G$2:$G$34),ROW()+ROWS($G$2:$G$34))),ROW()-ROW($H$2:$H$34)+1),COLUMN($G$2:$G$34),4)))</f>
        <v>#REF!</v>
      </c>
      <c r="T25" s="307" t="e">
        <f t="array" aca="1" ref="T25" ca="1">IF(ROW()-ROW($I$2:$I$34)+1&gt;ROWS($H$2:$H$34)-COUNTBLANK($H$2:$H$34),"",INDIRECT(ADDRESS(SMALL((IF($H$2:$H$34&lt;&gt;"",ROW($H$2:$H$34),ROW()+ROWS($H$2:$H$34))),ROW()-ROW($I$2:$I$34)+1),COLUMN($H$2:$H$34),4)))</f>
        <v>#REF!</v>
      </c>
      <c r="U25" s="307" t="e">
        <f t="array" aca="1" ref="U25" ca="1">IF(ROW()-ROW($J$2:$J$34)+1&gt;ROWS($I$2:$I$34)-COUNTBLANK($I$2:$I$34),"",INDIRECT(ADDRESS(SMALL((IF($I$2:$I$34&lt;&gt;"",ROW($I$2:$I$34),ROW()+ROWS($I$2:$I$34))),ROW()-ROW($J$2:$J$34)+1),COLUMN($I$2:$I$34),4)))</f>
        <v>#REF!</v>
      </c>
      <c r="V25" s="279" t="e">
        <f t="array" aca="1" ref="V25" ca="1">IF(ROW()-ROW($K$2:$K$34)+1&gt;ROWS($J$2:$J$34)-COUNTBLANK($J$2:$J$34),"",INDIRECT(ADDRESS(SMALL((IF($J$2:$J$34&lt;&gt;"",ROW($J$2:$J$34),ROW()+ROWS($J$2:$J$34))),ROW()-ROW($K$2:$K$34)+1),COLUMN($J$2:$J$34),4)))</f>
        <v>#REF!</v>
      </c>
      <c r="W25" s="201" t="e">
        <f t="array" aca="1" ref="W25" ca="1">IF(ROW()-ROW($L$2:$L$34)+1&gt;ROWS($K$2:$K$34)-COUNTBLANK($K$2:$K$34),"",INDIRECT(ADDRESS(SMALL((IF($K$2:$K$34&lt;&gt;"",ROW($K$2:$K$34),ROW()+ROWS($K$2:$K$34))),ROW()-ROW($L$2:$L$34)+1),COLUMN($K$2:$K$34),4)))</f>
        <v>#REF!</v>
      </c>
      <c r="X25" s="278" t="e">
        <f t="array" aca="1" ref="X25" ca="1">IF(ROW()-ROW($M$2:$M$34)+1&gt;ROWS($L$2:$L$34)-COUNTBLANK($L$2:$L$34),"",INDIRECT(ADDRESS(SMALL((IF($L$2:$L$34&lt;&gt;"",ROW($L$2:$L$34),ROW()+ROWS($L$2:$L$34))),ROW()-ROW($M$2:$M$34)+1),COLUMN($L$2:$L$34),4)))</f>
        <v>#REF!</v>
      </c>
      <c r="Y25" s="278" t="e">
        <f t="array" aca="1" ref="Y25" ca="1">IF(ROW()-ROW($N$2:$N$34)+1&gt;ROWS($M$2:$M$34)-COUNTBLANK($M$2:$M$34),"",INDIRECT(ADDRESS(SMALL((IF($M$2:$M$34&lt;&gt;"",ROW($M$2:$M$34),ROW()+ROWS($M$2:$M$34))),ROW()-ROW($N$2:$N$34)+1),COLUMN($M$2:$M$34),4)))</f>
        <v>#REF!</v>
      </c>
    </row>
    <row r="26" spans="1:25" ht="54.95" customHeight="1" x14ac:dyDescent="0.25">
      <c r="A26" s="275" t="str">
        <f>IF('Indicator sheet_(IS)'!P77=0,"",'Indicator sheet_(IS)'!P77)</f>
        <v>Incomplete</v>
      </c>
      <c r="B26" s="413">
        <v>23</v>
      </c>
      <c r="C26" s="34" t="str">
        <f>IF($A26="I.O.","",'Indicator sheet_(IS)'!A77)</f>
        <v xml:space="preserve">22b
</v>
      </c>
      <c r="D26" s="121" t="str">
        <f>IF($A26="I.O.","",'Indicator sheet_(IS)'!C77)</f>
        <v>Liver metastasis resection at the surgical site of the Colorectal Cancer Centre</v>
      </c>
      <c r="E26" s="283" t="str">
        <f>IF(AND('Indicator sheet_(IS)'!J77="",$A26&lt;&gt;"I.O."),"-----",IF($A26="I.O.","",'Indicator sheet_(IS)'!J77))</f>
        <v>-----</v>
      </c>
      <c r="F26" s="309" t="str">
        <f>IF($A26="I.O.","",'Indicator sheet_(IS)'!K77)</f>
        <v>No target value</v>
      </c>
      <c r="G26" s="283" t="str">
        <f>IF(AND('Indicator sheet_(IS)'!M77="",$A26&lt;&gt;"I.O."),"-----",IF($A26="I.O.","",'Indicator sheet_(IS)'!M77))</f>
        <v>-----</v>
      </c>
      <c r="H26" s="308" t="str">
        <f>IF($A26="I.O.","",IF('Indicator sheet_(IS)'!O77="","-----",'Indicator sheet_(IS)'!O77))</f>
        <v>-----</v>
      </c>
      <c r="I26" s="308" t="str">
        <f>IF($A26="I.O.","",IF('Indicator sheet_(IS)'!O78="","-----",'Indicator sheet_(IS)'!O78))</f>
        <v>-----</v>
      </c>
      <c r="J26" s="276">
        <f>IF($A26="I.O.","",IF('Indicator sheet_(IS)'!O79="",0,'Indicator sheet_(IS)'!O79))</f>
        <v>0</v>
      </c>
      <c r="K26" s="234" t="str">
        <f>IF($A26="I.O.","",'Indicator sheet_(IS)'!P77)</f>
        <v>Incomplete</v>
      </c>
      <c r="L26" s="277" t="str">
        <f>IF(AND('Indicator sheet_(IS)'!Q77="",$A26&lt;&gt;"I.O."),"-----",IF($A26="I.O.","",'Indicator sheet_(IS)'!Q77))</f>
        <v>-----</v>
      </c>
      <c r="M26" s="277" t="str">
        <f>IF(AND('Indicator sheet_(IS)'!R77="",$A26&lt;&gt;"I.O."),"-----",IF($A26="I.O.","",'Indicator sheet_(IS)'!R77))</f>
        <v>-----</v>
      </c>
      <c r="O26" s="217" t="e">
        <f t="array" aca="1" ref="O26" ca="1">IF(ROW()-ROW($D$2:$D$34)+1&gt;ROWS($C$2:$C$34)-COUNTBLANK($C$2:$C$34),"",INDIRECT(ADDRESS(SMALL((IF($C$2:$C$34&lt;&gt;"",ROW($C$2:$C$34),ROW()+ROWS($C$2:$C$34))),ROW()-ROW($D$2:$D$34)+1),COLUMN($C$2:$C$34),4)))</f>
        <v>#REF!</v>
      </c>
      <c r="P26" s="278" t="e">
        <f t="array" aca="1" ref="P26" ca="1">IF(ROW()-ROW($E$2:$E$34)+1&gt;ROWS($D$2:$D$34)-COUNTBLANK($D$2:$D$34),"",INDIRECT(ADDRESS(SMALL((IF($D$2:$D$34&gt;"",ROW($D$2:$D$34),ROW()+ROWS($D$2:$D$34))),ROW()-ROW($E$2:$E$34)+1),COLUMN($D$2:$D$34),4)))</f>
        <v>#REF!</v>
      </c>
      <c r="Q26" s="206" t="e">
        <f t="array" aca="1" ref="Q26" ca="1">IF(ROW()-ROW($F$2:$F$34)+1&gt;ROWS($E$2:$E$34)-COUNTBLANK($E$2:$E$34),"",INDIRECT(ADDRESS(SMALL((IF($E$2:$E$34&gt;"",ROW($E$2:$E$34),ROW()+ROWS($E$2:$E$34))),ROW()-ROW($F$2:$F$34)+1),COLUMN($E$2:$E$34),4)))</f>
        <v>#REF!</v>
      </c>
      <c r="R26" s="206" t="e">
        <f t="array" aca="1" ref="R26" ca="1">IF(ROW()-ROW($G$2:$G$34)+1&gt;ROWS($F$2:$F$34)-COUNTBLANK($F$2:$F$34),"",INDIRECT(ADDRESS(SMALL((IF($F$2:$F$34&gt;"",ROW($F$2:$F$34),ROW()+ROWS($F$2:$F$34))),ROW()-ROW($G$2:$G$34)+1),COLUMN($F$2:$F$34),4)))</f>
        <v>#REF!</v>
      </c>
      <c r="S26" s="206" t="e">
        <f t="array" aca="1" ref="S26" ca="1">IF(ROW()-ROW($H$2:$H$34)+1&gt;ROWS($G$2:$G$29)-COUNTBLANK($G$2:$G$34),"",INDIRECT(ADDRESS(SMALL((IF($G$2:$G$34&lt;&gt;"",ROW($G$2:$G$34),ROW()+ROWS($G$2:$G$34))),ROW()-ROW($H$2:$H$34)+1),COLUMN($G$2:$G$34),4)))</f>
        <v>#REF!</v>
      </c>
      <c r="T26" s="307" t="e">
        <f t="array" aca="1" ref="T26" ca="1">IF(ROW()-ROW($I$2:$I$34)+1&gt;ROWS($H$2:$H$34)-COUNTBLANK($H$2:$H$34),"",INDIRECT(ADDRESS(SMALL((IF($H$2:$H$34&lt;&gt;"",ROW($H$2:$H$34),ROW()+ROWS($H$2:$H$34))),ROW()-ROW($I$2:$I$34)+1),COLUMN($H$2:$H$34),4)))</f>
        <v>#REF!</v>
      </c>
      <c r="U26" s="307" t="e">
        <f t="array" aca="1" ref="U26" ca="1">IF(ROW()-ROW($J$2:$J$34)+1&gt;ROWS($I$2:$I$34)-COUNTBLANK($I$2:$I$34),"",INDIRECT(ADDRESS(SMALL((IF($I$2:$I$34&lt;&gt;"",ROW($I$2:$I$34),ROW()+ROWS($I$2:$I$34))),ROW()-ROW($J$2:$J$34)+1),COLUMN($I$2:$I$34),4)))</f>
        <v>#REF!</v>
      </c>
      <c r="V26" s="279" t="e">
        <f t="array" aca="1" ref="V26" ca="1">IF(ROW()-ROW($K$2:$K$34)+1&gt;ROWS($J$2:$J$34)-COUNTBLANK($J$2:$J$34),"",INDIRECT(ADDRESS(SMALL((IF($J$2:$J$34&lt;&gt;"",ROW($J$2:$J$34),ROW()+ROWS($J$2:$J$34))),ROW()-ROW($K$2:$K$34)+1),COLUMN($J$2:$J$34),4)))</f>
        <v>#REF!</v>
      </c>
      <c r="W26" s="201" t="e">
        <f t="array" aca="1" ref="W26" ca="1">IF(ROW()-ROW($L$2:$L$34)+1&gt;ROWS($K$2:$K$34)-COUNTBLANK($K$2:$K$34),"",INDIRECT(ADDRESS(SMALL((IF($K$2:$K$34&lt;&gt;"",ROW($K$2:$K$34),ROW()+ROWS($K$2:$K$34))),ROW()-ROW($L$2:$L$34)+1),COLUMN($K$2:$K$34),4)))</f>
        <v>#REF!</v>
      </c>
      <c r="X26" s="278" t="e">
        <f t="array" aca="1" ref="X26" ca="1">IF(ROW()-ROW($M$2:$M$34)+1&gt;ROWS($L$2:$L$34)-COUNTBLANK($L$2:$L$34),"",INDIRECT(ADDRESS(SMALL((IF($L$2:$L$34&lt;&gt;"",ROW($L$2:$L$34),ROW()+ROWS($L$2:$L$34))),ROW()-ROW($M$2:$M$34)+1),COLUMN($L$2:$L$34),4)))</f>
        <v>#REF!</v>
      </c>
      <c r="Y26" s="278" t="e">
        <f t="array" aca="1" ref="Y26" ca="1">IF(ROW()-ROW($N$2:$N$34)+1&gt;ROWS($M$2:$M$34)-COUNTBLANK($M$2:$M$34),"",INDIRECT(ADDRESS(SMALL((IF($M$2:$M$34&lt;&gt;"",ROW($M$2:$M$34),ROW()+ROWS($M$2:$M$34))),ROW()-ROW($N$2:$N$34)+1),COLUMN($M$2:$M$34),4)))</f>
        <v>#REF!</v>
      </c>
    </row>
    <row r="27" spans="1:25" ht="54.95" customHeight="1" x14ac:dyDescent="0.25">
      <c r="A27" s="275" t="str">
        <f>IF('Indicator sheet_(IS)'!P80=0,"",'Indicator sheet_(IS)'!P80)</f>
        <v>Incomplete</v>
      </c>
      <c r="B27" s="413">
        <v>23</v>
      </c>
      <c r="C27" s="34" t="str">
        <f>IF($A27="I.O.","",'Indicator sheet_(IS)'!A80)</f>
        <v xml:space="preserve">22c
</v>
      </c>
      <c r="D27" s="121" t="str">
        <f>IF($A27="I.O.","",'Indicator sheet_(IS)'!C80)</f>
        <v>Liver metastasis resection outside the surgical site of the Colorectal Cancer Centre</v>
      </c>
      <c r="E27" s="283" t="str">
        <f>IF(AND('Indicator sheet_(IS)'!J80="",$A27&lt;&gt;"I.O."),"-----",IF($A27="I.O.","",'Indicator sheet_(IS)'!J80))</f>
        <v>-----</v>
      </c>
      <c r="F27" s="309" t="str">
        <f>IF($A27="I.O.","",'Indicator sheet_(IS)'!K80)</f>
        <v>No target value</v>
      </c>
      <c r="G27" s="283" t="str">
        <f>IF(AND('Indicator sheet_(IS)'!M80="",$A27&lt;&gt;"I.O."),"-----",IF($A27="I.O.","",'Indicator sheet_(IS)'!M80))</f>
        <v>-----</v>
      </c>
      <c r="H27" s="308">
        <f>IF($A27="I.O.","",IF('Indicator sheet_(IS)'!O80="","-----",'Indicator sheet_(IS)'!O80))</f>
        <v>0</v>
      </c>
      <c r="I27" s="308" t="str">
        <f>IF($A27="I.O.","",IF('Indicator sheet_(IS)'!O81="","-----",'Indicator sheet_(IS)'!O81))</f>
        <v>-----</v>
      </c>
      <c r="J27" s="276">
        <f>IF($A27="I.O.","",IF('Indicator sheet_(IS)'!O82="",0,'Indicator sheet_(IS)'!O82))</f>
        <v>0</v>
      </c>
      <c r="K27" s="234" t="str">
        <f>IF($A27="I.O.","",'Indicator sheet_(IS)'!P80)</f>
        <v>Incomplete</v>
      </c>
      <c r="L27" s="277" t="str">
        <f>IF(AND('Indicator sheet_(IS)'!Q80="",$A27&lt;&gt;"I.O."),"-----",IF($A27="I.O.","",'Indicator sheet_(IS)'!Q80))</f>
        <v>-----</v>
      </c>
      <c r="M27" s="277" t="str">
        <f>IF(AND('Indicator sheet_(IS)'!R80="",$A27&lt;&gt;"I.O."),"-----",IF($A27="I.O.","",'Indicator sheet_(IS)'!R80))</f>
        <v>-----</v>
      </c>
      <c r="O27" s="217" t="e">
        <f t="array" aca="1" ref="O27" ca="1">IF(ROW()-ROW($D$2:$D$34)+1&gt;ROWS($C$2:$C$34)-COUNTBLANK($C$2:$C$34),"",INDIRECT(ADDRESS(SMALL((IF($C$2:$C$34&lt;&gt;"",ROW($C$2:$C$34),ROW()+ROWS($C$2:$C$34))),ROW()-ROW($D$2:$D$34)+1),COLUMN($C$2:$C$34),4)))</f>
        <v>#REF!</v>
      </c>
      <c r="P27" s="278" t="e">
        <f t="array" aca="1" ref="P27" ca="1">IF(ROW()-ROW($E$2:$E$34)+1&gt;ROWS($D$2:$D$34)-COUNTBLANK($D$2:$D$34),"",INDIRECT(ADDRESS(SMALL((IF($D$2:$D$34&gt;"",ROW($D$2:$D$34),ROW()+ROWS($D$2:$D$34))),ROW()-ROW($E$2:$E$34)+1),COLUMN($D$2:$D$34),4)))</f>
        <v>#REF!</v>
      </c>
      <c r="Q27" s="206" t="e">
        <f t="array" aca="1" ref="Q27" ca="1">IF(ROW()-ROW($F$2:$F$34)+1&gt;ROWS($E$2:$E$34)-COUNTBLANK($E$2:$E$34),"",INDIRECT(ADDRESS(SMALL((IF($E$2:$E$34&gt;"",ROW($E$2:$E$34),ROW()+ROWS($E$2:$E$34))),ROW()-ROW($F$2:$F$34)+1),COLUMN($E$2:$E$34),4)))</f>
        <v>#REF!</v>
      </c>
      <c r="R27" s="206" t="e">
        <f t="array" aca="1" ref="R27" ca="1">IF(ROW()-ROW($G$2:$G$34)+1&gt;ROWS($F$2:$F$34)-COUNTBLANK($F$2:$F$34),"",INDIRECT(ADDRESS(SMALL((IF($F$2:$F$34&gt;"",ROW($F$2:$F$34),ROW()+ROWS($F$2:$F$34))),ROW()-ROW($G$2:$G$34)+1),COLUMN($F$2:$F$34),4)))</f>
        <v>#REF!</v>
      </c>
      <c r="S27" s="206" t="e">
        <f t="array" aca="1" ref="S27" ca="1">IF(ROW()-ROW($H$2:$H$34)+1&gt;ROWS($G$2:$G$29)-COUNTBLANK($G$2:$G$34),"",INDIRECT(ADDRESS(SMALL((IF($G$2:$G$34&lt;&gt;"",ROW($G$2:$G$34),ROW()+ROWS($G$2:$G$34))),ROW()-ROW($H$2:$H$34)+1),COLUMN($G$2:$G$34),4)))</f>
        <v>#REF!</v>
      </c>
      <c r="T27" s="307" t="e">
        <f t="array" aca="1" ref="T27" ca="1">IF(ROW()-ROW($I$2:$I$34)+1&gt;ROWS($H$2:$H$34)-COUNTBLANK($H$2:$H$34),"",INDIRECT(ADDRESS(SMALL((IF($H$2:$H$34&lt;&gt;"",ROW($H$2:$H$34),ROW()+ROWS($H$2:$H$34))),ROW()-ROW($I$2:$I$34)+1),COLUMN($H$2:$H$34),4)))</f>
        <v>#REF!</v>
      </c>
      <c r="U27" s="307" t="e">
        <f t="array" aca="1" ref="U27" ca="1">IF(ROW()-ROW($J$2:$J$34)+1&gt;ROWS($I$2:$I$34)-COUNTBLANK($I$2:$I$34),"",INDIRECT(ADDRESS(SMALL((IF($I$2:$I$34&lt;&gt;"",ROW($I$2:$I$34),ROW()+ROWS($I$2:$I$34))),ROW()-ROW($J$2:$J$34)+1),COLUMN($I$2:$I$34),4)))</f>
        <v>#REF!</v>
      </c>
      <c r="V27" s="279" t="e">
        <f t="array" aca="1" ref="V27" ca="1">IF(ROW()-ROW($K$2:$K$34)+1&gt;ROWS($J$2:$J$34)-COUNTBLANK($J$2:$J$34),"",INDIRECT(ADDRESS(SMALL((IF($J$2:$J$34&lt;&gt;"",ROW($J$2:$J$34),ROW()+ROWS($J$2:$J$34))),ROW()-ROW($K$2:$K$34)+1),COLUMN($J$2:$J$34),4)))</f>
        <v>#REF!</v>
      </c>
      <c r="W27" s="201" t="e">
        <f t="array" aca="1" ref="W27" ca="1">IF(ROW()-ROW($L$2:$L$34)+1&gt;ROWS($K$2:$K$34)-COUNTBLANK($K$2:$K$34),"",INDIRECT(ADDRESS(SMALL((IF($K$2:$K$34&lt;&gt;"",ROW($K$2:$K$34),ROW()+ROWS($K$2:$K$34))),ROW()-ROW($L$2:$L$34)+1),COLUMN($K$2:$K$34),4)))</f>
        <v>#REF!</v>
      </c>
      <c r="X27" s="278" t="e">
        <f t="array" aca="1" ref="X27" ca="1">IF(ROW()-ROW($M$2:$M$34)+1&gt;ROWS($L$2:$L$34)-COUNTBLANK($L$2:$L$34),"",INDIRECT(ADDRESS(SMALL((IF($L$2:$L$34&lt;&gt;"",ROW($L$2:$L$34),ROW()+ROWS($L$2:$L$34))),ROW()-ROW($M$2:$M$34)+1),COLUMN($L$2:$L$34),4)))</f>
        <v>#REF!</v>
      </c>
      <c r="Y27" s="278" t="e">
        <f t="array" aca="1" ref="Y27" ca="1">IF(ROW()-ROW($N$2:$N$34)+1&gt;ROWS($M$2:$M$34)-COUNTBLANK($M$2:$M$34),"",INDIRECT(ADDRESS(SMALL((IF($M$2:$M$34&lt;&gt;"",ROW($M$2:$M$34),ROW()+ROWS($M$2:$M$34))),ROW()-ROW($N$2:$N$34)+1),COLUMN($M$2:$M$34),4)))</f>
        <v>#REF!</v>
      </c>
    </row>
    <row r="28" spans="1:25" ht="54.95" customHeight="1" x14ac:dyDescent="0.25">
      <c r="A28" s="275" t="str">
        <f>IF('Indicator sheet_(IS)'!P83=0,"",'Indicator sheet_(IS)'!P83)</f>
        <v>Incomplete</v>
      </c>
      <c r="B28" s="413">
        <v>24</v>
      </c>
      <c r="C28" s="388">
        <f>IF($A28="I.O.","",'Indicator sheet_(IS)'!A83)</f>
        <v>23</v>
      </c>
      <c r="D28" s="121" t="str">
        <f>IF($A28="I.O.","",'Indicator sheet_(IS)'!C83)</f>
        <v>Adjuvant chemotherapies: colon (UICC stage III)</v>
      </c>
      <c r="E28" s="283" t="str">
        <f>IF(AND('Indicator sheet_(IS)'!J83="",$A28&lt;&gt;"I.O."),"-----",IF($A28="I.O.","",'Indicator sheet_(IS)'!J83))</f>
        <v>-----</v>
      </c>
      <c r="F28" s="309" t="str">
        <f>IF($A28="I.O.","",'Indicator sheet_(IS)'!K83)</f>
        <v>≥ 70%</v>
      </c>
      <c r="G28" s="283" t="str">
        <f>IF(AND('Indicator sheet_(IS)'!M83="",$A28&lt;&gt;"I.O."),"-----",IF($A28="I.O.","",'Indicator sheet_(IS)'!M83))</f>
        <v>-----</v>
      </c>
      <c r="H28" s="308" t="str">
        <f>IF($A28="I.O.","",IF('Indicator sheet_(IS)'!O83="","-----",'Indicator sheet_(IS)'!O83))</f>
        <v>-----</v>
      </c>
      <c r="I28" s="308" t="str">
        <f>IF($A28="I.O.","",IF('Indicator sheet_(IS)'!O84="","-----",'Indicator sheet_(IS)'!O84))</f>
        <v>-----</v>
      </c>
      <c r="J28" s="276" t="str">
        <f>IF($A28="I.O.","",IF('Indicator sheet_(IS)'!O85="",0,'Indicator sheet_(IS)'!O85))</f>
        <v>n.d.</v>
      </c>
      <c r="K28" s="234" t="str">
        <f>IF($A28="I.O.","",'Indicator sheet_(IS)'!P83)</f>
        <v>Incomplete</v>
      </c>
      <c r="L28" s="277" t="str">
        <f>IF(AND('Indicator sheet_(IS)'!Q83="",$A28&lt;&gt;"I.O."),"-----",IF($A28="I.O.","",'Indicator sheet_(IS)'!Q83))</f>
        <v>-----</v>
      </c>
      <c r="M28" s="277" t="str">
        <f>IF(AND('Indicator sheet_(IS)'!R83="",$A28&lt;&gt;"I.O."),"-----",IF($A28="I.O.","",'Indicator sheet_(IS)'!R83))</f>
        <v>-----</v>
      </c>
      <c r="O28" s="217" t="e">
        <f t="array" aca="1" ref="O28" ca="1">IF(ROW()-ROW($D$2:$D$34)+1&gt;ROWS($C$2:$C$34)-COUNTBLANK($C$2:$C$34),"",INDIRECT(ADDRESS(SMALL((IF($C$2:$C$34&lt;&gt;"",ROW($C$2:$C$34),ROW()+ROWS($C$2:$C$34))),ROW()-ROW($D$2:$D$34)+1),COLUMN($C$2:$C$34),4)))</f>
        <v>#REF!</v>
      </c>
      <c r="P28" s="278" t="e">
        <f t="array" aca="1" ref="P28" ca="1">IF(ROW()-ROW($E$2:$E$34)+1&gt;ROWS($D$2:$D$34)-COUNTBLANK($D$2:$D$34),"",INDIRECT(ADDRESS(SMALL((IF($D$2:$D$34&gt;"",ROW($D$2:$D$34),ROW()+ROWS($D$2:$D$34))),ROW()-ROW($E$2:$E$34)+1),COLUMN($D$2:$D$34),4)))</f>
        <v>#REF!</v>
      </c>
      <c r="Q28" s="206" t="e">
        <f t="array" aca="1" ref="Q28" ca="1">IF(ROW()-ROW($F$2:$F$34)+1&gt;ROWS($E$2:$E$34)-COUNTBLANK($E$2:$E$34),"",INDIRECT(ADDRESS(SMALL((IF($E$2:$E$34&gt;"",ROW($E$2:$E$34),ROW()+ROWS($E$2:$E$34))),ROW()-ROW($F$2:$F$34)+1),COLUMN($E$2:$E$34),4)))</f>
        <v>#REF!</v>
      </c>
      <c r="R28" s="206" t="e">
        <f t="array" aca="1" ref="R28" ca="1">IF(ROW()-ROW($G$2:$G$34)+1&gt;ROWS($F$2:$F$34)-COUNTBLANK($F$2:$F$34),"",INDIRECT(ADDRESS(SMALL((IF($F$2:$F$34&gt;"",ROW($F$2:$F$34),ROW()+ROWS($F$2:$F$34))),ROW()-ROW($G$2:$G$34)+1),COLUMN($F$2:$F$34),4)))</f>
        <v>#REF!</v>
      </c>
      <c r="S28" s="206" t="e">
        <f t="array" aca="1" ref="S28" ca="1">IF(ROW()-ROW($H$2:$H$34)+1&gt;ROWS($G$2:$G$29)-COUNTBLANK($G$2:$G$34),"",INDIRECT(ADDRESS(SMALL((IF($G$2:$G$34&lt;&gt;"",ROW($G$2:$G$34),ROW()+ROWS($G$2:$G$34))),ROW()-ROW($H$2:$H$34)+1),COLUMN($G$2:$G$34),4)))</f>
        <v>#REF!</v>
      </c>
      <c r="T28" s="307" t="e">
        <f t="array" aca="1" ref="T28" ca="1">IF(ROW()-ROW($I$2:$I$34)+1&gt;ROWS($H$2:$H$34)-COUNTBLANK($H$2:$H$34),"",INDIRECT(ADDRESS(SMALL((IF($H$2:$H$34&lt;&gt;"",ROW($H$2:$H$34),ROW()+ROWS($H$2:$H$34))),ROW()-ROW($I$2:$I$34)+1),COLUMN($H$2:$H$34),4)))</f>
        <v>#REF!</v>
      </c>
      <c r="U28" s="307" t="e">
        <f t="array" aca="1" ref="U28" ca="1">IF(ROW()-ROW($J$2:$J$34)+1&gt;ROWS($I$2:$I$34)-COUNTBLANK($I$2:$I$34),"",INDIRECT(ADDRESS(SMALL((IF($I$2:$I$34&lt;&gt;"",ROW($I$2:$I$34),ROW()+ROWS($I$2:$I$34))),ROW()-ROW($J$2:$J$34)+1),COLUMN($I$2:$I$34),4)))</f>
        <v>#REF!</v>
      </c>
      <c r="V28" s="279" t="e">
        <f t="array" aca="1" ref="V28" ca="1">IF(ROW()-ROW($K$2:$K$34)+1&gt;ROWS($J$2:$J$34)-COUNTBLANK($J$2:$J$34),"",INDIRECT(ADDRESS(SMALL((IF($J$2:$J$34&lt;&gt;"",ROW($J$2:$J$34),ROW()+ROWS($J$2:$J$34))),ROW()-ROW($K$2:$K$34)+1),COLUMN($J$2:$J$34),4)))</f>
        <v>#REF!</v>
      </c>
      <c r="W28" s="201" t="e">
        <f t="array" aca="1" ref="W28" ca="1">IF(ROW()-ROW($L$2:$L$34)+1&gt;ROWS($K$2:$K$34)-COUNTBLANK($K$2:$K$34),"",INDIRECT(ADDRESS(SMALL((IF($K$2:$K$34&lt;&gt;"",ROW($K$2:$K$34),ROW()+ROWS($K$2:$K$34))),ROW()-ROW($L$2:$L$34)+1),COLUMN($K$2:$K$34),4)))</f>
        <v>#REF!</v>
      </c>
      <c r="X28" s="278" t="e">
        <f t="array" aca="1" ref="X28" ca="1">IF(ROW()-ROW($M$2:$M$34)+1&gt;ROWS($L$2:$L$34)-COUNTBLANK($L$2:$L$34),"",INDIRECT(ADDRESS(SMALL((IF($L$2:$L$34&lt;&gt;"",ROW($L$2:$L$34),ROW()+ROWS($L$2:$L$34))),ROW()-ROW($M$2:$M$34)+1),COLUMN($L$2:$L$34),4)))</f>
        <v>#REF!</v>
      </c>
      <c r="Y28" s="278" t="e">
        <f t="array" aca="1" ref="Y28" ca="1">IF(ROW()-ROW($N$2:$N$34)+1&gt;ROWS($M$2:$M$34)-COUNTBLANK($M$2:$M$34),"",INDIRECT(ADDRESS(SMALL((IF($M$2:$M$34&lt;&gt;"",ROW($M$2:$M$34),ROW()+ROWS($M$2:$M$34))),ROW()-ROW($N$2:$N$34)+1),COLUMN($M$2:$M$34),4)))</f>
        <v>#REF!</v>
      </c>
    </row>
    <row r="29" spans="1:25" ht="54.6" customHeight="1" x14ac:dyDescent="0.25">
      <c r="A29" s="275" t="str">
        <f>IF('Indicator sheet_(IS)'!P86=0,"",'Indicator sheet_(IS)'!P86)</f>
        <v>Incomplete</v>
      </c>
      <c r="B29" s="414">
        <v>25</v>
      </c>
      <c r="C29" s="388">
        <f>IF($A29="I.O.","",'Indicator sheet_(IS)'!A86)</f>
        <v>24</v>
      </c>
      <c r="D29" s="121" t="str">
        <f>IF($A29="I.O.","",'Indicator sheet_(IS)'!C86)</f>
        <v>Combination chemotherapy for metastasised colorectal carcinoma with systemic first-line treatment</v>
      </c>
      <c r="E29" s="283" t="str">
        <f>IF(AND('Indicator sheet_(IS)'!J86="",$A29&lt;&gt;"I.O."),"-----",IF($A29="I.O.","",'Indicator sheet_(IS)'!J86))</f>
        <v>&lt; 50%</v>
      </c>
      <c r="F29" s="309" t="str">
        <f>IF($A29="I.O.","",'Indicator sheet_(IS)'!K86)</f>
        <v>No target value</v>
      </c>
      <c r="G29" s="283" t="str">
        <f>IF(AND('Indicator sheet_(IS)'!M86="",$A29&lt;&gt;"I.O."),"-----",IF($A29="I.O.","",'Indicator sheet_(IS)'!M86))</f>
        <v>-----</v>
      </c>
      <c r="H29" s="308" t="str">
        <f>IF($A29="I.O.","",IF('Indicator sheet_(IS)'!O86="","-----",'Indicator sheet_(IS)'!O86))</f>
        <v>-----</v>
      </c>
      <c r="I29" s="308" t="str">
        <f>IF($A29="I.O.","",IF('Indicator sheet_(IS)'!O87="","-----",'Indicator sheet_(IS)'!O87))</f>
        <v>-----</v>
      </c>
      <c r="J29" s="276" t="str">
        <f>IF($A29="I.O.","",IF('Indicator sheet_(IS)'!O88="",0,'Indicator sheet_(IS)'!O88))</f>
        <v>n.d.</v>
      </c>
      <c r="K29" s="234" t="str">
        <f>IF($A29="I.O.","",'Indicator sheet_(IS)'!P86)</f>
        <v>Incomplete</v>
      </c>
      <c r="L29" s="277" t="str">
        <f>IF(AND('Indicator sheet_(IS)'!Q86="",$A29&lt;&gt;"I.O."),"-----",IF($A29="I.O.","",'Indicator sheet_(IS)'!Q86))</f>
        <v>-----</v>
      </c>
      <c r="M29" s="277" t="str">
        <f>IF(AND('Indicator sheet_(IS)'!R86="",$A29&lt;&gt;"I.O."),"-----",IF($A29="I.O.","",'Indicator sheet_(IS)'!R86))</f>
        <v>-----</v>
      </c>
      <c r="O29" s="217" t="e">
        <f t="array" aca="1" ref="O29" ca="1">IF(ROW()-ROW($D$2:$D$34)+1&gt;ROWS($C$2:$C$34)-COUNTBLANK($C$2:$C$34),"",INDIRECT(ADDRESS(SMALL((IF($C$2:$C$34&lt;&gt;"",ROW($C$2:$C$34),ROW()+ROWS($C$2:$C$34))),ROW()-ROW($D$2:$D$34)+1),COLUMN($C$2:$C$34),4)))</f>
        <v>#REF!</v>
      </c>
      <c r="P29" s="278" t="e">
        <f t="array" aca="1" ref="P29" ca="1">IF(ROW()-ROW($E$2:$E$34)+1&gt;ROWS($D$2:$D$34)-COUNTBLANK($D$2:$D$34),"",INDIRECT(ADDRESS(SMALL((IF($D$2:$D$34&gt;"",ROW($D$2:$D$34),ROW()+ROWS($D$2:$D$34))),ROW()-ROW($E$2:$E$34)+1),COLUMN($D$2:$D$34),4)))</f>
        <v>#REF!</v>
      </c>
      <c r="Q29" s="206" t="e">
        <f t="array" aca="1" ref="Q29" ca="1">IF(ROW()-ROW($F$2:$F$34)+1&gt;ROWS($E$2:$E$34)-COUNTBLANK($E$2:$E$34),"",INDIRECT(ADDRESS(SMALL((IF($E$2:$E$34&gt;"",ROW($E$2:$E$34),ROW()+ROWS($E$2:$E$34))),ROW()-ROW($F$2:$F$34)+1),COLUMN($E$2:$E$34),4)))</f>
        <v>#REF!</v>
      </c>
      <c r="R29" s="206" t="e">
        <f t="array" aca="1" ref="R29" ca="1">IF(ROW()-ROW($G$2:$G$34)+1&gt;ROWS($F$2:$F$34)-COUNTBLANK($F$2:$F$34),"",INDIRECT(ADDRESS(SMALL((IF($F$2:$F$34&gt;"",ROW($F$2:$F$34),ROW()+ROWS($F$2:$F$34))),ROW()-ROW($G$2:$G$34)+1),COLUMN($F$2:$F$34),4)))</f>
        <v>#REF!</v>
      </c>
      <c r="S29" s="206" t="e">
        <f t="array" aca="1" ref="S29" ca="1">IF(ROW()-ROW($H$2:$H$34)+1&gt;ROWS($G$2:$G$29)-COUNTBLANK($G$2:$G$34),"",INDIRECT(ADDRESS(SMALL((IF($G$2:$G$34&lt;&gt;"",ROW($G$2:$G$34),ROW()+ROWS($G$2:$G$34))),ROW()-ROW($H$2:$H$34)+1),COLUMN($G$2:$G$34),4)))</f>
        <v>#REF!</v>
      </c>
      <c r="T29" s="307" t="e">
        <f t="array" aca="1" ref="T29" ca="1">IF(ROW()-ROW($I$2:$I$34)+1&gt;ROWS($H$2:$H$34)-COUNTBLANK($H$2:$H$34),"",INDIRECT(ADDRESS(SMALL((IF($H$2:$H$34&lt;&gt;"",ROW($H$2:$H$34),ROW()+ROWS($H$2:$H$34))),ROW()-ROW($I$2:$I$34)+1),COLUMN($H$2:$H$34),4)))</f>
        <v>#REF!</v>
      </c>
      <c r="U29" s="307" t="e">
        <f t="array" aca="1" ref="U29" ca="1">IF(ROW()-ROW($J$2:$J$34)+1&gt;ROWS($I$2:$I$34)-COUNTBLANK($I$2:$I$34),"",INDIRECT(ADDRESS(SMALL((IF($I$2:$I$34&lt;&gt;"",ROW($I$2:$I$34),ROW()+ROWS($I$2:$I$34))),ROW()-ROW($J$2:$J$34)+1),COLUMN($I$2:$I$34),4)))</f>
        <v>#REF!</v>
      </c>
      <c r="V29" s="279" t="e">
        <f t="array" aca="1" ref="V29" ca="1">IF(ROW()-ROW($K$2:$K$34)+1&gt;ROWS($J$2:$J$34)-COUNTBLANK($J$2:$J$34),"",INDIRECT(ADDRESS(SMALL((IF($J$2:$J$34&lt;&gt;"",ROW($J$2:$J$34),ROW()+ROWS($J$2:$J$34))),ROW()-ROW($K$2:$K$34)+1),COLUMN($J$2:$J$34),4)))</f>
        <v>#REF!</v>
      </c>
      <c r="W29" s="201" t="e">
        <f t="array" aca="1" ref="W29" ca="1">IF(ROW()-ROW($L$2:$L$34)+1&gt;ROWS($K$2:$K$34)-COUNTBLANK($K$2:$K$34),"",INDIRECT(ADDRESS(SMALL((IF($K$2:$K$34&lt;&gt;"",ROW($K$2:$K$34),ROW()+ROWS($K$2:$K$34))),ROW()-ROW($L$2:$L$34)+1),COLUMN($K$2:$K$34),4)))</f>
        <v>#REF!</v>
      </c>
      <c r="X29" s="278" t="e">
        <f t="array" aca="1" ref="X29" ca="1">IF(ROW()-ROW($M$2:$M$34)+1&gt;ROWS($L$2:$L$34)-COUNTBLANK($L$2:$L$34),"",INDIRECT(ADDRESS(SMALL((IF($L$2:$L$34&lt;&gt;"",ROW($L$2:$L$34),ROW()+ROWS($L$2:$L$34))),ROW()-ROW($M$2:$M$34)+1),COLUMN($L$2:$L$34),4)))</f>
        <v>#REF!</v>
      </c>
      <c r="Y29" s="278" t="e">
        <f t="array" aca="1" ref="Y29" ca="1">IF(ROW()-ROW($N$2:$N$34)+1&gt;ROWS($M$2:$M$34)-COUNTBLANK($M$2:$M$34),"",INDIRECT(ADDRESS(SMALL((IF($M$2:$M$34&lt;&gt;"",ROW($M$2:$M$34),ROW()+ROWS($M$2:$M$34))),ROW()-ROW($N$2:$N$34)+1),COLUMN($M$2:$M$34),4)))</f>
        <v>#REF!</v>
      </c>
    </row>
    <row r="30" spans="1:25" ht="54.6" customHeight="1" x14ac:dyDescent="0.25">
      <c r="A30" s="275" t="str">
        <f>IF('Indicator sheet_(IS)'!P89=0,"",'Indicator sheet_(IS)'!P89)</f>
        <v>Incomplete</v>
      </c>
      <c r="B30" s="273">
        <v>26</v>
      </c>
      <c r="C30" s="388">
        <f>IF($A30="I.O.","",'Indicator sheet_(IS)'!A89)</f>
        <v>25</v>
      </c>
      <c r="D30" s="121" t="str">
        <f>IF($A30="I.O.","",'Indicator sheet_(IS)'!C89)</f>
        <v>Quality of the TME rectum specimen (information from pathology)</v>
      </c>
      <c r="E30" s="283" t="str">
        <f>IF(AND('Indicator sheet_(IS)'!J89="",$A30&lt;&gt;"I.O."),"-----",IF($A30="I.O.","",'Indicator sheet_(IS)'!J89))</f>
        <v>-----</v>
      </c>
      <c r="F30" s="309" t="str">
        <f>IF($A30="I.O.","",'Indicator sheet_(IS)'!K89)</f>
        <v>≥ 85%</v>
      </c>
      <c r="G30" s="283" t="str">
        <f>IF(AND('Indicator sheet_(IS)'!M89="",$A30&lt;&gt;"I.O."),"-----",IF($A30="I.O.","",'Indicator sheet_(IS)'!M89))</f>
        <v>-----</v>
      </c>
      <c r="H30" s="308" t="str">
        <f>IF($A30="I.O.","",IF('Indicator sheet_(IS)'!O89="","-----",'Indicator sheet_(IS)'!O89))</f>
        <v>-----</v>
      </c>
      <c r="I30" s="308" t="str">
        <f>IF($A30="I.O.","",IF('Indicator sheet_(IS)'!O90="","-----",'Indicator sheet_(IS)'!O90))</f>
        <v>-----</v>
      </c>
      <c r="J30" s="276" t="str">
        <f>IF($A30="I.O.","",IF('Indicator sheet_(IS)'!O91="",0,'Indicator sheet_(IS)'!O91))</f>
        <v>n.d.</v>
      </c>
      <c r="K30" s="234" t="str">
        <f>IF($A30="I.O.","",'Indicator sheet_(IS)'!P89)</f>
        <v>Incomplete</v>
      </c>
      <c r="L30" s="277" t="str">
        <f>IF(AND('Indicator sheet_(IS)'!Q89="",$A30&lt;&gt;"I.O."),"-----",IF($A30="I.O.","",'Indicator sheet_(IS)'!Q89))</f>
        <v>-----</v>
      </c>
      <c r="M30" s="277" t="str">
        <f>IF(AND('Indicator sheet_(IS)'!R89="",$A30&lt;&gt;"I.O."),"-----",IF($A30="I.O.","",'Indicator sheet_(IS)'!R89))</f>
        <v>-----</v>
      </c>
      <c r="O30" s="217" t="e">
        <f t="array" aca="1" ref="O30" ca="1">IF(ROW()-ROW($D$2:$D$34)+1&gt;ROWS($C$2:$C$34)-COUNTBLANK($C$2:$C$34),"",INDIRECT(ADDRESS(SMALL((IF($C$2:$C$34&lt;&gt;"",ROW($C$2:$C$34),ROW()+ROWS($C$2:$C$34))),ROW()-ROW($D$2:$D$34)+1),COLUMN($C$2:$C$34),4)))</f>
        <v>#REF!</v>
      </c>
      <c r="P30" s="278" t="e">
        <f t="array" aca="1" ref="P30" ca="1">IF(ROW()-ROW($E$2:$E$34)+1&gt;ROWS($D$2:$D$34)-COUNTBLANK($D$2:$D$34),"",INDIRECT(ADDRESS(SMALL((IF($D$2:$D$34&gt;"",ROW($D$2:$D$34),ROW()+ROWS($D$2:$D$34))),ROW()-ROW($E$2:$E$34)+1),COLUMN($D$2:$D$34),4)))</f>
        <v>#REF!</v>
      </c>
      <c r="Q30" s="206" t="e">
        <f t="array" aca="1" ref="Q30" ca="1">IF(ROW()-ROW($F$2:$F$34)+1&gt;ROWS($E$2:$E$34)-COUNTBLANK($E$2:$E$34),"",INDIRECT(ADDRESS(SMALL((IF($E$2:$E$34&gt;"",ROW($E$2:$E$34),ROW()+ROWS($E$2:$E$34))),ROW()-ROW($F$2:$F$34)+1),COLUMN($E$2:$E$34),4)))</f>
        <v>#REF!</v>
      </c>
      <c r="R30" s="206" t="e">
        <f t="array" aca="1" ref="R30" ca="1">IF(ROW()-ROW($G$2:$G$34)+1&gt;ROWS($F$2:$F$34)-COUNTBLANK($F$2:$F$34),"",INDIRECT(ADDRESS(SMALL((IF($F$2:$F$34&gt;"",ROW($F$2:$F$34),ROW()+ROWS($F$2:$F$34))),ROW()-ROW($G$2:$G$34)+1),COLUMN($F$2:$F$34),4)))</f>
        <v>#REF!</v>
      </c>
      <c r="S30" s="206" t="str">
        <f t="array" aca="1" ref="S30" ca="1">IF(ROW()-ROW($H$2:$H$34)+1&gt;ROWS($G$2:$G$29)-COUNTBLANK($G$2:$G$34),"",INDIRECT(ADDRESS(SMALL((IF($G$2:$G$34&lt;&gt;"",ROW($G$2:$G$34),ROW()+ROWS($G$2:$G$34))),ROW()-ROW($H$2:$H$34)+1),COLUMN($G$2:$G$34),4)))</f>
        <v/>
      </c>
      <c r="T30" s="307" t="e">
        <f t="array" aca="1" ref="T30" ca="1">IF(ROW()-ROW($I$2:$I$34)+1&gt;ROWS($H$2:$H$34)-COUNTBLANK($H$2:$H$34),"",INDIRECT(ADDRESS(SMALL((IF($H$2:$H$34&lt;&gt;"",ROW($H$2:$H$34),ROW()+ROWS($H$2:$H$34))),ROW()-ROW($I$2:$I$34)+1),COLUMN($H$2:$H$34),4)))</f>
        <v>#REF!</v>
      </c>
      <c r="U30" s="307" t="e">
        <f t="array" aca="1" ref="U30" ca="1">IF(ROW()-ROW($J$2:$J$34)+1&gt;ROWS($I$2:$I$34)-COUNTBLANK($I$2:$I$34),"",INDIRECT(ADDRESS(SMALL((IF($I$2:$I$34&lt;&gt;"",ROW($I$2:$I$34),ROW()+ROWS($I$2:$I$34))),ROW()-ROW($J$2:$J$34)+1),COLUMN($I$2:$I$34),4)))</f>
        <v>#REF!</v>
      </c>
      <c r="V30" s="279" t="e">
        <f t="array" aca="1" ref="V30" ca="1">IF(ROW()-ROW($K$2:$K$34)+1&gt;ROWS($J$2:$J$34)-COUNTBLANK($J$2:$J$34),"",INDIRECT(ADDRESS(SMALL((IF($J$2:$J$34&lt;&gt;"",ROW($J$2:$J$34),ROW()+ROWS($J$2:$J$34))),ROW()-ROW($K$2:$K$34)+1),COLUMN($J$2:$J$34),4)))</f>
        <v>#REF!</v>
      </c>
      <c r="W30" s="201" t="e">
        <f t="array" aca="1" ref="W30" ca="1">IF(ROW()-ROW($L$2:$L$34)+1&gt;ROWS($K$2:$K$34)-COUNTBLANK($K$2:$K$34),"",INDIRECT(ADDRESS(SMALL((IF($K$2:$K$34&lt;&gt;"",ROW($K$2:$K$34),ROW()+ROWS($K$2:$K$34))),ROW()-ROW($L$2:$L$34)+1),COLUMN($K$2:$K$34),4)))</f>
        <v>#REF!</v>
      </c>
      <c r="X30" s="278" t="e">
        <f t="array" aca="1" ref="X30" ca="1">IF(ROW()-ROW($M$2:$M$34)+1&gt;ROWS($L$2:$L$34)-COUNTBLANK($L$2:$L$34),"",INDIRECT(ADDRESS(SMALL((IF($L$2:$L$34&lt;&gt;"",ROW($L$2:$L$34),ROW()+ROWS($L$2:$L$34))),ROW()-ROW($M$2:$M$34)+1),COLUMN($L$2:$L$34),4)))</f>
        <v>#REF!</v>
      </c>
      <c r="Y30" s="278" t="e">
        <f t="array" aca="1" ref="Y30" ca="1">IF(ROW()-ROW($N$2:$N$34)+1&gt;ROWS($M$2:$M$34)-COUNTBLANK($M$2:$M$34),"",INDIRECT(ADDRESS(SMALL((IF($M$2:$M$34&lt;&gt;"",ROW($M$2:$M$34),ROW()+ROWS($M$2:$M$34))),ROW()-ROW($N$2:$N$34)+1),COLUMN($M$2:$M$34),4)))</f>
        <v>#REF!</v>
      </c>
    </row>
    <row r="31" spans="1:25" ht="54.6" customHeight="1" x14ac:dyDescent="0.25">
      <c r="A31" s="275" t="str">
        <f>IF('Indicator sheet_(IS)'!P92=0,"",'Indicator sheet_(IS)'!P92)</f>
        <v>Incomplete</v>
      </c>
      <c r="B31" s="273">
        <v>27</v>
      </c>
      <c r="C31" s="388">
        <f>IF($A31="I.O.","",'Indicator sheet_(IS)'!A92)</f>
        <v>26</v>
      </c>
      <c r="D31" s="121" t="str">
        <f>IF($A31="I.O.","",'Indicator sheet_(IS)'!C92)</f>
        <v>Diagnostic report after surgical resection of colorectal carcinoma</v>
      </c>
      <c r="E31" s="283" t="str">
        <f>IF(AND('Indicator sheet_(IS)'!J92="",$A31&lt;&gt;"I.O."),"-----",IF($A31="I.O.","",'Indicator sheet_(IS)'!J92))</f>
        <v>-----</v>
      </c>
      <c r="F31" s="309" t="str">
        <f>IF($A31="I.O.","",'Indicator sheet_(IS)'!K92)</f>
        <v>≥ 95%</v>
      </c>
      <c r="G31" s="283" t="str">
        <f>IF(AND('Indicator sheet_(IS)'!M89="",$A31&lt;&gt;"I.O."),"-----",IF($A31="I.O.","",'Indicator sheet_(IS)'!M89))</f>
        <v>-----</v>
      </c>
      <c r="H31" s="308" t="str">
        <f>IF($A31="I.O.","",IF('Indicator sheet_(IS)'!O92="","-----",'Indicator sheet_(IS)'!O92))</f>
        <v>-----</v>
      </c>
      <c r="I31" s="308" t="str">
        <f>IF($A31="I.O.","",IF('Indicator sheet_(IS)'!O93="","-----",'Indicator sheet_(IS)'!O93))</f>
        <v>-----</v>
      </c>
      <c r="J31" s="276" t="str">
        <f>IF($A31="I.O.","",IF('Indicator sheet_(IS)'!O94="",0,'Indicator sheet_(IS)'!O94))</f>
        <v>n.d.</v>
      </c>
      <c r="K31" s="234" t="str">
        <f>IF($A31="I.O.","",'Indicator sheet_(IS)'!P92)</f>
        <v>Incomplete</v>
      </c>
      <c r="L31" s="277" t="str">
        <f>IF(AND('Indicator sheet_(IS)'!Q92="",$A31&lt;&gt;"I.O."),"-----",IF($A31="I.O.","",'Indicator sheet_(IS)'!Q92))</f>
        <v>-----</v>
      </c>
      <c r="M31" s="277" t="str">
        <f>IF(AND('Indicator sheet_(IS)'!R92="",$A31&lt;&gt;"I.O."),"-----",IF($A31="I.O.","",'Indicator sheet_(IS)'!R92))</f>
        <v>-----</v>
      </c>
      <c r="O31" s="217" t="e">
        <f t="array" aca="1" ref="O31" ca="1">IF(ROW()-ROW($D$2:$D$34)+1&gt;ROWS($C$2:$C$34)-COUNTBLANK($C$2:$C$34),"",INDIRECT(ADDRESS(SMALL((IF($C$2:$C$34&lt;&gt;"",ROW($C$2:$C$34),ROW()+ROWS($C$2:$C$34))),ROW()-ROW($D$2:$D$34)+1),COLUMN($C$2:$C$34),4)))</f>
        <v>#REF!</v>
      </c>
      <c r="P31" s="278" t="e">
        <f t="array" aca="1" ref="P31" ca="1">IF(ROW()-ROW($E$2:$E$34)+1&gt;ROWS($D$2:$D$34)-COUNTBLANK($D$2:$D$34),"",INDIRECT(ADDRESS(SMALL((IF($D$2:$D$34&gt;"",ROW($D$2:$D$34),ROW()+ROWS($D$2:$D$34))),ROW()-ROW($E$2:$E$34)+1),COLUMN($D$2:$D$34),4)))</f>
        <v>#REF!</v>
      </c>
      <c r="Q31" s="206" t="e">
        <f t="array" aca="1" ref="Q31" ca="1">IF(ROW()-ROW($F$2:$F$34)+1&gt;ROWS($E$2:$E$34)-COUNTBLANK($E$2:$E$34),"",INDIRECT(ADDRESS(SMALL((IF($E$2:$E$34&gt;"",ROW($E$2:$E$34),ROW()+ROWS($E$2:$E$34))),ROW()-ROW($F$2:$F$34)+1),COLUMN($E$2:$E$34),4)))</f>
        <v>#REF!</v>
      </c>
      <c r="R31" s="206" t="e">
        <f t="array" aca="1" ref="R31" ca="1">IF(ROW()-ROW($G$2:$G$34)+1&gt;ROWS($F$2:$F$34)-COUNTBLANK($F$2:$F$34),"",INDIRECT(ADDRESS(SMALL((IF($F$2:$F$34&gt;"",ROW($F$2:$F$34),ROW()+ROWS($F$2:$F$34))),ROW()-ROW($G$2:$G$34)+1),COLUMN($F$2:$F$34),4)))</f>
        <v>#REF!</v>
      </c>
      <c r="S31" s="206" t="str">
        <f t="array" aca="1" ref="S31" ca="1">IF(ROW()-ROW($H$2:$H$34)+1&gt;ROWS($G$2:$G$29)-COUNTBLANK($G$2:$G$34),"",INDIRECT(ADDRESS(SMALL((IF($G$2:$G$34&lt;&gt;"",ROW($G$2:$G$34),ROW()+ROWS($G$2:$G$34))),ROW()-ROW($H$2:$H$34)+1),COLUMN($G$2:$G$34),4)))</f>
        <v/>
      </c>
      <c r="T31" s="307" t="e">
        <f t="array" aca="1" ref="T31" ca="1">IF(ROW()-ROW($I$2:$I$34)+1&gt;ROWS($H$2:$H$34)-COUNTBLANK($H$2:$H$34),"",INDIRECT(ADDRESS(SMALL((IF($H$2:$H$34&lt;&gt;"",ROW($H$2:$H$34),ROW()+ROWS($H$2:$H$34))),ROW()-ROW($I$2:$I$34)+1),COLUMN($H$2:$H$34),4)))</f>
        <v>#REF!</v>
      </c>
      <c r="U31" s="307" t="e">
        <f t="array" aca="1" ref="U31" ca="1">IF(ROW()-ROW($J$2:$J$34)+1&gt;ROWS($I$2:$I$34)-COUNTBLANK($I$2:$I$34),"",INDIRECT(ADDRESS(SMALL((IF($I$2:$I$34&lt;&gt;"",ROW($I$2:$I$34),ROW()+ROWS($I$2:$I$34))),ROW()-ROW($J$2:$J$34)+1),COLUMN($I$2:$I$34),4)))</f>
        <v>#REF!</v>
      </c>
      <c r="V31" s="279" t="e">
        <f t="array" aca="1" ref="V31" ca="1">IF(ROW()-ROW($K$2:$K$34)+1&gt;ROWS($J$2:$J$34)-COUNTBLANK($J$2:$J$34),"",INDIRECT(ADDRESS(SMALL((IF($J$2:$J$34&lt;&gt;"",ROW($J$2:$J$34),ROW()+ROWS($J$2:$J$34))),ROW()-ROW($K$2:$K$34)+1),COLUMN($J$2:$J$34),4)))</f>
        <v>#REF!</v>
      </c>
      <c r="W31" s="201" t="e">
        <f t="array" aca="1" ref="W31" ca="1">IF(ROW()-ROW($L$2:$L$34)+1&gt;ROWS($K$2:$K$34)-COUNTBLANK($K$2:$K$34),"",INDIRECT(ADDRESS(SMALL((IF($K$2:$K$34&lt;&gt;"",ROW($K$2:$K$34),ROW()+ROWS($K$2:$K$34))),ROW()-ROW($L$2:$L$34)+1),COLUMN($K$2:$K$34),4)))</f>
        <v>#REF!</v>
      </c>
      <c r="X31" s="278" t="e">
        <f t="array" aca="1" ref="X31" ca="1">IF(ROW()-ROW($M$2:$M$34)+1&gt;ROWS($L$2:$L$34)-COUNTBLANK($L$2:$L$34),"",INDIRECT(ADDRESS(SMALL((IF($L$2:$L$34&lt;&gt;"",ROW($L$2:$L$34),ROW()+ROWS($L$2:$L$34))),ROW()-ROW($M$2:$M$34)+1),COLUMN($L$2:$L$34),4)))</f>
        <v>#REF!</v>
      </c>
      <c r="Y31" s="278" t="e">
        <f t="array" aca="1" ref="Y31" ca="1">IF(ROW()-ROW($N$2:$N$34)+1&gt;ROWS($M$2:$M$34)-COUNTBLANK($M$2:$M$34),"",INDIRECT(ADDRESS(SMALL((IF($M$2:$M$34&lt;&gt;"",ROW($M$2:$M$34),ROW()+ROWS($M$2:$M$34))),ROW()-ROW($N$2:$N$34)+1),COLUMN($M$2:$M$34),4)))</f>
        <v>#REF!</v>
      </c>
    </row>
    <row r="32" spans="1:25" ht="54.6" customHeight="1" x14ac:dyDescent="0.25">
      <c r="A32" s="275" t="str">
        <f>IF('Indicator sheet_(IS)'!P95=0,"",'Indicator sheet_(IS)'!P95)</f>
        <v>Incomplete</v>
      </c>
      <c r="B32" s="273">
        <v>28</v>
      </c>
      <c r="C32" s="388">
        <f>IF($A32="I.O.","",'Indicator sheet_(IS)'!A95)</f>
        <v>27</v>
      </c>
      <c r="D32" s="121" t="str">
        <f>IF($A32="I.O.","",'Indicator sheet_(IS)'!C95)</f>
        <v>Lymph node examination</v>
      </c>
      <c r="E32" s="283" t="str">
        <f>IF(AND('Indicator sheet_(IS)'!J95="",$A32&lt;&gt;"I.O."),"-----",IF($A32="I.O.","",'Indicator sheet_(IS)'!J95))</f>
        <v>-----</v>
      </c>
      <c r="F32" s="309" t="str">
        <f>IF($A32="I.O.","",'Indicator sheet_(IS)'!K95)</f>
        <v xml:space="preserve">≥ 95% </v>
      </c>
      <c r="G32" s="283" t="str">
        <f>IF(AND('Indicator sheet_(IS)'!M92="",$A32&lt;&gt;"I.O."),"-----",IF($A32="I.O.","",'Indicator sheet_(IS)'!M92))</f>
        <v>-----</v>
      </c>
      <c r="H32" s="308" t="str">
        <f>IF($A32="I.O.","",IF('Indicator sheet_(IS)'!O95="","-----",'Indicator sheet_(IS)'!O95))</f>
        <v>-----</v>
      </c>
      <c r="I32" s="308" t="str">
        <f>IF($A32="I.O.","",IF('Indicator sheet_(IS)'!O96="","-----",'Indicator sheet_(IS)'!O96))</f>
        <v>-----</v>
      </c>
      <c r="J32" s="276" t="str">
        <f>IF($A32="I.O.","",IF('Indicator sheet_(IS)'!O97="",0,'Indicator sheet_(IS)'!O97))</f>
        <v>n.d.</v>
      </c>
      <c r="K32" s="234" t="str">
        <f>IF($A32="I.O.","",'Indicator sheet_(IS)'!P95)</f>
        <v>Incomplete</v>
      </c>
      <c r="L32" s="277" t="str">
        <f>IF(AND('Indicator sheet_(IS)'!Q95="",$A32&lt;&gt;"I.O."),"-----",IF($A32="I.O.","",'Indicator sheet_(IS)'!Q95))</f>
        <v>-----</v>
      </c>
      <c r="M32" s="277" t="str">
        <f>IF(AND('Indicator sheet_(IS)'!R95="",$A32&lt;&gt;"I.O."),"-----",IF($A32="I.O.","",'Indicator sheet_(IS)'!R95))</f>
        <v>-----</v>
      </c>
      <c r="O32" s="217" t="e">
        <f t="array" aca="1" ref="O32" ca="1">IF(ROW()-ROW($D$2:$D$34)+1&gt;ROWS($C$2:$C$34)-COUNTBLANK($C$2:$C$34),"",INDIRECT(ADDRESS(SMALL((IF($C$2:$C$34&lt;&gt;"",ROW($C$2:$C$34),ROW()+ROWS($C$2:$C$34))),ROW()-ROW($D$2:$D$34)+1),COLUMN($C$2:$C$34),4)))</f>
        <v>#REF!</v>
      </c>
      <c r="P32" s="278" t="e">
        <f t="array" aca="1" ref="P32" ca="1">IF(ROW()-ROW($E$2:$E$34)+1&gt;ROWS($D$2:$D$34)-COUNTBLANK($D$2:$D$34),"",INDIRECT(ADDRESS(SMALL((IF($D$2:$D$34&gt;"",ROW($D$2:$D$34),ROW()+ROWS($D$2:$D$34))),ROW()-ROW($E$2:$E$34)+1),COLUMN($D$2:$D$34),4)))</f>
        <v>#REF!</v>
      </c>
      <c r="Q32" s="206" t="e">
        <f t="array" aca="1" ref="Q32" ca="1">IF(ROW()-ROW($F$2:$F$34)+1&gt;ROWS($E$2:$E$34)-COUNTBLANK($E$2:$E$34),"",INDIRECT(ADDRESS(SMALL((IF($E$2:$E$34&gt;"",ROW($E$2:$E$34),ROW()+ROWS($E$2:$E$34))),ROW()-ROW($F$2:$F$34)+1),COLUMN($E$2:$E$34),4)))</f>
        <v>#REF!</v>
      </c>
      <c r="R32" s="206" t="e">
        <f t="array" aca="1" ref="R32" ca="1">IF(ROW()-ROW($G$2:$G$34)+1&gt;ROWS($F$2:$F$34)-COUNTBLANK($F$2:$F$34),"",INDIRECT(ADDRESS(SMALL((IF($F$2:$F$34&gt;"",ROW($F$2:$F$34),ROW()+ROWS($F$2:$F$34))),ROW()-ROW($G$2:$G$34)+1),COLUMN($F$2:$F$34),4)))</f>
        <v>#REF!</v>
      </c>
      <c r="S32" s="206" t="str">
        <f t="array" aca="1" ref="S32" ca="1">IF(ROW()-ROW($H$2:$H$34)+1&gt;ROWS($G$2:$G$29)-COUNTBLANK($G$2:$G$34),"",INDIRECT(ADDRESS(SMALL((IF($G$2:$G$34&lt;&gt;"",ROW($G$2:$G$34),ROW()+ROWS($G$2:$G$34))),ROW()-ROW($H$2:$H$34)+1),COLUMN($G$2:$G$34),4)))</f>
        <v/>
      </c>
      <c r="T32" s="307" t="e">
        <f t="array" aca="1" ref="T32" ca="1">IF(ROW()-ROW($I$2:$I$34)+1&gt;ROWS($H$2:$H$34)-COUNTBLANK($H$2:$H$34),"",INDIRECT(ADDRESS(SMALL((IF($H$2:$H$34&lt;&gt;"",ROW($H$2:$H$34),ROW()+ROWS($H$2:$H$34))),ROW()-ROW($I$2:$I$34)+1),COLUMN($H$2:$H$34),4)))</f>
        <v>#REF!</v>
      </c>
      <c r="U32" s="307" t="e">
        <f t="array" aca="1" ref="U32" ca="1">IF(ROW()-ROW($J$2:$J$34)+1&gt;ROWS($I$2:$I$34)-COUNTBLANK($I$2:$I$34),"",INDIRECT(ADDRESS(SMALL((IF($I$2:$I$34&lt;&gt;"",ROW($I$2:$I$34),ROW()+ROWS($I$2:$I$34))),ROW()-ROW($J$2:$J$34)+1),COLUMN($I$2:$I$34),4)))</f>
        <v>#REF!</v>
      </c>
      <c r="V32" s="279" t="e">
        <f t="array" aca="1" ref="V32" ca="1">IF(ROW()-ROW($K$2:$K$34)+1&gt;ROWS($J$2:$J$34)-COUNTBLANK($J$2:$J$34),"",INDIRECT(ADDRESS(SMALL((IF($J$2:$J$34&lt;&gt;"",ROW($J$2:$J$34),ROW()+ROWS($J$2:$J$34))),ROW()-ROW($K$2:$K$34)+1),COLUMN($J$2:$J$34),4)))</f>
        <v>#REF!</v>
      </c>
      <c r="W32" s="201" t="e">
        <f t="array" aca="1" ref="W32" ca="1">IF(ROW()-ROW($L$2:$L$34)+1&gt;ROWS($K$2:$K$34)-COUNTBLANK($K$2:$K$34),"",INDIRECT(ADDRESS(SMALL((IF($K$2:$K$34&lt;&gt;"",ROW($K$2:$K$34),ROW()+ROWS($K$2:$K$34))),ROW()-ROW($L$2:$L$34)+1),COLUMN($K$2:$K$34),4)))</f>
        <v>#REF!</v>
      </c>
      <c r="X32" s="278" t="e">
        <f t="array" aca="1" ref="X32" ca="1">IF(ROW()-ROW($M$2:$M$34)+1&gt;ROWS($L$2:$L$34)-COUNTBLANK($L$2:$L$34),"",INDIRECT(ADDRESS(SMALL((IF($L$2:$L$34&lt;&gt;"",ROW($L$2:$L$34),ROW()+ROWS($L$2:$L$34))),ROW()-ROW($M$2:$M$34)+1),COLUMN($L$2:$L$34),4)))</f>
        <v>#REF!</v>
      </c>
      <c r="Y32" s="278" t="e">
        <f t="array" aca="1" ref="Y32" ca="1">IF(ROW()-ROW($N$2:$N$34)+1&gt;ROWS($M$2:$M$34)-COUNTBLANK($M$2:$M$34),"",INDIRECT(ADDRESS(SMALL((IF($M$2:$M$34&lt;&gt;"",ROW($M$2:$M$34),ROW()+ROWS($M$2:$M$34))),ROW()-ROW($N$2:$N$34)+1),COLUMN($M$2:$M$34),4)))</f>
        <v>#REF!</v>
      </c>
    </row>
    <row r="33" spans="1:25" ht="54.6" customHeight="1" x14ac:dyDescent="0.25">
      <c r="A33" s="275" t="str">
        <f>IF('Indicator sheet_(IS)'!P98=0,"",'Indicator sheet_(IS)'!P98)</f>
        <v>Incomplete</v>
      </c>
      <c r="B33" s="273">
        <v>29</v>
      </c>
      <c r="C33" s="388">
        <f>IF($A33="I.O.","",'Indicator sheet_(IS)'!A98)</f>
        <v>28</v>
      </c>
      <c r="D33" s="121" t="str">
        <f>IF($A33="I.O.","",'Indicator sheet_(IS)'!C98)</f>
        <v>Start of adjuvant chemotherapy</v>
      </c>
      <c r="E33" s="283" t="str">
        <f>IF(AND('Indicator sheet_(IS)'!J98="",$A33&lt;&gt;"I.O."),"-----",IF($A33="I.O.","",'Indicator sheet_(IS)'!J98))</f>
        <v>-----</v>
      </c>
      <c r="F33" s="309" t="str">
        <f>IF($A33="I.O.","",'Indicator sheet_(IS)'!K98)</f>
        <v>≥ 80%</v>
      </c>
      <c r="G33" s="283" t="str">
        <f>IF(AND('Indicator sheet_(IS)'!M98="",$A33&lt;&gt;"I.O."),"-----",IF($A33="I.O.","",'Indicator sheet_(IS)'!M98))</f>
        <v>-----</v>
      </c>
      <c r="H33" s="308" t="str">
        <f>IF($A33="I.O.","",IF('Indicator sheet_(IS)'!O98="","-----",'Indicator sheet_(IS)'!O98))</f>
        <v>-----</v>
      </c>
      <c r="I33" s="308">
        <f>IF($A33="I.O.","",IF('Indicator sheet_(IS)'!O99="","-----",'Indicator sheet_(IS)'!O99))</f>
        <v>0</v>
      </c>
      <c r="J33" s="276" t="str">
        <f>IF($A33="I.O.","",IF('Indicator sheet_(IS)'!O100="",0,'Indicator sheet_(IS)'!O100))</f>
        <v>n.d.</v>
      </c>
      <c r="K33" s="234" t="str">
        <f>IF($A33="I.O.","",'Indicator sheet_(IS)'!P98)</f>
        <v>Incomplete</v>
      </c>
      <c r="L33" s="277" t="str">
        <f>IF(AND('Indicator sheet_(IS)'!Q98="",$A33&lt;&gt;"I.O."),"-----",IF($A33="I.O.","",'Indicator sheet_(IS)'!Q98))</f>
        <v>-----</v>
      </c>
      <c r="M33" s="277" t="str">
        <f>IF(AND('Indicator sheet_(IS)'!R98="",$A34&lt;&gt;"I.O."),"-----",IF($A34="I.O.","",'Indicator sheet_(IS)'!R98))</f>
        <v>-----</v>
      </c>
      <c r="O33" s="217" t="e">
        <f t="array" aca="1" ref="O33" ca="1">IF(ROW()-ROW($D$2:$D$34)+1&gt;ROWS($C$2:$C$34)-COUNTBLANK($C$2:$C$34),"",INDIRECT(ADDRESS(SMALL((IF($C$2:$C$34&lt;&gt;"",ROW($C$2:$C$34),ROW()+ROWS($C$2:$C$34))),ROW()-ROW($D$2:$D$34)+1),COLUMN($C$2:$C$34),4)))</f>
        <v>#REF!</v>
      </c>
      <c r="P33" s="278" t="e">
        <f t="array" aca="1" ref="P33" ca="1">IF(ROW()-ROW($E$2:$E$34)+1&gt;ROWS($D$2:$D$34)-COUNTBLANK($D$2:$D$34),"",INDIRECT(ADDRESS(SMALL((IF($D$2:$D$34&gt;"",ROW($D$2:$D$34),ROW()+ROWS($D$2:$D$34))),ROW()-ROW($E$2:$E$34)+1),COLUMN($D$2:$D$34),4)))</f>
        <v>#REF!</v>
      </c>
      <c r="Q33" s="206" t="e">
        <f t="array" aca="1" ref="Q33" ca="1">IF(ROW()-ROW($F$2:$F$34)+1&gt;ROWS($E$2:$E$34)-COUNTBLANK($E$2:$E$34),"",INDIRECT(ADDRESS(SMALL((IF($E$2:$E$34&gt;"",ROW($E$2:$E$34),ROW()+ROWS($E$2:$E$34))),ROW()-ROW($F$2:$F$34)+1),COLUMN($E$2:$E$34),4)))</f>
        <v>#REF!</v>
      </c>
      <c r="R33" s="206" t="e">
        <f t="array" aca="1" ref="R33" ca="1">IF(ROW()-ROW($G$2:$G$34)+1&gt;ROWS($F$2:$F$34)-COUNTBLANK($F$2:$F$34),"",INDIRECT(ADDRESS(SMALL((IF($F$2:$F$34&gt;"",ROW($F$2:$F$34),ROW()+ROWS($F$2:$F$34))),ROW()-ROW($G$2:$G$34)+1),COLUMN($F$2:$F$34),4)))</f>
        <v>#REF!</v>
      </c>
      <c r="S33" s="206" t="str">
        <f t="array" aca="1" ref="S33" ca="1">IF(ROW()-ROW($H$2:$H$34)+1&gt;ROWS($G$2:$G$29)-COUNTBLANK($G$2:$G$34),"",INDIRECT(ADDRESS(SMALL((IF($G$2:$G$34&lt;&gt;"",ROW($G$2:$G$34),ROW()+ROWS($G$2:$G$34))),ROW()-ROW($H$2:$H$34)+1),COLUMN($G$2:$G$34),4)))</f>
        <v/>
      </c>
      <c r="T33" s="307" t="e">
        <f t="array" aca="1" ref="T33" ca="1">IF(ROW()-ROW($I$2:$I$34)+1&gt;ROWS($H$2:$H$34)-COUNTBLANK($H$2:$H$34),"",INDIRECT(ADDRESS(SMALL((IF($H$2:$H$34&lt;&gt;"",ROW($H$2:$H$34),ROW()+ROWS($H$2:$H$34))),ROW()-ROW($I$2:$I$34)+1),COLUMN($H$2:$H$34),4)))</f>
        <v>#REF!</v>
      </c>
      <c r="U33" s="307" t="e">
        <f t="array" aca="1" ref="U33" ca="1">IF(ROW()-ROW($J$2:$J$34)+1&gt;ROWS($I$2:$I$34)-COUNTBLANK($I$2:$I$34),"",INDIRECT(ADDRESS(SMALL((IF($I$2:$I$34&lt;&gt;"",ROW($I$2:$I$34),ROW()+ROWS($I$2:$I$34))),ROW()-ROW($J$2:$J$34)+1),COLUMN($I$2:$I$34),4)))</f>
        <v>#REF!</v>
      </c>
      <c r="V33" s="279" t="e">
        <f t="array" aca="1" ref="V33" ca="1">IF(ROW()-ROW($K$2:$K$34)+1&gt;ROWS($J$2:$J$34)-COUNTBLANK($J$2:$J$34),"",INDIRECT(ADDRESS(SMALL((IF($J$2:$J$34&lt;&gt;"",ROW($J$2:$J$34),ROW()+ROWS($J$2:$J$34))),ROW()-ROW($K$2:$K$34)+1),COLUMN($J$2:$J$34),4)))</f>
        <v>#REF!</v>
      </c>
      <c r="W33" s="201" t="e">
        <f t="array" aca="1" ref="W33" ca="1">IF(ROW()-ROW($L$2:$L$34)+1&gt;ROWS($K$2:$K$34)-COUNTBLANK($K$2:$K$34),"",INDIRECT(ADDRESS(SMALL((IF($K$2:$K$34&lt;&gt;"",ROW($K$2:$K$34),ROW()+ROWS($K$2:$K$34))),ROW()-ROW($L$2:$L$34)+1),COLUMN($K$2:$K$34),4)))</f>
        <v>#REF!</v>
      </c>
      <c r="X33" s="278" t="e">
        <f t="array" aca="1" ref="X33" ca="1">IF(ROW()-ROW($M$2:$M$34)+1&gt;ROWS($L$2:$L$34)-COUNTBLANK($L$2:$L$34),"",INDIRECT(ADDRESS(SMALL((IF($L$2:$L$34&lt;&gt;"",ROW($L$2:$L$34),ROW()+ROWS($L$2:$L$34))),ROW()-ROW($M$2:$M$34)+1),COLUMN($L$2:$L$34),4)))</f>
        <v>#REF!</v>
      </c>
      <c r="Y33" s="278" t="e">
        <f t="array" aca="1" ref="Y33" ca="1">IF(ROW()-ROW($N$2:$N$34)+1&gt;ROWS($M$2:$M$34)-COUNTBLANK($M$2:$M$34),"",INDIRECT(ADDRESS(SMALL((IF($M$2:$M$34&lt;&gt;"",ROW($M$2:$M$34),ROW()+ROWS($M$2:$M$34))),ROW()-ROW($N$2:$N$34)+1),COLUMN($M$2:$M$34),4)))</f>
        <v>#REF!</v>
      </c>
    </row>
    <row r="34" spans="1:25" ht="54.6" customHeight="1" x14ac:dyDescent="0.25">
      <c r="A34" s="275" t="str">
        <f>IF('Indicator sheet_(IS)'!P101=0,"",'Indicator sheet_(IS)'!P101)</f>
        <v>Incomplete</v>
      </c>
      <c r="B34" s="273">
        <v>30</v>
      </c>
      <c r="C34" s="388" t="str">
        <f>IF($A34="I.O.","",'Indicator sheet_(IS)'!A101)</f>
        <v xml:space="preserve">29
</v>
      </c>
      <c r="D34" s="121" t="str">
        <f>IF($A34="I.O.","",'Indicator sheet_(IS)'!C101)</f>
        <v>MTL22 Indicator (mortality, transfer, postoperative hospital stay)</v>
      </c>
      <c r="E34" s="283" t="str">
        <f>IF(AND('Indicator sheet_(IS)'!J101="",$A34&lt;&gt;"I.O."),"-----",IF($A34="I.O.","",'Indicator sheet_(IS)'!J101))</f>
        <v>-----</v>
      </c>
      <c r="F34" s="309" t="str">
        <f>IF($A34="I.O.","",'Indicator sheet_(IS)'!K101)</f>
        <v>No target value</v>
      </c>
      <c r="G34" s="283" t="str">
        <f>IF(AND('Indicator sheet_(IS)'!M101="",$A34&lt;&gt;"I.O."),"-----",IF($A34="I.O.","",'Indicator sheet_(IS)'!M101))</f>
        <v>&gt; 10%</v>
      </c>
      <c r="H34" s="308" t="str">
        <f>IF($A34="I.O.","",IF('Indicator sheet_(IS)'!O101="","-----",'Indicator sheet_(IS)'!O101))</f>
        <v>-----</v>
      </c>
      <c r="I34" s="308">
        <f>IF($A34="I.O.","",IF('Indicator sheet_(IS)'!O102="","-----",'Indicator sheet_(IS)'!O102))</f>
        <v>0</v>
      </c>
      <c r="J34" s="276" t="str">
        <f>IF($A34="I.O.","",IF('Indicator sheet_(IS)'!O103="",0,'Indicator sheet_(IS)'!O103))</f>
        <v>n.d.</v>
      </c>
      <c r="K34" s="234" t="str">
        <f>IF($A34="I.O.","",'Indicator sheet_(IS)'!P101)</f>
        <v>Incomplete</v>
      </c>
      <c r="L34" s="277" t="str">
        <f>IF(AND('Indicator sheet_(IS)'!Q101="",$A34&lt;&gt;"I.O."),"-----",IF($A34="I.O.","",'Indicator sheet_(IS)'!Q101))</f>
        <v>-----</v>
      </c>
      <c r="M34" s="277" t="str">
        <f>IF(AND('Indicator sheet_(IS)'!R101="",$A34&lt;&gt;"I.O."),"-----",IF($A34="I.O.","",'Indicator sheet_(IS)'!R101))</f>
        <v>-----</v>
      </c>
      <c r="O34" s="217" t="e">
        <f t="array" aca="1" ref="O34" ca="1">IF(ROW()-ROW($D$2:$D$34)+1&gt;ROWS($C$2:$C$34)-COUNTBLANK($C$2:$C$34),"",INDIRECT(ADDRESS(SMALL((IF($C$2:$C$34&lt;&gt;"",ROW($C$2:$C$34),ROW()+ROWS($C$2:$C$34))),ROW()-ROW($D$2:$D$34)+1),COLUMN($C$2:$C$34),4)))</f>
        <v>#REF!</v>
      </c>
      <c r="P34" s="278" t="e">
        <f t="array" aca="1" ref="P34" ca="1">IF(ROW()-ROW($E$2:$E$34)+1&gt;ROWS($D$2:$D$34)-COUNTBLANK($D$2:$D$34),"",INDIRECT(ADDRESS(SMALL((IF($D$2:$D$34&gt;"",ROW($D$2:$D$34),ROW()+ROWS($D$2:$D$34))),ROW()-ROW($E$2:$E$34)+1),COLUMN($D$2:$D$34),4)))</f>
        <v>#REF!</v>
      </c>
      <c r="Q34" s="206" t="e">
        <f t="array" aca="1" ref="Q34" ca="1">IF(ROW()-ROW($F$2:$F$34)+1&gt;ROWS($E$2:$E$34)-COUNTBLANK($E$2:$E$34),"",INDIRECT(ADDRESS(SMALL((IF($E$2:$E$34&gt;"",ROW($E$2:$E$34),ROW()+ROWS($E$2:$E$34))),ROW()-ROW($F$2:$F$34)+1),COLUMN($E$2:$E$34),4)))</f>
        <v>#REF!</v>
      </c>
      <c r="R34" s="206" t="e">
        <f t="array" aca="1" ref="R34" ca="1">IF(ROW()-ROW($G$2:$G$34)+1&gt;ROWS($F$2:$F$34)-COUNTBLANK($F$2:$F$34),"",INDIRECT(ADDRESS(SMALL((IF($F$2:$F$34&gt;"",ROW($F$2:$F$34),ROW()+ROWS($F$2:$F$34))),ROW()-ROW($G$2:$G$34)+1),COLUMN($F$2:$F$34),4)))</f>
        <v>#REF!</v>
      </c>
      <c r="S34" s="206" t="str">
        <f t="array" aca="1" ref="S34" ca="1">IF(ROW()-ROW($H$2:$H$34)+1&gt;ROWS($G$2:$G$29)-COUNTBLANK($G$2:$G$34),"",INDIRECT(ADDRESS(SMALL((IF($G$2:$G$34&lt;&gt;"",ROW($G$2:$G$34),ROW()+ROWS($G$2:$G$34))),ROW()-ROW($H$2:$H$34)+1),COLUMN($G$2:$G$34),4)))</f>
        <v/>
      </c>
      <c r="T34" s="307" t="e">
        <f t="array" aca="1" ref="T34" ca="1">IF(ROW()-ROW($I$2:$I$34)+1&gt;ROWS($H$2:$H$34)-COUNTBLANK($H$2:$H$34),"",INDIRECT(ADDRESS(SMALL((IF($H$2:$H$34&lt;&gt;"",ROW($H$2:$H$34),ROW()+ROWS($H$2:$H$34))),ROW()-ROW($I$2:$I$34)+1),COLUMN($H$2:$H$34),4)))</f>
        <v>#REF!</v>
      </c>
      <c r="U34" s="307" t="e">
        <f t="array" aca="1" ref="U34" ca="1">IF(ROW()-ROW($J$2:$J$34)+1&gt;ROWS($I$2:$I$34)-COUNTBLANK($I$2:$I$34),"",INDIRECT(ADDRESS(SMALL((IF($I$2:$I$34&lt;&gt;"",ROW($I$2:$I$34),ROW()+ROWS($I$2:$I$34))),ROW()-ROW($J$2:$J$34)+1),COLUMN($I$2:$I$34),4)))</f>
        <v>#REF!</v>
      </c>
      <c r="V34" s="279" t="e">
        <f t="array" aca="1" ref="V34" ca="1">IF(ROW()-ROW($K$2:$K$34)+1&gt;ROWS($J$2:$J$34)-COUNTBLANK($J$2:$J$34),"",INDIRECT(ADDRESS(SMALL((IF($J$2:$J$34&lt;&gt;"",ROW($J$2:$J$34),ROW()+ROWS($J$2:$J$34))),ROW()-ROW($K$2:$K$34)+1),COLUMN($J$2:$J$34),4)))</f>
        <v>#REF!</v>
      </c>
      <c r="W34" s="201" t="e">
        <f t="array" aca="1" ref="W34" ca="1">IF(ROW()-ROW($L$2:$L$34)+1&gt;ROWS($K$2:$K$34)-COUNTBLANK($K$2:$K$34),"",INDIRECT(ADDRESS(SMALL((IF($K$2:$K$34&lt;&gt;"",ROW($K$2:$K$34),ROW()+ROWS($K$2:$K$34))),ROW()-ROW($L$2:$L$34)+1),COLUMN($K$2:$K$34),4)))</f>
        <v>#REF!</v>
      </c>
      <c r="X34" s="278" t="e">
        <f t="array" aca="1" ref="X34" ca="1">IF(ROW()-ROW($M$2:$M$34)+1&gt;ROWS($L$2:$L$34)-COUNTBLANK($L$2:$L$34),"",INDIRECT(ADDRESS(SMALL((IF($L$2:$L$34&lt;&gt;"",ROW($L$2:$L$34),ROW()+ROWS($L$2:$L$34))),ROW()-ROW($M$2:$M$34)+1),COLUMN($L$2:$L$34),4)))</f>
        <v>#REF!</v>
      </c>
      <c r="Y34" s="278" t="e">
        <f t="array" aca="1" ref="Y34" ca="1">IF(ROW()-ROW($N$2:$N$34)+1&gt;ROWS($M$2:$M$34)-COUNTBLANK($M$2:$M$34),"",INDIRECT(ADDRESS(SMALL((IF($M$2:$M$34&lt;&gt;"",ROW($M$2:$M$34),ROW()+ROWS($M$2:$M$34))),ROW()-ROW($N$2:$N$34)+1),COLUMN($M$2:$M$34),4)))</f>
        <v>#REF!</v>
      </c>
    </row>
    <row r="35" spans="1:25" x14ac:dyDescent="0.25">
      <c r="V35" s="187"/>
      <c r="W35" s="187"/>
      <c r="X35" s="273"/>
      <c r="Y35" s="273"/>
    </row>
    <row r="36" spans="1:25" x14ac:dyDescent="0.25">
      <c r="V36" s="187"/>
      <c r="W36" s="187"/>
      <c r="X36" s="273"/>
      <c r="Y36" s="273"/>
    </row>
    <row r="37" spans="1:25" x14ac:dyDescent="0.25">
      <c r="V37" s="187"/>
      <c r="W37" s="187"/>
      <c r="X37" s="273"/>
      <c r="Y37" s="273"/>
    </row>
    <row r="38" spans="1:25" x14ac:dyDescent="0.25">
      <c r="V38" s="187"/>
      <c r="W38" s="187"/>
      <c r="X38" s="273"/>
      <c r="Y38" s="273"/>
    </row>
    <row r="39" spans="1:25" x14ac:dyDescent="0.25">
      <c r="V39" s="187"/>
      <c r="W39" s="187"/>
      <c r="X39" s="273"/>
      <c r="Y39" s="273"/>
    </row>
    <row r="40" spans="1:25" x14ac:dyDescent="0.25">
      <c r="V40" s="187"/>
      <c r="W40" s="187"/>
      <c r="X40" s="273"/>
      <c r="Y40" s="273"/>
    </row>
    <row r="41" spans="1:25" x14ac:dyDescent="0.25">
      <c r="V41" s="187"/>
      <c r="W41" s="187"/>
      <c r="X41" s="273"/>
      <c r="Y41" s="273"/>
    </row>
    <row r="42" spans="1:25" x14ac:dyDescent="0.25">
      <c r="V42" s="187"/>
      <c r="W42" s="187"/>
      <c r="X42" s="273"/>
      <c r="Y42" s="273"/>
    </row>
    <row r="43" spans="1:25" x14ac:dyDescent="0.25">
      <c r="V43" s="187"/>
      <c r="W43" s="187"/>
      <c r="X43" s="273"/>
      <c r="Y43" s="273"/>
    </row>
    <row r="44" spans="1:25" x14ac:dyDescent="0.25">
      <c r="V44" s="187"/>
      <c r="W44" s="187"/>
      <c r="X44" s="273"/>
      <c r="Y44" s="273"/>
    </row>
    <row r="45" spans="1:25" x14ac:dyDescent="0.25">
      <c r="V45" s="187"/>
      <c r="W45" s="187"/>
      <c r="X45" s="273"/>
      <c r="Y45" s="273"/>
    </row>
    <row r="46" spans="1:25" x14ac:dyDescent="0.25">
      <c r="V46" s="187"/>
      <c r="W46" s="187"/>
      <c r="X46" s="273"/>
      <c r="Y46" s="273"/>
    </row>
    <row r="47" spans="1:25" x14ac:dyDescent="0.25">
      <c r="V47" s="187"/>
      <c r="W47" s="187"/>
      <c r="X47" s="273"/>
      <c r="Y47" s="273"/>
    </row>
    <row r="48" spans="1:25" x14ac:dyDescent="0.25">
      <c r="V48" s="187"/>
      <c r="W48" s="187"/>
      <c r="X48" s="273"/>
      <c r="Y48" s="273"/>
    </row>
    <row r="49" spans="22:25" x14ac:dyDescent="0.25">
      <c r="V49" s="187"/>
      <c r="W49" s="187"/>
      <c r="X49" s="273"/>
      <c r="Y49" s="273"/>
    </row>
    <row r="50" spans="22:25" x14ac:dyDescent="0.25">
      <c r="V50" s="187"/>
      <c r="W50" s="187"/>
      <c r="X50" s="273"/>
      <c r="Y50" s="273"/>
    </row>
    <row r="51" spans="22:25" x14ac:dyDescent="0.25">
      <c r="V51" s="187"/>
      <c r="W51" s="187"/>
      <c r="X51" s="273"/>
      <c r="Y51" s="273"/>
    </row>
    <row r="52" spans="22:25" x14ac:dyDescent="0.25">
      <c r="V52" s="187"/>
      <c r="W52" s="187"/>
      <c r="X52" s="273"/>
      <c r="Y52" s="273"/>
    </row>
    <row r="53" spans="22:25" x14ac:dyDescent="0.25">
      <c r="V53" s="187"/>
      <c r="W53" s="187"/>
      <c r="X53" s="273"/>
      <c r="Y53" s="273"/>
    </row>
    <row r="54" spans="22:25" x14ac:dyDescent="0.25">
      <c r="V54" s="187"/>
      <c r="W54" s="187"/>
      <c r="X54" s="273"/>
      <c r="Y54" s="273"/>
    </row>
    <row r="55" spans="22:25" x14ac:dyDescent="0.25">
      <c r="V55" s="187"/>
      <c r="W55" s="187"/>
      <c r="X55" s="273"/>
      <c r="Y55" s="273"/>
    </row>
    <row r="56" spans="22:25" x14ac:dyDescent="0.25">
      <c r="V56" s="187"/>
      <c r="W56" s="187"/>
      <c r="X56" s="273"/>
      <c r="Y56" s="273"/>
    </row>
    <row r="57" spans="22:25" x14ac:dyDescent="0.25">
      <c r="V57" s="187"/>
      <c r="W57" s="187"/>
      <c r="X57" s="273"/>
      <c r="Y57" s="273"/>
    </row>
    <row r="58" spans="22:25" x14ac:dyDescent="0.25">
      <c r="V58" s="187"/>
      <c r="W58" s="187"/>
      <c r="X58" s="273"/>
      <c r="Y58" s="273"/>
    </row>
    <row r="59" spans="22:25" x14ac:dyDescent="0.25">
      <c r="V59" s="187"/>
      <c r="W59" s="187"/>
      <c r="X59" s="273"/>
      <c r="Y59" s="273"/>
    </row>
    <row r="60" spans="22:25" x14ac:dyDescent="0.25">
      <c r="V60" s="187"/>
      <c r="W60" s="187"/>
      <c r="X60" s="273"/>
      <c r="Y60" s="273"/>
    </row>
    <row r="61" spans="22:25" x14ac:dyDescent="0.25">
      <c r="V61" s="187"/>
      <c r="W61" s="187"/>
      <c r="X61" s="273"/>
      <c r="Y61" s="273"/>
    </row>
    <row r="62" spans="22:25" x14ac:dyDescent="0.25">
      <c r="V62" s="187"/>
      <c r="W62" s="187"/>
      <c r="X62" s="273"/>
      <c r="Y62" s="273"/>
    </row>
    <row r="63" spans="22:25" x14ac:dyDescent="0.25">
      <c r="V63" s="187"/>
      <c r="W63" s="187"/>
      <c r="X63" s="273"/>
      <c r="Y63" s="273"/>
    </row>
    <row r="64" spans="22:25" x14ac:dyDescent="0.25">
      <c r="V64" s="187"/>
      <c r="W64" s="187"/>
      <c r="X64" s="273"/>
      <c r="Y64" s="273"/>
    </row>
    <row r="65" spans="22:25" x14ac:dyDescent="0.25">
      <c r="V65" s="187"/>
      <c r="W65" s="187"/>
      <c r="X65" s="273"/>
      <c r="Y65" s="273"/>
    </row>
    <row r="66" spans="22:25" x14ac:dyDescent="0.25">
      <c r="V66" s="187"/>
      <c r="W66" s="187"/>
      <c r="X66" s="273"/>
      <c r="Y66" s="273"/>
    </row>
    <row r="67" spans="22:25" x14ac:dyDescent="0.25">
      <c r="V67" s="187"/>
      <c r="W67" s="187"/>
      <c r="X67" s="273"/>
      <c r="Y67" s="273"/>
    </row>
    <row r="68" spans="22:25" x14ac:dyDescent="0.25">
      <c r="V68" s="187"/>
      <c r="W68" s="187"/>
      <c r="X68" s="273"/>
      <c r="Y68" s="273"/>
    </row>
    <row r="69" spans="22:25" x14ac:dyDescent="0.25">
      <c r="V69" s="187"/>
      <c r="W69" s="187"/>
      <c r="X69" s="273"/>
      <c r="Y69" s="273"/>
    </row>
    <row r="70" spans="22:25" x14ac:dyDescent="0.25">
      <c r="V70" s="187"/>
      <c r="W70" s="187"/>
      <c r="X70" s="273"/>
      <c r="Y70" s="273"/>
    </row>
    <row r="71" spans="22:25" x14ac:dyDescent="0.25">
      <c r="V71" s="187"/>
      <c r="W71" s="187"/>
      <c r="X71" s="273"/>
      <c r="Y71" s="273"/>
    </row>
    <row r="72" spans="22:25" x14ac:dyDescent="0.25">
      <c r="V72" s="187"/>
      <c r="W72" s="187"/>
      <c r="X72" s="273"/>
      <c r="Y72" s="273"/>
    </row>
    <row r="73" spans="22:25" x14ac:dyDescent="0.25">
      <c r="V73" s="187"/>
      <c r="W73" s="187"/>
      <c r="X73" s="273"/>
      <c r="Y73" s="273"/>
    </row>
    <row r="74" spans="22:25" x14ac:dyDescent="0.25">
      <c r="V74" s="187"/>
      <c r="W74" s="187"/>
      <c r="X74" s="273"/>
      <c r="Y74" s="273"/>
    </row>
    <row r="75" spans="22:25" x14ac:dyDescent="0.25">
      <c r="V75" s="187"/>
      <c r="W75" s="187"/>
      <c r="X75" s="273"/>
      <c r="Y75" s="273"/>
    </row>
    <row r="76" spans="22:25" x14ac:dyDescent="0.25">
      <c r="V76" s="187"/>
      <c r="W76" s="187"/>
      <c r="X76" s="273"/>
      <c r="Y76" s="273"/>
    </row>
    <row r="77" spans="22:25" x14ac:dyDescent="0.25">
      <c r="V77" s="187"/>
      <c r="W77" s="187"/>
      <c r="X77" s="273"/>
      <c r="Y77" s="273"/>
    </row>
    <row r="78" spans="22:25" x14ac:dyDescent="0.25">
      <c r="V78" s="187"/>
      <c r="W78" s="187"/>
      <c r="X78" s="273"/>
      <c r="Y78" s="273"/>
    </row>
    <row r="79" spans="22:25" x14ac:dyDescent="0.25">
      <c r="V79" s="187"/>
      <c r="W79" s="187"/>
      <c r="X79" s="273"/>
      <c r="Y79" s="273"/>
    </row>
    <row r="80" spans="22:25" x14ac:dyDescent="0.25">
      <c r="V80" s="187"/>
      <c r="W80" s="187"/>
      <c r="X80" s="273"/>
      <c r="Y80" s="273"/>
    </row>
    <row r="81" spans="22:25" x14ac:dyDescent="0.25">
      <c r="V81" s="187"/>
      <c r="W81" s="187"/>
      <c r="X81" s="273"/>
      <c r="Y81" s="273"/>
    </row>
    <row r="82" spans="22:25" x14ac:dyDescent="0.25">
      <c r="V82" s="187"/>
      <c r="W82" s="187"/>
      <c r="X82" s="273"/>
      <c r="Y82" s="273"/>
    </row>
    <row r="83" spans="22:25" x14ac:dyDescent="0.25">
      <c r="V83" s="187"/>
      <c r="W83" s="187"/>
      <c r="X83" s="273"/>
      <c r="Y83" s="273"/>
    </row>
    <row r="84" spans="22:25" x14ac:dyDescent="0.25">
      <c r="V84" s="187"/>
      <c r="W84" s="187"/>
      <c r="X84" s="273"/>
      <c r="Y84" s="273"/>
    </row>
    <row r="85" spans="22:25" x14ac:dyDescent="0.25">
      <c r="V85" s="187"/>
      <c r="W85" s="187"/>
      <c r="X85" s="273"/>
      <c r="Y85" s="273"/>
    </row>
    <row r="86" spans="22:25" x14ac:dyDescent="0.25">
      <c r="V86" s="187"/>
      <c r="W86" s="187"/>
      <c r="X86" s="273"/>
      <c r="Y86" s="273"/>
    </row>
    <row r="87" spans="22:25" x14ac:dyDescent="0.25">
      <c r="V87" s="187"/>
      <c r="W87" s="187"/>
      <c r="X87" s="273"/>
      <c r="Y87" s="273"/>
    </row>
    <row r="88" spans="22:25" x14ac:dyDescent="0.25">
      <c r="V88" s="187"/>
      <c r="W88" s="187"/>
      <c r="X88" s="273"/>
      <c r="Y88" s="273"/>
    </row>
    <row r="89" spans="22:25" x14ac:dyDescent="0.25">
      <c r="V89" s="187"/>
      <c r="W89" s="187"/>
      <c r="X89" s="273"/>
      <c r="Y89" s="273"/>
    </row>
    <row r="90" spans="22:25" x14ac:dyDescent="0.25">
      <c r="V90" s="187"/>
      <c r="W90" s="187"/>
      <c r="X90" s="273"/>
      <c r="Y90" s="273"/>
    </row>
    <row r="91" spans="22:25" x14ac:dyDescent="0.25">
      <c r="V91" s="187"/>
      <c r="W91" s="187"/>
      <c r="X91" s="273"/>
      <c r="Y91" s="273"/>
    </row>
    <row r="92" spans="22:25" x14ac:dyDescent="0.25">
      <c r="V92" s="187"/>
      <c r="W92" s="187"/>
      <c r="X92" s="273"/>
      <c r="Y92" s="273"/>
    </row>
    <row r="93" spans="22:25" x14ac:dyDescent="0.25">
      <c r="V93" s="187"/>
      <c r="W93" s="187"/>
      <c r="X93" s="273"/>
      <c r="Y93" s="273"/>
    </row>
  </sheetData>
  <sheetProtection formatColumns="0" formatRows="0" selectLockedCells="1" sort="0"/>
  <phoneticPr fontId="75" type="noConversion"/>
  <conditionalFormatting sqref="K2:K34">
    <cfRule type="cellIs" dxfId="128" priority="1" operator="equal">
      <formula>"Ausnahme (Plausibilität unklar)"</formula>
    </cfRule>
    <cfRule type="cellIs" dxfId="127" priority="2" stopIfTrue="1" operator="equal">
      <formula>"Sollvorgabe nicht erfüllt"</formula>
    </cfRule>
    <cfRule type="cellIs" dxfId="126" priority="3" stopIfTrue="1" operator="equal">
      <formula>"I.O. (Plausibilität unklar)"</formula>
    </cfRule>
    <cfRule type="expression" dxfId="125" priority="4" stopIfTrue="1">
      <formula>OR(K2="Unvollständig",K2="Inkorrekt")</formula>
    </cfRule>
    <cfRule type="cellIs" dxfId="124" priority="5" stopIfTrue="1" operator="equal">
      <formula>"I.O."</formula>
    </cfRule>
  </conditionalFormatting>
  <dataValidations count="1">
    <dataValidation allowBlank="1" showInputMessage="1" showErrorMessage="1" promptTitle="Hinweis" prompt="Übertrag erfolgt _x000a_automatisch aus _x000a_Kennzahlenbogen" sqref="L1:M29" xr:uid="{00000000-0002-0000-0700-000000000000}"/>
  </dataValidations>
  <pageMargins left="7.8740157480315001E-2" right="3.9370078740157501E-2" top="0.27559055118110198" bottom="0.27559055118110198" header="0.118110236220472" footer="0.118110236220472"/>
  <pageSetup orientation="landscape" r:id="rId1"/>
  <headerFooter>
    <oddFooter>&amp;L&amp;"Arial,Standard"&amp;7&amp;F&amp;C&amp;"Arial,Standard"&amp;7 © DKG  Alle Rechte vorbehalten&amp;R&amp;"Arial,Standard"&amp;7&amp;P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7"/>
  <dimension ref="A1:M41"/>
  <sheetViews>
    <sheetView showGridLines="0" showRuler="0" showWhiteSpace="0" topLeftCell="A2" zoomScaleNormal="100" zoomScaleSheetLayoutView="100" workbookViewId="0">
      <selection activeCell="R14" sqref="R14"/>
    </sheetView>
  </sheetViews>
  <sheetFormatPr defaultColWidth="9.140625" defaultRowHeight="15" x14ac:dyDescent="0.25"/>
  <cols>
    <col min="1" max="1" width="4.140625" customWidth="1"/>
    <col min="2" max="2" width="17" customWidth="1"/>
    <col min="3" max="3" width="6.5703125" customWidth="1"/>
    <col min="4" max="4" width="8.85546875" customWidth="1"/>
    <col min="5" max="5" width="6.85546875" customWidth="1"/>
    <col min="6" max="6" width="6.28515625" customWidth="1"/>
    <col min="7" max="7" width="6.42578125" customWidth="1"/>
    <col min="8" max="8" width="7" customWidth="1"/>
    <col min="9" max="9" width="10" customWidth="1"/>
    <col min="10" max="11" width="31.28515625" customWidth="1"/>
    <col min="12" max="12" width="5.28515625" customWidth="1"/>
    <col min="13" max="13" width="14.5703125" style="76" hidden="1" customWidth="1"/>
  </cols>
  <sheetData>
    <row r="1" spans="1:13" s="8" customFormat="1" ht="25.5" hidden="1" customHeight="1" x14ac:dyDescent="0.2">
      <c r="A1" s="11"/>
      <c r="B1" s="8" t="e">
        <f ca="1">IF(M11=TRUE,"A1:K18",CONCATENATE("A1:K",MATCH(0,A:A,-1)))</f>
        <v>#REF!</v>
      </c>
      <c r="M1" s="16"/>
    </row>
    <row r="2" spans="1:13" s="8" customFormat="1" ht="21" customHeight="1" x14ac:dyDescent="0.2">
      <c r="A2" s="26" t="s">
        <v>418</v>
      </c>
      <c r="M2" s="16"/>
    </row>
    <row r="3" spans="1:13" s="8" customFormat="1" ht="16.5" x14ac:dyDescent="0.25">
      <c r="A3" s="22" t="s">
        <v>98</v>
      </c>
      <c r="K3" s="23"/>
      <c r="M3" s="16"/>
    </row>
    <row r="4" spans="1:13" s="8" customFormat="1" ht="14.25" x14ac:dyDescent="0.2">
      <c r="K4" s="23"/>
      <c r="M4" s="16"/>
    </row>
    <row r="5" spans="1:13" s="8" customFormat="1" ht="9" customHeight="1" x14ac:dyDescent="0.2">
      <c r="C5" s="15"/>
      <c r="D5" s="15"/>
      <c r="E5" s="15"/>
      <c r="F5" s="15"/>
      <c r="G5" s="15"/>
      <c r="H5" s="15"/>
      <c r="I5" s="15"/>
      <c r="J5" s="15"/>
      <c r="K5" s="23"/>
      <c r="M5" s="16"/>
    </row>
    <row r="6" spans="1:13" s="26" customFormat="1" ht="15" customHeight="1" x14ac:dyDescent="0.25">
      <c r="B6" s="29" t="s">
        <v>332</v>
      </c>
      <c r="C6" s="752" t="str">
        <f>IF('Basic data'!B8=0,"",'Basic data'!B8)</f>
        <v/>
      </c>
      <c r="D6" s="753"/>
      <c r="E6" s="753"/>
      <c r="F6" s="753"/>
      <c r="G6" s="753"/>
      <c r="H6" s="753"/>
      <c r="I6" s="753"/>
      <c r="J6" s="754"/>
      <c r="K6" s="23"/>
      <c r="M6" s="280"/>
    </row>
    <row r="7" spans="1:13" s="26" customFormat="1" ht="6.95" customHeight="1" x14ac:dyDescent="0.2">
      <c r="B7" s="10"/>
      <c r="C7" s="15"/>
      <c r="D7" s="15"/>
      <c r="E7" s="15"/>
      <c r="F7" s="15"/>
      <c r="G7" s="15"/>
      <c r="H7" s="15"/>
      <c r="I7" s="15"/>
      <c r="J7" s="15"/>
      <c r="K7" s="23"/>
      <c r="M7" s="280"/>
    </row>
    <row r="8" spans="1:13" s="26" customFormat="1" ht="15" customHeight="1" x14ac:dyDescent="0.25">
      <c r="B8" s="29" t="s">
        <v>281</v>
      </c>
      <c r="C8" s="752" t="str">
        <f>IF('Basic data'!B6=0,"",'Basic data'!B6)</f>
        <v/>
      </c>
      <c r="D8" s="755"/>
      <c r="E8" s="754"/>
      <c r="F8" s="23"/>
      <c r="H8" s="9" t="s">
        <v>279</v>
      </c>
      <c r="J8" s="37" t="str">
        <f>IF('Basic data'!G12=0,"",'Basic data'!G12)</f>
        <v/>
      </c>
      <c r="K8" s="23"/>
      <c r="M8" s="280"/>
    </row>
    <row r="9" spans="1:13" s="8" customFormat="1" ht="10.5" customHeight="1" x14ac:dyDescent="0.2">
      <c r="K9" s="23"/>
      <c r="M9" s="16"/>
    </row>
    <row r="10" spans="1:13" s="8" customFormat="1" ht="13.5" customHeight="1" x14ac:dyDescent="0.2">
      <c r="B10" s="327" t="e">
        <f ca="1">IF(M11=TRUE,"Kein Datendefizit vorhanden","")</f>
        <v>#REF!</v>
      </c>
      <c r="K10" s="23"/>
      <c r="M10" s="281" t="s">
        <v>133</v>
      </c>
    </row>
    <row r="11" spans="1:13" s="8" customFormat="1" ht="15.75" customHeight="1" x14ac:dyDescent="0.2">
      <c r="B11" s="270" t="e">
        <f ca="1">IF($M$11=TRUE,"","Übertragung erfolgt automatisch aus Kennzahlenbogen (Ist-Werte, Begründungen und Aktionen)")</f>
        <v>#REF!</v>
      </c>
      <c r="K11" s="23"/>
      <c r="M11" s="281" t="e">
        <f t="array" aca="1" ref="M11" ca="1">A14:K41=""</f>
        <v>#REF!</v>
      </c>
    </row>
    <row r="12" spans="1:13" ht="15.75" customHeight="1" x14ac:dyDescent="0.25">
      <c r="A12" s="756" t="e">
        <f ca="1">IF($M$11=TRUE,"","KN")</f>
        <v>#REF!</v>
      </c>
      <c r="B12" s="758" t="e">
        <f ca="1">IF($M$11=TRUE,"","Kennzahlendefinition")</f>
        <v>#REF!</v>
      </c>
      <c r="C12" s="756" t="e">
        <f ca="1">IF($M$11=TRUE,"","Vorgaben Datenqualität")</f>
        <v>#REF!</v>
      </c>
      <c r="D12" s="760"/>
      <c r="E12" s="760"/>
      <c r="F12" s="756" t="e">
        <f ca="1">IF($M$11=TRUE,"","Ist-Werte")</f>
        <v>#REF!</v>
      </c>
      <c r="G12" s="760"/>
      <c r="H12" s="760"/>
      <c r="I12" s="756" t="e">
        <f ca="1">IF($M$11=TRUE,"","Daten-qualität")</f>
        <v>#REF!</v>
      </c>
      <c r="J12" s="756" t="e">
        <f ca="1">IF($M$11=TRUE,"","Verifizierung Zentrum")</f>
        <v>#REF!</v>
      </c>
      <c r="K12" s="756"/>
    </row>
    <row r="13" spans="1:13" ht="21" customHeight="1" x14ac:dyDescent="0.25">
      <c r="A13" s="757"/>
      <c r="B13" s="759"/>
      <c r="C13" s="207" t="e">
        <f ca="1">IF($M$11=TRUE,"","Plausi unklar")</f>
        <v>#REF!</v>
      </c>
      <c r="D13" s="207" t="e">
        <f ca="1">IF($M$11=TRUE,"","Sollvorgabe")</f>
        <v>#REF!</v>
      </c>
      <c r="E13" s="207" t="e">
        <f ca="1">IF($M$11=TRUE,"","Plausi unklar")</f>
        <v>#REF!</v>
      </c>
      <c r="F13" s="207" t="e">
        <f ca="1">IF($M$11=TRUE,"","Zähler / Anzahl")</f>
        <v>#REF!</v>
      </c>
      <c r="G13" s="265" t="e">
        <f ca="1">IF($M$11=TRUE,"","Nenner")</f>
        <v>#REF!</v>
      </c>
      <c r="H13" s="265" t="e">
        <f ca="1">IF($M$11=TRUE,"","Quote")</f>
        <v>#REF!</v>
      </c>
      <c r="I13" s="757"/>
      <c r="J13" s="265" t="e">
        <f ca="1">IF($M$11=TRUE,"","Begründung / Ursache")</f>
        <v>#REF!</v>
      </c>
      <c r="K13" s="265" t="e">
        <f ca="1">IF($M$11=TRUE,"","Eingeleitete / geplante Aktionen")</f>
        <v>#REF!</v>
      </c>
    </row>
    <row r="14" spans="1:13" ht="170.1" customHeight="1" x14ac:dyDescent="0.25">
      <c r="A14" s="265" t="e">
        <f ca="1">'Hilfstabelle DatendefKB'!O2</f>
        <v>#REF!</v>
      </c>
      <c r="B14" s="266" t="e">
        <f ca="1">'Hilfstabelle DatendefKB'!P2</f>
        <v>#REF!</v>
      </c>
      <c r="C14" s="306" t="e">
        <f ca="1">'Hilfstabelle DatendefKB'!Q2</f>
        <v>#REF!</v>
      </c>
      <c r="D14" s="306" t="e">
        <f ca="1">'Hilfstabelle DatendefKB'!R2</f>
        <v>#REF!</v>
      </c>
      <c r="E14" s="306" t="e">
        <f ca="1">'Hilfstabelle DatendefKB'!S2</f>
        <v>#REF!</v>
      </c>
      <c r="F14" s="271" t="e">
        <f ca="1">'Hilfstabelle DatendefKB'!T2</f>
        <v>#REF!</v>
      </c>
      <c r="G14" s="267" t="e">
        <f ca="1">'Hilfstabelle DatendefKB'!U2</f>
        <v>#REF!</v>
      </c>
      <c r="H14" s="305" t="e">
        <f ca="1">'Hilfstabelle DatendefKB'!V2</f>
        <v>#REF!</v>
      </c>
      <c r="I14" s="268" t="e">
        <f ca="1">'Hilfstabelle DatendefKB'!W2</f>
        <v>#REF!</v>
      </c>
      <c r="J14" s="269" t="e">
        <f ca="1">'Hilfstabelle DatendefKB'!X2</f>
        <v>#REF!</v>
      </c>
      <c r="K14" s="269" t="e">
        <f ca="1">'Hilfstabelle DatendefKB'!Y2</f>
        <v>#REF!</v>
      </c>
    </row>
    <row r="15" spans="1:13" ht="170.1" customHeight="1" x14ac:dyDescent="0.25">
      <c r="A15" s="265" t="e">
        <f ca="1">'Hilfstabelle DatendefKB'!O3</f>
        <v>#REF!</v>
      </c>
      <c r="B15" s="266" t="e">
        <f ca="1">'Hilfstabelle DatendefKB'!P3</f>
        <v>#REF!</v>
      </c>
      <c r="C15" s="306" t="e">
        <f ca="1">'Hilfstabelle DatendefKB'!Q3</f>
        <v>#REF!</v>
      </c>
      <c r="D15" s="306" t="e">
        <f ca="1">'Hilfstabelle DatendefKB'!R3</f>
        <v>#REF!</v>
      </c>
      <c r="E15" s="306" t="e">
        <f ca="1">'Hilfstabelle DatendefKB'!S3</f>
        <v>#REF!</v>
      </c>
      <c r="F15" s="271" t="e">
        <f ca="1">'Hilfstabelle DatendefKB'!T3</f>
        <v>#REF!</v>
      </c>
      <c r="G15" s="267" t="e">
        <f ca="1">'Hilfstabelle DatendefKB'!U3</f>
        <v>#REF!</v>
      </c>
      <c r="H15" s="305" t="e">
        <f ca="1">'Hilfstabelle DatendefKB'!V3</f>
        <v>#REF!</v>
      </c>
      <c r="I15" s="268" t="e">
        <f ca="1">'Hilfstabelle DatendefKB'!W3</f>
        <v>#REF!</v>
      </c>
      <c r="J15" s="269" t="e">
        <f ca="1">'Hilfstabelle DatendefKB'!X3</f>
        <v>#REF!</v>
      </c>
      <c r="K15" s="269" t="e">
        <f ca="1">'Hilfstabelle DatendefKB'!Y3</f>
        <v>#REF!</v>
      </c>
    </row>
    <row r="16" spans="1:13" ht="170.1" customHeight="1" x14ac:dyDescent="0.25">
      <c r="A16" s="265" t="e">
        <f ca="1">'Hilfstabelle DatendefKB'!$O4</f>
        <v>#REF!</v>
      </c>
      <c r="B16" s="266" t="e">
        <f ca="1">'Hilfstabelle DatendefKB'!P4</f>
        <v>#REF!</v>
      </c>
      <c r="C16" s="306" t="e">
        <f ca="1">'Hilfstabelle DatendefKB'!Q4</f>
        <v>#REF!</v>
      </c>
      <c r="D16" s="306" t="e">
        <f ca="1">'Hilfstabelle DatendefKB'!R4</f>
        <v>#REF!</v>
      </c>
      <c r="E16" s="306" t="e">
        <f ca="1">'Hilfstabelle DatendefKB'!S4</f>
        <v>#REF!</v>
      </c>
      <c r="F16" s="271" t="e">
        <f ca="1">'Hilfstabelle DatendefKB'!T4</f>
        <v>#REF!</v>
      </c>
      <c r="G16" s="267" t="e">
        <f ca="1">'Hilfstabelle DatendefKB'!U4</f>
        <v>#REF!</v>
      </c>
      <c r="H16" s="305" t="e">
        <f ca="1">'Hilfstabelle DatendefKB'!V4</f>
        <v>#REF!</v>
      </c>
      <c r="I16" s="268" t="e">
        <f ca="1">'Hilfstabelle DatendefKB'!W4</f>
        <v>#REF!</v>
      </c>
      <c r="J16" s="269" t="e">
        <f ca="1">'Hilfstabelle DatendefKB'!X4</f>
        <v>#REF!</v>
      </c>
      <c r="K16" s="269" t="e">
        <f ca="1">'Hilfstabelle DatendefKB'!Y4</f>
        <v>#REF!</v>
      </c>
      <c r="M16" s="16"/>
    </row>
    <row r="17" spans="1:11" ht="170.1" customHeight="1" x14ac:dyDescent="0.25">
      <c r="A17" s="265" t="e">
        <f ca="1">'Hilfstabelle DatendefKB'!$O5</f>
        <v>#REF!</v>
      </c>
      <c r="B17" s="266" t="e">
        <f ca="1">'Hilfstabelle DatendefKB'!P5</f>
        <v>#REF!</v>
      </c>
      <c r="C17" s="306" t="e">
        <f ca="1">'Hilfstabelle DatendefKB'!Q5</f>
        <v>#REF!</v>
      </c>
      <c r="D17" s="306" t="e">
        <f ca="1">'Hilfstabelle DatendefKB'!R5</f>
        <v>#REF!</v>
      </c>
      <c r="E17" s="306" t="e">
        <f ca="1">'Hilfstabelle DatendefKB'!S5</f>
        <v>#REF!</v>
      </c>
      <c r="F17" s="271" t="e">
        <f ca="1">'Hilfstabelle DatendefKB'!T5</f>
        <v>#REF!</v>
      </c>
      <c r="G17" s="267" t="e">
        <f ca="1">'Hilfstabelle DatendefKB'!U5</f>
        <v>#REF!</v>
      </c>
      <c r="H17" s="305" t="e">
        <f ca="1">'Hilfstabelle DatendefKB'!V5</f>
        <v>#REF!</v>
      </c>
      <c r="I17" s="268" t="e">
        <f ca="1">'Hilfstabelle DatendefKB'!W5</f>
        <v>#REF!</v>
      </c>
      <c r="J17" s="269" t="e">
        <f ca="1">'Hilfstabelle DatendefKB'!X5</f>
        <v>#REF!</v>
      </c>
      <c r="K17" s="269" t="e">
        <f ca="1">'Hilfstabelle DatendefKB'!Y5</f>
        <v>#REF!</v>
      </c>
    </row>
    <row r="18" spans="1:11" ht="170.1" customHeight="1" x14ac:dyDescent="0.25">
      <c r="A18" s="265" t="e">
        <f ca="1">'Hilfstabelle DatendefKB'!$O6</f>
        <v>#REF!</v>
      </c>
      <c r="B18" s="266" t="e">
        <f ca="1">'Hilfstabelle DatendefKB'!P6</f>
        <v>#REF!</v>
      </c>
      <c r="C18" s="306" t="e">
        <f ca="1">'Hilfstabelle DatendefKB'!Q6</f>
        <v>#REF!</v>
      </c>
      <c r="D18" s="306" t="e">
        <f ca="1">'Hilfstabelle DatendefKB'!R6</f>
        <v>#REF!</v>
      </c>
      <c r="E18" s="306" t="e">
        <f ca="1">'Hilfstabelle DatendefKB'!S6</f>
        <v>#REF!</v>
      </c>
      <c r="F18" s="271" t="e">
        <f ca="1">'Hilfstabelle DatendefKB'!T6</f>
        <v>#REF!</v>
      </c>
      <c r="G18" s="267" t="e">
        <f ca="1">'Hilfstabelle DatendefKB'!U6</f>
        <v>#REF!</v>
      </c>
      <c r="H18" s="305" t="e">
        <f ca="1">'Hilfstabelle DatendefKB'!V6</f>
        <v>#REF!</v>
      </c>
      <c r="I18" s="268" t="e">
        <f ca="1">'Hilfstabelle DatendefKB'!W6</f>
        <v>#REF!</v>
      </c>
      <c r="J18" s="269" t="e">
        <f ca="1">'Hilfstabelle DatendefKB'!X6</f>
        <v>#REF!</v>
      </c>
      <c r="K18" s="269" t="e">
        <f ca="1">'Hilfstabelle DatendefKB'!Y6</f>
        <v>#REF!</v>
      </c>
    </row>
    <row r="19" spans="1:11" ht="170.1" customHeight="1" x14ac:dyDescent="0.25">
      <c r="A19" s="265" t="e">
        <f ca="1">'Hilfstabelle DatendefKB'!$O7</f>
        <v>#REF!</v>
      </c>
      <c r="B19" s="266" t="e">
        <f ca="1">'Hilfstabelle DatendefKB'!P7</f>
        <v>#REF!</v>
      </c>
      <c r="C19" s="306" t="e">
        <f ca="1">'Hilfstabelle DatendefKB'!Q7</f>
        <v>#REF!</v>
      </c>
      <c r="D19" s="306" t="e">
        <f ca="1">'Hilfstabelle DatendefKB'!R7</f>
        <v>#REF!</v>
      </c>
      <c r="E19" s="306" t="e">
        <f ca="1">'Hilfstabelle DatendefKB'!S7</f>
        <v>#REF!</v>
      </c>
      <c r="F19" s="271" t="e">
        <f ca="1">'Hilfstabelle DatendefKB'!T7</f>
        <v>#REF!</v>
      </c>
      <c r="G19" s="267" t="e">
        <f ca="1">'Hilfstabelle DatendefKB'!U7</f>
        <v>#REF!</v>
      </c>
      <c r="H19" s="305" t="e">
        <f ca="1">'Hilfstabelle DatendefKB'!V7</f>
        <v>#REF!</v>
      </c>
      <c r="I19" s="268" t="e">
        <f ca="1">'Hilfstabelle DatendefKB'!W7</f>
        <v>#REF!</v>
      </c>
      <c r="J19" s="269" t="e">
        <f ca="1">'Hilfstabelle DatendefKB'!X7</f>
        <v>#REF!</v>
      </c>
      <c r="K19" s="269" t="e">
        <f ca="1">'Hilfstabelle DatendefKB'!Y7</f>
        <v>#REF!</v>
      </c>
    </row>
    <row r="20" spans="1:11" ht="170.1" customHeight="1" x14ac:dyDescent="0.25">
      <c r="A20" s="265" t="e">
        <f ca="1">'Hilfstabelle DatendefKB'!$O8</f>
        <v>#REF!</v>
      </c>
      <c r="B20" s="266" t="e">
        <f ca="1">'Hilfstabelle DatendefKB'!P8</f>
        <v>#REF!</v>
      </c>
      <c r="C20" s="306" t="e">
        <f ca="1">'Hilfstabelle DatendefKB'!Q8</f>
        <v>#REF!</v>
      </c>
      <c r="D20" s="306" t="e">
        <f ca="1">'Hilfstabelle DatendefKB'!R8</f>
        <v>#REF!</v>
      </c>
      <c r="E20" s="306" t="e">
        <f ca="1">'Hilfstabelle DatendefKB'!S8</f>
        <v>#REF!</v>
      </c>
      <c r="F20" s="271" t="e">
        <f ca="1">'Hilfstabelle DatendefKB'!T8</f>
        <v>#REF!</v>
      </c>
      <c r="G20" s="267" t="e">
        <f ca="1">'Hilfstabelle DatendefKB'!U8</f>
        <v>#REF!</v>
      </c>
      <c r="H20" s="305" t="e">
        <f ca="1">'Hilfstabelle DatendefKB'!V8</f>
        <v>#REF!</v>
      </c>
      <c r="I20" s="268" t="e">
        <f ca="1">'Hilfstabelle DatendefKB'!W8</f>
        <v>#REF!</v>
      </c>
      <c r="J20" s="269" t="e">
        <f ca="1">'Hilfstabelle DatendefKB'!X8</f>
        <v>#REF!</v>
      </c>
      <c r="K20" s="269" t="e">
        <f ca="1">'Hilfstabelle DatendefKB'!Y8</f>
        <v>#REF!</v>
      </c>
    </row>
    <row r="21" spans="1:11" ht="170.1" customHeight="1" x14ac:dyDescent="0.25">
      <c r="A21" s="265" t="e">
        <f ca="1">'Hilfstabelle DatendefKB'!$O9</f>
        <v>#REF!</v>
      </c>
      <c r="B21" s="266" t="e">
        <f ca="1">'Hilfstabelle DatendefKB'!P9</f>
        <v>#REF!</v>
      </c>
      <c r="C21" s="306" t="e">
        <f ca="1">'Hilfstabelle DatendefKB'!Q9</f>
        <v>#REF!</v>
      </c>
      <c r="D21" s="306" t="e">
        <f ca="1">'Hilfstabelle DatendefKB'!R9</f>
        <v>#REF!</v>
      </c>
      <c r="E21" s="306" t="e">
        <f ca="1">'Hilfstabelle DatendefKB'!S9</f>
        <v>#REF!</v>
      </c>
      <c r="F21" s="271" t="e">
        <f ca="1">'Hilfstabelle DatendefKB'!T9</f>
        <v>#REF!</v>
      </c>
      <c r="G21" s="267" t="e">
        <f ca="1">'Hilfstabelle DatendefKB'!U9</f>
        <v>#REF!</v>
      </c>
      <c r="H21" s="305" t="e">
        <f ca="1">'Hilfstabelle DatendefKB'!V9</f>
        <v>#REF!</v>
      </c>
      <c r="I21" s="268" t="e">
        <f ca="1">'Hilfstabelle DatendefKB'!W9</f>
        <v>#REF!</v>
      </c>
      <c r="J21" s="269" t="e">
        <f ca="1">'Hilfstabelle DatendefKB'!X9</f>
        <v>#REF!</v>
      </c>
      <c r="K21" s="269" t="e">
        <f ca="1">'Hilfstabelle DatendefKB'!Y9</f>
        <v>#REF!</v>
      </c>
    </row>
    <row r="22" spans="1:11" ht="170.1" customHeight="1" x14ac:dyDescent="0.25">
      <c r="A22" s="265" t="e">
        <f ca="1">'Hilfstabelle DatendefKB'!$O10</f>
        <v>#REF!</v>
      </c>
      <c r="B22" s="266" t="e">
        <f ca="1">'Hilfstabelle DatendefKB'!P10</f>
        <v>#REF!</v>
      </c>
      <c r="C22" s="306" t="e">
        <f ca="1">'Hilfstabelle DatendefKB'!Q10</f>
        <v>#REF!</v>
      </c>
      <c r="D22" s="306" t="e">
        <f ca="1">'Hilfstabelle DatendefKB'!R10</f>
        <v>#REF!</v>
      </c>
      <c r="E22" s="306" t="e">
        <f ca="1">'Hilfstabelle DatendefKB'!S10</f>
        <v>#REF!</v>
      </c>
      <c r="F22" s="271" t="e">
        <f ca="1">'Hilfstabelle DatendefKB'!T10</f>
        <v>#REF!</v>
      </c>
      <c r="G22" s="267" t="e">
        <f ca="1">'Hilfstabelle DatendefKB'!U10</f>
        <v>#REF!</v>
      </c>
      <c r="H22" s="305" t="e">
        <f ca="1">'Hilfstabelle DatendefKB'!V10</f>
        <v>#REF!</v>
      </c>
      <c r="I22" s="268" t="e">
        <f ca="1">'Hilfstabelle DatendefKB'!W10</f>
        <v>#REF!</v>
      </c>
      <c r="J22" s="269" t="e">
        <f ca="1">'Hilfstabelle DatendefKB'!X10</f>
        <v>#REF!</v>
      </c>
      <c r="K22" s="269" t="e">
        <f ca="1">'Hilfstabelle DatendefKB'!Y10</f>
        <v>#REF!</v>
      </c>
    </row>
    <row r="23" spans="1:11" ht="170.1" customHeight="1" x14ac:dyDescent="0.25">
      <c r="A23" s="265" t="e">
        <f ca="1">'Hilfstabelle DatendefKB'!$O11</f>
        <v>#REF!</v>
      </c>
      <c r="B23" s="266" t="e">
        <f ca="1">'Hilfstabelle DatendefKB'!P11</f>
        <v>#REF!</v>
      </c>
      <c r="C23" s="306" t="e">
        <f ca="1">'Hilfstabelle DatendefKB'!Q11</f>
        <v>#REF!</v>
      </c>
      <c r="D23" s="306" t="e">
        <f ca="1">'Hilfstabelle DatendefKB'!R11</f>
        <v>#REF!</v>
      </c>
      <c r="E23" s="306" t="e">
        <f ca="1">'Hilfstabelle DatendefKB'!S11</f>
        <v>#REF!</v>
      </c>
      <c r="F23" s="271" t="e">
        <f ca="1">'Hilfstabelle DatendefKB'!T11</f>
        <v>#REF!</v>
      </c>
      <c r="G23" s="267" t="e">
        <f ca="1">'Hilfstabelle DatendefKB'!U11</f>
        <v>#REF!</v>
      </c>
      <c r="H23" s="305" t="e">
        <f ca="1">'Hilfstabelle DatendefKB'!V11</f>
        <v>#REF!</v>
      </c>
      <c r="I23" s="268" t="e">
        <f ca="1">'Hilfstabelle DatendefKB'!W11</f>
        <v>#REF!</v>
      </c>
      <c r="J23" s="269" t="e">
        <f ca="1">'Hilfstabelle DatendefKB'!X11</f>
        <v>#REF!</v>
      </c>
      <c r="K23" s="269" t="e">
        <f ca="1">'Hilfstabelle DatendefKB'!Y11</f>
        <v>#REF!</v>
      </c>
    </row>
    <row r="24" spans="1:11" ht="170.1" customHeight="1" x14ac:dyDescent="0.25">
      <c r="A24" s="265" t="e">
        <f ca="1">'Hilfstabelle DatendefKB'!$O12</f>
        <v>#REF!</v>
      </c>
      <c r="B24" s="266" t="e">
        <f ca="1">'Hilfstabelle DatendefKB'!P12</f>
        <v>#REF!</v>
      </c>
      <c r="C24" s="306" t="e">
        <f ca="1">'Hilfstabelle DatendefKB'!Q12</f>
        <v>#REF!</v>
      </c>
      <c r="D24" s="306" t="e">
        <f ca="1">'Hilfstabelle DatendefKB'!R12</f>
        <v>#REF!</v>
      </c>
      <c r="E24" s="306" t="e">
        <f ca="1">'Hilfstabelle DatendefKB'!S12</f>
        <v>#REF!</v>
      </c>
      <c r="F24" s="271" t="e">
        <f ca="1">'Hilfstabelle DatendefKB'!T12</f>
        <v>#REF!</v>
      </c>
      <c r="G24" s="267" t="e">
        <f ca="1">'Hilfstabelle DatendefKB'!U12</f>
        <v>#REF!</v>
      </c>
      <c r="H24" s="305" t="e">
        <f ca="1">'Hilfstabelle DatendefKB'!V12</f>
        <v>#REF!</v>
      </c>
      <c r="I24" s="268" t="e">
        <f ca="1">'Hilfstabelle DatendefKB'!W12</f>
        <v>#REF!</v>
      </c>
      <c r="J24" s="269" t="e">
        <f ca="1">'Hilfstabelle DatendefKB'!X12</f>
        <v>#REF!</v>
      </c>
      <c r="K24" s="269" t="e">
        <f ca="1">'Hilfstabelle DatendefKB'!Y12</f>
        <v>#REF!</v>
      </c>
    </row>
    <row r="25" spans="1:11" ht="170.1" customHeight="1" x14ac:dyDescent="0.25">
      <c r="A25" s="265" t="e">
        <f ca="1">'Hilfstabelle DatendefKB'!$O13</f>
        <v>#REF!</v>
      </c>
      <c r="B25" s="266" t="e">
        <f ca="1">'Hilfstabelle DatendefKB'!P13</f>
        <v>#REF!</v>
      </c>
      <c r="C25" s="306" t="e">
        <f ca="1">'Hilfstabelle DatendefKB'!Q13</f>
        <v>#REF!</v>
      </c>
      <c r="D25" s="306" t="e">
        <f ca="1">'Hilfstabelle DatendefKB'!R13</f>
        <v>#REF!</v>
      </c>
      <c r="E25" s="306" t="e">
        <f ca="1">'Hilfstabelle DatendefKB'!S13</f>
        <v>#REF!</v>
      </c>
      <c r="F25" s="271" t="e">
        <f ca="1">'Hilfstabelle DatendefKB'!T13</f>
        <v>#REF!</v>
      </c>
      <c r="G25" s="267" t="e">
        <f ca="1">'Hilfstabelle DatendefKB'!U13</f>
        <v>#REF!</v>
      </c>
      <c r="H25" s="305" t="e">
        <f ca="1">'Hilfstabelle DatendefKB'!V13</f>
        <v>#REF!</v>
      </c>
      <c r="I25" s="268" t="e">
        <f ca="1">'Hilfstabelle DatendefKB'!W13</f>
        <v>#REF!</v>
      </c>
      <c r="J25" s="269" t="e">
        <f ca="1">'Hilfstabelle DatendefKB'!X13</f>
        <v>#REF!</v>
      </c>
      <c r="K25" s="269" t="e">
        <f ca="1">'Hilfstabelle DatendefKB'!Y13</f>
        <v>#REF!</v>
      </c>
    </row>
    <row r="26" spans="1:11" ht="170.1" customHeight="1" x14ac:dyDescent="0.25">
      <c r="A26" s="265" t="e">
        <f ca="1">'Hilfstabelle DatendefKB'!$O14</f>
        <v>#REF!</v>
      </c>
      <c r="B26" s="266" t="e">
        <f ca="1">'Hilfstabelle DatendefKB'!P14</f>
        <v>#REF!</v>
      </c>
      <c r="C26" s="306" t="e">
        <f ca="1">'Hilfstabelle DatendefKB'!Q14</f>
        <v>#REF!</v>
      </c>
      <c r="D26" s="306" t="e">
        <f ca="1">'Hilfstabelle DatendefKB'!R14</f>
        <v>#REF!</v>
      </c>
      <c r="E26" s="306" t="e">
        <f ca="1">'Hilfstabelle DatendefKB'!S14</f>
        <v>#REF!</v>
      </c>
      <c r="F26" s="271" t="e">
        <f ca="1">'Hilfstabelle DatendefKB'!T14</f>
        <v>#REF!</v>
      </c>
      <c r="G26" s="267" t="e">
        <f ca="1">'Hilfstabelle DatendefKB'!U14</f>
        <v>#REF!</v>
      </c>
      <c r="H26" s="305" t="e">
        <f ca="1">'Hilfstabelle DatendefKB'!V14</f>
        <v>#REF!</v>
      </c>
      <c r="I26" s="268" t="e">
        <f ca="1">'Hilfstabelle DatendefKB'!W14</f>
        <v>#REF!</v>
      </c>
      <c r="J26" s="269" t="e">
        <f ca="1">'Hilfstabelle DatendefKB'!X14</f>
        <v>#REF!</v>
      </c>
      <c r="K26" s="269" t="e">
        <f ca="1">'Hilfstabelle DatendefKB'!Y14</f>
        <v>#REF!</v>
      </c>
    </row>
    <row r="27" spans="1:11" ht="170.1" customHeight="1" x14ac:dyDescent="0.25">
      <c r="A27" s="265" t="e">
        <f ca="1">'Hilfstabelle DatendefKB'!$O15</f>
        <v>#REF!</v>
      </c>
      <c r="B27" s="266" t="e">
        <f ca="1">'Hilfstabelle DatendefKB'!P15</f>
        <v>#REF!</v>
      </c>
      <c r="C27" s="306" t="e">
        <f ca="1">'Hilfstabelle DatendefKB'!Q15</f>
        <v>#REF!</v>
      </c>
      <c r="D27" s="306" t="e">
        <f ca="1">'Hilfstabelle DatendefKB'!R15</f>
        <v>#REF!</v>
      </c>
      <c r="E27" s="306" t="e">
        <f ca="1">'Hilfstabelle DatendefKB'!S15</f>
        <v>#REF!</v>
      </c>
      <c r="F27" s="271" t="e">
        <f ca="1">'Hilfstabelle DatendefKB'!T15</f>
        <v>#REF!</v>
      </c>
      <c r="G27" s="267" t="e">
        <f ca="1">'Hilfstabelle DatendefKB'!U15</f>
        <v>#REF!</v>
      </c>
      <c r="H27" s="305" t="e">
        <f ca="1">'Hilfstabelle DatendefKB'!V15</f>
        <v>#REF!</v>
      </c>
      <c r="I27" s="268" t="e">
        <f ca="1">'Hilfstabelle DatendefKB'!W15</f>
        <v>#REF!</v>
      </c>
      <c r="J27" s="269" t="e">
        <f ca="1">'Hilfstabelle DatendefKB'!X15</f>
        <v>#REF!</v>
      </c>
      <c r="K27" s="269" t="e">
        <f ca="1">'Hilfstabelle DatendefKB'!Y15</f>
        <v>#REF!</v>
      </c>
    </row>
    <row r="28" spans="1:11" ht="170.1" customHeight="1" x14ac:dyDescent="0.25">
      <c r="A28" s="265" t="e">
        <f ca="1">'Hilfstabelle DatendefKB'!$O16</f>
        <v>#REF!</v>
      </c>
      <c r="B28" s="266" t="e">
        <f ca="1">'Hilfstabelle DatendefKB'!P16</f>
        <v>#REF!</v>
      </c>
      <c r="C28" s="306" t="e">
        <f ca="1">'Hilfstabelle DatendefKB'!Q16</f>
        <v>#REF!</v>
      </c>
      <c r="D28" s="306" t="e">
        <f ca="1">'Hilfstabelle DatendefKB'!R16</f>
        <v>#REF!</v>
      </c>
      <c r="E28" s="306" t="e">
        <f ca="1">'Hilfstabelle DatendefKB'!S16</f>
        <v>#REF!</v>
      </c>
      <c r="F28" s="271" t="e">
        <f ca="1">'Hilfstabelle DatendefKB'!T16</f>
        <v>#REF!</v>
      </c>
      <c r="G28" s="267" t="e">
        <f ca="1">'Hilfstabelle DatendefKB'!U16</f>
        <v>#REF!</v>
      </c>
      <c r="H28" s="305" t="e">
        <f ca="1">'Hilfstabelle DatendefKB'!V16</f>
        <v>#REF!</v>
      </c>
      <c r="I28" s="268" t="e">
        <f ca="1">'Hilfstabelle DatendefKB'!W16</f>
        <v>#REF!</v>
      </c>
      <c r="J28" s="269" t="e">
        <f ca="1">'Hilfstabelle DatendefKB'!X16</f>
        <v>#REF!</v>
      </c>
      <c r="K28" s="269" t="e">
        <f ca="1">'Hilfstabelle DatendefKB'!Y16</f>
        <v>#REF!</v>
      </c>
    </row>
    <row r="29" spans="1:11" ht="170.1" customHeight="1" x14ac:dyDescent="0.25">
      <c r="A29" s="265" t="e">
        <f ca="1">'Hilfstabelle DatendefKB'!$O17</f>
        <v>#REF!</v>
      </c>
      <c r="B29" s="266" t="e">
        <f ca="1">'Hilfstabelle DatendefKB'!P17</f>
        <v>#REF!</v>
      </c>
      <c r="C29" s="306" t="e">
        <f ca="1">'Hilfstabelle DatendefKB'!Q17</f>
        <v>#REF!</v>
      </c>
      <c r="D29" s="306" t="e">
        <f ca="1">'Hilfstabelle DatendefKB'!R17</f>
        <v>#REF!</v>
      </c>
      <c r="E29" s="306" t="e">
        <f ca="1">'Hilfstabelle DatendefKB'!S17</f>
        <v>#REF!</v>
      </c>
      <c r="F29" s="271" t="e">
        <f ca="1">'Hilfstabelle DatendefKB'!T17</f>
        <v>#REF!</v>
      </c>
      <c r="G29" s="267" t="e">
        <f ca="1">'Hilfstabelle DatendefKB'!U17</f>
        <v>#REF!</v>
      </c>
      <c r="H29" s="305" t="e">
        <f ca="1">'Hilfstabelle DatendefKB'!V17</f>
        <v>#REF!</v>
      </c>
      <c r="I29" s="268" t="e">
        <f ca="1">'Hilfstabelle DatendefKB'!W17</f>
        <v>#REF!</v>
      </c>
      <c r="J29" s="269" t="e">
        <f ca="1">'Hilfstabelle DatendefKB'!X17</f>
        <v>#REF!</v>
      </c>
      <c r="K29" s="269" t="e">
        <f ca="1">'Hilfstabelle DatendefKB'!Y17</f>
        <v>#REF!</v>
      </c>
    </row>
    <row r="30" spans="1:11" ht="170.1" customHeight="1" x14ac:dyDescent="0.25">
      <c r="A30" s="265" t="e">
        <f ca="1">'Hilfstabelle DatendefKB'!$O18</f>
        <v>#REF!</v>
      </c>
      <c r="B30" s="266" t="e">
        <f ca="1">'Hilfstabelle DatendefKB'!P18</f>
        <v>#REF!</v>
      </c>
      <c r="C30" s="306" t="e">
        <f ca="1">'Hilfstabelle DatendefKB'!Q18</f>
        <v>#REF!</v>
      </c>
      <c r="D30" s="306" t="e">
        <f ca="1">'Hilfstabelle DatendefKB'!R18</f>
        <v>#REF!</v>
      </c>
      <c r="E30" s="306" t="e">
        <f ca="1">'Hilfstabelle DatendefKB'!S18</f>
        <v>#REF!</v>
      </c>
      <c r="F30" s="271" t="e">
        <f ca="1">'Hilfstabelle DatendefKB'!T18</f>
        <v>#REF!</v>
      </c>
      <c r="G30" s="267" t="e">
        <f ca="1">'Hilfstabelle DatendefKB'!U18</f>
        <v>#REF!</v>
      </c>
      <c r="H30" s="305" t="e">
        <f ca="1">'Hilfstabelle DatendefKB'!V18</f>
        <v>#REF!</v>
      </c>
      <c r="I30" s="268" t="e">
        <f ca="1">'Hilfstabelle DatendefKB'!W18</f>
        <v>#REF!</v>
      </c>
      <c r="J30" s="269" t="e">
        <f ca="1">'Hilfstabelle DatendefKB'!X18</f>
        <v>#REF!</v>
      </c>
      <c r="K30" s="269" t="e">
        <f ca="1">'Hilfstabelle DatendefKB'!Y18</f>
        <v>#REF!</v>
      </c>
    </row>
    <row r="31" spans="1:11" ht="170.1" customHeight="1" x14ac:dyDescent="0.25">
      <c r="A31" s="265" t="e">
        <f ca="1">'Hilfstabelle DatendefKB'!$O19</f>
        <v>#REF!</v>
      </c>
      <c r="B31" s="266" t="e">
        <f ca="1">'Hilfstabelle DatendefKB'!P19</f>
        <v>#REF!</v>
      </c>
      <c r="C31" s="306" t="e">
        <f ca="1">'Hilfstabelle DatendefKB'!Q19</f>
        <v>#REF!</v>
      </c>
      <c r="D31" s="306" t="e">
        <f ca="1">'Hilfstabelle DatendefKB'!R19</f>
        <v>#REF!</v>
      </c>
      <c r="E31" s="306" t="e">
        <f ca="1">'Hilfstabelle DatendefKB'!S19</f>
        <v>#REF!</v>
      </c>
      <c r="F31" s="271" t="e">
        <f ca="1">'Hilfstabelle DatendefKB'!T19</f>
        <v>#REF!</v>
      </c>
      <c r="G31" s="267" t="e">
        <f ca="1">'Hilfstabelle DatendefKB'!U19</f>
        <v>#REF!</v>
      </c>
      <c r="H31" s="305" t="e">
        <f ca="1">'Hilfstabelle DatendefKB'!V19</f>
        <v>#REF!</v>
      </c>
      <c r="I31" s="268" t="e">
        <f ca="1">'Hilfstabelle DatendefKB'!W19</f>
        <v>#REF!</v>
      </c>
      <c r="J31" s="269" t="e">
        <f ca="1">'Hilfstabelle DatendefKB'!X19</f>
        <v>#REF!</v>
      </c>
      <c r="K31" s="269" t="e">
        <f ca="1">'Hilfstabelle DatendefKB'!Y19</f>
        <v>#REF!</v>
      </c>
    </row>
    <row r="32" spans="1:11" ht="170.1" customHeight="1" x14ac:dyDescent="0.25">
      <c r="A32" s="265" t="e">
        <f ca="1">'Hilfstabelle DatendefKB'!$O20</f>
        <v>#REF!</v>
      </c>
      <c r="B32" s="266" t="e">
        <f ca="1">'Hilfstabelle DatendefKB'!P20</f>
        <v>#REF!</v>
      </c>
      <c r="C32" s="306" t="e">
        <f ca="1">'Hilfstabelle DatendefKB'!Q20</f>
        <v>#REF!</v>
      </c>
      <c r="D32" s="306" t="e">
        <f ca="1">'Hilfstabelle DatendefKB'!R20</f>
        <v>#REF!</v>
      </c>
      <c r="E32" s="306" t="e">
        <f ca="1">'Hilfstabelle DatendefKB'!S20</f>
        <v>#REF!</v>
      </c>
      <c r="F32" s="271" t="e">
        <f ca="1">'Hilfstabelle DatendefKB'!T20</f>
        <v>#REF!</v>
      </c>
      <c r="G32" s="267" t="e">
        <f ca="1">'Hilfstabelle DatendefKB'!U20</f>
        <v>#REF!</v>
      </c>
      <c r="H32" s="305" t="e">
        <f ca="1">'Hilfstabelle DatendefKB'!V20</f>
        <v>#REF!</v>
      </c>
      <c r="I32" s="268" t="e">
        <f ca="1">'Hilfstabelle DatendefKB'!W20</f>
        <v>#REF!</v>
      </c>
      <c r="J32" s="269" t="e">
        <f ca="1">'Hilfstabelle DatendefKB'!X20</f>
        <v>#REF!</v>
      </c>
      <c r="K32" s="269" t="e">
        <f ca="1">'Hilfstabelle DatendefKB'!Y20</f>
        <v>#REF!</v>
      </c>
    </row>
    <row r="33" spans="1:11" ht="170.1" customHeight="1" x14ac:dyDescent="0.25">
      <c r="A33" s="265" t="e">
        <f ca="1">'Hilfstabelle DatendefKB'!$O21</f>
        <v>#REF!</v>
      </c>
      <c r="B33" s="266" t="e">
        <f ca="1">'Hilfstabelle DatendefKB'!P21</f>
        <v>#REF!</v>
      </c>
      <c r="C33" s="306" t="e">
        <f ca="1">'Hilfstabelle DatendefKB'!Q21</f>
        <v>#REF!</v>
      </c>
      <c r="D33" s="306" t="e">
        <f ca="1">'Hilfstabelle DatendefKB'!R21</f>
        <v>#REF!</v>
      </c>
      <c r="E33" s="306" t="e">
        <f ca="1">'Hilfstabelle DatendefKB'!S21</f>
        <v>#REF!</v>
      </c>
      <c r="F33" s="271" t="e">
        <f ca="1">'Hilfstabelle DatendefKB'!T21</f>
        <v>#REF!</v>
      </c>
      <c r="G33" s="267" t="e">
        <f ca="1">'Hilfstabelle DatendefKB'!U21</f>
        <v>#REF!</v>
      </c>
      <c r="H33" s="305" t="e">
        <f ca="1">'Hilfstabelle DatendefKB'!V21</f>
        <v>#REF!</v>
      </c>
      <c r="I33" s="268" t="e">
        <f ca="1">'Hilfstabelle DatendefKB'!W21</f>
        <v>#REF!</v>
      </c>
      <c r="J33" s="269" t="e">
        <f ca="1">'Hilfstabelle DatendefKB'!X21</f>
        <v>#REF!</v>
      </c>
      <c r="K33" s="269" t="e">
        <f ca="1">'Hilfstabelle DatendefKB'!Y21</f>
        <v>#REF!</v>
      </c>
    </row>
    <row r="34" spans="1:11" ht="170.1" customHeight="1" x14ac:dyDescent="0.25">
      <c r="A34" s="265" t="e">
        <f ca="1">'Hilfstabelle DatendefKB'!$O22</f>
        <v>#REF!</v>
      </c>
      <c r="B34" s="266" t="e">
        <f ca="1">'Hilfstabelle DatendefKB'!P22</f>
        <v>#REF!</v>
      </c>
      <c r="C34" s="306" t="e">
        <f ca="1">'Hilfstabelle DatendefKB'!Q22</f>
        <v>#REF!</v>
      </c>
      <c r="D34" s="306" t="e">
        <f ca="1">'Hilfstabelle DatendefKB'!R22</f>
        <v>#REF!</v>
      </c>
      <c r="E34" s="306" t="e">
        <f ca="1">'Hilfstabelle DatendefKB'!S22</f>
        <v>#REF!</v>
      </c>
      <c r="F34" s="271" t="e">
        <f ca="1">'Hilfstabelle DatendefKB'!T22</f>
        <v>#REF!</v>
      </c>
      <c r="G34" s="267" t="e">
        <f ca="1">'Hilfstabelle DatendefKB'!U22</f>
        <v>#REF!</v>
      </c>
      <c r="H34" s="305" t="e">
        <f ca="1">'Hilfstabelle DatendefKB'!V22</f>
        <v>#REF!</v>
      </c>
      <c r="I34" s="268" t="e">
        <f ca="1">'Hilfstabelle DatendefKB'!W22</f>
        <v>#REF!</v>
      </c>
      <c r="J34" s="269" t="e">
        <f ca="1">'Hilfstabelle DatendefKB'!X22</f>
        <v>#REF!</v>
      </c>
      <c r="K34" s="269" t="e">
        <f ca="1">'Hilfstabelle DatendefKB'!Y22</f>
        <v>#REF!</v>
      </c>
    </row>
    <row r="35" spans="1:11" ht="170.1" customHeight="1" x14ac:dyDescent="0.25">
      <c r="A35" s="265" t="e">
        <f ca="1">'Hilfstabelle DatendefKB'!$O23</f>
        <v>#REF!</v>
      </c>
      <c r="B35" s="266" t="e">
        <f ca="1">'Hilfstabelle DatendefKB'!P23</f>
        <v>#REF!</v>
      </c>
      <c r="C35" s="306" t="e">
        <f ca="1">'Hilfstabelle DatendefKB'!Q23</f>
        <v>#REF!</v>
      </c>
      <c r="D35" s="306" t="e">
        <f ca="1">'Hilfstabelle DatendefKB'!R23</f>
        <v>#REF!</v>
      </c>
      <c r="E35" s="306" t="e">
        <f ca="1">'Hilfstabelle DatendefKB'!S23</f>
        <v>#REF!</v>
      </c>
      <c r="F35" s="271" t="e">
        <f ca="1">'Hilfstabelle DatendefKB'!T23</f>
        <v>#REF!</v>
      </c>
      <c r="G35" s="267" t="e">
        <f ca="1">'Hilfstabelle DatendefKB'!U23</f>
        <v>#REF!</v>
      </c>
      <c r="H35" s="305" t="e">
        <f ca="1">'Hilfstabelle DatendefKB'!V23</f>
        <v>#REF!</v>
      </c>
      <c r="I35" s="268" t="e">
        <f ca="1">'Hilfstabelle DatendefKB'!W23</f>
        <v>#REF!</v>
      </c>
      <c r="J35" s="269" t="e">
        <f ca="1">'Hilfstabelle DatendefKB'!X23</f>
        <v>#REF!</v>
      </c>
      <c r="K35" s="269" t="e">
        <f ca="1">'Hilfstabelle DatendefKB'!Y23</f>
        <v>#REF!</v>
      </c>
    </row>
    <row r="36" spans="1:11" ht="170.1" customHeight="1" x14ac:dyDescent="0.25">
      <c r="A36" s="265" t="e">
        <f ca="1">'Hilfstabelle DatendefKB'!$O24</f>
        <v>#REF!</v>
      </c>
      <c r="B36" s="266" t="e">
        <f ca="1">'Hilfstabelle DatendefKB'!P24</f>
        <v>#REF!</v>
      </c>
      <c r="C36" s="306" t="e">
        <f ca="1">'Hilfstabelle DatendefKB'!Q24</f>
        <v>#REF!</v>
      </c>
      <c r="D36" s="306" t="e">
        <f ca="1">'Hilfstabelle DatendefKB'!R24</f>
        <v>#REF!</v>
      </c>
      <c r="E36" s="306" t="e">
        <f ca="1">'Hilfstabelle DatendefKB'!S24</f>
        <v>#REF!</v>
      </c>
      <c r="F36" s="271" t="e">
        <f ca="1">'Hilfstabelle DatendefKB'!T24</f>
        <v>#REF!</v>
      </c>
      <c r="G36" s="267" t="e">
        <f ca="1">'Hilfstabelle DatendefKB'!U24</f>
        <v>#REF!</v>
      </c>
      <c r="H36" s="305" t="e">
        <f ca="1">'Hilfstabelle DatendefKB'!V24</f>
        <v>#REF!</v>
      </c>
      <c r="I36" s="425" t="e">
        <f ca="1">'Hilfstabelle DatendefKB'!W24</f>
        <v>#REF!</v>
      </c>
      <c r="J36" s="269" t="e">
        <f ca="1">'Hilfstabelle DatendefKB'!X24</f>
        <v>#REF!</v>
      </c>
      <c r="K36" s="269" t="e">
        <f ca="1">'Hilfstabelle DatendefKB'!Y24</f>
        <v>#REF!</v>
      </c>
    </row>
    <row r="37" spans="1:11" ht="170.1" customHeight="1" x14ac:dyDescent="0.25">
      <c r="A37" s="265" t="e">
        <f ca="1">'Hilfstabelle DatendefKB'!$O25</f>
        <v>#REF!</v>
      </c>
      <c r="B37" s="266" t="e">
        <f ca="1">'Hilfstabelle DatendefKB'!P25</f>
        <v>#REF!</v>
      </c>
      <c r="C37" s="306" t="e">
        <f ca="1">'Hilfstabelle DatendefKB'!Q25</f>
        <v>#REF!</v>
      </c>
      <c r="D37" s="306" t="e">
        <f ca="1">'Hilfstabelle DatendefKB'!R25</f>
        <v>#REF!</v>
      </c>
      <c r="E37" s="306" t="e">
        <f ca="1">'Hilfstabelle DatendefKB'!S25</f>
        <v>#REF!</v>
      </c>
      <c r="F37" s="271" t="e">
        <f ca="1">'Hilfstabelle DatendefKB'!T25</f>
        <v>#REF!</v>
      </c>
      <c r="G37" s="267" t="e">
        <f ca="1">'Hilfstabelle DatendefKB'!U25</f>
        <v>#REF!</v>
      </c>
      <c r="H37" s="305" t="e">
        <f ca="1">'Hilfstabelle DatendefKB'!V25</f>
        <v>#REF!</v>
      </c>
      <c r="I37" s="268" t="e">
        <f ca="1">'Hilfstabelle DatendefKB'!W25</f>
        <v>#REF!</v>
      </c>
      <c r="J37" s="269" t="e">
        <f ca="1">'Hilfstabelle DatendefKB'!X25</f>
        <v>#REF!</v>
      </c>
      <c r="K37" s="269" t="e">
        <f ca="1">'Hilfstabelle DatendefKB'!Y25</f>
        <v>#REF!</v>
      </c>
    </row>
    <row r="38" spans="1:11" ht="170.1" customHeight="1" x14ac:dyDescent="0.25">
      <c r="A38" s="265" t="e">
        <f ca="1">'Hilfstabelle DatendefKB'!$O26</f>
        <v>#REF!</v>
      </c>
      <c r="B38" s="266" t="e">
        <f ca="1">'Hilfstabelle DatendefKB'!P26</f>
        <v>#REF!</v>
      </c>
      <c r="C38" s="306" t="e">
        <f ca="1">'Hilfstabelle DatendefKB'!Q26</f>
        <v>#REF!</v>
      </c>
      <c r="D38" s="306" t="e">
        <f ca="1">'Hilfstabelle DatendefKB'!R26</f>
        <v>#REF!</v>
      </c>
      <c r="E38" s="306" t="e">
        <f ca="1">'Hilfstabelle DatendefKB'!S26</f>
        <v>#REF!</v>
      </c>
      <c r="F38" s="271" t="e">
        <f ca="1">'Hilfstabelle DatendefKB'!T26</f>
        <v>#REF!</v>
      </c>
      <c r="G38" s="267" t="e">
        <f ca="1">'Hilfstabelle DatendefKB'!U26</f>
        <v>#REF!</v>
      </c>
      <c r="H38" s="305" t="e">
        <f ca="1">'Hilfstabelle DatendefKB'!V26</f>
        <v>#REF!</v>
      </c>
      <c r="I38" s="268" t="e">
        <f ca="1">'Hilfstabelle DatendefKB'!W26</f>
        <v>#REF!</v>
      </c>
      <c r="J38" s="269" t="e">
        <f ca="1">'Hilfstabelle DatendefKB'!X26</f>
        <v>#REF!</v>
      </c>
      <c r="K38" s="269" t="e">
        <f ca="1">'Hilfstabelle DatendefKB'!Y26</f>
        <v>#REF!</v>
      </c>
    </row>
    <row r="39" spans="1:11" ht="170.1" customHeight="1" x14ac:dyDescent="0.25">
      <c r="A39" s="265" t="e">
        <f ca="1">'Hilfstabelle DatendefKB'!$O27</f>
        <v>#REF!</v>
      </c>
      <c r="B39" s="266" t="e">
        <f ca="1">'Hilfstabelle DatendefKB'!P27</f>
        <v>#REF!</v>
      </c>
      <c r="C39" s="306" t="e">
        <f ca="1">'Hilfstabelle DatendefKB'!Q27</f>
        <v>#REF!</v>
      </c>
      <c r="D39" s="306" t="e">
        <f ca="1">'Hilfstabelle DatendefKB'!R27</f>
        <v>#REF!</v>
      </c>
      <c r="E39" s="306" t="e">
        <f ca="1">'Hilfstabelle DatendefKB'!S27</f>
        <v>#REF!</v>
      </c>
      <c r="F39" s="271" t="e">
        <f ca="1">'Hilfstabelle DatendefKB'!T27</f>
        <v>#REF!</v>
      </c>
      <c r="G39" s="267" t="e">
        <f ca="1">'Hilfstabelle DatendefKB'!U27</f>
        <v>#REF!</v>
      </c>
      <c r="H39" s="305" t="e">
        <f ca="1">'Hilfstabelle DatendefKB'!V27</f>
        <v>#REF!</v>
      </c>
      <c r="I39" s="268" t="e">
        <f ca="1">'Hilfstabelle DatendefKB'!W27</f>
        <v>#REF!</v>
      </c>
      <c r="J39" s="269" t="e">
        <f ca="1">'Hilfstabelle DatendefKB'!X27</f>
        <v>#REF!</v>
      </c>
      <c r="K39" s="269" t="e">
        <f ca="1">'Hilfstabelle DatendefKB'!Y27</f>
        <v>#REF!</v>
      </c>
    </row>
    <row r="40" spans="1:11" ht="170.1" customHeight="1" x14ac:dyDescent="0.25">
      <c r="A40" s="265" t="e">
        <f ca="1">'Hilfstabelle DatendefKB'!$O28</f>
        <v>#REF!</v>
      </c>
      <c r="B40" s="266" t="e">
        <f ca="1">'Hilfstabelle DatendefKB'!P28</f>
        <v>#REF!</v>
      </c>
      <c r="C40" s="306" t="e">
        <f ca="1">'Hilfstabelle DatendefKB'!Q28</f>
        <v>#REF!</v>
      </c>
      <c r="D40" s="306" t="e">
        <f ca="1">'Hilfstabelle DatendefKB'!R28</f>
        <v>#REF!</v>
      </c>
      <c r="E40" s="306" t="e">
        <f ca="1">'Hilfstabelle DatendefKB'!S28</f>
        <v>#REF!</v>
      </c>
      <c r="F40" s="271" t="e">
        <f ca="1">'Hilfstabelle DatendefKB'!T28</f>
        <v>#REF!</v>
      </c>
      <c r="G40" s="267" t="e">
        <f ca="1">'Hilfstabelle DatendefKB'!U28</f>
        <v>#REF!</v>
      </c>
      <c r="H40" s="305" t="e">
        <f ca="1">'Hilfstabelle DatendefKB'!V28</f>
        <v>#REF!</v>
      </c>
      <c r="I40" s="268" t="e">
        <f ca="1">'Hilfstabelle DatendefKB'!W28</f>
        <v>#REF!</v>
      </c>
      <c r="J40" s="269" t="e">
        <f ca="1">'Hilfstabelle DatendefKB'!X28</f>
        <v>#REF!</v>
      </c>
      <c r="K40" s="269" t="e">
        <f ca="1">'Hilfstabelle DatendefKB'!Y28</f>
        <v>#REF!</v>
      </c>
    </row>
    <row r="41" spans="1:11" ht="169.5" customHeight="1" x14ac:dyDescent="0.25">
      <c r="A41" s="265" t="e">
        <f ca="1">'Hilfstabelle DatendefKB'!$O29</f>
        <v>#REF!</v>
      </c>
      <c r="B41" s="266" t="e">
        <f ca="1">'Hilfstabelle DatendefKB'!P29</f>
        <v>#REF!</v>
      </c>
      <c r="C41" s="306" t="e">
        <f ca="1">'Hilfstabelle DatendefKB'!Q29</f>
        <v>#REF!</v>
      </c>
      <c r="D41" s="306" t="e">
        <f ca="1">'Hilfstabelle DatendefKB'!R29</f>
        <v>#REF!</v>
      </c>
      <c r="E41" s="306" t="e">
        <f ca="1">'Hilfstabelle DatendefKB'!S29</f>
        <v>#REF!</v>
      </c>
      <c r="F41" s="271" t="e">
        <f ca="1">'Hilfstabelle DatendefKB'!T29</f>
        <v>#REF!</v>
      </c>
      <c r="G41" s="267" t="e">
        <f ca="1">'Hilfstabelle DatendefKB'!U29</f>
        <v>#REF!</v>
      </c>
      <c r="H41" s="305" t="e">
        <f ca="1">'Hilfstabelle DatendefKB'!V29</f>
        <v>#REF!</v>
      </c>
      <c r="I41" s="268" t="e">
        <f ca="1">'Hilfstabelle DatendefKB'!W29</f>
        <v>#REF!</v>
      </c>
      <c r="J41" s="269" t="e">
        <f ca="1">'Hilfstabelle DatendefKB'!X29</f>
        <v>#REF!</v>
      </c>
      <c r="K41" s="269" t="e">
        <f ca="1">'Hilfstabelle DatendefKB'!Y29</f>
        <v>#REF!</v>
      </c>
    </row>
  </sheetData>
  <sheetProtection selectLockedCells="1"/>
  <mergeCells count="8">
    <mergeCell ref="C6:J6"/>
    <mergeCell ref="C8:E8"/>
    <mergeCell ref="A12:A13"/>
    <mergeCell ref="B12:B13"/>
    <mergeCell ref="C12:E12"/>
    <mergeCell ref="F12:H12"/>
    <mergeCell ref="I12:I13"/>
    <mergeCell ref="J12:K12"/>
  </mergeCells>
  <phoneticPr fontId="75" type="noConversion"/>
  <conditionalFormatting sqref="A12:A13">
    <cfRule type="expression" dxfId="123" priority="21" stopIfTrue="1">
      <formula>$A12&lt;&gt;""</formula>
    </cfRule>
  </conditionalFormatting>
  <conditionalFormatting sqref="A14:H41 J14:K41">
    <cfRule type="notContainsBlanks" dxfId="122" priority="178" stopIfTrue="1">
      <formula>LEN(TRIM(A14))&gt;0</formula>
    </cfRule>
  </conditionalFormatting>
  <conditionalFormatting sqref="B12:K13">
    <cfRule type="expression" dxfId="121" priority="8" stopIfTrue="1">
      <formula>B12&lt;&gt;""</formula>
    </cfRule>
  </conditionalFormatting>
  <conditionalFormatting sqref="I14:I41">
    <cfRule type="expression" dxfId="120" priority="4">
      <formula>AND($I14&lt;&gt;"",$I14="Ausnahme (Plausibilität unklar)")</formula>
    </cfRule>
    <cfRule type="expression" dxfId="119" priority="5" stopIfTrue="1">
      <formula>AND($I14&lt;&gt;"",$I14="Sollvorgabe nicht erfüllt")</formula>
    </cfRule>
    <cfRule type="expression" dxfId="118" priority="6" stopIfTrue="1">
      <formula>AND($I14&lt;&gt;"",$I14="I.O. (Plausibilität unklar)")</formula>
    </cfRule>
    <cfRule type="expression" dxfId="117" priority="7" stopIfTrue="1">
      <formula>OR(AND($I14&lt;&gt;"",$I14="Unvollständig"),AND($I14&lt;&gt;"",$I14="Inkorrekt"),AND($I14&lt;&gt;"",$I14="optional - Inkorrekt"))</formula>
    </cfRule>
    <cfRule type="expression" dxfId="116" priority="169" stopIfTrue="1">
      <formula>AND($I14&lt;&gt;"",$I14="optional - Sollvorgabe nicht erfüllt")</formula>
    </cfRule>
    <cfRule type="expression" dxfId="115" priority="170" stopIfTrue="1">
      <formula>AND($I14&lt;&gt;"",$I14="optional - I.O. (Plausibilität unklar)")</formula>
    </cfRule>
    <cfRule type="expression" dxfId="114" priority="174" stopIfTrue="1">
      <formula>AND($I14&lt;&gt;"",$I14="optional - unvollständig")</formula>
    </cfRule>
  </conditionalFormatting>
  <conditionalFormatting sqref="I25">
    <cfRule type="expression" dxfId="113" priority="3">
      <formula>AND($I25&lt;&gt;"",$I$25="Ausnahme (Plausibilität unklar)")</formula>
    </cfRule>
  </conditionalFormatting>
  <conditionalFormatting sqref="I36:I37">
    <cfRule type="expression" dxfId="112" priority="1">
      <formula>AND($I36&lt;&gt;"",$I36="Ausnahme (Plausibilität unklar)")</formula>
    </cfRule>
  </conditionalFormatting>
  <dataValidations count="1">
    <dataValidation allowBlank="1" showInputMessage="1" showErrorMessage="1" promptTitle="Hinweis" prompt="Übertrag erfolgt _x000a_automatisch aus _x000a_Kennzahlenbogen" sqref="J13:K13" xr:uid="{00000000-0002-0000-0800-000000000000}"/>
  </dataValidations>
  <pageMargins left="3.937007874015748E-2" right="3.937007874015748E-2" top="0.27559055118110237" bottom="0.27559055118110237" header="0.11811023622047245" footer="0.11811023622047245"/>
  <pageSetup orientation="landscape" r:id="rId1"/>
  <headerFooter>
    <oddFooter>&amp;L&amp;"Arial,Standard"&amp;7&amp;F&amp;C&amp;"Arial,Standard"&amp;7 © DKG  Alle Rechte vorbehalten&amp;R&amp;"Arial,Standard"&amp;7&amp;P</oddFooter>
  </headerFooter>
  <rowBreaks count="1" manualBreakCount="1">
    <brk id="35" max="10" man="1"/>
  </rowBreaks>
  <ignoredErrors>
    <ignoredError sqref="D13" formula="1"/>
  </ignoredError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6"/>
  <dimension ref="A1:AR117"/>
  <sheetViews>
    <sheetView showGridLines="0" showRuler="0" zoomScaleNormal="100" zoomScaleSheetLayoutView="100" workbookViewId="0">
      <selection activeCell="D23" sqref="D23"/>
    </sheetView>
  </sheetViews>
  <sheetFormatPr defaultColWidth="9" defaultRowHeight="14.25" x14ac:dyDescent="0.2"/>
  <cols>
    <col min="1" max="1" width="12" style="8" customWidth="1"/>
    <col min="2" max="2" width="4.7109375" style="8" customWidth="1"/>
    <col min="3" max="7" width="5.7109375" style="8" customWidth="1"/>
    <col min="8" max="8" width="0.42578125" style="8" customWidth="1"/>
    <col min="9" max="9" width="4.7109375" style="8" customWidth="1"/>
    <col min="10" max="12" width="5.28515625" style="8" customWidth="1"/>
    <col min="13" max="13" width="7.7109375" style="8" customWidth="1"/>
    <col min="14" max="14" width="0.42578125" style="8" customWidth="1"/>
    <col min="15" max="15" width="5.7109375" style="8" customWidth="1"/>
    <col min="16" max="16" width="6.7109375" style="8" hidden="1" customWidth="1"/>
    <col min="17" max="23" width="5.28515625" style="8" customWidth="1"/>
    <col min="24" max="24" width="0.5703125" style="8" customWidth="1"/>
    <col min="25" max="25" width="7.42578125" style="8" customWidth="1"/>
    <col min="26" max="26" width="7.42578125" style="18" customWidth="1"/>
    <col min="27" max="28" width="8.42578125" style="8" customWidth="1"/>
    <col min="29" max="213" width="11.42578125" style="8" customWidth="1"/>
    <col min="214" max="16384" width="9" style="8"/>
  </cols>
  <sheetData>
    <row r="1" spans="1:44" ht="9.9499999999999993" customHeight="1" x14ac:dyDescent="0.2">
      <c r="C1" s="31"/>
      <c r="J1" s="19"/>
      <c r="K1" s="19"/>
      <c r="L1" s="19"/>
      <c r="M1" s="19"/>
      <c r="N1" s="19"/>
      <c r="O1" s="19"/>
      <c r="P1" s="19"/>
      <c r="Q1" s="19"/>
      <c r="R1" s="19"/>
    </row>
    <row r="2" spans="1:44" ht="12.95" customHeight="1" x14ac:dyDescent="0.2">
      <c r="A2" s="17" t="str">
        <f>'Basic data'!A2</f>
        <v>Annex CR Version P1.1  (Audit year 2026 / Indicator year 2025)</v>
      </c>
      <c r="G2" s="41"/>
      <c r="J2" s="19"/>
      <c r="K2" s="19"/>
      <c r="L2" s="19"/>
      <c r="M2" s="19"/>
      <c r="N2" s="19"/>
      <c r="O2" s="19"/>
      <c r="P2" s="19"/>
      <c r="Q2" s="19"/>
      <c r="R2" s="19"/>
    </row>
    <row r="3" spans="1:44" ht="16.5" x14ac:dyDescent="0.25">
      <c r="A3" s="22" t="s">
        <v>341</v>
      </c>
      <c r="J3" s="19"/>
      <c r="K3" s="19"/>
      <c r="L3" s="19"/>
      <c r="M3" s="19"/>
      <c r="N3" s="19"/>
      <c r="O3" s="19"/>
      <c r="P3" s="19"/>
      <c r="R3" s="20"/>
      <c r="S3" s="20"/>
      <c r="T3" s="20"/>
      <c r="U3" s="20"/>
    </row>
    <row r="4" spans="1:44" x14ac:dyDescent="0.2">
      <c r="A4" s="48" t="s">
        <v>342</v>
      </c>
      <c r="J4" s="19"/>
      <c r="K4" s="19"/>
      <c r="L4" s="19"/>
      <c r="M4" s="19"/>
      <c r="N4" s="19"/>
      <c r="O4" s="19"/>
      <c r="P4" s="19"/>
      <c r="R4" s="20"/>
      <c r="S4" s="20"/>
      <c r="T4" s="20"/>
      <c r="U4" s="20"/>
      <c r="AL4" s="42"/>
      <c r="AM4" s="42"/>
      <c r="AN4" s="42"/>
      <c r="AO4" s="42"/>
      <c r="AP4" s="42"/>
      <c r="AQ4" s="42"/>
    </row>
    <row r="5" spans="1:44" ht="15" customHeight="1" x14ac:dyDescent="0.2">
      <c r="O5" s="19"/>
      <c r="P5" s="19"/>
      <c r="AL5" s="42"/>
      <c r="AM5" s="42"/>
      <c r="AN5" s="42"/>
      <c r="AO5" s="42"/>
      <c r="AP5" s="42"/>
      <c r="AQ5" s="42"/>
    </row>
    <row r="6" spans="1:44" s="26" customFormat="1" ht="15" customHeight="1" x14ac:dyDescent="0.25">
      <c r="B6" s="29" t="s">
        <v>332</v>
      </c>
      <c r="D6" s="8"/>
      <c r="F6" s="752" t="str">
        <f>IF('Basic data'!B8=0,"",'Basic data'!B8)</f>
        <v/>
      </c>
      <c r="G6" s="817"/>
      <c r="H6" s="818"/>
      <c r="I6" s="818"/>
      <c r="J6" s="818"/>
      <c r="K6" s="818"/>
      <c r="L6" s="818"/>
      <c r="M6" s="818"/>
      <c r="N6" s="818"/>
      <c r="O6" s="753"/>
      <c r="P6" s="753"/>
      <c r="Q6" s="753"/>
      <c r="R6" s="753"/>
      <c r="S6" s="753"/>
      <c r="T6" s="753"/>
      <c r="U6" s="753"/>
      <c r="V6" s="753"/>
      <c r="W6" s="754"/>
      <c r="Z6" s="17"/>
      <c r="AL6" s="42"/>
      <c r="AM6" s="42"/>
      <c r="AN6" s="42"/>
      <c r="AO6" s="42"/>
      <c r="AP6" s="42"/>
      <c r="AQ6" s="42"/>
    </row>
    <row r="7" spans="1:44" s="26" customFormat="1" ht="6.95" customHeight="1" x14ac:dyDescent="0.2">
      <c r="B7" s="10"/>
      <c r="C7" s="25"/>
      <c r="D7" s="8"/>
      <c r="E7" s="8"/>
      <c r="F7" s="8"/>
      <c r="G7" s="8"/>
      <c r="H7" s="23"/>
      <c r="I7" s="24"/>
      <c r="J7" s="24"/>
      <c r="K7" s="24"/>
      <c r="AL7" s="42"/>
      <c r="AM7" s="42"/>
      <c r="AN7" s="42"/>
      <c r="AO7" s="42"/>
      <c r="AP7" s="42"/>
      <c r="AQ7" s="42"/>
    </row>
    <row r="8" spans="1:44" s="26" customFormat="1" ht="15" customHeight="1" x14ac:dyDescent="0.25">
      <c r="B8" s="27" t="s">
        <v>281</v>
      </c>
      <c r="C8" s="28"/>
      <c r="D8" s="8"/>
      <c r="F8" s="819" t="str">
        <f>IF('Basic data'!B6=0,"",'Basic data'!B6)</f>
        <v/>
      </c>
      <c r="G8" s="820"/>
      <c r="H8" s="753"/>
      <c r="I8" s="753"/>
      <c r="J8" s="754"/>
      <c r="Q8" s="9" t="s">
        <v>279</v>
      </c>
      <c r="T8" s="821" t="str">
        <f>IF('Basic data'!G12=0,"",'Basic data'!G12)</f>
        <v/>
      </c>
      <c r="U8" s="822"/>
      <c r="V8" s="822"/>
      <c r="W8" s="754"/>
      <c r="AL8" s="42"/>
      <c r="AM8" s="42"/>
      <c r="AN8" s="42"/>
      <c r="AO8" s="42"/>
      <c r="AP8" s="42"/>
      <c r="AQ8" s="42"/>
    </row>
    <row r="9" spans="1:44" s="26" customFormat="1" ht="6" customHeight="1" x14ac:dyDescent="0.2">
      <c r="B9" s="27"/>
      <c r="C9" s="28"/>
      <c r="D9" s="8"/>
      <c r="F9" s="8"/>
      <c r="G9" s="8"/>
      <c r="H9" s="30"/>
      <c r="J9" s="24"/>
      <c r="K9" s="24"/>
      <c r="L9" s="8"/>
      <c r="M9" s="8"/>
      <c r="Z9" s="17"/>
      <c r="AL9" s="42"/>
      <c r="AM9" s="42"/>
      <c r="AN9" s="42"/>
      <c r="AO9" s="42"/>
      <c r="AP9" s="42"/>
      <c r="AQ9" s="42"/>
    </row>
    <row r="10" spans="1:44" ht="6" customHeight="1" x14ac:dyDescent="0.2">
      <c r="I10" s="26"/>
      <c r="AL10" s="42"/>
      <c r="AM10" s="42"/>
      <c r="AN10" s="42"/>
      <c r="AO10" s="42"/>
      <c r="AP10" s="42"/>
      <c r="AQ10" s="42"/>
    </row>
    <row r="11" spans="1:44" ht="7.5" customHeight="1" x14ac:dyDescent="0.2">
      <c r="A11" s="831"/>
      <c r="B11" s="831"/>
      <c r="C11" s="831"/>
      <c r="D11" s="831"/>
      <c r="E11" s="831"/>
      <c r="F11" s="831"/>
      <c r="G11" s="831"/>
      <c r="H11" s="831"/>
      <c r="I11" s="831"/>
      <c r="J11" s="831"/>
      <c r="K11" s="831"/>
      <c r="L11" s="831"/>
      <c r="M11" s="831"/>
      <c r="N11" s="831"/>
      <c r="O11" s="831"/>
      <c r="P11" s="831"/>
      <c r="Q11" s="831"/>
      <c r="R11" s="831"/>
      <c r="S11" s="831"/>
      <c r="T11" s="831"/>
      <c r="U11" s="831"/>
      <c r="V11" s="831"/>
      <c r="W11" s="831"/>
      <c r="X11" s="831"/>
      <c r="Y11" s="831"/>
      <c r="Z11" s="831"/>
      <c r="AL11" s="42"/>
      <c r="AM11" s="42"/>
      <c r="AN11" s="42"/>
      <c r="AO11" s="42"/>
      <c r="AP11" s="42"/>
      <c r="AQ11" s="42"/>
    </row>
    <row r="12" spans="1:44" ht="15" x14ac:dyDescent="0.25">
      <c r="A12" s="32" t="s">
        <v>291</v>
      </c>
    </row>
    <row r="13" spans="1:44" ht="11.25" customHeight="1" x14ac:dyDescent="0.25">
      <c r="B13" s="823" t="str">
        <f>IF(OR(B14="",B14="Matrix kann eingereicht werden"),"In Ordnung",IF(B14="die inkorrekten und unvollständigen Einträge beheben","Nicht in Ordnung"))</f>
        <v>In Ordnung</v>
      </c>
      <c r="C13" s="823"/>
      <c r="D13" s="824"/>
      <c r="E13" s="824"/>
      <c r="F13" s="824"/>
      <c r="G13" s="825" t="s">
        <v>280</v>
      </c>
      <c r="H13" s="826"/>
      <c r="I13" s="826"/>
      <c r="J13" s="826"/>
      <c r="K13" s="826"/>
      <c r="L13" s="827" t="s">
        <v>154</v>
      </c>
      <c r="M13" s="828"/>
      <c r="N13" s="828"/>
      <c r="O13" s="828"/>
      <c r="P13" s="828"/>
      <c r="Q13" s="828"/>
      <c r="R13" s="828"/>
      <c r="S13" s="829" t="s">
        <v>287</v>
      </c>
      <c r="T13" s="830"/>
      <c r="U13" s="830"/>
      <c r="V13" s="830"/>
      <c r="W13" s="829" t="s">
        <v>362</v>
      </c>
      <c r="X13" s="826"/>
      <c r="Y13" s="826"/>
      <c r="Z13" s="826"/>
    </row>
    <row r="14" spans="1:44" ht="20.25" customHeight="1" x14ac:dyDescent="0.25">
      <c r="B14" s="838" t="str">
        <f>Berechnung2!B6</f>
        <v/>
      </c>
      <c r="C14" s="838"/>
      <c r="D14" s="839"/>
      <c r="E14" s="839"/>
      <c r="F14" s="839"/>
      <c r="G14" s="840">
        <f>Berechnung2!C6</f>
        <v>0</v>
      </c>
      <c r="H14" s="841"/>
      <c r="I14" s="841"/>
      <c r="J14" s="841"/>
      <c r="K14" s="841"/>
      <c r="L14" s="842">
        <f>Berechnung2!D6</f>
        <v>0</v>
      </c>
      <c r="M14" s="843"/>
      <c r="N14" s="843"/>
      <c r="O14" s="843"/>
      <c r="P14" s="843"/>
      <c r="Q14" s="843"/>
      <c r="R14" s="843"/>
      <c r="S14" s="844">
        <f>Berechnung2!E6</f>
        <v>0</v>
      </c>
      <c r="T14" s="845"/>
      <c r="U14" s="845"/>
      <c r="V14" s="845"/>
      <c r="W14" s="844">
        <f>Berechnung2!F6</f>
        <v>0</v>
      </c>
      <c r="X14" s="841"/>
      <c r="Y14" s="841"/>
      <c r="Z14" s="841"/>
    </row>
    <row r="15" spans="1:44" s="26" customFormat="1" ht="5.25" customHeight="1" x14ac:dyDescent="0.2">
      <c r="B15" s="10"/>
      <c r="C15" s="16"/>
      <c r="D15" s="16"/>
      <c r="E15" s="16"/>
      <c r="F15" s="16"/>
      <c r="G15" s="16"/>
      <c r="Z15" s="17"/>
      <c r="AO15" s="42"/>
      <c r="AP15" s="42"/>
      <c r="AQ15" s="42"/>
      <c r="AR15" s="42"/>
    </row>
    <row r="16" spans="1:44" s="26" customFormat="1" ht="6" customHeight="1" x14ac:dyDescent="0.2">
      <c r="B16" s="10"/>
      <c r="C16" s="16"/>
      <c r="D16" s="16"/>
      <c r="E16" s="16"/>
      <c r="F16" s="16"/>
      <c r="G16" s="16"/>
      <c r="Z16" s="17"/>
      <c r="AO16" s="42"/>
      <c r="AP16" s="42"/>
      <c r="AQ16" s="42"/>
      <c r="AR16" s="42"/>
    </row>
    <row r="17" spans="1:44" s="26" customFormat="1" ht="4.5" customHeight="1" x14ac:dyDescent="0.2">
      <c r="B17" s="10"/>
      <c r="C17" s="16"/>
      <c r="D17" s="16"/>
      <c r="E17" s="16"/>
      <c r="F17" s="16"/>
      <c r="G17" s="16"/>
      <c r="Z17" s="17"/>
      <c r="AO17" s="42"/>
      <c r="AP17" s="42"/>
      <c r="AQ17" s="42"/>
      <c r="AR17" s="42"/>
    </row>
    <row r="18" spans="1:44" s="26" customFormat="1" ht="6" customHeight="1" thickBot="1" x14ac:dyDescent="0.25">
      <c r="B18" s="10"/>
      <c r="C18" s="16"/>
      <c r="D18" s="16"/>
      <c r="E18" s="16"/>
      <c r="F18" s="16"/>
      <c r="G18" s="16"/>
      <c r="Z18" s="17"/>
      <c r="AO18" s="42"/>
      <c r="AP18" s="42"/>
      <c r="AQ18" s="42"/>
      <c r="AR18" s="42"/>
    </row>
    <row r="19" spans="1:44" ht="24" customHeight="1" thickTop="1" thickBot="1" x14ac:dyDescent="0.3">
      <c r="A19" s="49"/>
      <c r="B19" s="50"/>
      <c r="C19" s="832" t="s">
        <v>343</v>
      </c>
      <c r="D19" s="833"/>
      <c r="E19" s="833"/>
      <c r="F19" s="833"/>
      <c r="G19" s="833"/>
      <c r="H19" s="367"/>
      <c r="I19" s="834" t="s">
        <v>285</v>
      </c>
      <c r="J19" s="835"/>
      <c r="K19" s="835"/>
      <c r="L19" s="835"/>
      <c r="M19" s="835"/>
      <c r="N19" s="835"/>
      <c r="O19" s="835"/>
      <c r="P19" s="835"/>
      <c r="Q19" s="835"/>
      <c r="R19" s="835"/>
      <c r="S19" s="835"/>
      <c r="T19" s="835"/>
      <c r="U19" s="835"/>
      <c r="V19" s="835"/>
      <c r="W19" s="836"/>
      <c r="X19" s="366"/>
      <c r="Y19" s="834" t="s">
        <v>408</v>
      </c>
      <c r="Z19" s="837"/>
      <c r="AL19" s="42"/>
      <c r="AM19" s="42"/>
      <c r="AN19" s="42"/>
      <c r="AO19" s="42"/>
      <c r="AP19" s="42"/>
      <c r="AQ19" s="42"/>
    </row>
    <row r="20" spans="1:44" ht="15.75" customHeight="1" thickBot="1" x14ac:dyDescent="0.25">
      <c r="A20" s="51" t="s">
        <v>327</v>
      </c>
      <c r="B20" s="51" t="s">
        <v>146</v>
      </c>
      <c r="C20" s="295" t="s">
        <v>155</v>
      </c>
      <c r="D20" s="1" t="s">
        <v>156</v>
      </c>
      <c r="E20" s="1" t="s">
        <v>157</v>
      </c>
      <c r="F20" s="1" t="s">
        <v>158</v>
      </c>
      <c r="G20" s="1" t="s">
        <v>159</v>
      </c>
      <c r="H20" s="368"/>
      <c r="I20" s="295" t="s">
        <v>160</v>
      </c>
      <c r="J20" s="322" t="s">
        <v>283</v>
      </c>
      <c r="K20" s="322" t="s">
        <v>344</v>
      </c>
      <c r="L20" s="322" t="s">
        <v>284</v>
      </c>
      <c r="M20" s="322" t="s">
        <v>345</v>
      </c>
      <c r="N20" s="363"/>
      <c r="O20" s="295" t="s">
        <v>161</v>
      </c>
      <c r="P20" s="322" t="s">
        <v>162</v>
      </c>
      <c r="Q20" s="322" t="s">
        <v>163</v>
      </c>
      <c r="R20" s="322" t="s">
        <v>242</v>
      </c>
      <c r="S20" s="322" t="s">
        <v>346</v>
      </c>
      <c r="T20" s="322" t="s">
        <v>164</v>
      </c>
      <c r="U20" s="322" t="s">
        <v>165</v>
      </c>
      <c r="V20" s="322" t="s">
        <v>166</v>
      </c>
      <c r="W20" s="322" t="s">
        <v>167</v>
      </c>
      <c r="X20" s="364"/>
      <c r="Y20" s="295" t="s">
        <v>168</v>
      </c>
      <c r="Z20" s="323" t="s">
        <v>169</v>
      </c>
      <c r="AL20" s="42"/>
      <c r="AM20" s="42"/>
      <c r="AN20" s="42"/>
      <c r="AO20" s="42"/>
      <c r="AP20" s="42"/>
      <c r="AQ20" s="42"/>
    </row>
    <row r="21" spans="1:44" ht="128.25" customHeight="1" thickBot="1" x14ac:dyDescent="0.25">
      <c r="A21" s="815" t="s">
        <v>237</v>
      </c>
      <c r="B21" s="815" t="s">
        <v>363</v>
      </c>
      <c r="C21" s="805" t="s">
        <v>347</v>
      </c>
      <c r="D21" s="805" t="s">
        <v>399</v>
      </c>
      <c r="E21" s="805" t="s">
        <v>400</v>
      </c>
      <c r="F21" s="805" t="s">
        <v>401</v>
      </c>
      <c r="G21" s="805" t="s">
        <v>402</v>
      </c>
      <c r="H21" s="368"/>
      <c r="I21" s="805" t="s">
        <v>403</v>
      </c>
      <c r="J21" s="807" t="s">
        <v>404</v>
      </c>
      <c r="K21" s="807" t="s">
        <v>405</v>
      </c>
      <c r="L21" s="807" t="s">
        <v>406</v>
      </c>
      <c r="M21" s="803" t="s">
        <v>348</v>
      </c>
      <c r="N21" s="364"/>
      <c r="O21" s="801" t="s">
        <v>18</v>
      </c>
      <c r="P21" s="809" t="s">
        <v>22</v>
      </c>
      <c r="Q21" s="811" t="s">
        <v>407</v>
      </c>
      <c r="R21" s="314" t="s">
        <v>349</v>
      </c>
      <c r="S21" s="314" t="s">
        <v>350</v>
      </c>
      <c r="T21" s="314" t="s">
        <v>351</v>
      </c>
      <c r="U21" s="801" t="s">
        <v>170</v>
      </c>
      <c r="V21" s="812" t="s">
        <v>15</v>
      </c>
      <c r="W21" s="801" t="s">
        <v>45</v>
      </c>
      <c r="X21" s="364"/>
      <c r="Y21" s="799" t="s">
        <v>171</v>
      </c>
      <c r="Z21" s="796" t="s">
        <v>150</v>
      </c>
      <c r="AL21" s="42"/>
      <c r="AM21" s="42"/>
      <c r="AN21" s="42"/>
      <c r="AO21" s="42"/>
      <c r="AP21" s="42"/>
      <c r="AQ21" s="42"/>
    </row>
    <row r="22" spans="1:44" ht="33" customHeight="1" thickBot="1" x14ac:dyDescent="0.25">
      <c r="A22" s="816"/>
      <c r="B22" s="816"/>
      <c r="C22" s="814"/>
      <c r="D22" s="814"/>
      <c r="E22" s="814"/>
      <c r="F22" s="814"/>
      <c r="G22" s="814"/>
      <c r="H22" s="368"/>
      <c r="I22" s="806"/>
      <c r="J22" s="808"/>
      <c r="K22" s="808"/>
      <c r="L22" s="808"/>
      <c r="M22" s="804"/>
      <c r="N22" s="364"/>
      <c r="O22" s="802"/>
      <c r="P22" s="810"/>
      <c r="Q22" s="806"/>
      <c r="R22" s="798" t="s">
        <v>172</v>
      </c>
      <c r="S22" s="798"/>
      <c r="T22" s="798"/>
      <c r="U22" s="802"/>
      <c r="V22" s="813"/>
      <c r="W22" s="802"/>
      <c r="X22" s="364"/>
      <c r="Y22" s="800"/>
      <c r="Z22" s="797"/>
      <c r="AL22" s="42"/>
      <c r="AM22" s="42"/>
      <c r="AN22" s="42"/>
      <c r="AO22" s="42"/>
      <c r="AP22" s="42"/>
      <c r="AQ22" s="42"/>
    </row>
    <row r="23" spans="1:44" ht="20.100000000000001" customHeight="1" thickBot="1" x14ac:dyDescent="0.25">
      <c r="A23" s="69" t="str">
        <f>IF(Datenquelle!$F$3&gt;5,IF(Datenquelle!$F$3=6,"EZ",IF(Datenquelle!$F$3&gt;6,"relevant","?")),"nicht relevant")</f>
        <v>nicht relevant</v>
      </c>
      <c r="B23" s="68">
        <v>2013</v>
      </c>
      <c r="C23" s="312">
        <f t="shared" ref="C23:C28" si="0">SUM(D23:G23)</f>
        <v>0</v>
      </c>
      <c r="D23" s="74"/>
      <c r="E23" s="74"/>
      <c r="F23" s="74"/>
      <c r="G23" s="74"/>
      <c r="H23" s="368"/>
      <c r="I23" s="299" t="str">
        <f>IF(SUM(J23:L23)=0,"",SUM(J23:L23))</f>
        <v/>
      </c>
      <c r="J23" s="74"/>
      <c r="K23" s="74"/>
      <c r="L23" s="74"/>
      <c r="M23" s="301" t="str">
        <f>IF(I23="","",IF(I23&gt;0,SUM(J23:K23) /I23,0))</f>
        <v/>
      </c>
      <c r="N23" s="364"/>
      <c r="O23" s="299" t="str">
        <f>IF(COUNTA(Q23:W23)&lt;7,"",SUM(J23+K23-Q23-V23-W23-U23))</f>
        <v/>
      </c>
      <c r="P23" s="52" t="str">
        <f>IF(AND(COUNTA(J23:K23)&gt;0,O23&lt;&gt;"",SUM(J23:K23)&gt;0),O23 /(J23+K23),"")</f>
        <v/>
      </c>
      <c r="Q23" s="74"/>
      <c r="R23" s="74"/>
      <c r="S23" s="74"/>
      <c r="T23" s="74"/>
      <c r="U23" s="74"/>
      <c r="V23" s="74"/>
      <c r="W23" s="74"/>
      <c r="X23" s="364"/>
      <c r="Y23" s="115"/>
      <c r="Z23" s="116"/>
      <c r="AL23" s="42"/>
      <c r="AM23" s="42"/>
      <c r="AN23" s="42"/>
      <c r="AO23" s="42"/>
      <c r="AP23" s="42"/>
      <c r="AQ23" s="42"/>
    </row>
    <row r="24" spans="1:44" s="16" customFormat="1" ht="20.100000000000001" customHeight="1" thickBot="1" x14ac:dyDescent="0.25">
      <c r="A24" s="70" t="str">
        <f>IF(Datenquelle!$F$3&gt;4,IF(Datenquelle!$F$3=5,"EZ",IF(Datenquelle!$F$3&gt;5,"relevant","?")),"nicht relevant")</f>
        <v>nicht relevant</v>
      </c>
      <c r="B24" s="66">
        <v>2014</v>
      </c>
      <c r="C24" s="312">
        <f t="shared" si="0"/>
        <v>0</v>
      </c>
      <c r="D24" s="74"/>
      <c r="E24" s="74"/>
      <c r="F24" s="74"/>
      <c r="G24" s="74"/>
      <c r="H24" s="368"/>
      <c r="I24" s="299" t="str">
        <f>IF(SUM(J24:L24)=0,"",SUM(J24:L24))</f>
        <v/>
      </c>
      <c r="J24" s="74"/>
      <c r="K24" s="74"/>
      <c r="L24" s="74"/>
      <c r="M24" s="302" t="str">
        <f>IF(I24="","",IF(I24&gt;0,SUM(J24:K24) /I24,0))</f>
        <v/>
      </c>
      <c r="N24" s="364"/>
      <c r="O24" s="299" t="str">
        <f>IF(COUNTA(Q24:W24)&lt;7,"",SUM(J24+K24-Q24-V24-W24-U24))</f>
        <v/>
      </c>
      <c r="P24" s="52" t="str">
        <f>IF(AND(COUNTA(J24:K24)&gt;0,O24&lt;&gt;"",SUM(J24:K24)&gt;0),O24 /(J24+K24),"")</f>
        <v/>
      </c>
      <c r="Q24" s="74"/>
      <c r="R24" s="74"/>
      <c r="S24" s="74"/>
      <c r="T24" s="74"/>
      <c r="U24" s="74"/>
      <c r="V24" s="74"/>
      <c r="W24" s="74"/>
      <c r="X24" s="364"/>
      <c r="Y24" s="115"/>
      <c r="Z24" s="116"/>
      <c r="AL24" s="42"/>
      <c r="AM24" s="42"/>
      <c r="AN24" s="42"/>
      <c r="AO24" s="42"/>
      <c r="AP24" s="42"/>
      <c r="AQ24" s="42"/>
    </row>
    <row r="25" spans="1:44" s="16" customFormat="1" ht="20.100000000000001" customHeight="1" thickBot="1" x14ac:dyDescent="0.25">
      <c r="A25" s="70" t="str">
        <f>IF(Datenquelle!$F$3&gt;3,IF(Datenquelle!$F$3=4,"EZ",IF(Datenquelle!$F$3&gt;4,"relevant","?")),"nicht relevant")</f>
        <v>nicht relevant</v>
      </c>
      <c r="B25" s="66">
        <v>2015</v>
      </c>
      <c r="C25" s="312">
        <f t="shared" si="0"/>
        <v>0</v>
      </c>
      <c r="D25" s="74"/>
      <c r="E25" s="74"/>
      <c r="F25" s="74"/>
      <c r="G25" s="74"/>
      <c r="H25" s="368"/>
      <c r="I25" s="299" t="str">
        <f>IF(SUM(J25:L25)=0,"",SUM(J25:L25))</f>
        <v/>
      </c>
      <c r="J25" s="74"/>
      <c r="K25" s="74"/>
      <c r="L25" s="74"/>
      <c r="M25" s="302" t="str">
        <f>IF(I25="","",IF(I25&gt;0,SUM(J25:K25) /I25,0))</f>
        <v/>
      </c>
      <c r="N25" s="364"/>
      <c r="O25" s="299" t="str">
        <f>IF(COUNTA(Q25:W25)&lt;7,"",SUM(J25+K25-Q25-V25-W25-U25))</f>
        <v/>
      </c>
      <c r="P25" s="52" t="str">
        <f>IF(AND(COUNTA(J25:K25)&gt;0,O25&lt;&gt;"",SUM(J25:K25)&gt;0),O25 /(J25+K25),"")</f>
        <v/>
      </c>
      <c r="Q25" s="74"/>
      <c r="R25" s="74"/>
      <c r="S25" s="74"/>
      <c r="T25" s="74"/>
      <c r="U25" s="74"/>
      <c r="V25" s="74"/>
      <c r="W25" s="74"/>
      <c r="X25" s="364"/>
      <c r="Y25" s="115"/>
      <c r="Z25" s="116"/>
      <c r="AL25" s="42"/>
      <c r="AM25" s="42"/>
      <c r="AN25" s="42"/>
      <c r="AO25" s="42"/>
      <c r="AP25" s="42"/>
      <c r="AQ25" s="42"/>
    </row>
    <row r="26" spans="1:44" s="16" customFormat="1" ht="20.100000000000001" customHeight="1" thickBot="1" x14ac:dyDescent="0.25">
      <c r="A26" s="70" t="str">
        <f>IF(Datenquelle!$F$3&gt;2,IF(Datenquelle!$F$3=3,"EZ",IF(Datenquelle!$F$3&gt;3,"relevant","?")),"nicht relevant")</f>
        <v>nicht relevant</v>
      </c>
      <c r="B26" s="66">
        <v>2016</v>
      </c>
      <c r="C26" s="312">
        <f t="shared" si="0"/>
        <v>0</v>
      </c>
      <c r="D26" s="74"/>
      <c r="E26" s="74"/>
      <c r="F26" s="74"/>
      <c r="G26" s="74"/>
      <c r="H26" s="368"/>
      <c r="I26" s="299" t="str">
        <f>IF(SUM(J26:L26)=0,"",SUM(J26:L26))</f>
        <v/>
      </c>
      <c r="J26" s="74"/>
      <c r="K26" s="74"/>
      <c r="L26" s="74"/>
      <c r="M26" s="302" t="str">
        <f>IF(I26="","",IF(I26&gt;0,SUM(J26:K26) /I26,0))</f>
        <v/>
      </c>
      <c r="N26" s="364"/>
      <c r="O26" s="299" t="str">
        <f>IF(COUNTA(Q26:W26)&lt;7,"",SUM(J26+K26-Q26-V26-W26-U26))</f>
        <v/>
      </c>
      <c r="P26" s="52" t="str">
        <f>IF(AND(COUNTA(J26:K26)&gt;0,O26&lt;&gt;"",SUM(J26:K26)&gt;0),O26 /(J26+K26),"")</f>
        <v/>
      </c>
      <c r="Q26" s="74"/>
      <c r="R26" s="74"/>
      <c r="S26" s="74"/>
      <c r="T26" s="74"/>
      <c r="U26" s="74"/>
      <c r="V26" s="74"/>
      <c r="W26" s="74"/>
      <c r="X26" s="364"/>
      <c r="Y26" s="115"/>
      <c r="Z26" s="116"/>
      <c r="AA26" s="40"/>
      <c r="AB26" s="40"/>
      <c r="AL26" s="42"/>
      <c r="AM26" s="42"/>
      <c r="AN26" s="42"/>
      <c r="AO26" s="42"/>
      <c r="AP26" s="42"/>
      <c r="AQ26" s="42"/>
    </row>
    <row r="27" spans="1:44" s="16" customFormat="1" ht="20.100000000000001" customHeight="1" thickBot="1" x14ac:dyDescent="0.25">
      <c r="A27" s="71" t="str">
        <f>IF(Datenquelle!$F$3&gt;1,IF(Datenquelle!$F$3=2,"EZ",IF(Datenquelle!$F$3&gt;2,"relevant","?")),"nicht relevant")</f>
        <v>nicht relevant</v>
      </c>
      <c r="B27" s="67" t="s">
        <v>423</v>
      </c>
      <c r="C27" s="60">
        <f t="shared" si="0"/>
        <v>0</v>
      </c>
      <c r="D27" s="75"/>
      <c r="E27" s="75"/>
      <c r="F27" s="75"/>
      <c r="G27" s="75"/>
      <c r="H27" s="368"/>
      <c r="I27" s="793"/>
      <c r="J27" s="793"/>
      <c r="K27" s="793"/>
      <c r="L27" s="793"/>
      <c r="M27" s="793"/>
      <c r="N27" s="364"/>
      <c r="O27" s="793"/>
      <c r="P27" s="793" t="str">
        <f>IF(AND(COUNTA(J27:K27)&gt;0,O27&lt;&gt;"",SUM(J27:K27)&gt;0),O27 /(J27+K27),"")</f>
        <v/>
      </c>
      <c r="Q27" s="793"/>
      <c r="R27" s="793"/>
      <c r="S27" s="793"/>
      <c r="T27" s="793"/>
      <c r="U27" s="793"/>
      <c r="V27" s="793"/>
      <c r="W27" s="793"/>
      <c r="X27" s="364"/>
      <c r="Y27" s="794"/>
      <c r="Z27" s="795"/>
      <c r="AL27" s="42"/>
      <c r="AM27" s="42"/>
      <c r="AN27" s="42"/>
      <c r="AO27" s="42"/>
      <c r="AP27" s="42"/>
      <c r="AQ27" s="42"/>
    </row>
    <row r="28" spans="1:44" s="16" customFormat="1" ht="20.100000000000001" customHeight="1" thickTop="1" thickBot="1" x14ac:dyDescent="0.25">
      <c r="A28" s="77" t="str">
        <f>IF(Datenquelle!$F$3&gt;0,IF(Datenquelle!$F$3=1,"EZ",IF(Datenquelle!$F$3&gt;1,"relevant","?")),"nicht relevant")</f>
        <v>nicht relevant</v>
      </c>
      <c r="B28" s="78" t="s">
        <v>424</v>
      </c>
      <c r="C28" s="79">
        <f t="shared" si="0"/>
        <v>0</v>
      </c>
      <c r="D28" s="80"/>
      <c r="E28" s="80"/>
      <c r="F28" s="80"/>
      <c r="G28" s="80"/>
      <c r="H28" s="369"/>
      <c r="I28" s="793"/>
      <c r="J28" s="793"/>
      <c r="K28" s="793"/>
      <c r="L28" s="793"/>
      <c r="M28" s="793"/>
      <c r="N28" s="365"/>
      <c r="O28" s="793"/>
      <c r="P28" s="793"/>
      <c r="Q28" s="793"/>
      <c r="R28" s="793"/>
      <c r="S28" s="793"/>
      <c r="T28" s="793"/>
      <c r="U28" s="793"/>
      <c r="V28" s="793"/>
      <c r="W28" s="793"/>
      <c r="X28" s="365"/>
      <c r="Y28" s="794"/>
      <c r="Z28" s="795"/>
      <c r="AA28" s="46"/>
      <c r="AB28" s="46"/>
      <c r="AL28" s="42"/>
      <c r="AM28" s="42"/>
      <c r="AN28" s="42"/>
      <c r="AO28" s="42"/>
      <c r="AP28" s="42"/>
      <c r="AQ28" s="42"/>
    </row>
    <row r="29" spans="1:44" ht="3" customHeight="1" thickTop="1" x14ac:dyDescent="0.25">
      <c r="A29"/>
      <c r="B29"/>
      <c r="C29"/>
      <c r="D29"/>
      <c r="E29"/>
      <c r="F29"/>
      <c r="G29"/>
      <c r="H29"/>
      <c r="I29"/>
      <c r="J29"/>
      <c r="K29"/>
      <c r="L29"/>
      <c r="M29"/>
      <c r="N29"/>
      <c r="O29"/>
      <c r="P29"/>
      <c r="Q29"/>
      <c r="R29"/>
      <c r="S29"/>
      <c r="T29"/>
      <c r="U29"/>
      <c r="V29"/>
      <c r="W29"/>
      <c r="X29"/>
      <c r="Y29"/>
      <c r="Z29"/>
      <c r="AL29" s="42"/>
      <c r="AM29" s="42"/>
      <c r="AN29" s="42"/>
      <c r="AO29" s="42"/>
      <c r="AP29" s="42"/>
      <c r="AQ29" s="42"/>
    </row>
    <row r="30" spans="1:44" ht="15" customHeight="1" x14ac:dyDescent="0.25">
      <c r="A30"/>
      <c r="B30"/>
      <c r="C30"/>
      <c r="D30"/>
      <c r="E30"/>
      <c r="F30" s="4" t="s">
        <v>392</v>
      </c>
      <c r="G30" s="82"/>
      <c r="H30"/>
      <c r="I30"/>
      <c r="J30"/>
      <c r="K30"/>
      <c r="L30"/>
      <c r="M30" s="304" t="str">
        <f>IF(A26="EZ","-----",IF(A26= "Nicht relevant","-----",IF(COUNTBLANK(M24:M26)=3,"",SUMIF(A24:A26,"relevant",M24:M26) /COUNTIF(A24:A26,"relevant"))))</f>
        <v>-----</v>
      </c>
      <c r="N30"/>
      <c r="O30"/>
      <c r="P30"/>
      <c r="Q30"/>
      <c r="R30"/>
      <c r="S30"/>
      <c r="T30"/>
      <c r="U30"/>
      <c r="V30"/>
      <c r="W30"/>
      <c r="X30"/>
      <c r="Y30"/>
      <c r="AL30" s="42"/>
      <c r="AM30" s="42"/>
      <c r="AN30" s="42"/>
      <c r="AO30" s="42"/>
      <c r="AP30" s="42"/>
      <c r="AQ30" s="42"/>
    </row>
    <row r="31" spans="1:44" ht="11.25" customHeight="1" x14ac:dyDescent="0.2">
      <c r="A31" s="53"/>
      <c r="B31" s="21"/>
      <c r="C31" s="21"/>
      <c r="D31" s="21"/>
      <c r="E31" s="21"/>
      <c r="F31" s="21"/>
      <c r="G31" s="21"/>
      <c r="H31" s="21"/>
      <c r="I31" s="21"/>
      <c r="J31" s="21"/>
      <c r="K31" s="21"/>
      <c r="L31" s="21"/>
      <c r="M31" s="21"/>
      <c r="N31" s="21"/>
      <c r="O31" s="21"/>
      <c r="P31" s="54"/>
      <c r="Q31" s="54"/>
      <c r="R31" s="21"/>
      <c r="S31" s="21"/>
      <c r="T31" s="21"/>
      <c r="U31" s="21"/>
      <c r="V31" s="21"/>
      <c r="W31" s="21"/>
      <c r="X31" s="21"/>
      <c r="AL31" s="42"/>
      <c r="AM31" s="42"/>
      <c r="AN31" s="42"/>
      <c r="AO31" s="42"/>
      <c r="AP31" s="42"/>
      <c r="AQ31" s="42"/>
    </row>
    <row r="32" spans="1:44" s="11" customFormat="1" ht="14.1" customHeight="1" x14ac:dyDescent="0.2">
      <c r="A32" s="846" t="s">
        <v>409</v>
      </c>
      <c r="B32" s="846"/>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row>
    <row r="33" spans="1:27" s="11" customFormat="1" ht="14.1" customHeight="1" x14ac:dyDescent="0.2">
      <c r="A33" s="846" t="s">
        <v>410</v>
      </c>
      <c r="B33" s="846"/>
      <c r="C33" s="846"/>
      <c r="D33" s="846"/>
      <c r="E33" s="846"/>
      <c r="F33" s="846"/>
      <c r="G33" s="846"/>
      <c r="H33" s="846"/>
      <c r="I33" s="846"/>
      <c r="J33" s="846"/>
      <c r="K33" s="846"/>
      <c r="L33" s="846"/>
      <c r="M33" s="846"/>
      <c r="N33" s="846"/>
      <c r="O33" s="846"/>
      <c r="P33" s="846"/>
      <c r="Q33" s="846"/>
      <c r="R33" s="846"/>
      <c r="S33" s="846"/>
      <c r="T33" s="846"/>
      <c r="U33" s="846"/>
      <c r="V33" s="846"/>
      <c r="W33" s="846"/>
      <c r="X33" s="846"/>
      <c r="Y33" s="846"/>
      <c r="Z33" s="846"/>
    </row>
    <row r="34" spans="1:27" s="11" customFormat="1" ht="23.25" customHeight="1" x14ac:dyDescent="0.2">
      <c r="A34" s="847" t="s">
        <v>411</v>
      </c>
      <c r="B34" s="847"/>
      <c r="C34" s="847"/>
      <c r="D34" s="847"/>
      <c r="E34" s="847"/>
      <c r="F34" s="847"/>
      <c r="G34" s="847"/>
      <c r="H34" s="847"/>
      <c r="I34" s="847"/>
      <c r="J34" s="847"/>
      <c r="K34" s="847"/>
      <c r="L34" s="847"/>
      <c r="M34" s="847"/>
      <c r="N34" s="847"/>
      <c r="O34" s="847"/>
      <c r="P34" s="847"/>
      <c r="Q34" s="847"/>
      <c r="R34" s="847"/>
      <c r="S34" s="847"/>
      <c r="T34" s="847"/>
      <c r="U34" s="847"/>
      <c r="V34" s="847"/>
      <c r="W34" s="847"/>
      <c r="X34" s="847"/>
      <c r="Y34" s="847"/>
      <c r="Z34" s="847"/>
    </row>
    <row r="35" spans="1:27" s="11" customFormat="1" ht="24" customHeight="1" x14ac:dyDescent="0.2">
      <c r="A35" s="847" t="s">
        <v>429</v>
      </c>
      <c r="B35" s="847"/>
      <c r="C35" s="847"/>
      <c r="D35" s="847"/>
      <c r="E35" s="847"/>
      <c r="F35" s="847"/>
      <c r="G35" s="847"/>
      <c r="H35" s="847"/>
      <c r="I35" s="847"/>
      <c r="J35" s="847"/>
      <c r="K35" s="847"/>
      <c r="L35" s="847"/>
      <c r="M35" s="847"/>
      <c r="N35" s="847"/>
      <c r="O35" s="847"/>
      <c r="P35" s="847"/>
      <c r="Q35" s="847"/>
      <c r="R35" s="847"/>
      <c r="S35" s="847"/>
      <c r="T35" s="847"/>
      <c r="U35" s="847"/>
      <c r="V35" s="847"/>
      <c r="W35" s="847"/>
      <c r="X35" s="847"/>
      <c r="Y35" s="847"/>
      <c r="Z35" s="847"/>
      <c r="AA35" s="370"/>
    </row>
    <row r="36" spans="1:27" s="11" customFormat="1" ht="14.1" customHeight="1" x14ac:dyDescent="0.2">
      <c r="A36" s="846" t="s">
        <v>412</v>
      </c>
      <c r="B36" s="846"/>
      <c r="C36" s="846"/>
      <c r="D36" s="846"/>
      <c r="E36" s="846"/>
      <c r="F36" s="846"/>
      <c r="G36" s="846"/>
      <c r="H36" s="846"/>
      <c r="I36" s="846"/>
      <c r="J36" s="846"/>
      <c r="K36" s="846"/>
      <c r="L36" s="846"/>
      <c r="M36" s="846"/>
      <c r="N36" s="846"/>
      <c r="O36" s="846"/>
      <c r="P36" s="846"/>
      <c r="Q36" s="846"/>
      <c r="R36" s="846"/>
      <c r="S36" s="846"/>
      <c r="T36" s="846"/>
      <c r="U36" s="846"/>
      <c r="V36" s="846"/>
      <c r="W36" s="846"/>
      <c r="X36" s="846"/>
      <c r="Y36" s="846"/>
      <c r="Z36" s="846"/>
    </row>
    <row r="37" spans="1:27" s="11" customFormat="1" ht="14.1" customHeight="1" x14ac:dyDescent="0.2">
      <c r="A37" s="846" t="s">
        <v>413</v>
      </c>
      <c r="B37" s="846"/>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row>
    <row r="38" spans="1:27" s="11" customFormat="1" ht="14.1" customHeight="1" x14ac:dyDescent="0.2">
      <c r="A38" s="846" t="s">
        <v>414</v>
      </c>
      <c r="B38" s="846"/>
      <c r="C38" s="846"/>
      <c r="D38" s="846"/>
      <c r="E38" s="846"/>
      <c r="F38" s="846"/>
      <c r="G38" s="846"/>
      <c r="H38" s="846"/>
      <c r="I38" s="846"/>
      <c r="J38" s="846"/>
      <c r="K38" s="846"/>
      <c r="L38" s="846"/>
      <c r="M38" s="846"/>
      <c r="N38" s="846"/>
      <c r="O38" s="846"/>
      <c r="P38" s="846"/>
      <c r="Q38" s="846"/>
      <c r="R38" s="846"/>
      <c r="S38" s="846"/>
      <c r="T38" s="846"/>
      <c r="U38" s="846"/>
      <c r="V38" s="846"/>
      <c r="W38" s="846"/>
      <c r="X38" s="846"/>
      <c r="Y38" s="846"/>
      <c r="Z38" s="846"/>
    </row>
    <row r="39" spans="1:27" s="11" customFormat="1" ht="24.75" customHeight="1" x14ac:dyDescent="0.2">
      <c r="A39" s="847" t="s">
        <v>415</v>
      </c>
      <c r="B39" s="847"/>
      <c r="C39" s="847"/>
      <c r="D39" s="847"/>
      <c r="E39" s="847"/>
      <c r="F39" s="847"/>
      <c r="G39" s="847"/>
      <c r="H39" s="847"/>
      <c r="I39" s="847"/>
      <c r="J39" s="847"/>
      <c r="K39" s="847"/>
      <c r="L39" s="847"/>
      <c r="M39" s="847"/>
      <c r="N39" s="847"/>
      <c r="O39" s="847"/>
      <c r="P39" s="847"/>
      <c r="Q39" s="847"/>
      <c r="R39" s="847"/>
      <c r="S39" s="847"/>
      <c r="T39" s="847"/>
      <c r="U39" s="847"/>
      <c r="V39" s="847"/>
      <c r="W39" s="847"/>
      <c r="X39" s="847"/>
      <c r="Y39" s="847"/>
      <c r="Z39" s="847"/>
    </row>
    <row r="40" spans="1:27" s="11" customFormat="1" ht="14.1" customHeight="1" x14ac:dyDescent="0.2">
      <c r="A40" s="846" t="s">
        <v>366</v>
      </c>
      <c r="B40" s="846"/>
      <c r="C40" s="846"/>
      <c r="D40" s="846"/>
      <c r="E40" s="846"/>
      <c r="F40" s="846"/>
      <c r="G40" s="846"/>
      <c r="H40" s="846"/>
      <c r="I40" s="846"/>
      <c r="J40" s="846"/>
      <c r="K40" s="846"/>
      <c r="L40" s="846"/>
      <c r="M40" s="846"/>
      <c r="N40" s="846"/>
      <c r="O40" s="846"/>
      <c r="P40" s="846"/>
      <c r="Q40" s="846"/>
      <c r="R40" s="846"/>
      <c r="S40" s="846"/>
      <c r="T40" s="846"/>
      <c r="U40" s="846"/>
      <c r="V40" s="846"/>
      <c r="W40" s="846"/>
      <c r="X40" s="846"/>
      <c r="Y40" s="846"/>
      <c r="Z40" s="846"/>
    </row>
    <row r="41" spans="1:27" s="11" customFormat="1" ht="24" customHeight="1" x14ac:dyDescent="0.2">
      <c r="A41" s="848" t="s">
        <v>416</v>
      </c>
      <c r="B41" s="848"/>
      <c r="C41" s="848"/>
      <c r="D41" s="848"/>
      <c r="E41" s="848"/>
      <c r="F41" s="848"/>
      <c r="G41" s="848"/>
      <c r="H41" s="848"/>
      <c r="I41" s="848"/>
      <c r="J41" s="848"/>
      <c r="K41" s="848"/>
      <c r="L41" s="848"/>
      <c r="M41" s="848"/>
      <c r="N41" s="848"/>
      <c r="O41" s="848"/>
      <c r="P41" s="848"/>
      <c r="Q41" s="848"/>
      <c r="R41" s="848"/>
      <c r="S41" s="848"/>
      <c r="T41" s="848"/>
      <c r="U41" s="848"/>
      <c r="V41" s="848"/>
      <c r="W41" s="848"/>
      <c r="X41" s="848"/>
      <c r="Y41" s="848"/>
      <c r="Z41" s="848"/>
      <c r="AA41" s="371"/>
    </row>
    <row r="42" spans="1:27" s="11" customFormat="1" ht="15.75" customHeight="1" x14ac:dyDescent="0.2">
      <c r="A42" s="35"/>
      <c r="Z42" s="4"/>
    </row>
    <row r="43" spans="1:27" s="11" customFormat="1" ht="14.1" customHeight="1" x14ac:dyDescent="0.2">
      <c r="A43" s="72" t="s">
        <v>278</v>
      </c>
      <c r="Z43" s="4"/>
    </row>
    <row r="44" spans="1:27" s="11" customFormat="1" ht="14.1" customHeight="1" x14ac:dyDescent="0.2">
      <c r="A44" s="35" t="s">
        <v>352</v>
      </c>
      <c r="Z44" s="4"/>
    </row>
    <row r="45" spans="1:27" s="35" customFormat="1" ht="14.1" customHeight="1" x14ac:dyDescent="0.25">
      <c r="A45" s="35" t="s">
        <v>353</v>
      </c>
    </row>
    <row r="46" spans="1:27" s="11" customFormat="1" ht="14.1" customHeight="1" x14ac:dyDescent="0.2">
      <c r="A46" s="87" t="s">
        <v>333</v>
      </c>
      <c r="B46" s="35" t="s">
        <v>430</v>
      </c>
      <c r="Z46" s="4"/>
    </row>
    <row r="47" spans="1:27" s="11" customFormat="1" ht="14.1" customHeight="1" x14ac:dyDescent="0.2">
      <c r="A47" s="87" t="s">
        <v>334</v>
      </c>
      <c r="B47" s="35" t="s">
        <v>381</v>
      </c>
      <c r="Z47" s="4"/>
    </row>
    <row r="48" spans="1:27" s="11" customFormat="1" ht="14.1" customHeight="1" x14ac:dyDescent="0.2">
      <c r="A48" s="87" t="s">
        <v>335</v>
      </c>
      <c r="B48" s="35" t="s">
        <v>367</v>
      </c>
      <c r="E48" s="88"/>
      <c r="Z48" s="4"/>
    </row>
    <row r="49" spans="1:37" s="11" customFormat="1" ht="14.1" customHeight="1" x14ac:dyDescent="0.2">
      <c r="A49" s="87" t="s">
        <v>336</v>
      </c>
      <c r="B49" s="35" t="s">
        <v>145</v>
      </c>
      <c r="Z49" s="4"/>
    </row>
    <row r="50" spans="1:37" s="11" customFormat="1" ht="14.1" customHeight="1" x14ac:dyDescent="0.2">
      <c r="A50" s="89" t="s">
        <v>337</v>
      </c>
      <c r="B50" s="35" t="s">
        <v>147</v>
      </c>
      <c r="Z50" s="4"/>
    </row>
    <row r="51" spans="1:37" s="11" customFormat="1" ht="14.1" customHeight="1" x14ac:dyDescent="0.2">
      <c r="A51" s="87" t="s">
        <v>340</v>
      </c>
      <c r="B51" s="35" t="s">
        <v>44</v>
      </c>
      <c r="Z51" s="4"/>
    </row>
    <row r="52" spans="1:37" s="11" customFormat="1" ht="18.75" customHeight="1" x14ac:dyDescent="0.2">
      <c r="A52" s="35"/>
      <c r="Z52" s="4"/>
    </row>
    <row r="53" spans="1:37" s="11" customFormat="1" ht="14.1" customHeight="1" x14ac:dyDescent="0.2">
      <c r="A53" s="72" t="s">
        <v>322</v>
      </c>
    </row>
    <row r="54" spans="1:37" s="11" customFormat="1" ht="14.1" customHeight="1" x14ac:dyDescent="0.2">
      <c r="A54" s="35" t="s">
        <v>323</v>
      </c>
    </row>
    <row r="55" spans="1:37" s="11" customFormat="1" ht="14.1" customHeight="1" x14ac:dyDescent="0.2">
      <c r="A55" s="35" t="s">
        <v>324</v>
      </c>
    </row>
    <row r="56" spans="1:37" s="11" customFormat="1" ht="14.1" customHeight="1" x14ac:dyDescent="0.2">
      <c r="A56" s="35" t="s">
        <v>43</v>
      </c>
      <c r="AF56" s="35"/>
      <c r="AG56" s="35"/>
      <c r="AH56" s="35"/>
      <c r="AI56" s="35"/>
      <c r="AJ56" s="35"/>
      <c r="AK56" s="35"/>
    </row>
    <row r="57" spans="1:37" s="11" customFormat="1" ht="14.1" customHeight="1" x14ac:dyDescent="0.2">
      <c r="A57" s="35"/>
    </row>
    <row r="58" spans="1:37" s="11" customFormat="1" ht="14.1" customHeight="1" x14ac:dyDescent="0.2">
      <c r="A58" s="90" t="s">
        <v>277</v>
      </c>
    </row>
    <row r="59" spans="1:37" s="11" customFormat="1" ht="22.5" customHeight="1" x14ac:dyDescent="0.25">
      <c r="A59" s="91" t="s">
        <v>49</v>
      </c>
      <c r="B59" s="789" t="s">
        <v>148</v>
      </c>
      <c r="C59" s="762"/>
      <c r="D59" s="762"/>
      <c r="E59" s="790" t="s">
        <v>240</v>
      </c>
      <c r="F59" s="791"/>
      <c r="G59" s="792"/>
      <c r="H59" s="777" t="s">
        <v>328</v>
      </c>
      <c r="I59" s="778"/>
      <c r="J59" s="778"/>
      <c r="K59" s="778"/>
      <c r="L59" s="778"/>
      <c r="M59" s="778"/>
      <c r="N59" s="778"/>
      <c r="O59" s="778"/>
      <c r="P59" s="778"/>
      <c r="Q59" s="778"/>
      <c r="R59" s="778"/>
      <c r="S59" s="778"/>
      <c r="T59" s="778"/>
      <c r="U59" s="778"/>
      <c r="V59" s="778"/>
      <c r="W59" s="778"/>
      <c r="X59" s="778"/>
      <c r="Y59" s="778"/>
      <c r="Z59" s="779"/>
      <c r="AC59"/>
      <c r="AD59"/>
      <c r="AE59"/>
      <c r="AF59"/>
      <c r="AG59"/>
      <c r="AH59"/>
      <c r="AI59"/>
    </row>
    <row r="60" spans="1:37" s="11" customFormat="1" ht="14.1" customHeight="1" x14ac:dyDescent="0.25">
      <c r="A60" s="94" t="s">
        <v>295</v>
      </c>
      <c r="B60" s="761" t="s">
        <v>144</v>
      </c>
      <c r="C60" s="762"/>
      <c r="D60" s="762"/>
      <c r="E60" s="786"/>
      <c r="F60" s="787"/>
      <c r="G60" s="788"/>
      <c r="H60" s="138"/>
      <c r="I60" s="95" t="s">
        <v>152</v>
      </c>
      <c r="J60" s="96"/>
      <c r="K60" s="96"/>
      <c r="L60" s="96"/>
      <c r="M60" s="96"/>
      <c r="N60" s="96"/>
      <c r="O60" s="96"/>
      <c r="P60" s="96"/>
      <c r="Q60" s="96"/>
      <c r="R60" s="96"/>
      <c r="S60" s="96"/>
      <c r="T60" s="96"/>
      <c r="U60" s="96"/>
      <c r="V60" s="96"/>
      <c r="W60" s="96"/>
      <c r="X60" s="96"/>
      <c r="Y60" s="96"/>
      <c r="Z60" s="261"/>
      <c r="AC60"/>
      <c r="AD60"/>
      <c r="AE60"/>
      <c r="AF60"/>
      <c r="AG60"/>
      <c r="AH60"/>
      <c r="AI60"/>
    </row>
    <row r="61" spans="1:37" s="11" customFormat="1" ht="14.1" customHeight="1" x14ac:dyDescent="0.25">
      <c r="A61" s="94" t="s">
        <v>295</v>
      </c>
      <c r="B61" s="761" t="s">
        <v>329</v>
      </c>
      <c r="C61" s="762"/>
      <c r="D61" s="780"/>
      <c r="E61" s="781"/>
      <c r="F61" s="782"/>
      <c r="G61" s="783"/>
      <c r="H61" s="138"/>
      <c r="I61" s="97" t="s">
        <v>33</v>
      </c>
      <c r="J61" s="98"/>
      <c r="K61" s="98"/>
      <c r="L61" s="98"/>
      <c r="M61" s="98"/>
      <c r="N61" s="98"/>
      <c r="O61" s="98"/>
      <c r="P61" s="98"/>
      <c r="Q61" s="98"/>
      <c r="R61" s="98"/>
      <c r="S61" s="98"/>
      <c r="T61" s="98"/>
      <c r="U61" s="98"/>
      <c r="V61" s="98"/>
      <c r="W61" s="98"/>
      <c r="X61" s="98"/>
      <c r="Y61" s="98"/>
      <c r="Z61" s="262"/>
      <c r="AC61"/>
      <c r="AD61"/>
      <c r="AE61"/>
      <c r="AF61"/>
      <c r="AG61"/>
      <c r="AH61"/>
      <c r="AI61"/>
    </row>
    <row r="62" spans="1:37" s="11" customFormat="1" ht="14.1" customHeight="1" x14ac:dyDescent="0.25">
      <c r="A62" s="94" t="s">
        <v>327</v>
      </c>
      <c r="B62" s="761" t="s">
        <v>149</v>
      </c>
      <c r="C62" s="762"/>
      <c r="D62" s="762"/>
      <c r="E62" s="784" t="s">
        <v>362</v>
      </c>
      <c r="F62" s="785"/>
      <c r="G62" s="785"/>
      <c r="H62" s="138"/>
      <c r="I62" s="97" t="s">
        <v>34</v>
      </c>
      <c r="J62" s="97"/>
      <c r="K62" s="97"/>
      <c r="L62" s="97"/>
      <c r="M62" s="97"/>
      <c r="N62" s="97"/>
      <c r="O62" s="97"/>
      <c r="P62" s="97"/>
      <c r="Q62" s="97"/>
      <c r="R62" s="97"/>
      <c r="S62" s="97"/>
      <c r="T62" s="97"/>
      <c r="U62" s="97"/>
      <c r="V62" s="97"/>
      <c r="W62" s="97"/>
      <c r="X62" s="97"/>
      <c r="Y62" s="97"/>
      <c r="Z62" s="263"/>
      <c r="AC62"/>
      <c r="AD62"/>
      <c r="AE62"/>
      <c r="AF62"/>
      <c r="AG62"/>
      <c r="AH62"/>
      <c r="AI62"/>
    </row>
    <row r="63" spans="1:37" s="11" customFormat="1" ht="14.1" customHeight="1" x14ac:dyDescent="0.25">
      <c r="A63" s="94" t="s">
        <v>160</v>
      </c>
      <c r="B63" s="761" t="s">
        <v>354</v>
      </c>
      <c r="C63" s="762"/>
      <c r="D63" s="762"/>
      <c r="E63" s="775" t="s">
        <v>287</v>
      </c>
      <c r="F63" s="776"/>
      <c r="G63" s="776"/>
      <c r="H63" s="138"/>
      <c r="I63" s="97" t="s">
        <v>365</v>
      </c>
      <c r="J63" s="97"/>
      <c r="K63" s="97"/>
      <c r="L63" s="97"/>
      <c r="M63" s="97"/>
      <c r="N63" s="97"/>
      <c r="O63" s="97"/>
      <c r="P63" s="97"/>
      <c r="Q63" s="97"/>
      <c r="R63" s="97"/>
      <c r="S63" s="97"/>
      <c r="T63" s="97"/>
      <c r="U63" s="97"/>
      <c r="V63" s="97"/>
      <c r="W63" s="97"/>
      <c r="X63" s="97"/>
      <c r="Y63" s="97"/>
      <c r="Z63" s="263"/>
      <c r="AC63"/>
      <c r="AD63"/>
      <c r="AE63"/>
      <c r="AF63"/>
      <c r="AG63"/>
      <c r="AH63"/>
      <c r="AI63"/>
    </row>
    <row r="64" spans="1:37" s="11" customFormat="1" ht="14.1" customHeight="1" x14ac:dyDescent="0.25">
      <c r="A64" s="94" t="s">
        <v>161</v>
      </c>
      <c r="B64" s="761" t="s">
        <v>19</v>
      </c>
      <c r="C64" s="762"/>
      <c r="D64" s="762"/>
      <c r="E64" s="775" t="s">
        <v>287</v>
      </c>
      <c r="F64" s="776"/>
      <c r="G64" s="776"/>
      <c r="H64" s="138"/>
      <c r="I64" s="97" t="s">
        <v>20</v>
      </c>
      <c r="J64" s="97"/>
      <c r="K64" s="97"/>
      <c r="L64" s="97"/>
      <c r="M64" s="97"/>
      <c r="N64" s="97"/>
      <c r="O64" s="97"/>
      <c r="P64" s="97"/>
      <c r="Q64" s="97"/>
      <c r="R64" s="97"/>
      <c r="S64" s="97"/>
      <c r="T64" s="97"/>
      <c r="U64" s="97"/>
      <c r="V64" s="97"/>
      <c r="W64" s="97"/>
      <c r="X64" s="97"/>
      <c r="Y64" s="97"/>
      <c r="Z64" s="263"/>
      <c r="AC64"/>
      <c r="AD64"/>
      <c r="AE64"/>
      <c r="AF64"/>
      <c r="AG64"/>
      <c r="AH64"/>
      <c r="AI64"/>
    </row>
    <row r="65" spans="1:35" s="11" customFormat="1" ht="14.1" customHeight="1" x14ac:dyDescent="0.25">
      <c r="A65" s="94" t="s">
        <v>355</v>
      </c>
      <c r="B65" s="761" t="s">
        <v>46</v>
      </c>
      <c r="C65" s="762"/>
      <c r="D65" s="762"/>
      <c r="E65" s="775" t="s">
        <v>287</v>
      </c>
      <c r="F65" s="776"/>
      <c r="G65" s="776"/>
      <c r="H65" s="138"/>
      <c r="I65" s="97" t="s">
        <v>23</v>
      </c>
      <c r="J65" s="97"/>
      <c r="K65" s="97"/>
      <c r="L65" s="97"/>
      <c r="M65" s="97"/>
      <c r="N65" s="97"/>
      <c r="O65" s="97"/>
      <c r="P65" s="97"/>
      <c r="Q65" s="97"/>
      <c r="R65" s="97"/>
      <c r="S65" s="97"/>
      <c r="T65" s="97"/>
      <c r="U65" s="97"/>
      <c r="V65" s="97"/>
      <c r="W65" s="97"/>
      <c r="X65" s="97"/>
      <c r="Y65" s="97"/>
      <c r="Z65" s="263"/>
      <c r="AC65"/>
      <c r="AD65"/>
      <c r="AE65"/>
      <c r="AF65"/>
      <c r="AG65"/>
      <c r="AH65"/>
      <c r="AI65"/>
    </row>
    <row r="66" spans="1:35" s="11" customFormat="1" ht="14.1" customHeight="1" x14ac:dyDescent="0.25">
      <c r="A66" s="94" t="s">
        <v>394</v>
      </c>
      <c r="B66" s="761" t="s">
        <v>395</v>
      </c>
      <c r="C66" s="762"/>
      <c r="D66" s="762"/>
      <c r="E66" s="773" t="s">
        <v>154</v>
      </c>
      <c r="F66" s="774"/>
      <c r="G66" s="774"/>
      <c r="H66" s="138"/>
      <c r="I66" s="97" t="s">
        <v>386</v>
      </c>
      <c r="J66" s="97"/>
      <c r="K66" s="97"/>
      <c r="L66" s="97"/>
      <c r="M66" s="97"/>
      <c r="N66" s="97"/>
      <c r="O66" s="97"/>
      <c r="P66" s="97"/>
      <c r="Q66" s="97"/>
      <c r="R66" s="97"/>
      <c r="S66" s="97"/>
      <c r="T66" s="97"/>
      <c r="U66" s="97"/>
      <c r="V66" s="97"/>
      <c r="W66" s="97"/>
      <c r="X66" s="97"/>
      <c r="Y66" s="97"/>
      <c r="Z66" s="263"/>
      <c r="AC66"/>
      <c r="AD66"/>
      <c r="AE66"/>
      <c r="AF66"/>
      <c r="AG66"/>
      <c r="AH66"/>
      <c r="AI66"/>
    </row>
    <row r="67" spans="1:35" s="11" customFormat="1" ht="14.1" customHeight="1" x14ac:dyDescent="0.25">
      <c r="A67" s="94" t="s">
        <v>155</v>
      </c>
      <c r="B67" s="761" t="s">
        <v>356</v>
      </c>
      <c r="C67" s="762"/>
      <c r="D67" s="762"/>
      <c r="E67" s="766" t="s">
        <v>280</v>
      </c>
      <c r="F67" s="767"/>
      <c r="G67" s="767"/>
      <c r="H67" s="138"/>
      <c r="I67" s="97" t="s">
        <v>347</v>
      </c>
      <c r="J67" s="97"/>
      <c r="K67" s="97"/>
      <c r="L67" s="97"/>
      <c r="M67" s="97"/>
      <c r="N67" s="97"/>
      <c r="O67" s="97"/>
      <c r="P67" s="97"/>
      <c r="Q67" s="97"/>
      <c r="R67" s="97"/>
      <c r="S67" s="97"/>
      <c r="T67" s="97"/>
      <c r="U67" s="97"/>
      <c r="V67" s="97"/>
      <c r="W67" s="97"/>
      <c r="X67" s="97"/>
      <c r="Y67" s="97"/>
      <c r="Z67" s="263"/>
      <c r="AC67"/>
      <c r="AD67"/>
      <c r="AE67"/>
      <c r="AF67"/>
      <c r="AG67"/>
      <c r="AH67"/>
      <c r="AI67"/>
    </row>
    <row r="68" spans="1:35" s="11" customFormat="1" ht="14.1" customHeight="1" x14ac:dyDescent="0.25">
      <c r="A68" s="94" t="s">
        <v>345</v>
      </c>
      <c r="B68" s="761" t="s">
        <v>32</v>
      </c>
      <c r="C68" s="762"/>
      <c r="D68" s="762"/>
      <c r="E68" s="766" t="s">
        <v>280</v>
      </c>
      <c r="F68" s="767"/>
      <c r="G68" s="767"/>
      <c r="H68" s="138"/>
      <c r="I68" s="97" t="s">
        <v>24</v>
      </c>
      <c r="J68" s="97"/>
      <c r="K68" s="97"/>
      <c r="L68" s="97"/>
      <c r="M68" s="97"/>
      <c r="N68" s="97"/>
      <c r="O68" s="97"/>
      <c r="P68" s="97"/>
      <c r="Q68" s="97"/>
      <c r="R68" s="97"/>
      <c r="S68" s="97"/>
      <c r="T68" s="97"/>
      <c r="U68" s="97"/>
      <c r="V68" s="97"/>
      <c r="W68" s="97"/>
      <c r="X68" s="97"/>
      <c r="Y68" s="97"/>
      <c r="Z68" s="263"/>
      <c r="AC68"/>
      <c r="AD68"/>
      <c r="AE68"/>
      <c r="AF68"/>
      <c r="AG68"/>
      <c r="AH68"/>
      <c r="AI68"/>
    </row>
    <row r="69" spans="1:35" s="11" customFormat="1" ht="14.1" customHeight="1" x14ac:dyDescent="0.25">
      <c r="A69" s="94" t="s">
        <v>394</v>
      </c>
      <c r="B69" s="761" t="s">
        <v>396</v>
      </c>
      <c r="C69" s="762"/>
      <c r="D69" s="762"/>
      <c r="E69" s="766" t="s">
        <v>280</v>
      </c>
      <c r="F69" s="767"/>
      <c r="G69" s="767"/>
      <c r="H69" s="138"/>
      <c r="I69" s="97" t="s">
        <v>385</v>
      </c>
      <c r="J69" s="97"/>
      <c r="K69" s="97"/>
      <c r="L69" s="97"/>
      <c r="M69" s="97"/>
      <c r="N69" s="97"/>
      <c r="O69" s="97"/>
      <c r="P69" s="97"/>
      <c r="Q69" s="97"/>
      <c r="R69" s="97"/>
      <c r="S69" s="97"/>
      <c r="T69" s="97"/>
      <c r="U69" s="97"/>
      <c r="V69" s="97"/>
      <c r="W69" s="97"/>
      <c r="X69" s="97"/>
      <c r="Y69" s="97"/>
      <c r="Z69" s="263"/>
      <c r="AC69"/>
      <c r="AD69"/>
      <c r="AE69"/>
      <c r="AF69"/>
      <c r="AG69"/>
      <c r="AH69"/>
      <c r="AI69"/>
    </row>
    <row r="70" spans="1:35" s="11" customFormat="1" ht="14.1" hidden="1" customHeight="1" x14ac:dyDescent="0.25">
      <c r="A70" s="94" t="s">
        <v>162</v>
      </c>
      <c r="B70" s="761" t="s">
        <v>11</v>
      </c>
      <c r="C70" s="762"/>
      <c r="D70" s="762"/>
      <c r="E70" s="766" t="s">
        <v>280</v>
      </c>
      <c r="F70" s="767"/>
      <c r="G70" s="767"/>
      <c r="H70" s="138"/>
      <c r="I70" s="97" t="s">
        <v>8</v>
      </c>
      <c r="J70" s="97"/>
      <c r="K70" s="97"/>
      <c r="L70" s="97"/>
      <c r="M70" s="97"/>
      <c r="N70" s="97"/>
      <c r="O70" s="97"/>
      <c r="P70" s="97"/>
      <c r="Q70" s="97"/>
      <c r="R70" s="97"/>
      <c r="S70" s="97"/>
      <c r="T70" s="97"/>
      <c r="U70" s="97"/>
      <c r="V70" s="97"/>
      <c r="W70" s="97"/>
      <c r="X70" s="97"/>
      <c r="Y70" s="97"/>
      <c r="Z70" s="263"/>
      <c r="AC70"/>
      <c r="AD70"/>
      <c r="AE70"/>
      <c r="AF70"/>
      <c r="AG70"/>
      <c r="AH70"/>
      <c r="AI70"/>
    </row>
    <row r="71" spans="1:35" s="11" customFormat="1" ht="14.1" customHeight="1" x14ac:dyDescent="0.25">
      <c r="A71" s="94" t="s">
        <v>35</v>
      </c>
      <c r="B71" s="763" t="s">
        <v>58</v>
      </c>
      <c r="C71" s="764"/>
      <c r="D71" s="765"/>
      <c r="E71" s="766" t="s">
        <v>280</v>
      </c>
      <c r="F71" s="767"/>
      <c r="G71" s="767"/>
      <c r="H71" s="138"/>
      <c r="I71" s="102" t="s">
        <v>330</v>
      </c>
      <c r="J71" s="97"/>
      <c r="K71" s="97"/>
      <c r="L71" s="97"/>
      <c r="M71" s="97"/>
      <c r="N71" s="97"/>
      <c r="O71" s="260" t="s">
        <v>130</v>
      </c>
      <c r="P71" s="97"/>
      <c r="Q71" s="102">
        <f>B23</f>
        <v>2013</v>
      </c>
      <c r="R71" s="97"/>
      <c r="S71" s="102"/>
      <c r="T71" s="97"/>
      <c r="U71" s="97"/>
      <c r="V71" s="97"/>
      <c r="W71" s="97"/>
      <c r="X71" s="97"/>
      <c r="Y71" s="97"/>
      <c r="Z71" s="263"/>
      <c r="AC71"/>
      <c r="AD71"/>
      <c r="AE71"/>
      <c r="AF71"/>
      <c r="AG71"/>
      <c r="AH71"/>
      <c r="AI71"/>
    </row>
    <row r="72" spans="1:35" s="11" customFormat="1" ht="14.1" customHeight="1" x14ac:dyDescent="0.25">
      <c r="A72" s="94" t="s">
        <v>36</v>
      </c>
      <c r="B72" s="763" t="s">
        <v>53</v>
      </c>
      <c r="C72" s="764"/>
      <c r="D72" s="765"/>
      <c r="E72" s="766" t="s">
        <v>280</v>
      </c>
      <c r="F72" s="767"/>
      <c r="G72" s="767"/>
      <c r="H72" s="138"/>
      <c r="I72" s="102" t="s">
        <v>330</v>
      </c>
      <c r="J72" s="97"/>
      <c r="K72" s="97"/>
      <c r="L72" s="97"/>
      <c r="M72" s="97"/>
      <c r="N72" s="97"/>
      <c r="O72" s="260" t="s">
        <v>130</v>
      </c>
      <c r="P72" s="97"/>
      <c r="Q72" s="102">
        <f>B24</f>
        <v>2014</v>
      </c>
      <c r="R72" s="97"/>
      <c r="S72" s="102"/>
      <c r="T72" s="97"/>
      <c r="U72" s="97"/>
      <c r="V72" s="97"/>
      <c r="W72" s="97"/>
      <c r="X72" s="97"/>
      <c r="Y72" s="97"/>
      <c r="Z72" s="263"/>
      <c r="AC72"/>
      <c r="AD72"/>
      <c r="AE72"/>
      <c r="AF72"/>
      <c r="AG72"/>
      <c r="AH72"/>
      <c r="AI72"/>
    </row>
    <row r="73" spans="1:35" s="11" customFormat="1" ht="14.1" customHeight="1" x14ac:dyDescent="0.25">
      <c r="A73" s="94" t="s">
        <v>16</v>
      </c>
      <c r="B73" s="763" t="s">
        <v>59</v>
      </c>
      <c r="C73" s="764"/>
      <c r="D73" s="765"/>
      <c r="E73" s="766" t="s">
        <v>280</v>
      </c>
      <c r="F73" s="767"/>
      <c r="G73" s="767"/>
      <c r="H73" s="138"/>
      <c r="I73" s="102" t="s">
        <v>330</v>
      </c>
      <c r="J73" s="97"/>
      <c r="K73" s="97"/>
      <c r="L73" s="97"/>
      <c r="M73" s="97"/>
      <c r="N73" s="97"/>
      <c r="O73" s="260" t="s">
        <v>130</v>
      </c>
      <c r="P73" s="97"/>
      <c r="Q73" s="102">
        <f>B25</f>
        <v>2015</v>
      </c>
      <c r="R73" s="97"/>
      <c r="S73" s="102"/>
      <c r="T73" s="97"/>
      <c r="U73" s="97"/>
      <c r="V73" s="97"/>
      <c r="W73" s="97"/>
      <c r="X73" s="97"/>
      <c r="Y73" s="97"/>
      <c r="Z73" s="263"/>
      <c r="AC73"/>
      <c r="AD73"/>
      <c r="AE73"/>
      <c r="AF73"/>
      <c r="AG73"/>
      <c r="AH73"/>
      <c r="AI73"/>
    </row>
    <row r="74" spans="1:35" s="11" customFormat="1" ht="14.1" customHeight="1" x14ac:dyDescent="0.25">
      <c r="A74" s="94" t="s">
        <v>397</v>
      </c>
      <c r="B74" s="763" t="s">
        <v>51</v>
      </c>
      <c r="C74" s="764"/>
      <c r="D74" s="765"/>
      <c r="E74" s="766" t="s">
        <v>280</v>
      </c>
      <c r="F74" s="767"/>
      <c r="G74" s="767"/>
      <c r="H74" s="138"/>
      <c r="I74" s="102" t="s">
        <v>330</v>
      </c>
      <c r="J74" s="97"/>
      <c r="K74" s="97"/>
      <c r="L74" s="97"/>
      <c r="M74" s="97"/>
      <c r="N74" s="97"/>
      <c r="O74" s="260" t="s">
        <v>130</v>
      </c>
      <c r="P74" s="97"/>
      <c r="Q74" s="102">
        <f>B26</f>
        <v>2016</v>
      </c>
      <c r="R74" s="97"/>
      <c r="S74" s="102"/>
      <c r="T74" s="97"/>
      <c r="U74" s="97"/>
      <c r="V74" s="97"/>
      <c r="W74" s="97"/>
      <c r="X74" s="97"/>
      <c r="Y74" s="97"/>
      <c r="Z74" s="263"/>
      <c r="AC74"/>
      <c r="AD74"/>
      <c r="AE74"/>
      <c r="AF74"/>
      <c r="AG74"/>
      <c r="AH74"/>
      <c r="AI74"/>
    </row>
    <row r="75" spans="1:35" s="11" customFormat="1" ht="14.1" customHeight="1" x14ac:dyDescent="0.25">
      <c r="A75" s="94" t="s">
        <v>37</v>
      </c>
      <c r="B75" s="763" t="s">
        <v>51</v>
      </c>
      <c r="C75" s="764"/>
      <c r="D75" s="765"/>
      <c r="E75" s="766" t="s">
        <v>280</v>
      </c>
      <c r="F75" s="767"/>
      <c r="G75" s="767"/>
      <c r="H75" s="138"/>
      <c r="I75" s="102" t="s">
        <v>331</v>
      </c>
      <c r="J75" s="97"/>
      <c r="K75" s="97"/>
      <c r="L75" s="97"/>
      <c r="M75" s="97"/>
      <c r="N75" s="97"/>
      <c r="O75" s="260" t="s">
        <v>130</v>
      </c>
      <c r="P75" s="97"/>
      <c r="Q75" s="102">
        <f>B23</f>
        <v>2013</v>
      </c>
      <c r="R75" s="97"/>
      <c r="S75" s="102"/>
      <c r="T75" s="97"/>
      <c r="U75" s="97"/>
      <c r="V75" s="97"/>
      <c r="W75" s="97"/>
      <c r="X75" s="97"/>
      <c r="Y75" s="97"/>
      <c r="Z75" s="263"/>
      <c r="AC75"/>
      <c r="AD75"/>
      <c r="AE75"/>
      <c r="AF75"/>
      <c r="AG75"/>
      <c r="AH75"/>
      <c r="AI75"/>
    </row>
    <row r="76" spans="1:35" s="11" customFormat="1" ht="14.1" customHeight="1" x14ac:dyDescent="0.2">
      <c r="A76" s="94" t="s">
        <v>38</v>
      </c>
      <c r="B76" s="763" t="s">
        <v>51</v>
      </c>
      <c r="C76" s="764"/>
      <c r="D76" s="765"/>
      <c r="E76" s="766" t="s">
        <v>280</v>
      </c>
      <c r="F76" s="767"/>
      <c r="G76" s="767"/>
      <c r="H76" s="138"/>
      <c r="I76" s="102" t="s">
        <v>331</v>
      </c>
      <c r="J76" s="97"/>
      <c r="K76" s="97"/>
      <c r="L76" s="97"/>
      <c r="M76" s="97"/>
      <c r="N76" s="97"/>
      <c r="O76" s="260" t="s">
        <v>130</v>
      </c>
      <c r="P76" s="97"/>
      <c r="Q76" s="102">
        <f>B24</f>
        <v>2014</v>
      </c>
      <c r="R76" s="97"/>
      <c r="S76" s="102"/>
      <c r="T76" s="97"/>
      <c r="U76" s="97"/>
      <c r="V76" s="97"/>
      <c r="W76" s="97"/>
      <c r="X76" s="97"/>
      <c r="Y76" s="97"/>
      <c r="Z76" s="263"/>
    </row>
    <row r="77" spans="1:35" s="11" customFormat="1" ht="14.1" customHeight="1" x14ac:dyDescent="0.2">
      <c r="A77" s="94" t="s">
        <v>17</v>
      </c>
      <c r="B77" s="763" t="s">
        <v>61</v>
      </c>
      <c r="C77" s="764"/>
      <c r="D77" s="765"/>
      <c r="E77" s="766" t="s">
        <v>280</v>
      </c>
      <c r="F77" s="767"/>
      <c r="G77" s="767"/>
      <c r="H77" s="138"/>
      <c r="I77" s="102" t="s">
        <v>331</v>
      </c>
      <c r="J77" s="97"/>
      <c r="K77" s="97"/>
      <c r="L77" s="97"/>
      <c r="M77" s="97"/>
      <c r="N77" s="97"/>
      <c r="O77" s="260" t="s">
        <v>130</v>
      </c>
      <c r="P77" s="97"/>
      <c r="Q77" s="102">
        <f>B25</f>
        <v>2015</v>
      </c>
      <c r="R77" s="97"/>
      <c r="S77" s="102"/>
      <c r="T77" s="97"/>
      <c r="U77" s="97"/>
      <c r="V77" s="97"/>
      <c r="W77" s="97"/>
      <c r="X77" s="97"/>
      <c r="Y77" s="97"/>
      <c r="Z77" s="263"/>
    </row>
    <row r="78" spans="1:35" s="11" customFormat="1" ht="14.1" customHeight="1" x14ac:dyDescent="0.2">
      <c r="A78" s="94" t="s">
        <v>398</v>
      </c>
      <c r="B78" s="763" t="s">
        <v>60</v>
      </c>
      <c r="C78" s="768"/>
      <c r="D78" s="769"/>
      <c r="E78" s="770" t="s">
        <v>280</v>
      </c>
      <c r="F78" s="771"/>
      <c r="G78" s="772"/>
      <c r="H78" s="138"/>
      <c r="I78" s="102" t="s">
        <v>331</v>
      </c>
      <c r="J78" s="97"/>
      <c r="K78" s="97"/>
      <c r="L78" s="97"/>
      <c r="M78" s="97"/>
      <c r="N78" s="97"/>
      <c r="O78" s="260" t="s">
        <v>130</v>
      </c>
      <c r="P78" s="97"/>
      <c r="Q78" s="102">
        <f>B26</f>
        <v>2016</v>
      </c>
      <c r="R78" s="97"/>
      <c r="S78" s="102"/>
      <c r="T78" s="97"/>
      <c r="U78" s="97"/>
      <c r="V78" s="97"/>
      <c r="W78" s="97"/>
      <c r="X78" s="97"/>
      <c r="Y78" s="97"/>
      <c r="Z78" s="263"/>
    </row>
    <row r="81" spans="1:26" ht="15" x14ac:dyDescent="0.25">
      <c r="A81"/>
      <c r="B81"/>
      <c r="C81"/>
      <c r="D81"/>
      <c r="E81"/>
      <c r="F81"/>
      <c r="G81"/>
      <c r="H81"/>
      <c r="I81"/>
      <c r="J81"/>
      <c r="K81"/>
      <c r="L81"/>
      <c r="M81"/>
      <c r="N81"/>
      <c r="O81"/>
      <c r="P81"/>
      <c r="Q81"/>
      <c r="R81"/>
      <c r="S81"/>
      <c r="T81"/>
      <c r="U81"/>
      <c r="V81"/>
      <c r="W81"/>
      <c r="X81"/>
      <c r="Y81"/>
      <c r="Z81"/>
    </row>
    <row r="82" spans="1:26" ht="17.25" hidden="1" customHeight="1" x14ac:dyDescent="0.2">
      <c r="B82" s="42" t="str">
        <f>Berechnung2!B29</f>
        <v>Matrix</v>
      </c>
      <c r="C82" s="42"/>
      <c r="D82" s="42"/>
      <c r="E82" s="43"/>
      <c r="F82" s="43"/>
      <c r="G82" s="43"/>
      <c r="H82" s="43"/>
      <c r="I82" s="43"/>
      <c r="J82" s="43"/>
      <c r="K82" s="43"/>
      <c r="L82" s="43"/>
      <c r="M82" s="43"/>
      <c r="N82" s="43"/>
      <c r="O82" s="42"/>
      <c r="P82" s="42"/>
    </row>
    <row r="83" spans="1:26" hidden="1" x14ac:dyDescent="0.2">
      <c r="A83" s="42" t="str">
        <f>Berechnung2!B30</f>
        <v>ART</v>
      </c>
      <c r="C83" s="42">
        <f>Berechnung2!C30</f>
        <v>0</v>
      </c>
      <c r="D83" s="42">
        <f>Berechnung2!D30</f>
        <v>0</v>
      </c>
      <c r="E83" s="43">
        <f>Berechnung2!E30</f>
        <v>0</v>
      </c>
      <c r="F83" s="43" t="str">
        <f>Berechnung2!F30</f>
        <v>Werte</v>
      </c>
      <c r="G83" s="43">
        <f>Berechnung2!G30</f>
        <v>0</v>
      </c>
      <c r="H83" s="43">
        <f>Berechnung2!H30</f>
        <v>0</v>
      </c>
      <c r="I83" s="43">
        <f>Berechnung2!I30</f>
        <v>0</v>
      </c>
      <c r="J83" s="43">
        <f>Berechnung2!J30</f>
        <v>0</v>
      </c>
      <c r="K83" s="43">
        <f>Berechnung2!K30</f>
        <v>0</v>
      </c>
      <c r="L83" s="43" t="str">
        <f>Berechnung2!L30</f>
        <v>Texte Matrix Datenquali</v>
      </c>
      <c r="M83" s="43">
        <f>Berechnung2!M30</f>
        <v>0</v>
      </c>
      <c r="N83" s="43" t="str">
        <f>Berechnung2!N30</f>
        <v>Fehlermeldungen Matrix</v>
      </c>
      <c r="O83" s="42"/>
      <c r="P83" s="42"/>
    </row>
    <row r="84" spans="1:26" hidden="1" x14ac:dyDescent="0.2">
      <c r="A84" s="42">
        <f>Berechnung2!B31</f>
        <v>0</v>
      </c>
      <c r="C84" s="42">
        <f>Berechnung2!C31</f>
        <v>0</v>
      </c>
      <c r="D84" s="42">
        <f>Berechnung2!D31</f>
        <v>0</v>
      </c>
      <c r="E84" s="55">
        <f>Berechnung2!E31</f>
        <v>0</v>
      </c>
      <c r="F84" s="55">
        <f>Berechnung2!F31</f>
        <v>0</v>
      </c>
      <c r="G84" s="55">
        <f>Berechnung2!G31</f>
        <v>0</v>
      </c>
      <c r="H84" s="55">
        <f>Berechnung2!H31</f>
        <v>0</v>
      </c>
      <c r="I84" s="55">
        <f>Berechnung2!I31</f>
        <v>0</v>
      </c>
      <c r="J84" s="55">
        <f>Berechnung2!J31</f>
        <v>0</v>
      </c>
      <c r="K84" s="43">
        <f>Berechnung2!K31</f>
        <v>0</v>
      </c>
      <c r="L84" s="43">
        <f>Berechnung2!L31</f>
        <v>0</v>
      </c>
      <c r="M84" s="43">
        <f>Berechnung2!M31</f>
        <v>0</v>
      </c>
      <c r="N84" s="43" t="str">
        <f>Berechnung2!N31</f>
        <v>Ganze Zahl zwischen 0 und 5000 eingeben</v>
      </c>
      <c r="O84" s="42"/>
      <c r="P84" s="42"/>
    </row>
    <row r="85" spans="1:26" hidden="1" x14ac:dyDescent="0.2">
      <c r="A85" s="42" t="str">
        <f>Berechnung2!B32</f>
        <v>relevante Nachsorgejahre nicht/unvollständig bearbeitet</v>
      </c>
      <c r="C85" s="42">
        <f>Berechnung2!C32</f>
        <v>0</v>
      </c>
      <c r="D85" s="42" t="str">
        <f>Berechnung2!D32</f>
        <v>unvollständig</v>
      </c>
      <c r="E85" s="55">
        <f>Berechnung2!E32</f>
        <v>0</v>
      </c>
      <c r="F85" s="55">
        <f>Berechnung2!F32</f>
        <v>0</v>
      </c>
      <c r="G85" s="55">
        <f>Berechnung2!G32</f>
        <v>0</v>
      </c>
      <c r="H85" s="55">
        <f>Berechnung2!H32</f>
        <v>0</v>
      </c>
      <c r="I85" s="55">
        <f>Berechnung2!I32</f>
        <v>0</v>
      </c>
      <c r="J85" s="55">
        <f>Berechnung2!J32</f>
        <v>0</v>
      </c>
      <c r="K85" s="43">
        <f>Berechnung2!K32</f>
        <v>0</v>
      </c>
      <c r="L85" s="43" t="str">
        <f>Berechnung2!L32</f>
        <v>relevante Nachsorgejahre nicht/unvollständig bearbeitet</v>
      </c>
      <c r="M85" s="43">
        <f>Berechnung2!M32</f>
        <v>0</v>
      </c>
      <c r="N85" s="43">
        <f>Berechnung2!N32</f>
        <v>0</v>
      </c>
      <c r="O85" s="42"/>
      <c r="P85" s="42"/>
    </row>
    <row r="86" spans="1:26" ht="14.25" hidden="1" customHeight="1" x14ac:dyDescent="0.2">
      <c r="A86" s="42" t="str">
        <f>Berechnung2!B33</f>
        <v>Relative Quote tumorfrei</v>
      </c>
      <c r="C86" s="42">
        <f>Berechnung2!C33</f>
        <v>0</v>
      </c>
      <c r="D86" s="42" t="str">
        <f>Berechnung2!D33</f>
        <v>plausi</v>
      </c>
      <c r="E86" s="55" t="str">
        <f>Berechnung2!E33</f>
        <v>nicht geprüft</v>
      </c>
      <c r="F86" s="55">
        <f>Berechnung2!F33</f>
        <v>-1</v>
      </c>
      <c r="G86" s="55">
        <f>Berechnung2!G33</f>
        <v>-1</v>
      </c>
      <c r="H86" s="55">
        <f>Berechnung2!H33</f>
        <v>-1</v>
      </c>
      <c r="I86" s="55">
        <f>Berechnung2!I33</f>
        <v>-1</v>
      </c>
      <c r="J86" s="55">
        <f>Berechnung2!J33</f>
        <v>-1</v>
      </c>
      <c r="K86" s="43">
        <f>Berechnung2!K33</f>
        <v>0</v>
      </c>
      <c r="L86" s="43" t="str">
        <f>Berechnung2!L33</f>
        <v>auffällig niedrige Quote tumorfreier Patienten</v>
      </c>
      <c r="M86" s="43">
        <f>Berechnung2!M33</f>
        <v>0</v>
      </c>
      <c r="N86" s="43">
        <f>Berechnung2!N33</f>
        <v>0</v>
      </c>
      <c r="O86" s="42"/>
      <c r="P86" s="42"/>
      <c r="Z86" s="8"/>
    </row>
    <row r="87" spans="1:26" ht="14.25" hidden="1" customHeight="1" x14ac:dyDescent="0.2">
      <c r="A87" s="42" t="str">
        <f>Berechnung2!B34</f>
        <v xml:space="preserve">nur Prozentwerte können eingegeben werden </v>
      </c>
      <c r="C87" s="42">
        <f>Berechnung2!C34</f>
        <v>0</v>
      </c>
      <c r="D87" s="42" t="str">
        <f>Berechnung2!D34</f>
        <v>inkorrekt</v>
      </c>
      <c r="E87" s="55" t="str">
        <f>Berechnung2!E34</f>
        <v>&gt;</v>
      </c>
      <c r="F87" s="55">
        <f>Berechnung2!F34</f>
        <v>0</v>
      </c>
      <c r="G87" s="55">
        <f>Berechnung2!G34</f>
        <v>0</v>
      </c>
      <c r="H87" s="55">
        <f>Berechnung2!H34</f>
        <v>0</v>
      </c>
      <c r="I87" s="55">
        <f>Berechnung2!I34</f>
        <v>0</v>
      </c>
      <c r="J87" s="55">
        <f>Berechnung2!J34</f>
        <v>1</v>
      </c>
      <c r="K87" s="43">
        <f>Berechnung2!K34</f>
        <v>0</v>
      </c>
      <c r="L87" s="43">
        <f>Berechnung2!L34</f>
        <v>0</v>
      </c>
      <c r="M87" s="43">
        <f>Berechnung2!M34</f>
        <v>0</v>
      </c>
      <c r="N87" s="43">
        <f>Berechnung2!N34</f>
        <v>0</v>
      </c>
      <c r="O87" s="42"/>
      <c r="P87" s="42"/>
      <c r="Z87" s="8"/>
    </row>
    <row r="88" spans="1:26" ht="14.25" hidden="1" customHeight="1" x14ac:dyDescent="0.2">
      <c r="A88" s="42" t="str">
        <f>Berechnung2!B35</f>
        <v>zu geringe Anzahl der Primärfälle</v>
      </c>
      <c r="C88" s="42">
        <f>Berechnung2!C35</f>
        <v>0</v>
      </c>
      <c r="D88" s="42" t="str">
        <f>Berechnung2!D35</f>
        <v>plausi</v>
      </c>
      <c r="E88" s="43" t="str">
        <f>Berechnung2!E35</f>
        <v>&lt;</v>
      </c>
      <c r="F88" s="43">
        <f>Berechnung2!F35</f>
        <v>0</v>
      </c>
      <c r="G88" s="43">
        <f>Berechnung2!G35</f>
        <v>25</v>
      </c>
      <c r="H88" s="43">
        <f>Berechnung2!H35</f>
        <v>0</v>
      </c>
      <c r="I88" s="43">
        <f>Berechnung2!I35</f>
        <v>0</v>
      </c>
      <c r="J88" s="43">
        <f>Berechnung2!J35</f>
        <v>0</v>
      </c>
      <c r="K88" s="43">
        <f>Berechnung2!K35</f>
        <v>0</v>
      </c>
      <c r="L88" s="43" t="str">
        <f>Berechnung2!L35</f>
        <v>zu wenig Primärfälle angegeben</v>
      </c>
      <c r="M88" s="43">
        <f>Berechnung2!M35</f>
        <v>0</v>
      </c>
      <c r="N88" s="43">
        <f>Berechnung2!N35</f>
        <v>0</v>
      </c>
      <c r="O88" s="42"/>
      <c r="P88" s="42"/>
      <c r="Z88" s="8"/>
    </row>
    <row r="89" spans="1:26" ht="14.25" hidden="1" customHeight="1" x14ac:dyDescent="0.2">
      <c r="A89" s="42" t="str">
        <f>Berechnung2!B36</f>
        <v>zu viele Patientinnen im Follow-Up</v>
      </c>
      <c r="C89" s="42">
        <f>Berechnung2!C36</f>
        <v>0</v>
      </c>
      <c r="D89" s="42" t="str">
        <f>Berechnung2!D36</f>
        <v>inkorrekt</v>
      </c>
      <c r="E89" s="56">
        <f>Berechnung2!E36</f>
        <v>0</v>
      </c>
      <c r="F89" s="56">
        <f>Berechnung2!F36</f>
        <v>0</v>
      </c>
      <c r="G89" s="56">
        <f>Berechnung2!G36</f>
        <v>0</v>
      </c>
      <c r="H89" s="56">
        <f>Berechnung2!H36</f>
        <v>0</v>
      </c>
      <c r="I89" s="56">
        <f>Berechnung2!I36</f>
        <v>0</v>
      </c>
      <c r="J89" s="56">
        <f>Berechnung2!J36</f>
        <v>0</v>
      </c>
      <c r="K89" s="43">
        <f>Berechnung2!K36</f>
        <v>0</v>
      </c>
      <c r="L89" s="43" t="str">
        <f>Berechnung2!L36</f>
        <v>zu viele Pat im Follow-Up</v>
      </c>
      <c r="M89" s="43">
        <f>Berechnung2!M36</f>
        <v>0</v>
      </c>
      <c r="N89" s="43" t="str">
        <f>Berechnung2!N36</f>
        <v>Anzahl Pat. Im Follow-Up zu hoch</v>
      </c>
      <c r="O89" s="42"/>
      <c r="P89" s="42"/>
      <c r="Z89" s="8"/>
    </row>
    <row r="90" spans="1:26" ht="14.25" hidden="1" customHeight="1" x14ac:dyDescent="0.2">
      <c r="A90" s="42" t="str">
        <f>Berechnung2!B37</f>
        <v>geringe Follow-Up Quote</v>
      </c>
      <c r="C90" s="42">
        <f>Berechnung2!C37</f>
        <v>0</v>
      </c>
      <c r="D90" s="42" t="str">
        <f>Berechnung2!D37</f>
        <v>plausi</v>
      </c>
      <c r="E90" s="56" t="str">
        <f>Berechnung2!E37</f>
        <v>&lt;</v>
      </c>
      <c r="F90" s="56">
        <f>Berechnung2!F37</f>
        <v>0</v>
      </c>
      <c r="G90" s="56">
        <f>Berechnung2!G37</f>
        <v>0</v>
      </c>
      <c r="H90" s="56">
        <f>Berechnung2!H37</f>
        <v>0</v>
      </c>
      <c r="I90" s="56">
        <f>Berechnung2!I37</f>
        <v>0.69999</v>
      </c>
      <c r="J90" s="56">
        <f>Berechnung2!J37</f>
        <v>0.69999</v>
      </c>
      <c r="K90" s="43">
        <f>Berechnung2!K37</f>
        <v>0</v>
      </c>
      <c r="L90" s="43" t="str">
        <f>Berechnung2!L37</f>
        <v>geringe Follow-Up Quote der Nachsorgejahre</v>
      </c>
      <c r="M90" s="43">
        <f>Berechnung2!M37</f>
        <v>0</v>
      </c>
      <c r="N90" s="43">
        <f>Berechnung2!N37</f>
        <v>0</v>
      </c>
      <c r="O90" s="42"/>
      <c r="P90" s="42"/>
      <c r="Z90" s="8"/>
    </row>
    <row r="91" spans="1:26" ht="14.25" hidden="1" customHeight="1" x14ac:dyDescent="0.2">
      <c r="A91" s="42" t="str">
        <f>Berechnung2!B38</f>
        <v>geringe Follow-Up Quote der letzten 2-4 Jahre</v>
      </c>
      <c r="C91" s="42">
        <f>Berechnung2!C38</f>
        <v>0</v>
      </c>
      <c r="D91" s="42" t="str">
        <f>Berechnung2!D38</f>
        <v>sollvorgabe</v>
      </c>
      <c r="E91" s="56" t="str">
        <f>Berechnung2!E38</f>
        <v>&lt;</v>
      </c>
      <c r="F91" s="56">
        <f>Berechnung2!F38</f>
        <v>0</v>
      </c>
      <c r="G91" s="56">
        <f>Berechnung2!G38</f>
        <v>0</v>
      </c>
      <c r="H91" s="56">
        <f>Berechnung2!H38</f>
        <v>0</v>
      </c>
      <c r="I91" s="56">
        <f>Berechnung2!I38</f>
        <v>0.79998999999999998</v>
      </c>
      <c r="J91" s="56">
        <f>Berechnung2!J38</f>
        <v>0.79998999999999998</v>
      </c>
      <c r="K91" s="43">
        <f>Berechnung2!K38</f>
        <v>0</v>
      </c>
      <c r="L91" s="43" t="str">
        <f>Berechnung2!L38</f>
        <v>durchschnittliche Follow-Up Quote &lt; 80%</v>
      </c>
      <c r="M91" s="43">
        <f>Berechnung2!M38</f>
        <v>0</v>
      </c>
      <c r="N91" s="43">
        <f>Berechnung2!N38</f>
        <v>0</v>
      </c>
      <c r="O91" s="42"/>
      <c r="P91" s="42"/>
      <c r="Z91" s="8"/>
    </row>
    <row r="92" spans="1:26" ht="14.25" hidden="1" customHeight="1" x14ac:dyDescent="0.2">
      <c r="A92" s="42" t="str">
        <f>Berechnung2!B39</f>
        <v>zu hohe Follow-Up Quote der letzten 2-4 Jahre</v>
      </c>
      <c r="C92" s="42">
        <f>Berechnung2!C39</f>
        <v>0</v>
      </c>
      <c r="D92" s="42" t="str">
        <f>Berechnung2!D39</f>
        <v>plausi</v>
      </c>
      <c r="E92" s="56" t="str">
        <f>Berechnung2!E39</f>
        <v>&gt;</v>
      </c>
      <c r="F92" s="56">
        <f>Berechnung2!F39</f>
        <v>0</v>
      </c>
      <c r="G92" s="56">
        <f>Berechnung2!G39</f>
        <v>0</v>
      </c>
      <c r="H92" s="56">
        <f>Berechnung2!H39</f>
        <v>0.99000999999999995</v>
      </c>
      <c r="I92" s="56">
        <f>Berechnung2!I39</f>
        <v>1</v>
      </c>
      <c r="J92" s="56">
        <f>Berechnung2!J39</f>
        <v>0.99000999999999995</v>
      </c>
      <c r="K92" s="43">
        <f>Berechnung2!K39</f>
        <v>0</v>
      </c>
      <c r="L92" s="43" t="str">
        <f>Berechnung2!L39</f>
        <v>durchschnittliche Follow-Up Quote &gt; 99%</v>
      </c>
      <c r="M92" s="43">
        <f>Berechnung2!M39</f>
        <v>0</v>
      </c>
      <c r="N92" s="43">
        <f>Berechnung2!N39</f>
        <v>0</v>
      </c>
      <c r="O92" s="42"/>
      <c r="P92" s="42"/>
      <c r="Z92" s="8"/>
    </row>
    <row r="93" spans="1:26" ht="14.25" hidden="1" customHeight="1" x14ac:dyDescent="0.2">
      <c r="A93" s="42" t="str">
        <f>Berechnung2!B40</f>
        <v xml:space="preserve">Fehler bei Ereignisse </v>
      </c>
      <c r="C93" s="42">
        <f>Berechnung2!C40</f>
        <v>0</v>
      </c>
      <c r="D93" s="42" t="str">
        <f>Berechnung2!D40</f>
        <v>inkorrekt</v>
      </c>
      <c r="E93" s="56">
        <f>Berechnung2!E40</f>
        <v>0</v>
      </c>
      <c r="F93" s="56">
        <f>Berechnung2!F40</f>
        <v>0</v>
      </c>
      <c r="G93" s="56">
        <f>Berechnung2!G40</f>
        <v>0</v>
      </c>
      <c r="H93" s="56">
        <f>Berechnung2!H40</f>
        <v>0</v>
      </c>
      <c r="I93" s="56">
        <f>Berechnung2!I40</f>
        <v>0</v>
      </c>
      <c r="J93" s="56">
        <f>Berechnung2!J40</f>
        <v>0</v>
      </c>
      <c r="K93" s="43">
        <f>Berechnung2!K40</f>
        <v>0</v>
      </c>
      <c r="L93" s="43" t="str">
        <f>Berechnung2!L40</f>
        <v>Werte in Spalte R,S,T dürfen den Wert Spalte Q nicht übersteigen</v>
      </c>
      <c r="M93" s="43">
        <f>Berechnung2!M40</f>
        <v>0</v>
      </c>
      <c r="N93" s="43" t="str">
        <f>Berechnung2!N40</f>
        <v>Eingabe kann nicht größer sein als Ereignisse Spalte Q</v>
      </c>
      <c r="O93" s="42"/>
      <c r="P93" s="42"/>
      <c r="Z93" s="8"/>
    </row>
    <row r="94" spans="1:26" ht="14.25" hidden="1" customHeight="1" x14ac:dyDescent="0.2">
      <c r="A94" s="42">
        <f>Berechnung2!B41</f>
        <v>0</v>
      </c>
      <c r="C94" s="42">
        <f>Berechnung2!C41</f>
        <v>0</v>
      </c>
      <c r="D94" s="42">
        <f>Berechnung2!D41</f>
        <v>0</v>
      </c>
      <c r="E94" s="56">
        <f>Berechnung2!E41</f>
        <v>0</v>
      </c>
      <c r="F94" s="56">
        <f>Berechnung2!F41</f>
        <v>0</v>
      </c>
      <c r="G94" s="56">
        <f>Berechnung2!G41</f>
        <v>0</v>
      </c>
      <c r="H94" s="56">
        <f>Berechnung2!H41</f>
        <v>0</v>
      </c>
      <c r="I94" s="56">
        <f>Berechnung2!I41</f>
        <v>0</v>
      </c>
      <c r="J94" s="56">
        <f>Berechnung2!J41</f>
        <v>0</v>
      </c>
      <c r="K94" s="43">
        <f>Berechnung2!K41</f>
        <v>0</v>
      </c>
      <c r="L94" s="43">
        <f>Berechnung2!L41</f>
        <v>0</v>
      </c>
      <c r="M94" s="43">
        <f>Berechnung2!M41</f>
        <v>0</v>
      </c>
      <c r="N94" s="43">
        <f>Berechnung2!N41</f>
        <v>0</v>
      </c>
      <c r="O94" s="42"/>
      <c r="P94" s="42"/>
      <c r="Z94" s="8"/>
    </row>
    <row r="95" spans="1:26" ht="14.25" hidden="1" customHeight="1" x14ac:dyDescent="0.2">
      <c r="A95" s="42" t="str">
        <f>Berechnung2!B42</f>
        <v>wenn sich Minuswerte berechnen</v>
      </c>
      <c r="C95" s="42">
        <f>Berechnung2!C42</f>
        <v>0</v>
      </c>
      <c r="D95" s="42" t="str">
        <f>Berechnung2!D42</f>
        <v>inkorrekt</v>
      </c>
      <c r="E95" s="56" t="str">
        <f>Berechnung2!E42</f>
        <v>&lt;</v>
      </c>
      <c r="F95" s="56">
        <f>Berechnung2!F42</f>
        <v>0</v>
      </c>
      <c r="G95" s="56">
        <f>Berechnung2!G42</f>
        <v>0</v>
      </c>
      <c r="H95" s="56">
        <f>Berechnung2!H42</f>
        <v>0</v>
      </c>
      <c r="I95" s="56">
        <f>Berechnung2!I42</f>
        <v>0</v>
      </c>
      <c r="J95" s="56">
        <f>Berechnung2!J42</f>
        <v>0</v>
      </c>
      <c r="K95" s="43">
        <f>Berechnung2!K42</f>
        <v>0</v>
      </c>
      <c r="L95" s="43" t="str">
        <f>Berechnung2!L42</f>
        <v>Zahlen in Spalte O dürfen keine negativen Werte annehmen</v>
      </c>
      <c r="M95" s="43">
        <f>Berechnung2!M42</f>
        <v>0</v>
      </c>
      <c r="N95" s="43"/>
      <c r="O95" s="42"/>
      <c r="P95" s="42"/>
      <c r="Z95" s="8"/>
    </row>
    <row r="96" spans="1:26" ht="14.25" hidden="1" customHeight="1" x14ac:dyDescent="0.2">
      <c r="A96" s="42">
        <f>Berechnung2!B43</f>
        <v>0</v>
      </c>
      <c r="C96" s="42">
        <f>Berechnung2!C43</f>
        <v>0</v>
      </c>
      <c r="D96" s="42">
        <f>Berechnung2!D43</f>
        <v>0</v>
      </c>
      <c r="E96" s="56">
        <f>Berechnung2!E43</f>
        <v>0</v>
      </c>
      <c r="F96" s="56">
        <f>Berechnung2!F43</f>
        <v>0</v>
      </c>
      <c r="G96" s="56">
        <f>Berechnung2!G43</f>
        <v>0</v>
      </c>
      <c r="H96" s="56">
        <f>Berechnung2!H43</f>
        <v>0</v>
      </c>
      <c r="I96" s="56">
        <f>Berechnung2!I43</f>
        <v>0</v>
      </c>
      <c r="J96" s="56">
        <f>Berechnung2!J43</f>
        <v>0</v>
      </c>
      <c r="K96" s="43">
        <f>Berechnung2!K43</f>
        <v>0</v>
      </c>
      <c r="L96" s="43">
        <f>Berechnung2!L43</f>
        <v>0</v>
      </c>
      <c r="M96" s="43">
        <f>Berechnung2!M43</f>
        <v>0</v>
      </c>
      <c r="N96" s="43">
        <f>Berechnung2!N43</f>
        <v>0</v>
      </c>
      <c r="O96" s="42"/>
      <c r="P96" s="42"/>
      <c r="Z96" s="8"/>
    </row>
    <row r="97" spans="1:26" ht="14.25" hidden="1" customHeight="1" x14ac:dyDescent="0.2">
      <c r="A97" s="42" t="str">
        <f>Berechnung2!B46</f>
        <v>DFS</v>
      </c>
      <c r="C97" s="42">
        <f>Berechnung2!C46</f>
        <v>0</v>
      </c>
      <c r="D97" s="42">
        <f>Berechnung2!D46</f>
        <v>0</v>
      </c>
      <c r="E97" s="42" t="str">
        <f>Berechnung2!E46</f>
        <v>von</v>
      </c>
      <c r="F97" s="42">
        <f>Berechnung2!F46</f>
        <v>0</v>
      </c>
      <c r="G97" s="42" t="str">
        <f>Berechnung2!G46</f>
        <v>untere Grenze</v>
      </c>
      <c r="H97" s="42">
        <f>Berechnung2!H46</f>
        <v>0</v>
      </c>
      <c r="I97" s="42">
        <f>Berechnung2!I46</f>
        <v>0</v>
      </c>
      <c r="J97" s="42" t="str">
        <f>Berechnung2!J46</f>
        <v>obere Grenze</v>
      </c>
      <c r="K97" s="42">
        <f>Berechnung2!K46</f>
        <v>0</v>
      </c>
      <c r="L97" s="42">
        <f>Berechnung2!L46</f>
        <v>0</v>
      </c>
      <c r="M97" s="42"/>
      <c r="N97" s="42">
        <f>Berechnung2!M46</f>
        <v>0</v>
      </c>
      <c r="O97" s="42"/>
      <c r="P97" s="42"/>
      <c r="Z97" s="8"/>
    </row>
    <row r="98" spans="1:26" ht="14.25" hidden="1" customHeight="1" x14ac:dyDescent="0.2">
      <c r="A98" s="42"/>
      <c r="C98" s="42"/>
      <c r="D98" s="42"/>
      <c r="E98" s="42"/>
      <c r="F98" s="42"/>
      <c r="G98" s="57"/>
      <c r="H98" s="57"/>
      <c r="I98" s="42"/>
      <c r="J98" s="57"/>
      <c r="K98" s="42"/>
      <c r="L98" s="42"/>
      <c r="M98" s="42"/>
      <c r="N98" s="42">
        <f>Berechnung2!M45</f>
        <v>0</v>
      </c>
      <c r="O98" s="42"/>
      <c r="P98" s="42"/>
      <c r="Z98" s="8"/>
    </row>
    <row r="99" spans="1:26" ht="14.25" hidden="1" customHeight="1" x14ac:dyDescent="0.2">
      <c r="A99" s="42"/>
      <c r="C99" s="42"/>
      <c r="D99" s="42"/>
      <c r="E99" s="42"/>
      <c r="F99" s="42"/>
      <c r="G99" s="57"/>
      <c r="H99" s="57"/>
      <c r="I99" s="42"/>
      <c r="J99" s="57"/>
      <c r="K99" s="42"/>
      <c r="L99" s="42"/>
      <c r="M99" s="42"/>
      <c r="N99" s="42" t="e">
        <f>Berechnung2!#REF!</f>
        <v>#REF!</v>
      </c>
      <c r="O99" s="42"/>
      <c r="P99" s="42"/>
      <c r="Z99" s="8"/>
    </row>
    <row r="100" spans="1:26" ht="14.25" hidden="1" customHeight="1" x14ac:dyDescent="0.2">
      <c r="A100" s="42" t="str">
        <f>Berechnung2!B47</f>
        <v>2013,</v>
      </c>
      <c r="C100" s="42">
        <f>Berechnung2!C47</f>
        <v>0</v>
      </c>
      <c r="D100" s="42">
        <f>Berechnung2!D47</f>
        <v>0</v>
      </c>
      <c r="E100" s="42">
        <f>Berechnung2!E47</f>
        <v>0</v>
      </c>
      <c r="F100" s="42">
        <f>Berechnung2!F47</f>
        <v>0.49998999999999999</v>
      </c>
      <c r="G100" s="57">
        <f>Berechnung2!G47</f>
        <v>0.49998999999999999</v>
      </c>
      <c r="H100" s="57">
        <f>Berechnung2!H47</f>
        <v>0</v>
      </c>
      <c r="I100" s="42">
        <f>Berechnung2!I47</f>
        <v>0.90000999999999998</v>
      </c>
      <c r="J100" s="57">
        <f>Berechnung2!J47</f>
        <v>0.90000999999999998</v>
      </c>
      <c r="K100" s="42">
        <f>Berechnung2!K47</f>
        <v>0</v>
      </c>
      <c r="L100" s="42" t="str">
        <f>Berechnung2!L47</f>
        <v>DFS auffällig niedrig oder hoch</v>
      </c>
      <c r="M100" s="42"/>
      <c r="N100" s="42" t="str">
        <f>Berechnung2!M47</f>
        <v>DFS auffällig niedrig oder hoch</v>
      </c>
      <c r="O100" s="42"/>
      <c r="P100" s="42"/>
      <c r="Z100" s="8"/>
    </row>
    <row r="101" spans="1:26" ht="14.25" hidden="1" customHeight="1" x14ac:dyDescent="0.2">
      <c r="A101" s="42" t="str">
        <f>Berechnung2!B48</f>
        <v xml:space="preserve">2014, </v>
      </c>
      <c r="C101" s="42">
        <f>Berechnung2!C48</f>
        <v>0</v>
      </c>
      <c r="D101" s="42">
        <f>Berechnung2!D48</f>
        <v>0</v>
      </c>
      <c r="E101" s="42">
        <f>Berechnung2!E48</f>
        <v>0</v>
      </c>
      <c r="F101" s="42">
        <f>Berechnung2!F48</f>
        <v>0.54998999999999998</v>
      </c>
      <c r="G101" s="57">
        <f>Berechnung2!G48</f>
        <v>0.54998999999999998</v>
      </c>
      <c r="H101" s="57">
        <f>Berechnung2!H48</f>
        <v>0</v>
      </c>
      <c r="I101" s="42">
        <f>Berechnung2!I48</f>
        <v>0.90000999999999998</v>
      </c>
      <c r="J101" s="57">
        <f>Berechnung2!J48</f>
        <v>0.90000999999999998</v>
      </c>
      <c r="K101" s="42">
        <f>Berechnung2!K48</f>
        <v>0</v>
      </c>
      <c r="L101" s="42" t="str">
        <f>Berechnung2!L48</f>
        <v>DFS auffällig niedrig oder hoch</v>
      </c>
      <c r="M101" s="42"/>
      <c r="N101" s="42" t="str">
        <f>Berechnung2!M48</f>
        <v>DFS auffällig niedrig oder hoch</v>
      </c>
      <c r="O101" s="42"/>
      <c r="P101" s="42"/>
      <c r="Z101" s="8"/>
    </row>
    <row r="102" spans="1:26" ht="14.25" hidden="1" customHeight="1" x14ac:dyDescent="0.2">
      <c r="A102" s="42" t="str">
        <f>Berechnung2!B49</f>
        <v xml:space="preserve">2015, </v>
      </c>
      <c r="C102" s="42">
        <f>Berechnung2!C49</f>
        <v>0</v>
      </c>
      <c r="D102" s="42">
        <f>Berechnung2!D49</f>
        <v>0</v>
      </c>
      <c r="E102" s="42">
        <f>Berechnung2!E49</f>
        <v>0</v>
      </c>
      <c r="F102" s="42">
        <f>Berechnung2!F49</f>
        <v>0.59999000000000002</v>
      </c>
      <c r="G102" s="57">
        <f>Berechnung2!G49</f>
        <v>0.59999000000000002</v>
      </c>
      <c r="H102" s="57">
        <f>Berechnung2!H49</f>
        <v>0</v>
      </c>
      <c r="I102" s="42">
        <f>Berechnung2!I49</f>
        <v>0.95001000000000002</v>
      </c>
      <c r="J102" s="57">
        <f>Berechnung2!J49</f>
        <v>0.95001000000000002</v>
      </c>
      <c r="K102" s="42">
        <f>Berechnung2!K49</f>
        <v>0</v>
      </c>
      <c r="L102" s="42" t="str">
        <f>Berechnung2!L49</f>
        <v>DFS auffällig niedrig oder hoch</v>
      </c>
      <c r="M102" s="42"/>
      <c r="N102" s="42" t="str">
        <f>Berechnung2!M49</f>
        <v>DFS auffällig niedrig oder hoch</v>
      </c>
      <c r="O102" s="42"/>
      <c r="P102" s="42"/>
      <c r="Z102" s="8"/>
    </row>
    <row r="103" spans="1:26" ht="14.25" hidden="1" customHeight="1" x14ac:dyDescent="0.2">
      <c r="A103" s="42" t="str">
        <f>Berechnung2!B50</f>
        <v xml:space="preserve">2016, </v>
      </c>
      <c r="C103" s="42">
        <f>Berechnung2!C50</f>
        <v>0</v>
      </c>
      <c r="D103" s="42">
        <f>Berechnung2!D50</f>
        <v>0</v>
      </c>
      <c r="E103" s="42">
        <f>Berechnung2!E50</f>
        <v>0</v>
      </c>
      <c r="F103" s="42">
        <f>Berechnung2!F50</f>
        <v>0.64998999999999996</v>
      </c>
      <c r="G103" s="57">
        <f>Berechnung2!G50</f>
        <v>0.64998999999999996</v>
      </c>
      <c r="H103" s="57">
        <f>Berechnung2!H50</f>
        <v>0</v>
      </c>
      <c r="I103" s="42">
        <f>Berechnung2!I50</f>
        <v>0.95001000000000002</v>
      </c>
      <c r="J103" s="57">
        <f>Berechnung2!J50</f>
        <v>0.95001000000000002</v>
      </c>
      <c r="K103" s="42">
        <f>Berechnung2!K50</f>
        <v>0</v>
      </c>
      <c r="L103" s="42" t="str">
        <f>Berechnung2!L50</f>
        <v>DFS auffällig niedrig oder hoch</v>
      </c>
      <c r="M103" s="42"/>
      <c r="N103" s="42" t="str">
        <f>Berechnung2!M50</f>
        <v>DFS auffällig niedrig oder hoch</v>
      </c>
      <c r="O103" s="42"/>
      <c r="P103" s="42"/>
      <c r="Z103" s="8"/>
    </row>
    <row r="104" spans="1:26" ht="14.25" hidden="1" customHeight="1" x14ac:dyDescent="0.2">
      <c r="A104" s="42" t="str">
        <f>Berechnung2!B51</f>
        <v xml:space="preserve">2017, </v>
      </c>
      <c r="C104" s="42">
        <f>Berechnung2!C51</f>
        <v>0</v>
      </c>
      <c r="D104" s="42">
        <f>Berechnung2!D51</f>
        <v>0</v>
      </c>
      <c r="E104" s="42">
        <f>Berechnung2!E51</f>
        <v>0</v>
      </c>
      <c r="F104" s="42">
        <f>Berechnung2!F51</f>
        <v>0.79998999999999998</v>
      </c>
      <c r="G104" s="57">
        <f>Berechnung2!G51</f>
        <v>0.79998999999999998</v>
      </c>
      <c r="H104" s="57">
        <f>Berechnung2!H51</f>
        <v>0</v>
      </c>
      <c r="I104" s="42">
        <f>Berechnung2!I51</f>
        <v>0.99000999999999995</v>
      </c>
      <c r="J104" s="57">
        <f>Berechnung2!J51</f>
        <v>0.99000999999999995</v>
      </c>
      <c r="K104" s="42">
        <f>Berechnung2!K51</f>
        <v>0</v>
      </c>
      <c r="L104" s="42" t="str">
        <f>Berechnung2!L51</f>
        <v>DFS auffällig niedrig oder hoch</v>
      </c>
      <c r="M104" s="42"/>
      <c r="N104" s="42" t="str">
        <f>Berechnung2!M51</f>
        <v>DFS auffällig niedrig oder hoch</v>
      </c>
      <c r="O104" s="42"/>
      <c r="P104" s="42"/>
      <c r="Z104" s="8"/>
    </row>
    <row r="105" spans="1:26" ht="14.25" hidden="1" customHeight="1" x14ac:dyDescent="0.2">
      <c r="A105" s="42">
        <f>Berechnung2!B52</f>
        <v>0</v>
      </c>
      <c r="C105" s="42">
        <f>Berechnung2!D52</f>
        <v>0</v>
      </c>
      <c r="D105" s="42">
        <f>Berechnung2!E52</f>
        <v>0</v>
      </c>
      <c r="E105" s="42">
        <f>Berechnung2!E52</f>
        <v>0</v>
      </c>
      <c r="F105" s="42">
        <f>Berechnung2!F52</f>
        <v>0</v>
      </c>
      <c r="G105" s="42">
        <f>Berechnung2!G52</f>
        <v>0</v>
      </c>
      <c r="H105" s="42">
        <f>Berechnung2!H52</f>
        <v>0</v>
      </c>
      <c r="I105" s="42">
        <f>Berechnung2!I52</f>
        <v>0</v>
      </c>
      <c r="J105" s="57">
        <f>Berechnung2!J52</f>
        <v>0</v>
      </c>
      <c r="K105" s="42">
        <f>Berechnung2!K52</f>
        <v>0</v>
      </c>
      <c r="L105" s="42">
        <f>Berechnung2!L52</f>
        <v>0</v>
      </c>
      <c r="M105" s="42"/>
      <c r="N105" s="42">
        <f>Berechnung2!M52</f>
        <v>0</v>
      </c>
      <c r="O105" s="42"/>
      <c r="P105" s="42"/>
      <c r="Z105" s="8"/>
    </row>
    <row r="106" spans="1:26" ht="14.25" hidden="1" customHeight="1" x14ac:dyDescent="0.2">
      <c r="A106" s="42" t="str">
        <f>Berechnung2!B55</f>
        <v>OAS</v>
      </c>
      <c r="C106" s="42">
        <f>Berechnung2!D55</f>
        <v>0</v>
      </c>
      <c r="D106" s="42">
        <f>Berechnung2!E55</f>
        <v>0</v>
      </c>
      <c r="E106" s="42">
        <f>Berechnung2!E55</f>
        <v>0</v>
      </c>
      <c r="F106" s="42">
        <f>Berechnung2!F55</f>
        <v>0</v>
      </c>
      <c r="G106" s="42" t="str">
        <f>Berechnung2!G55</f>
        <v>untere Grenze</v>
      </c>
      <c r="H106" s="42">
        <f>Berechnung2!H55</f>
        <v>0</v>
      </c>
      <c r="I106" s="42">
        <f>Berechnung2!I55</f>
        <v>0</v>
      </c>
      <c r="J106" s="42" t="str">
        <f>Berechnung2!J55</f>
        <v>obere Grenze</v>
      </c>
      <c r="K106" s="42">
        <f>Berechnung2!K53</f>
        <v>0</v>
      </c>
      <c r="L106" s="42">
        <f>Berechnung2!L53</f>
        <v>0</v>
      </c>
      <c r="M106" s="42"/>
      <c r="N106" s="42">
        <f>Berechnung2!M53</f>
        <v>0</v>
      </c>
      <c r="O106" s="42"/>
      <c r="P106" s="42"/>
      <c r="Z106" s="8"/>
    </row>
    <row r="107" spans="1:26" ht="14.25" hidden="1" customHeight="1" x14ac:dyDescent="0.2">
      <c r="A107" s="42"/>
      <c r="C107" s="42"/>
      <c r="D107" s="42"/>
      <c r="E107" s="42"/>
      <c r="F107" s="42"/>
      <c r="G107" s="57"/>
      <c r="H107" s="57"/>
      <c r="I107" s="42"/>
      <c r="J107" s="57"/>
      <c r="K107" s="42"/>
      <c r="L107" s="42"/>
      <c r="M107" s="42"/>
      <c r="N107" s="42">
        <f>Berechnung2!M54</f>
        <v>0</v>
      </c>
      <c r="O107" s="42"/>
      <c r="P107" s="42"/>
      <c r="Z107" s="8"/>
    </row>
    <row r="108" spans="1:26" ht="14.25" hidden="1" customHeight="1" x14ac:dyDescent="0.2">
      <c r="A108" s="42"/>
      <c r="C108" s="42"/>
      <c r="D108" s="42"/>
      <c r="E108" s="42"/>
      <c r="F108" s="42"/>
      <c r="G108" s="57"/>
      <c r="H108" s="57"/>
      <c r="I108" s="42"/>
      <c r="J108" s="57"/>
      <c r="K108" s="42"/>
      <c r="L108" s="42"/>
      <c r="M108" s="42"/>
      <c r="N108" s="42">
        <f>Berechnung2!M55</f>
        <v>0</v>
      </c>
      <c r="O108" s="42"/>
      <c r="P108" s="42"/>
      <c r="Z108" s="8"/>
    </row>
    <row r="109" spans="1:26" ht="14.25" hidden="1" customHeight="1" x14ac:dyDescent="0.2">
      <c r="A109" s="42" t="str">
        <f>Berechnung2!B56</f>
        <v>2013,</v>
      </c>
      <c r="C109" s="42">
        <f>Berechnung2!C56</f>
        <v>0</v>
      </c>
      <c r="D109" s="42">
        <f>Berechnung2!D56</f>
        <v>0</v>
      </c>
      <c r="E109" s="42">
        <f>Berechnung2!E56</f>
        <v>0</v>
      </c>
      <c r="F109" s="42">
        <f>Berechnung2!F56</f>
        <v>0.64998999999999996</v>
      </c>
      <c r="G109" s="57">
        <f>Berechnung2!G56</f>
        <v>0.64998999999999996</v>
      </c>
      <c r="H109" s="57">
        <f>Berechnung2!H56</f>
        <v>0</v>
      </c>
      <c r="I109" s="42">
        <f>Berechnung2!I56</f>
        <v>0.95001000000000002</v>
      </c>
      <c r="J109" s="57">
        <f>Berechnung2!J56</f>
        <v>0.95001000000000002</v>
      </c>
      <c r="K109" s="42">
        <f>Berechnung2!K56</f>
        <v>0</v>
      </c>
      <c r="L109" s="42" t="str">
        <f>Berechnung2!L56</f>
        <v>OAS auffällig niedrig oder hoch</v>
      </c>
      <c r="M109" s="42"/>
      <c r="N109" s="42" t="str">
        <f>Berechnung2!M56</f>
        <v>OAS auffällig niedrig oder hoch</v>
      </c>
      <c r="O109" s="42"/>
      <c r="P109" s="42"/>
      <c r="Z109" s="8"/>
    </row>
    <row r="110" spans="1:26" ht="14.25" hidden="1" customHeight="1" x14ac:dyDescent="0.2">
      <c r="A110" s="42" t="str">
        <f>Berechnung2!B57</f>
        <v xml:space="preserve">2014, </v>
      </c>
      <c r="C110" s="42">
        <f>Berechnung2!C57</f>
        <v>0</v>
      </c>
      <c r="D110" s="42">
        <f>Berechnung2!D57</f>
        <v>0</v>
      </c>
      <c r="E110" s="42">
        <f>Berechnung2!E57</f>
        <v>0</v>
      </c>
      <c r="F110" s="42">
        <f>Berechnung2!F57</f>
        <v>0.64998999999999996</v>
      </c>
      <c r="G110" s="57">
        <f>Berechnung2!G57</f>
        <v>0.64998999999999996</v>
      </c>
      <c r="H110" s="57">
        <f>Berechnung2!H57</f>
        <v>0</v>
      </c>
      <c r="I110" s="42">
        <f>Berechnung2!I57</f>
        <v>0.95001000000000002</v>
      </c>
      <c r="J110" s="57">
        <f>Berechnung2!J57</f>
        <v>0.95001000000000002</v>
      </c>
      <c r="K110" s="42">
        <f>Berechnung2!K57</f>
        <v>0</v>
      </c>
      <c r="L110" s="42" t="str">
        <f>Berechnung2!L57</f>
        <v>OAS auffällig niedrig oder hoch</v>
      </c>
      <c r="M110" s="42"/>
      <c r="N110" s="42" t="str">
        <f>Berechnung2!M57</f>
        <v>OAS auffällig niedrig oder hoch</v>
      </c>
      <c r="O110" s="42"/>
      <c r="P110" s="42"/>
      <c r="Z110" s="8"/>
    </row>
    <row r="111" spans="1:26" ht="14.25" hidden="1" customHeight="1" x14ac:dyDescent="0.2">
      <c r="A111" s="42" t="str">
        <f>Berechnung2!B58</f>
        <v xml:space="preserve">2015, </v>
      </c>
      <c r="C111" s="42">
        <f>Berechnung2!C58</f>
        <v>0</v>
      </c>
      <c r="D111" s="42">
        <f>Berechnung2!D58</f>
        <v>0</v>
      </c>
      <c r="E111" s="42">
        <f>Berechnung2!E58</f>
        <v>0</v>
      </c>
      <c r="F111" s="42">
        <f>Berechnung2!F58</f>
        <v>0.69999</v>
      </c>
      <c r="G111" s="57">
        <f>Berechnung2!G58</f>
        <v>0.69999</v>
      </c>
      <c r="H111" s="57">
        <f>Berechnung2!H58</f>
        <v>0</v>
      </c>
      <c r="I111" s="42">
        <f>Berechnung2!I58</f>
        <v>0.99000999999999995</v>
      </c>
      <c r="J111" s="57">
        <f>Berechnung2!J58</f>
        <v>0.99000999999999995</v>
      </c>
      <c r="K111" s="42">
        <f>Berechnung2!K58</f>
        <v>0</v>
      </c>
      <c r="L111" s="42" t="str">
        <f>Berechnung2!L58</f>
        <v>OAS auffällig niedrig oder hoch</v>
      </c>
      <c r="M111" s="42"/>
      <c r="N111" s="42" t="str">
        <f>Berechnung2!M58</f>
        <v>OAS auffällig niedrig oder hoch</v>
      </c>
      <c r="O111" s="42"/>
      <c r="P111" s="42"/>
      <c r="Z111" s="8"/>
    </row>
    <row r="112" spans="1:26" ht="14.25" hidden="1" customHeight="1" x14ac:dyDescent="0.2">
      <c r="A112" s="42" t="str">
        <f>Berechnung2!B59</f>
        <v xml:space="preserve">2016, </v>
      </c>
      <c r="C112" s="42">
        <f>Berechnung2!C59</f>
        <v>0</v>
      </c>
      <c r="D112" s="42">
        <f>Berechnung2!D59</f>
        <v>0</v>
      </c>
      <c r="E112" s="42">
        <f>Berechnung2!E59</f>
        <v>0</v>
      </c>
      <c r="F112" s="42">
        <f>Berechnung2!F59</f>
        <v>0.79998999999999998</v>
      </c>
      <c r="G112" s="57">
        <f>Berechnung2!G59</f>
        <v>0.79998999999999998</v>
      </c>
      <c r="H112" s="57">
        <f>Berechnung2!H59</f>
        <v>0</v>
      </c>
      <c r="I112" s="42">
        <f>Berechnung2!I59</f>
        <v>0.99000999999999995</v>
      </c>
      <c r="J112" s="57">
        <f>Berechnung2!J59</f>
        <v>0.99000999999999995</v>
      </c>
      <c r="K112" s="42">
        <f>Berechnung2!K59</f>
        <v>0</v>
      </c>
      <c r="L112" s="42" t="str">
        <f>Berechnung2!L59</f>
        <v>OAS auffällig niedrig oder hoch</v>
      </c>
      <c r="M112" s="42"/>
      <c r="N112" s="42" t="str">
        <f>Berechnung2!M59</f>
        <v>OAS auffällig niedrig oder hoch</v>
      </c>
      <c r="O112" s="42"/>
      <c r="P112" s="42"/>
      <c r="Z112" s="8"/>
    </row>
    <row r="113" spans="1:26" ht="14.25" hidden="1" customHeight="1" x14ac:dyDescent="0.2">
      <c r="A113" s="42" t="str">
        <f>Berechnung2!B60</f>
        <v xml:space="preserve">2017, </v>
      </c>
      <c r="C113" s="42">
        <f>Berechnung2!C60</f>
        <v>0</v>
      </c>
      <c r="D113" s="42">
        <f>Berechnung2!D60</f>
        <v>0</v>
      </c>
      <c r="E113" s="42">
        <f>Berechnung2!E60</f>
        <v>0</v>
      </c>
      <c r="F113" s="42">
        <f>Berechnung2!F60</f>
        <v>0.89998999999999996</v>
      </c>
      <c r="G113" s="57">
        <f>Berechnung2!G60</f>
        <v>0.89998999999999996</v>
      </c>
      <c r="H113" s="57">
        <f>Berechnung2!H60</f>
        <v>0</v>
      </c>
      <c r="I113" s="42">
        <f>Berechnung2!I60</f>
        <v>0.99000999999999995</v>
      </c>
      <c r="J113" s="57">
        <f>Berechnung2!J60</f>
        <v>0.99000999999999995</v>
      </c>
      <c r="K113" s="42">
        <f>Berechnung2!K60</f>
        <v>0</v>
      </c>
      <c r="L113" s="42" t="str">
        <f>Berechnung2!L60</f>
        <v>OAS auffällig niedrig oder hoch</v>
      </c>
      <c r="M113" s="42"/>
      <c r="N113" s="42" t="str">
        <f>Berechnung2!M60</f>
        <v>OAS auffällig niedrig oder hoch</v>
      </c>
      <c r="O113" s="42"/>
      <c r="P113" s="42"/>
      <c r="Z113" s="8"/>
    </row>
    <row r="114" spans="1:26" ht="14.25" customHeight="1" x14ac:dyDescent="0.2">
      <c r="Z114" s="8"/>
    </row>
    <row r="115" spans="1:26" ht="14.25" customHeight="1" x14ac:dyDescent="0.2">
      <c r="Z115" s="8"/>
    </row>
    <row r="116" spans="1:26" ht="14.25" customHeight="1" x14ac:dyDescent="0.2">
      <c r="Z116" s="8"/>
    </row>
    <row r="117" spans="1:26" ht="14.25" customHeight="1" x14ac:dyDescent="0.2">
      <c r="Z117" s="8"/>
    </row>
  </sheetData>
  <sheetProtection selectLockedCells="1"/>
  <dataConsolidate/>
  <mergeCells count="95">
    <mergeCell ref="A37:Z37"/>
    <mergeCell ref="A38:Z38"/>
    <mergeCell ref="A39:Z39"/>
    <mergeCell ref="A40:Z40"/>
    <mergeCell ref="A41:Z41"/>
    <mergeCell ref="A32:Z32"/>
    <mergeCell ref="A33:Z33"/>
    <mergeCell ref="A34:Z34"/>
    <mergeCell ref="A35:Z35"/>
    <mergeCell ref="A36:Z36"/>
    <mergeCell ref="C19:G19"/>
    <mergeCell ref="I19:W19"/>
    <mergeCell ref="Y19:Z19"/>
    <mergeCell ref="B14:F14"/>
    <mergeCell ref="G14:K14"/>
    <mergeCell ref="L14:R14"/>
    <mergeCell ref="W14:Z14"/>
    <mergeCell ref="S14:V14"/>
    <mergeCell ref="F6:W6"/>
    <mergeCell ref="F8:J8"/>
    <mergeCell ref="T8:W8"/>
    <mergeCell ref="B13:F13"/>
    <mergeCell ref="G13:K13"/>
    <mergeCell ref="L13:R13"/>
    <mergeCell ref="S13:V13"/>
    <mergeCell ref="W13:Z13"/>
    <mergeCell ref="A11:Z11"/>
    <mergeCell ref="A21:A22"/>
    <mergeCell ref="B21:B22"/>
    <mergeCell ref="C21:C22"/>
    <mergeCell ref="D21:D22"/>
    <mergeCell ref="F21:F22"/>
    <mergeCell ref="E21:E22"/>
    <mergeCell ref="U21:U22"/>
    <mergeCell ref="O21:O22"/>
    <mergeCell ref="L21:L22"/>
    <mergeCell ref="G21:G22"/>
    <mergeCell ref="K21:K22"/>
    <mergeCell ref="I27:M27"/>
    <mergeCell ref="O27:W27"/>
    <mergeCell ref="Y28:Z28"/>
    <mergeCell ref="Z21:Z22"/>
    <mergeCell ref="R22:T22"/>
    <mergeCell ref="I28:M28"/>
    <mergeCell ref="Y21:Y22"/>
    <mergeCell ref="W21:W22"/>
    <mergeCell ref="M21:M22"/>
    <mergeCell ref="O28:W28"/>
    <mergeCell ref="Y27:Z27"/>
    <mergeCell ref="I21:I22"/>
    <mergeCell ref="J21:J22"/>
    <mergeCell ref="P21:P22"/>
    <mergeCell ref="Q21:Q22"/>
    <mergeCell ref="V21:V22"/>
    <mergeCell ref="B65:D65"/>
    <mergeCell ref="E65:G65"/>
    <mergeCell ref="B64:D64"/>
    <mergeCell ref="E64:G64"/>
    <mergeCell ref="H59:Z59"/>
    <mergeCell ref="B63:D63"/>
    <mergeCell ref="E63:G63"/>
    <mergeCell ref="B61:D61"/>
    <mergeCell ref="E61:G61"/>
    <mergeCell ref="B62:D62"/>
    <mergeCell ref="E62:G62"/>
    <mergeCell ref="B60:D60"/>
    <mergeCell ref="E60:G60"/>
    <mergeCell ref="B59:D59"/>
    <mergeCell ref="E59:G59"/>
    <mergeCell ref="B66:D66"/>
    <mergeCell ref="E66:G66"/>
    <mergeCell ref="B67:D67"/>
    <mergeCell ref="E67:G67"/>
    <mergeCell ref="B68:D68"/>
    <mergeCell ref="E68:G68"/>
    <mergeCell ref="B77:D77"/>
    <mergeCell ref="B74:D74"/>
    <mergeCell ref="B78:D78"/>
    <mergeCell ref="E78:G78"/>
    <mergeCell ref="E77:G77"/>
    <mergeCell ref="B76:D76"/>
    <mergeCell ref="E75:G75"/>
    <mergeCell ref="E76:G76"/>
    <mergeCell ref="B75:D75"/>
    <mergeCell ref="E74:G74"/>
    <mergeCell ref="B69:D69"/>
    <mergeCell ref="B73:D73"/>
    <mergeCell ref="E73:G73"/>
    <mergeCell ref="B72:D72"/>
    <mergeCell ref="E72:G72"/>
    <mergeCell ref="E69:G69"/>
    <mergeCell ref="E70:G70"/>
    <mergeCell ref="E71:G71"/>
    <mergeCell ref="B70:D70"/>
    <mergeCell ref="B71:D71"/>
  </mergeCells>
  <phoneticPr fontId="75" type="noConversion"/>
  <conditionalFormatting sqref="B23:B28">
    <cfRule type="expression" dxfId="111" priority="162" stopIfTrue="1">
      <formula>OR(A23="nicht relevant",A23="EZ")</formula>
    </cfRule>
  </conditionalFormatting>
  <conditionalFormatting sqref="B13:F13">
    <cfRule type="expression" dxfId="110" priority="2" stopIfTrue="1">
      <formula>$B$13="Nicht in Ordnung"</formula>
    </cfRule>
  </conditionalFormatting>
  <conditionalFormatting sqref="B14:F14">
    <cfRule type="expression" dxfId="109" priority="1" stopIfTrue="1">
      <formula>$B$14="die inkorrekten und unvollständigen Einträge beheben"</formula>
    </cfRule>
  </conditionalFormatting>
  <conditionalFormatting sqref="C23:C28">
    <cfRule type="cellIs" dxfId="108" priority="521" stopIfTrue="1" operator="lessThan">
      <formula>$G$88</formula>
    </cfRule>
    <cfRule type="expression" dxfId="107" priority="520" stopIfTrue="1">
      <formula>OR($A23="nicht relevant",$A23="EZ")</formula>
    </cfRule>
  </conditionalFormatting>
  <conditionalFormatting sqref="I23:I26">
    <cfRule type="expression" dxfId="106" priority="164" stopIfTrue="1">
      <formula>OR($A23="nicht relevant",$A23="EZ")</formula>
    </cfRule>
    <cfRule type="expression" dxfId="105" priority="167" stopIfTrue="1">
      <formula>LEN(TRIM(I23))=0</formula>
    </cfRule>
    <cfRule type="cellIs" dxfId="104" priority="168" stopIfTrue="1" operator="greaterThan">
      <formula>$C23-$G23</formula>
    </cfRule>
  </conditionalFormatting>
  <conditionalFormatting sqref="J23:L26 D23:G28">
    <cfRule type="expression" dxfId="103" priority="161" stopIfTrue="1">
      <formula>OR($A23="nicht relevant",$A23="EZ")</formula>
    </cfRule>
    <cfRule type="expression" dxfId="102" priority="166" stopIfTrue="1">
      <formula>LEN(TRIM(D23))=0</formula>
    </cfRule>
  </conditionalFormatting>
  <conditionalFormatting sqref="M23:M26">
    <cfRule type="expression" dxfId="101" priority="515" stopIfTrue="1">
      <formula>OR($A23="nicht relevant",$A23="EZ")</formula>
    </cfRule>
    <cfRule type="expression" dxfId="100" priority="516" stopIfTrue="1">
      <formula>LEN(TRIM(M23))=0</formula>
    </cfRule>
    <cfRule type="cellIs" dxfId="99" priority="517" stopIfTrue="1" operator="between">
      <formula>$G$90</formula>
      <formula>$I$90</formula>
    </cfRule>
  </conditionalFormatting>
  <conditionalFormatting sqref="M30">
    <cfRule type="cellIs" dxfId="98" priority="408" stopIfTrue="1" operator="between">
      <formula>$G$91</formula>
      <formula>$I$91</formula>
    </cfRule>
    <cfRule type="cellIs" dxfId="97" priority="409" stopIfTrue="1" operator="between">
      <formula>$H$92</formula>
      <formula>$I$92</formula>
    </cfRule>
    <cfRule type="cellIs" dxfId="96" priority="410" stopIfTrue="1" operator="equal">
      <formula>"---"</formula>
    </cfRule>
  </conditionalFormatting>
  <conditionalFormatting sqref="O23:O26">
    <cfRule type="cellIs" dxfId="95" priority="169" stopIfTrue="1" operator="lessThan">
      <formula>0</formula>
    </cfRule>
  </conditionalFormatting>
  <conditionalFormatting sqref="O23:W26">
    <cfRule type="expression" dxfId="94" priority="8" stopIfTrue="1">
      <formula>OR($A23="nicht relevant",$A23="EZ")</formula>
    </cfRule>
  </conditionalFormatting>
  <conditionalFormatting sqref="P23:P26">
    <cfRule type="cellIs" dxfId="93" priority="519" stopIfTrue="1" operator="between">
      <formula>$G$86</formula>
      <formula>$I$86</formula>
    </cfRule>
  </conditionalFormatting>
  <conditionalFormatting sqref="Q23:W26">
    <cfRule type="expression" dxfId="92" priority="9" stopIfTrue="1">
      <formula>LEN(TRIM(Q23))=0</formula>
    </cfRule>
  </conditionalFormatting>
  <conditionalFormatting sqref="R23:T26">
    <cfRule type="cellIs" dxfId="91" priority="12" stopIfTrue="1" operator="greaterThan">
      <formula>$Q23</formula>
    </cfRule>
  </conditionalFormatting>
  <conditionalFormatting sqref="Y23">
    <cfRule type="cellIs" dxfId="90" priority="461" stopIfTrue="1" operator="between">
      <formula>$D$100</formula>
      <formula>$F$100</formula>
    </cfRule>
    <cfRule type="cellIs" dxfId="89" priority="462" stopIfTrue="1" operator="greaterThan">
      <formula>$J100</formula>
    </cfRule>
  </conditionalFormatting>
  <conditionalFormatting sqref="Y24">
    <cfRule type="cellIs" dxfId="88" priority="465" stopIfTrue="1" operator="greaterThan">
      <formula>$J$101</formula>
    </cfRule>
    <cfRule type="cellIs" dxfId="87" priority="464" stopIfTrue="1" operator="between">
      <formula>$D$101</formula>
      <formula>$F$101</formula>
    </cfRule>
  </conditionalFormatting>
  <conditionalFormatting sqref="Y25">
    <cfRule type="cellIs" dxfId="86" priority="467" stopIfTrue="1" operator="between">
      <formula>$D$102</formula>
      <formula>$F$102</formula>
    </cfRule>
    <cfRule type="cellIs" dxfId="85" priority="468" stopIfTrue="1" operator="greaterThan">
      <formula>$J$102</formula>
    </cfRule>
  </conditionalFormatting>
  <conditionalFormatting sqref="Y26">
    <cfRule type="cellIs" dxfId="84" priority="470" stopIfTrue="1" operator="between">
      <formula>$D$103</formula>
      <formula>$F$103</formula>
    </cfRule>
    <cfRule type="cellIs" dxfId="83" priority="471" stopIfTrue="1" operator="greaterThan">
      <formula>$J$103</formula>
    </cfRule>
  </conditionalFormatting>
  <conditionalFormatting sqref="Y23:Z26">
    <cfRule type="expression" dxfId="82" priority="460" stopIfTrue="1">
      <formula>LEN(TRIM(Y23))=0</formula>
    </cfRule>
  </conditionalFormatting>
  <conditionalFormatting sqref="Z23">
    <cfRule type="cellIs" dxfId="81" priority="477" stopIfTrue="1" operator="greaterThan">
      <formula>$J$109</formula>
    </cfRule>
    <cfRule type="cellIs" dxfId="80" priority="476" stopIfTrue="1" operator="between">
      <formula>$D$109</formula>
      <formula>$F$109</formula>
    </cfRule>
  </conditionalFormatting>
  <conditionalFormatting sqref="Z24">
    <cfRule type="cellIs" dxfId="79" priority="479" stopIfTrue="1" operator="between">
      <formula>$D$109</formula>
      <formula>$F$110</formula>
    </cfRule>
    <cfRule type="cellIs" dxfId="78" priority="480" stopIfTrue="1" operator="greaterThan">
      <formula>$J$110</formula>
    </cfRule>
  </conditionalFormatting>
  <conditionalFormatting sqref="Z25">
    <cfRule type="cellIs" dxfId="77" priority="482" stopIfTrue="1" operator="between">
      <formula>$D109</formula>
      <formula>$F111</formula>
    </cfRule>
    <cfRule type="cellIs" dxfId="76" priority="483" stopIfTrue="1" operator="greaterThan">
      <formula>$J111</formula>
    </cfRule>
  </conditionalFormatting>
  <conditionalFormatting sqref="Z26">
    <cfRule type="cellIs" dxfId="75" priority="485" stopIfTrue="1" operator="between">
      <formula>$D109</formula>
      <formula>$F112</formula>
    </cfRule>
    <cfRule type="cellIs" dxfId="74" priority="486" stopIfTrue="1" operator="greaterThan">
      <formula>$J112</formula>
    </cfRule>
  </conditionalFormatting>
  <dataValidations count="12">
    <dataValidation type="whole" showInputMessage="1" showErrorMessage="1" errorTitle="Eingabefehler" error="Anzahl Pat. im Follow-Up zu hoch." sqref="L23:L27" xr:uid="{00000000-0002-0000-0B00-000000000000}">
      <formula1>0</formula1>
      <formula2>C23-G23-J23-K23</formula2>
    </dataValidation>
    <dataValidation type="whole" showInputMessage="1" showErrorMessage="1" errorTitle="Eingabefehler" error="Anzahl Pat. im Follow-Up zu hoch." sqref="K23:K27" xr:uid="{00000000-0002-0000-0B00-000001000000}">
      <formula1>0</formula1>
      <formula2>C23-G23-J23-L23</formula2>
    </dataValidation>
    <dataValidation type="whole" showInputMessage="1" showErrorMessage="1" errorTitle="Eingabefehler" error="Anzahl Pat. im Follow-Up zu hoch." sqref="J23:J27" xr:uid="{00000000-0002-0000-0B00-000002000000}">
      <formula1>0</formula1>
      <formula2>C23-G23-K23-L23</formula2>
    </dataValidation>
    <dataValidation type="whole" showInputMessage="1" showErrorMessage="1" errorTitle="Eingabefehler" error="Eingabe kann nicht größer sein als Ereignisse Spalte Q." sqref="S23:T27" xr:uid="{00000000-0002-0000-0B00-000003000000}">
      <formula1>0</formula1>
      <formula2>$Q23</formula2>
    </dataValidation>
    <dataValidation type="whole" showInputMessage="1" showErrorMessage="1" errorTitle="Eingabefehler" error="Eingabe kann nicht größer sein als Ereignisse Spalte Q._x000a_" sqref="R23:R27" xr:uid="{00000000-0002-0000-0B00-000004000000}">
      <formula1>0</formula1>
      <formula2>$Q23</formula2>
    </dataValidation>
    <dataValidation type="whole" operator="greaterThanOrEqual" allowBlank="1" showInputMessage="1" showErrorMessage="1" errorTitle="Error" error="Minuszahlen..." sqref="C23:C28" xr:uid="{00000000-0002-0000-0B00-000005000000}">
      <formula1>0</formula1>
    </dataValidation>
    <dataValidation type="whole" allowBlank="1" showInputMessage="1" showErrorMessage="1" errorTitle="Eingabefehler" error="Ganze Zahl zwischen 0 und 5000 eingeben." sqref="D23:G28" xr:uid="{00000000-0002-0000-0B00-000006000000}">
      <formula1>0</formula1>
      <formula2>5000</formula2>
    </dataValidation>
    <dataValidation type="decimal" allowBlank="1" showInputMessage="1" showErrorMessage="1" errorTitle="Aufüllhinweis" error="Nur Prozentwerte zwischen 0% und 100% können verwendet werden." sqref="Y23:Z27" xr:uid="{00000000-0002-0000-0B00-000007000000}">
      <formula1>0</formula1>
      <formula2>1</formula2>
    </dataValidation>
    <dataValidation type="whole" showInputMessage="1" showErrorMessage="1" errorTitle="Eingabefehler" error="Summe Spalten Q+U+V+W (Patienten mit Ereignisse) darf nicht größer als Summe Spalten J+K (Patientenrückmeldungen) sein." sqref="W23:W27" xr:uid="{00000000-0002-0000-0B00-000008000000}">
      <formula1>0</formula1>
      <formula2>SUM($J23:$K23)-$U23-$V23-$Q23</formula2>
    </dataValidation>
    <dataValidation type="whole" showInputMessage="1" showErrorMessage="1" errorTitle="Eingabefehler" error="Summe Spalten Q+U+V+W (Patienten mit Ereignisse) darf nicht größer als Summe Spalten J+K (Patientenrückmeldungen) sein." sqref="V23:V27" xr:uid="{00000000-0002-0000-0B00-000009000000}">
      <formula1>0</formula1>
      <formula2>SUM($J23:$K23)-$U23-$Q23-$W23</formula2>
    </dataValidation>
    <dataValidation type="whole" showInputMessage="1" showErrorMessage="1" errorTitle="Eingabefehler" error="Summe Spalten Q+U+V+W (Patienten mit Ereignisse) darf nicht größer als Summe Spalten J+K (Patientenrückmeldungen) sein." sqref="U23:U27" xr:uid="{00000000-0002-0000-0B00-00000A000000}">
      <formula1>0</formula1>
      <formula2>SUM($J23:$K23)-$Q23-$V23-$W23</formula2>
    </dataValidation>
    <dataValidation type="whole" showInputMessage="1" showErrorMessage="1" errorTitle="Eingabefehler" error="Summe Spalten Q+U+V+W (Patienten mit Ereignisse) darf nicht größer als Summe Spalten J+K (Patientenrückmeldungen) sein." sqref="Q23:Q27" xr:uid="{00000000-0002-0000-0B00-00000B000000}">
      <formula1>0</formula1>
      <formula2>SUM($J23:$K23)-$U23-$V23-$W23</formula2>
    </dataValidation>
  </dataValidations>
  <pageMargins left="0.39370078740157483" right="3.937007874015748E-2" top="0.59055118110236227" bottom="0.39370078740157483" header="0.11811023622047245" footer="0.11811023622047245"/>
  <pageSetup paperSize="9" scale="99" orientation="landscape" r:id="rId1"/>
  <headerFooter>
    <oddFooter>&amp;L&amp;"Arial,Standard"&amp;7&amp;F&amp;C&amp;"Arial,Standard"&amp;7 © DKG  Alle Rechte vorbehalten&amp;R&amp;"Arial,Standard"&amp;7&amp;P</oddFooter>
  </headerFooter>
  <rowBreaks count="2" manualBreakCount="2">
    <brk id="31" max="16383" man="1"/>
    <brk id="56"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dimension ref="A1:BK61"/>
  <sheetViews>
    <sheetView zoomScaleNormal="100" workbookViewId="0">
      <selection activeCell="F20" sqref="F20"/>
    </sheetView>
  </sheetViews>
  <sheetFormatPr defaultColWidth="9" defaultRowHeight="11.25" x14ac:dyDescent="0.25"/>
  <cols>
    <col min="1" max="1" width="20.7109375" style="35" customWidth="1"/>
    <col min="2" max="2" width="25.140625" style="35" customWidth="1"/>
    <col min="3" max="3" width="27.7109375" style="35" customWidth="1"/>
    <col min="4" max="4" width="22.85546875" style="35" customWidth="1"/>
    <col min="5" max="5" width="29.7109375" style="35" customWidth="1"/>
    <col min="6" max="6" width="31.42578125" style="35" customWidth="1"/>
    <col min="7" max="7" width="29.140625" style="170" customWidth="1"/>
    <col min="8" max="8" width="27" style="203" customWidth="1"/>
    <col min="9" max="9" width="27.7109375" style="165" customWidth="1"/>
    <col min="10" max="10" width="34.5703125" style="195" customWidth="1"/>
    <col min="11" max="11" width="29.85546875" style="35" customWidth="1"/>
    <col min="12" max="12" width="32.85546875" style="35" customWidth="1"/>
    <col min="13" max="13" width="30.28515625" style="35" customWidth="1"/>
    <col min="14" max="14" width="24.42578125" style="35" customWidth="1"/>
    <col min="15" max="15" width="14.7109375" style="35" customWidth="1"/>
    <col min="16" max="16" width="11.42578125" style="35" customWidth="1"/>
    <col min="17" max="17" width="27.140625" style="35" customWidth="1"/>
    <col min="18" max="18" width="27.5703125" style="35" customWidth="1"/>
    <col min="19" max="19" width="21.7109375" style="35" customWidth="1"/>
    <col min="20" max="20" width="19.7109375" style="35" customWidth="1"/>
    <col min="21" max="21" width="18.7109375" style="35" customWidth="1"/>
    <col min="22" max="160" width="11.42578125" style="35" customWidth="1"/>
    <col min="161" max="16384" width="9" style="35"/>
  </cols>
  <sheetData>
    <row r="1" spans="1:63" x14ac:dyDescent="0.25">
      <c r="G1" s="35"/>
      <c r="H1" s="195"/>
      <c r="I1" s="35"/>
    </row>
    <row r="2" spans="1:63" ht="12.75" customHeight="1" x14ac:dyDescent="0.25">
      <c r="A2" s="90" t="s">
        <v>291</v>
      </c>
      <c r="G2" s="35"/>
      <c r="H2" s="195"/>
      <c r="I2" s="35"/>
      <c r="AI2" s="165"/>
      <c r="BJ2" s="170"/>
    </row>
    <row r="3" spans="1:63" ht="14.25" customHeight="1" x14ac:dyDescent="0.25">
      <c r="AI3" s="165"/>
      <c r="BJ3" s="170"/>
    </row>
    <row r="4" spans="1:63" x14ac:dyDescent="0.25">
      <c r="G4" s="35"/>
      <c r="H4" s="195"/>
      <c r="I4" s="35"/>
      <c r="AI4" s="165"/>
      <c r="BJ4" s="170"/>
    </row>
    <row r="5" spans="1:63" ht="15" customHeight="1" x14ac:dyDescent="0.25">
      <c r="B5" s="161" t="s">
        <v>286</v>
      </c>
      <c r="C5" s="129" t="s">
        <v>280</v>
      </c>
      <c r="D5" s="162" t="s">
        <v>154</v>
      </c>
      <c r="E5" s="163" t="s">
        <v>287</v>
      </c>
      <c r="F5" s="164" t="s">
        <v>288</v>
      </c>
      <c r="G5" s="35"/>
      <c r="H5" s="195"/>
      <c r="I5" s="35"/>
      <c r="AI5" s="165"/>
      <c r="BI5" s="159"/>
    </row>
    <row r="6" spans="1:63" x14ac:dyDescent="0.25">
      <c r="B6" s="240" t="str">
        <f>IF(AND(E6=0,F6=0,Berechnung3!A7="relevant"),B8,IF(OR(Berechnung3!A7="nicht relevant",Berechnung3!A7="EZ"),"",B9))</f>
        <v/>
      </c>
      <c r="C6" s="166">
        <f>Berechnung3!J61</f>
        <v>0</v>
      </c>
      <c r="D6" s="167">
        <f>Berechnung3!J62</f>
        <v>0</v>
      </c>
      <c r="E6" s="168">
        <f>Berechnung3!J60</f>
        <v>0</v>
      </c>
      <c r="F6" s="169">
        <f>Berechnung3!J59</f>
        <v>0</v>
      </c>
      <c r="G6" s="35"/>
      <c r="H6" s="195"/>
      <c r="I6" s="35"/>
      <c r="AI6" s="165"/>
    </row>
    <row r="7" spans="1:63" x14ac:dyDescent="0.25">
      <c r="G7" s="35"/>
      <c r="H7" s="195"/>
      <c r="I7" s="35"/>
      <c r="AI7" s="165"/>
    </row>
    <row r="8" spans="1:63" x14ac:dyDescent="0.25">
      <c r="A8" s="90" t="s">
        <v>141</v>
      </c>
      <c r="B8" s="35" t="s">
        <v>338</v>
      </c>
      <c r="G8" s="35"/>
      <c r="H8" s="195"/>
      <c r="I8" s="35"/>
      <c r="AI8" s="165"/>
    </row>
    <row r="9" spans="1:63" x14ac:dyDescent="0.25">
      <c r="B9" s="35" t="s">
        <v>151</v>
      </c>
      <c r="G9" s="35"/>
      <c r="H9" s="195"/>
      <c r="I9" s="35"/>
      <c r="AI9" s="165"/>
    </row>
    <row r="10" spans="1:63" x14ac:dyDescent="0.25">
      <c r="G10" s="35"/>
      <c r="H10" s="195"/>
      <c r="I10" s="35"/>
      <c r="AI10" s="165"/>
    </row>
    <row r="11" spans="1:63" x14ac:dyDescent="0.25">
      <c r="A11" s="165"/>
      <c r="B11" s="90" t="s">
        <v>312</v>
      </c>
      <c r="G11" s="35"/>
      <c r="H11" s="195"/>
      <c r="I11" s="35"/>
      <c r="AI11" s="165"/>
    </row>
    <row r="12" spans="1:63" x14ac:dyDescent="0.25">
      <c r="A12" s="165"/>
      <c r="G12" s="35"/>
      <c r="H12" s="195"/>
      <c r="I12" s="35"/>
      <c r="AI12" s="165"/>
    </row>
    <row r="13" spans="1:63" x14ac:dyDescent="0.25">
      <c r="A13" s="165"/>
      <c r="B13" s="849" t="s">
        <v>297</v>
      </c>
      <c r="C13" s="851" t="s">
        <v>314</v>
      </c>
      <c r="D13" s="789" t="s">
        <v>296</v>
      </c>
      <c r="E13" s="853" t="s">
        <v>119</v>
      </c>
      <c r="G13" s="35"/>
      <c r="H13" s="195"/>
      <c r="I13" s="35"/>
      <c r="AI13" s="165"/>
    </row>
    <row r="14" spans="1:63" x14ac:dyDescent="0.25">
      <c r="A14" s="165"/>
      <c r="B14" s="850"/>
      <c r="C14" s="852"/>
      <c r="D14" s="789"/>
      <c r="E14" s="854"/>
      <c r="G14" s="35"/>
      <c r="H14" s="195"/>
      <c r="I14" s="120" t="s">
        <v>119</v>
      </c>
      <c r="J14" s="91" t="s">
        <v>120</v>
      </c>
      <c r="AI14" s="165"/>
    </row>
    <row r="15" spans="1:63" ht="38.1" customHeight="1" x14ac:dyDescent="0.25">
      <c r="A15" s="159" t="s">
        <v>311</v>
      </c>
      <c r="B15" s="157" t="str">
        <f>CONCATENATE(IF(Berechnung3!$H$2=Berechnung2!$L$32,Berechnung3!$B$2,""),IF(Berechnung3!$H$3=Berechnung2!$L$32,Berechnung3!$B$3,""),IF(Berechnung3!$H$4=Berechnung2!$L$32,Berechnung3!$B$4,""),IF(Berechnung3!$H$5=Berechnung2!$L$32,Berechnung3!$B$5,""),IF(Berechnung3!$H$6=Berechnung2!$L$32,Berechnung3!$B$6,""),IF(Berechnung3!$H$7=Berechnung2!$L$32,Berechnung3!$B$7,""))</f>
        <v/>
      </c>
      <c r="C15" s="34">
        <f>IF(LEN(B15)&gt;0,"X",0)</f>
        <v>0</v>
      </c>
      <c r="D15" s="34" t="str">
        <f>IF(COUNTIF(Berechnung3!$H$2:$H$7,Berechnung2!$L$32)&gt;0,CONCATENATE(Berechnung2!$F$5,"                                     ",Berechnung2!$L$32),"")</f>
        <v/>
      </c>
      <c r="E15" s="34" t="str">
        <f>IF(COUNTIF(Berechnung3!$H$2:$H$7,Berechnung2!$L$32)&gt;0,"a","")</f>
        <v/>
      </c>
      <c r="G15" s="125" t="e">
        <f t="array" ref="G15">INDEX(B:B,SMALL(IF($C$15:$C$25="X",ROW($15:$25)),1))</f>
        <v>#NUM!</v>
      </c>
      <c r="H15" s="234" t="e">
        <f t="array" ref="H15">INDEX(D:D,SMALL(IF($C$15:$C$25="X",ROW($15:$25)),1))</f>
        <v>#NUM!</v>
      </c>
      <c r="I15" s="94" t="e">
        <f t="array" ref="I15">INDEX(E:E,SMALL(IF($C$15:$C$25="X",ROW($15:$25)),1))</f>
        <v>#NUM!</v>
      </c>
      <c r="J15" s="34" t="e">
        <f>IF(AND('Data deficit_Matrix-Colon'!C19="",I15&lt;&gt;""),"Anmerkung OnkoZert : Keine Erläuterung vorhanden",'Data deficit_Matrix-Colon'!C19)</f>
        <v>#NUM!</v>
      </c>
      <c r="AJ15" s="165"/>
    </row>
    <row r="16" spans="1:63" ht="38.1" customHeight="1" x14ac:dyDescent="0.25">
      <c r="A16" s="159" t="s">
        <v>316</v>
      </c>
      <c r="B16" s="157" t="str">
        <f>CONCATENATE(IF(Berechnung3!$H$8=Berechnung2!$L$36,Berechnung3!$B$2,""),IF(Berechnung3!$H$9=Berechnung2!$L$36,Berechnung3!$B$3,""),IF(Berechnung3!$H$10=Berechnung2!$L$36,Berechnung3!$B$4,""),IF(Berechnung3!$H$11=Berechnung2!$L$36,Berechnung3!$B$5,""),IF(Berechnung3!$H$12=Berechnung2!$L$36,Berechnung3!$B$6,""),IF(Berechnung3!$H$13=Berechnung2!$L$36,Berechnung3!$B$7,""))</f>
        <v/>
      </c>
      <c r="C16" s="34">
        <f>IF(LEN(B16)&gt;0,"X",0)</f>
        <v>0</v>
      </c>
      <c r="D16" s="34" t="str">
        <f>IF(COUNTIF(Berechnung3!$H$8:$H$12,Berechnung2!$L$36)&gt;0,CONCATENATE(Berechnung2!$E$5,"                                     ",Berechnung2!$L$36),"")</f>
        <v/>
      </c>
      <c r="E16" s="34" t="str">
        <f>IF(COUNTIF(Berechnung3!$H$8:$H$12,Berechnung2!$L$36)&gt;0,"b","")</f>
        <v/>
      </c>
      <c r="G16" s="125" t="e">
        <f t="array" ref="G16">INDEX(B:B,SMALL(IF($C$15:$C$25="X",ROW($15:$25)),2))</f>
        <v>#NUM!</v>
      </c>
      <c r="H16" s="234" t="e">
        <f t="array" ref="H16">INDEX(D:D,SMALL(IF($C$15:$C$25="X",ROW($15:$25)),2))</f>
        <v>#NUM!</v>
      </c>
      <c r="I16" s="94" t="e">
        <f t="array" ref="I16">INDEX(E:E,SMALL(IF($C$15:$C$25="X",ROW($15:$25)),2))</f>
        <v>#NUM!</v>
      </c>
      <c r="J16" s="34" t="e">
        <f>IF(AND('Data deficit_Matrix-Colon'!C20="",I16&lt;&gt;""),"Anmerkung OnkoZert : Keine Erläuterung vorhanden",'Data deficit_Matrix-Colon'!C20)</f>
        <v>#NUM!</v>
      </c>
      <c r="AJ16" s="165"/>
      <c r="BK16" s="171"/>
    </row>
    <row r="17" spans="1:63" ht="38.1" customHeight="1" x14ac:dyDescent="0.25">
      <c r="A17" s="159" t="s">
        <v>317</v>
      </c>
      <c r="B17" s="157" t="str">
        <f>CONCATENATE(IF(Berechnung3!$H$14=Berechnung2!$L$42,Berechnung3!$B$2,""),IF(Berechnung3!$H$15=Berechnung2!$L$42,Berechnung3!$B$3,""),IF(Berechnung3!$H$16=Berechnung2!$L$42,Berechnung3!$B$4,""),IF(Berechnung3!$H$17=Berechnung2!$L$42,Berechnung3!$B$5,""),IF(Berechnung3!$H$18=Berechnung2!$L$42,Berechnung3!$B$6,""),IF(Berechnung3!$H$19=Berechnung2!$L$42,Berechnung3!$B$7,""))</f>
        <v/>
      </c>
      <c r="C17" s="34">
        <f>IF(LEN(B17)&gt;0,"X",0)</f>
        <v>0</v>
      </c>
      <c r="D17" s="34" t="str">
        <f>IF(COUNTIF(Berechnung3!$H$14:$H$18,Berechnung2!$L$42)&gt;0,CONCATENATE(Berechnung2!$E$5,"                                     ",Berechnung2!$L$42),"")</f>
        <v/>
      </c>
      <c r="E17" s="34" t="str">
        <f>IF(COUNTIF(Berechnung3!$H$14:$H$18,Berechnung2!$L$42)&gt;0,"c","")</f>
        <v/>
      </c>
      <c r="G17" s="125" t="e">
        <f t="array" ref="G17">INDEX(B:B,SMALL(IF($C$15:$C$25="X",ROW($15:$25)),3))</f>
        <v>#NUM!</v>
      </c>
      <c r="H17" s="234" t="e">
        <f t="array" ref="H17">INDEX(D:D,SMALL(IF($C$15:$C$25="X",ROW($15:$25)),3))</f>
        <v>#NUM!</v>
      </c>
      <c r="I17" s="94" t="e">
        <f t="array" ref="I17">INDEX(E:E,SMALL(IF($C$15:$C$25="X",ROW($15:$25)),3))</f>
        <v>#NUM!</v>
      </c>
      <c r="J17" s="34" t="e">
        <f>IF(AND('Data deficit_Matrix-Colon'!C21="",I17&lt;&gt;""),"Anmerkung OnkoZert : Keine Erläuterung vorhanden",'Data deficit_Matrix-Colon'!C21)</f>
        <v>#NUM!</v>
      </c>
      <c r="AJ17" s="165"/>
    </row>
    <row r="18" spans="1:63" ht="38.1" customHeight="1" x14ac:dyDescent="0.25">
      <c r="A18" s="159" t="s">
        <v>315</v>
      </c>
      <c r="B18" s="157" t="str">
        <f>CONCATENATE(IF(Berechnung3!$H$20=Berechnung2!$L$40,Berechnung3!$B$2,""),IF(Berechnung3!$H$21=Berechnung2!$L$40,Berechnung3!$B$3,""),IF(Berechnung3!$H$22=Berechnung2!$L$40,Berechnung3!$B$4,""),IF(Berechnung3!$H$23=Berechnung2!$L$40,Berechnung3!$B$5,""),IF(Berechnung3!$H$24=Berechnung2!$L$40,Berechnung3!$B$6,""),IF(Berechnung3!$H$25=Berechnung2!$L$40,Berechnung3!$B$7,""))</f>
        <v/>
      </c>
      <c r="C18" s="34">
        <f>IF(LEN(B18)&gt;0,"X",0)</f>
        <v>0</v>
      </c>
      <c r="D18" s="34" t="str">
        <f>IF(COUNTIF(Berechnung3!$H$20:$H$24,Berechnung2!$L$40)&gt;0,CONCATENATE(Berechnung2!$E$5,"                                     ",Berechnung2!$L$40),"")</f>
        <v/>
      </c>
      <c r="E18" s="34" t="str">
        <f>IF(COUNTIF(Berechnung3!$H$20:$H$24,Berechnung2!$L$40)&gt;0,"d","")</f>
        <v/>
      </c>
      <c r="G18" s="125" t="e">
        <f t="array" ref="G18">INDEX(B:B,SMALL(IF($C$15:$C$25="X",ROW($15:$25)),4))</f>
        <v>#NUM!</v>
      </c>
      <c r="H18" s="234" t="e">
        <f t="array" ref="H18">INDEX(D:D,SMALL(IF($C$15:$C$25="X",ROW($15:$25)),4))</f>
        <v>#NUM!</v>
      </c>
      <c r="I18" s="94" t="e">
        <f t="array" ref="I18">INDEX(E:E,SMALL(IF($C$15:$C$25="X",ROW($15:$25)),4))</f>
        <v>#NUM!</v>
      </c>
      <c r="J18" s="34" t="e">
        <f>IF(AND('Data deficit_Matrix-Colon'!C22="",I18&lt;&gt;""),"Anmerkung OnkoZert : Keine Erläuterung vorhanden",'Data deficit_Matrix-Colon'!C22)</f>
        <v>#NUM!</v>
      </c>
      <c r="AJ18" s="165"/>
      <c r="BK18" s="170"/>
    </row>
    <row r="19" spans="1:63" ht="38.1" customHeight="1" x14ac:dyDescent="0.25">
      <c r="A19" s="159" t="s">
        <v>153</v>
      </c>
      <c r="B19" s="121" t="s">
        <v>387</v>
      </c>
      <c r="C19" s="34">
        <f>IF(LEN(D19)&gt;0,"X",0)</f>
        <v>0</v>
      </c>
      <c r="D19" s="34" t="str">
        <f>IF(COUNTIF(Berechnung3!$H$26,Berechnung2!$L$38)&gt;0,CONCATENATE(Berechnung2!$D$5,"                                     ",Berechnung2!$L$38),"")</f>
        <v/>
      </c>
      <c r="E19" s="34" t="str">
        <f>IF(COUNTIF(Berechnung3!$H$26,Berechnung2!$L$38)&gt;0,"e","")</f>
        <v/>
      </c>
      <c r="G19" s="125" t="e">
        <f t="array" ref="G19">INDEX(B:B,SMALL(IF($C$15:$C$25="X",ROW($15:$25)),5))</f>
        <v>#NUM!</v>
      </c>
      <c r="H19" s="234" t="e">
        <f t="array" ref="H19">INDEX(D:D,SMALL(IF($C$15:$C$25="X",ROW($15:$25)),5))</f>
        <v>#NUM!</v>
      </c>
      <c r="I19" s="94" t="e">
        <f t="array" ref="I19">INDEX(E:E,SMALL(IF($C$15:$C$25="X",ROW($15:$25)),5))</f>
        <v>#NUM!</v>
      </c>
      <c r="J19" s="34" t="e">
        <f>IF(AND('Data deficit_Matrix-Colon'!C23="",I19&lt;&gt;""),"Anmerkung OnkoZert : Keine Erläuterung vorhanden",'Data deficit_Matrix-Colon'!C23)</f>
        <v>#NUM!</v>
      </c>
    </row>
    <row r="20" spans="1:63" ht="38.1" customHeight="1" x14ac:dyDescent="0.25">
      <c r="A20" s="159" t="s">
        <v>318</v>
      </c>
      <c r="B20" s="157" t="str">
        <f>CONCATENATE(IF(Berechnung3!$H$27=Berechnung2!$L$35,Berechnung3!$B$2,""),IF(Berechnung3!$H$28=Berechnung2!$L$35,Berechnung3!$B$3,""),IF(Berechnung3!$H$29=Berechnung2!$L$35,Berechnung3!$B$4,""),IF(Berechnung3!$H$30=Berechnung2!$L$35,Berechnung3!$B$5,""),IF(Berechnung3!$H$31=Berechnung2!$L$35,Berechnung3!$B$6,""),IF(Berechnung3!$H$32=Berechnung2!$L$35,Berechnung3!$B$7,""))</f>
        <v/>
      </c>
      <c r="C20" s="34">
        <f>IF(LEN(B20)&gt;0,"X",0)</f>
        <v>0</v>
      </c>
      <c r="D20" s="34" t="str">
        <f>IF(COUNTIF(Berechnung3!$H$27:$H$32,Berechnung2!$L$35)&gt;0,CONCATENATE(Berechnung2!$C$5,"                                     ",Berechnung2!$L$35),"")</f>
        <v/>
      </c>
      <c r="E20" s="34" t="str">
        <f>IF(COUNTIF(Berechnung3!$H$27:$H$32,Berechnung2!$L$35)&gt;0,"f","")</f>
        <v/>
      </c>
      <c r="G20" s="125" t="e">
        <f t="array" ref="G20">INDEX(B:B,SMALL(IF($C$15:$C$25="X",ROW($15:$25)),6))</f>
        <v>#NUM!</v>
      </c>
      <c r="H20" s="234" t="e">
        <f t="array" ref="H20">INDEX(D:D,SMALL(IF($C$15:$C$25="X",ROW($15:$25)),6))</f>
        <v>#NUM!</v>
      </c>
      <c r="I20" s="94" t="e">
        <f t="array" ref="I20">INDEX(E:E,SMALL(IF($C$15:$C$25="X",ROW($15:$25)),6))</f>
        <v>#NUM!</v>
      </c>
      <c r="J20" s="34" t="e">
        <f>IF(AND('Data deficit_Matrix-Colon'!C24="",I20&lt;&gt;""),"Anmerkung OnkoZert : Keine Erläuterung vorhanden",'Data deficit_Matrix-Colon'!C24)</f>
        <v>#NUM!</v>
      </c>
    </row>
    <row r="21" spans="1:63" ht="38.1" customHeight="1" x14ac:dyDescent="0.25">
      <c r="A21" s="159"/>
      <c r="B21" s="121" t="s">
        <v>387</v>
      </c>
      <c r="C21" s="34">
        <f>IF(LEN(D21)&gt;0,"X",0)</f>
        <v>0</v>
      </c>
      <c r="D21" s="34" t="str">
        <f>IF(COUNTIF(Berechnung3!$H$33,Berechnung2!$L$39),CONCATENATE(Berechnung2!$C$5,"                                     ",Berechnung2!$L$39),"")</f>
        <v/>
      </c>
      <c r="E21" s="34" t="str">
        <f>IF(COUNTIF(Berechnung3!$H$33,Berechnung2!$L$39)&gt;0,"g","")</f>
        <v/>
      </c>
      <c r="G21" s="125" t="e">
        <f t="array" ref="G21">INDEX(B:B,SMALL(IF($C$15:$C$25="X",ROW($15:$25)),7))</f>
        <v>#NUM!</v>
      </c>
      <c r="H21" s="234" t="e">
        <f t="array" ref="H21">INDEX(D:D,SMALL(IF($C$15:$C$25="X",ROW($15:$25)),7))</f>
        <v>#NUM!</v>
      </c>
      <c r="I21" s="94" t="e">
        <f t="array" ref="I21">INDEX(E:E,SMALL(IF($C$15:$C$25="X",ROW($15:$25)),7))</f>
        <v>#NUM!</v>
      </c>
      <c r="J21" s="34" t="e">
        <f>IF(AND('Data deficit_Matrix-Colon'!C25="",I21&lt;&gt;""),"Anmerkung OnkoZert : Keine Erläuterung vorhanden",'Data deficit_Matrix-Colon'!C25)</f>
        <v>#NUM!</v>
      </c>
    </row>
    <row r="22" spans="1:63" ht="38.1" customHeight="1" x14ac:dyDescent="0.25">
      <c r="A22" s="159" t="s">
        <v>319</v>
      </c>
      <c r="B22" s="157" t="str">
        <f>CONCATENATE(IF(Berechnung3!$H$34=Berechnung2!$L$37,Berechnung3!$B$2,""),IF(Berechnung3!$H$35=Berechnung2!$L$37,Berechnung3!$B$3,""),IF(Berechnung3!$H$36=Berechnung2!$L$37,Berechnung3!$B$4,""),IF(Berechnung3!$H$37=Berechnung2!$L$37,Berechnung3!$B$5,""),IF(Berechnung3!$H$38=Berechnung2!$L$37,Berechnung3!$B$6,""),IF(Berechnung3!$H$39=Berechnung2!$L$37,Berechnung3!$B$7,""))</f>
        <v/>
      </c>
      <c r="C22" s="34">
        <f>IF(LEN(B22)&gt;0,"X",0)</f>
        <v>0</v>
      </c>
      <c r="D22" s="34" t="str">
        <f>IF(COUNTIF(Berechnung3!H34:H38,Berechnung2!$L$37)&gt;0,CONCATENATE(Berechnung2!$C$5,"                                     ",Berechnung2!$L$37),"")</f>
        <v/>
      </c>
      <c r="E22" s="34" t="str">
        <f>IF(COUNTIF(Berechnung3!H34:H38,Berechnung2!$L$37)&gt;0,"h","")</f>
        <v/>
      </c>
      <c r="G22" s="125" t="e">
        <f t="array" ref="G22">INDEX(B:B,SMALL(IF($C$15:$C$25="X",ROW($15:$25)),8))</f>
        <v>#NUM!</v>
      </c>
      <c r="H22" s="234" t="e">
        <f t="array" ref="H22">INDEX(D:D,SMALL(IF($C$15:$C$25="X",ROW($15:$25)),8))</f>
        <v>#NUM!</v>
      </c>
      <c r="I22" s="94" t="e">
        <f t="array" ref="I22">INDEX(E:E,SMALL(IF($C$15:$C$25="X",ROW($15:$25)),8))</f>
        <v>#NUM!</v>
      </c>
      <c r="J22" s="34" t="e">
        <f>IF(AND('Data deficit_Matrix-Colon'!C26="",I22&lt;&gt;""),"Anmerkung OnkoZert : Keine Erläuterung vorhanden",'Data deficit_Matrix-Colon'!C26)</f>
        <v>#NUM!</v>
      </c>
    </row>
    <row r="23" spans="1:63" ht="38.1" customHeight="1" x14ac:dyDescent="0.25">
      <c r="A23" s="159" t="s">
        <v>320</v>
      </c>
      <c r="B23" s="157" t="str">
        <f>CONCATENATE(IF(Berechnung3!$H$40=Berechnung2!$L$33,Berechnung3!$B$2,""),IF(Berechnung3!$H$41=Berechnung2!$L$33,Berechnung3!$B$3,""),IF(Berechnung3!$H$42=Berechnung2!$L$33,Berechnung3!$B$4,""),IF(Berechnung3!$H$43=Berechnung2!$L$33,Berechnung3!$B$5,""),IF(Berechnung3!$H$44=Berechnung2!$L$33,Berechnung3!$B$6,""),IF(Berechnung3!$H$45=Berechnung2!$L$33,Berechnung3!$B$7,""))</f>
        <v/>
      </c>
      <c r="C23" s="34">
        <f>IF(LEN(B23)&gt;0,"X",0)</f>
        <v>0</v>
      </c>
      <c r="D23" s="34" t="str">
        <f>IF(COUNTIF(Berechnung3!$H$40:$H$44,Berechnung2!$L$33)&gt;0,CONCATENATE(Berechnung2!$C$5,"                                     ",Berechnung2!$L$33),"")</f>
        <v/>
      </c>
      <c r="E23" s="34" t="str">
        <f>IF(COUNTIF(Berechnung3!$H$40:$H$44,Berechnung2!$L$33)&gt;0,"i","")</f>
        <v/>
      </c>
      <c r="G23" s="125" t="e">
        <f t="array" ref="G23">INDEX(B:B,SMALL(IF($C$15:$C$25="X",ROW($15:$25)),9))</f>
        <v>#NUM!</v>
      </c>
      <c r="H23" s="234" t="e">
        <f t="array" ref="H23">INDEX(D:D,SMALL(IF($C$15:$C$25="X",ROW($15:$25)),9))</f>
        <v>#NUM!</v>
      </c>
      <c r="I23" s="94" t="e">
        <f t="array" ref="I23">INDEX(E:E,SMALL(IF($C$15:$C$25="X",ROW($15:$25)),9))</f>
        <v>#NUM!</v>
      </c>
      <c r="J23" s="34" t="e">
        <f>IF(AND('Data deficit_Matrix-Colon'!C27="",I23&lt;&gt;""),"Anmerkung OnkoZert : Keine Erläuterung vorhanden",'Data deficit_Matrix-Colon'!C27)</f>
        <v>#NUM!</v>
      </c>
    </row>
    <row r="24" spans="1:63" ht="38.1" customHeight="1" x14ac:dyDescent="0.25">
      <c r="A24" s="159" t="s">
        <v>289</v>
      </c>
      <c r="B24" s="158" t="str">
        <f>CONCATENATE(IF(Berechnung3!$H$46=Berechnung2!$L$47,Berechnung3!$B$2,""),IF(Berechnung3!$H$47=Berechnung2!$L$47,Berechnung3!$B$3,""),IF(Berechnung3!$H$48=Berechnung2!$L$47,Berechnung3!$B$4,""),IF(Berechnung3!$H$49=Berechnung2!$L$47,Berechnung3!$B$5,""),IF(Berechnung3!$H$50=Berechnung2!$L$47,Berechnung3!$B$6,""),IF(Berechnung3!$H$51=Berechnung2!$L$47,Berechnung3!$B$7,""))</f>
        <v/>
      </c>
      <c r="C24" s="34">
        <f>IF(LEN(B24)&gt;0,"X",0)</f>
        <v>0</v>
      </c>
      <c r="D24" s="34" t="str">
        <f>IF(COUNTIF(Berechnung3!$H$46:$H$50,Berechnung2!$L$47)&gt;0,CONCATENATE(Berechnung2!$C$5,"                  ",Berechnung2!$L$47),"")</f>
        <v/>
      </c>
      <c r="E24" s="34" t="str">
        <f>IF(COUNTIF(Berechnung3!$H$46:$H$50,Berechnung2!$L$47)&gt;0,"j","")</f>
        <v/>
      </c>
      <c r="G24" s="125" t="e">
        <f t="array" ref="G24">INDEX(B:B,SMALL(IF($C$15:$C$25="X",ROW($15:$25)),10))</f>
        <v>#NUM!</v>
      </c>
      <c r="H24" s="234" t="e">
        <f t="array" ref="H24">INDEX(D:D,SMALL(IF($C$15:$C$25="X",ROW($15:$25)),10))</f>
        <v>#NUM!</v>
      </c>
      <c r="I24" s="94" t="e">
        <f t="array" ref="I24">INDEX(E:E,SMALL(IF($C$15:$C$25="X",ROW($15:$25)),10))</f>
        <v>#NUM!</v>
      </c>
      <c r="J24" s="34" t="e">
        <f>IF(AND('Data deficit_Matrix-Colon'!C28="",I24&lt;&gt;""),"Anmerkung OnkoZert : Keine Erläuterung vorhanden",'Data deficit_Matrix-Colon'!C28)</f>
        <v>#NUM!</v>
      </c>
    </row>
    <row r="25" spans="1:63" ht="38.1" customHeight="1" x14ac:dyDescent="0.25">
      <c r="A25" s="159" t="s">
        <v>239</v>
      </c>
      <c r="B25" s="34" t="str">
        <f>CONCATENATE(IF(Berechnung3!H52=Berechnung2!$L$56,Berechnung3!$B$2,""),IF(Berechnung3!$H$53=Berechnung2!$L$56,Berechnung3!$B$3,""),IF(Berechnung3!$H$54=Berechnung2!$L$56,Berechnung3!$B$4,""),IF(Berechnung3!$H$55=Berechnung2!$L$56,Berechnung3!$B$5,""),IF(Berechnung3!$H$56=Berechnung2!$L$56,Berechnung3!$B$6,""),IF(Berechnung3!$H$57=Berechnung2!$L$56,Berechnung3!$B$7,""))</f>
        <v/>
      </c>
      <c r="C25" s="34">
        <f>IF(LEN(B25)&gt;0,"X",0)</f>
        <v>0</v>
      </c>
      <c r="D25" s="34" t="str">
        <f>IF(COUNTIF(Berechnung3!$H$52:$H$56,Berechnung2!$L$56)&gt;0,CONCATENATE(Berechnung2!$C$5,"                 ",Berechnung2!$L$56),"")</f>
        <v/>
      </c>
      <c r="E25" s="34" t="str">
        <f>IF(COUNTIF(Berechnung3!$H$52:$H$56,Berechnung2!$L$56)&gt;0,"k","")</f>
        <v/>
      </c>
      <c r="G25" s="125" t="e">
        <f t="array" ref="G25">INDEX(B:B,SMALL(IF($C$15:$C$25="X",ROW($15:$25)),11))</f>
        <v>#NUM!</v>
      </c>
      <c r="H25" s="234" t="e">
        <f t="array" ref="H25">INDEX(D:D,SMALL(IF($C$15:$C$25="X",ROW($15:$25)),11))</f>
        <v>#NUM!</v>
      </c>
      <c r="I25" s="94" t="e">
        <f t="array" ref="I25">INDEX(E:E,SMALL(IF($C$15:$C$25="X",ROW($15:$25)),11))</f>
        <v>#NUM!</v>
      </c>
      <c r="J25" s="34" t="e">
        <f>IF(AND('Data deficit_Matrix-Colon'!C29="",I25&lt;&gt;""),"Anmerkung OnkoZert : Keine Erläuterung vorhanden",'Data deficit_Matrix-Colon'!C29)</f>
        <v>#NUM!</v>
      </c>
    </row>
    <row r="26" spans="1:63" x14ac:dyDescent="0.25">
      <c r="A26" s="165"/>
      <c r="F26" s="124"/>
      <c r="G26" s="124"/>
      <c r="H26" s="195"/>
      <c r="I26" s="35"/>
    </row>
    <row r="27" spans="1:63" x14ac:dyDescent="0.25">
      <c r="G27" s="35"/>
      <c r="H27" s="195"/>
    </row>
    <row r="29" spans="1:63" s="134" customFormat="1" x14ac:dyDescent="0.25">
      <c r="B29" s="90" t="s">
        <v>295</v>
      </c>
      <c r="H29" s="196"/>
      <c r="J29" s="196"/>
    </row>
    <row r="30" spans="1:63" x14ac:dyDescent="0.25">
      <c r="A30" s="134"/>
      <c r="B30" s="318" t="s">
        <v>307</v>
      </c>
      <c r="C30" s="318"/>
      <c r="D30" s="318"/>
      <c r="E30" s="120"/>
      <c r="F30" s="126" t="s">
        <v>305</v>
      </c>
      <c r="G30" s="120"/>
      <c r="H30" s="91"/>
      <c r="I30" s="120"/>
      <c r="J30" s="197"/>
      <c r="K30" s="318"/>
      <c r="L30" s="318" t="s">
        <v>142</v>
      </c>
      <c r="M30" s="318"/>
      <c r="N30" s="318" t="s">
        <v>143</v>
      </c>
      <c r="O30" s="318"/>
      <c r="P30" s="134"/>
    </row>
    <row r="31" spans="1:63" x14ac:dyDescent="0.25">
      <c r="A31" s="134"/>
      <c r="B31" s="318"/>
      <c r="C31" s="318"/>
      <c r="D31" s="318"/>
      <c r="E31" s="120"/>
      <c r="F31" s="126"/>
      <c r="G31" s="120"/>
      <c r="H31" s="91"/>
      <c r="I31" s="120"/>
      <c r="J31" s="197"/>
      <c r="K31" s="318"/>
      <c r="L31" s="172"/>
      <c r="M31" s="172"/>
      <c r="N31" s="172" t="s">
        <v>28</v>
      </c>
      <c r="O31" s="236"/>
      <c r="P31" s="134"/>
    </row>
    <row r="32" spans="1:63" x14ac:dyDescent="0.25">
      <c r="B32" s="236" t="s">
        <v>29</v>
      </c>
      <c r="C32" s="236"/>
      <c r="D32" s="236" t="s">
        <v>311</v>
      </c>
      <c r="E32" s="217"/>
      <c r="F32" s="127"/>
      <c r="G32" s="217"/>
      <c r="H32" s="201"/>
      <c r="I32" s="217"/>
      <c r="J32" s="198"/>
      <c r="K32" s="217"/>
      <c r="L32" s="172" t="s">
        <v>29</v>
      </c>
      <c r="M32" s="172"/>
      <c r="N32" s="172"/>
      <c r="O32" s="236"/>
      <c r="P32" s="134"/>
    </row>
    <row r="33" spans="1:16" x14ac:dyDescent="0.25">
      <c r="B33" s="272" t="s">
        <v>294</v>
      </c>
      <c r="C33" s="272"/>
      <c r="D33" s="272" t="s">
        <v>308</v>
      </c>
      <c r="E33" s="108" t="s">
        <v>31</v>
      </c>
      <c r="F33" s="109">
        <v>-1</v>
      </c>
      <c r="G33" s="110">
        <v>-1</v>
      </c>
      <c r="H33" s="204">
        <v>-1</v>
      </c>
      <c r="I33" s="317">
        <v>-1</v>
      </c>
      <c r="J33" s="199">
        <v>-1</v>
      </c>
      <c r="K33" s="132"/>
      <c r="L33" s="131" t="s">
        <v>325</v>
      </c>
      <c r="M33" s="131"/>
      <c r="N33" s="131"/>
      <c r="O33" s="272"/>
      <c r="P33" s="134"/>
    </row>
    <row r="34" spans="1:16" x14ac:dyDescent="0.25">
      <c r="B34" s="236" t="s">
        <v>298</v>
      </c>
      <c r="C34" s="236"/>
      <c r="D34" s="236" t="s">
        <v>290</v>
      </c>
      <c r="E34" s="217" t="s">
        <v>292</v>
      </c>
      <c r="F34" s="127">
        <v>0</v>
      </c>
      <c r="G34" s="128">
        <v>0</v>
      </c>
      <c r="H34" s="200"/>
      <c r="I34" s="217"/>
      <c r="J34" s="198">
        <v>1</v>
      </c>
      <c r="K34" s="217"/>
      <c r="L34" s="172"/>
      <c r="M34" s="172"/>
      <c r="N34" s="172"/>
      <c r="O34" s="236"/>
      <c r="P34" s="134"/>
    </row>
    <row r="35" spans="1:16" x14ac:dyDescent="0.25">
      <c r="B35" s="236" t="s">
        <v>299</v>
      </c>
      <c r="C35" s="236"/>
      <c r="D35" s="236" t="s">
        <v>308</v>
      </c>
      <c r="E35" s="217" t="s">
        <v>293</v>
      </c>
      <c r="F35" s="217"/>
      <c r="G35" s="217">
        <v>25</v>
      </c>
      <c r="H35" s="201"/>
      <c r="I35" s="217"/>
      <c r="J35" s="198"/>
      <c r="K35" s="217"/>
      <c r="L35" s="172" t="s">
        <v>326</v>
      </c>
      <c r="M35" s="172"/>
      <c r="N35" s="172"/>
      <c r="O35" s="236"/>
      <c r="P35" s="134"/>
    </row>
    <row r="36" spans="1:16" x14ac:dyDescent="0.25">
      <c r="B36" s="236" t="s">
        <v>300</v>
      </c>
      <c r="C36" s="236"/>
      <c r="D36" s="236" t="s">
        <v>290</v>
      </c>
      <c r="E36" s="217"/>
      <c r="F36" s="217"/>
      <c r="G36" s="217"/>
      <c r="H36" s="201"/>
      <c r="I36" s="217"/>
      <c r="J36" s="198"/>
      <c r="K36" s="217"/>
      <c r="L36" s="172" t="s">
        <v>360</v>
      </c>
      <c r="M36" s="172"/>
      <c r="N36" s="172" t="s">
        <v>27</v>
      </c>
      <c r="O36" s="236"/>
      <c r="P36" s="134"/>
    </row>
    <row r="37" spans="1:16" x14ac:dyDescent="0.25">
      <c r="B37" s="236" t="s">
        <v>39</v>
      </c>
      <c r="C37" s="236"/>
      <c r="D37" s="236" t="s">
        <v>308</v>
      </c>
      <c r="E37" s="217" t="s">
        <v>293</v>
      </c>
      <c r="F37" s="127">
        <v>0</v>
      </c>
      <c r="G37" s="128">
        <v>0</v>
      </c>
      <c r="H37" s="200"/>
      <c r="I37" s="315">
        <v>0.69999</v>
      </c>
      <c r="J37" s="198">
        <v>0.69999</v>
      </c>
      <c r="K37" s="217"/>
      <c r="L37" s="172" t="s">
        <v>25</v>
      </c>
      <c r="M37" s="172"/>
      <c r="N37" s="172"/>
      <c r="O37" s="236"/>
      <c r="P37" s="134"/>
    </row>
    <row r="38" spans="1:16" x14ac:dyDescent="0.25">
      <c r="B38" s="172" t="s">
        <v>388</v>
      </c>
      <c r="C38" s="236"/>
      <c r="D38" s="236" t="s">
        <v>309</v>
      </c>
      <c r="E38" s="217" t="s">
        <v>293</v>
      </c>
      <c r="F38" s="127">
        <v>0</v>
      </c>
      <c r="G38" s="128">
        <v>0</v>
      </c>
      <c r="H38" s="200"/>
      <c r="I38" s="315">
        <v>0.79998999999999998</v>
      </c>
      <c r="J38" s="200">
        <v>0.79998999999999998</v>
      </c>
      <c r="K38" s="217"/>
      <c r="L38" s="172" t="s">
        <v>40</v>
      </c>
      <c r="M38" s="172"/>
      <c r="N38" s="172"/>
      <c r="O38" s="236"/>
      <c r="P38" s="134"/>
    </row>
    <row r="39" spans="1:16" x14ac:dyDescent="0.25">
      <c r="B39" s="172" t="s">
        <v>389</v>
      </c>
      <c r="C39" s="236"/>
      <c r="D39" s="236" t="s">
        <v>308</v>
      </c>
      <c r="E39" s="217" t="s">
        <v>292</v>
      </c>
      <c r="F39" s="217"/>
      <c r="G39" s="127">
        <v>0</v>
      </c>
      <c r="H39" s="200">
        <v>0.99000999999999995</v>
      </c>
      <c r="I39" s="160">
        <v>1</v>
      </c>
      <c r="J39" s="198">
        <v>0.99000999999999995</v>
      </c>
      <c r="K39" s="217"/>
      <c r="L39" s="172" t="s">
        <v>41</v>
      </c>
      <c r="M39" s="172"/>
      <c r="N39" s="172"/>
      <c r="O39" s="236"/>
      <c r="P39" s="134"/>
    </row>
    <row r="40" spans="1:16" x14ac:dyDescent="0.25">
      <c r="B40" s="236" t="s">
        <v>301</v>
      </c>
      <c r="C40" s="236"/>
      <c r="D40" s="236" t="s">
        <v>290</v>
      </c>
      <c r="E40" s="217"/>
      <c r="F40" s="217"/>
      <c r="G40" s="217"/>
      <c r="H40" s="201"/>
      <c r="I40" s="217"/>
      <c r="J40" s="198"/>
      <c r="K40" s="217"/>
      <c r="L40" s="172" t="s">
        <v>361</v>
      </c>
      <c r="M40" s="172"/>
      <c r="N40" s="172" t="s">
        <v>26</v>
      </c>
      <c r="O40" s="236"/>
      <c r="P40" s="134"/>
    </row>
    <row r="41" spans="1:16" x14ac:dyDescent="0.25">
      <c r="B41" s="236"/>
      <c r="C41" s="236"/>
      <c r="D41" s="236"/>
      <c r="E41" s="217"/>
      <c r="F41" s="217"/>
      <c r="G41" s="217"/>
      <c r="H41" s="201"/>
      <c r="I41" s="217"/>
      <c r="J41" s="198"/>
      <c r="K41" s="217"/>
      <c r="L41" s="172"/>
      <c r="M41" s="172"/>
      <c r="N41" s="172"/>
      <c r="O41" s="236"/>
      <c r="P41" s="134"/>
    </row>
    <row r="42" spans="1:16" x14ac:dyDescent="0.25">
      <c r="B42" s="236" t="s">
        <v>302</v>
      </c>
      <c r="C42" s="236"/>
      <c r="D42" s="236" t="s">
        <v>290</v>
      </c>
      <c r="E42" s="217" t="s">
        <v>293</v>
      </c>
      <c r="F42" s="217"/>
      <c r="G42" s="217">
        <v>0</v>
      </c>
      <c r="H42" s="201"/>
      <c r="I42" s="217"/>
      <c r="J42" s="198"/>
      <c r="K42" s="217"/>
      <c r="L42" s="172" t="s">
        <v>30</v>
      </c>
      <c r="M42" s="172"/>
      <c r="N42" s="172" t="s">
        <v>47</v>
      </c>
      <c r="O42" s="236"/>
      <c r="P42" s="134"/>
    </row>
    <row r="43" spans="1:16" x14ac:dyDescent="0.25">
      <c r="A43" s="134"/>
      <c r="B43" s="236"/>
      <c r="C43" s="236"/>
      <c r="D43" s="236"/>
      <c r="E43" s="217"/>
      <c r="F43" s="217"/>
      <c r="G43" s="217"/>
      <c r="H43" s="201"/>
      <c r="I43" s="217"/>
      <c r="J43" s="201"/>
      <c r="K43" s="236"/>
      <c r="L43" s="172"/>
      <c r="M43" s="172"/>
      <c r="N43" s="172"/>
      <c r="O43" s="236"/>
      <c r="P43" s="134"/>
    </row>
    <row r="44" spans="1:16" x14ac:dyDescent="0.25">
      <c r="A44" s="134"/>
      <c r="B44" s="172"/>
      <c r="C44" s="172"/>
      <c r="D44" s="172"/>
      <c r="E44" s="172"/>
      <c r="F44" s="172"/>
      <c r="G44" s="173"/>
      <c r="H44" s="205"/>
      <c r="I44" s="130"/>
      <c r="J44" s="216"/>
      <c r="K44" s="172"/>
      <c r="L44" s="172"/>
      <c r="M44" s="172"/>
      <c r="N44" s="172" t="s">
        <v>48</v>
      </c>
      <c r="O44" s="236"/>
      <c r="P44" s="134"/>
    </row>
    <row r="45" spans="1:16" x14ac:dyDescent="0.25">
      <c r="A45" s="134"/>
      <c r="B45" s="236"/>
      <c r="C45" s="128"/>
      <c r="D45" s="128"/>
      <c r="E45" s="128"/>
      <c r="F45" s="315"/>
      <c r="G45" s="160"/>
      <c r="H45" s="206"/>
      <c r="I45" s="315"/>
      <c r="J45" s="202"/>
      <c r="K45" s="236"/>
      <c r="L45" s="172"/>
      <c r="M45" s="172"/>
      <c r="N45" s="172"/>
      <c r="O45" s="236"/>
      <c r="P45" s="134"/>
    </row>
    <row r="46" spans="1:16" x14ac:dyDescent="0.25">
      <c r="A46" s="134"/>
      <c r="B46" s="236" t="s">
        <v>289</v>
      </c>
      <c r="C46" s="236"/>
      <c r="D46" s="236"/>
      <c r="E46" s="217" t="s">
        <v>306</v>
      </c>
      <c r="F46" s="217"/>
      <c r="G46" s="217" t="s">
        <v>303</v>
      </c>
      <c r="H46" s="201"/>
      <c r="I46" s="217"/>
      <c r="J46" s="201" t="s">
        <v>304</v>
      </c>
      <c r="K46" s="236"/>
      <c r="L46" s="172"/>
      <c r="M46" s="172"/>
      <c r="N46" s="172"/>
      <c r="O46" s="236"/>
      <c r="P46" s="134"/>
    </row>
    <row r="47" spans="1:16" x14ac:dyDescent="0.25">
      <c r="A47" s="134"/>
      <c r="B47" s="147" t="s">
        <v>427</v>
      </c>
      <c r="C47" s="128"/>
      <c r="D47" s="128"/>
      <c r="E47" s="128">
        <v>0</v>
      </c>
      <c r="F47" s="315">
        <v>0.49998999999999999</v>
      </c>
      <c r="G47" s="315">
        <v>0.49998999999999999</v>
      </c>
      <c r="H47" s="206"/>
      <c r="I47" s="315">
        <v>0.90000999999999998</v>
      </c>
      <c r="J47" s="381">
        <v>0.90000999999999998</v>
      </c>
      <c r="K47" s="236"/>
      <c r="L47" s="172" t="s">
        <v>330</v>
      </c>
      <c r="M47" s="172" t="s">
        <v>330</v>
      </c>
      <c r="N47" s="172"/>
      <c r="O47" s="236"/>
      <c r="P47" s="134"/>
    </row>
    <row r="48" spans="1:16" x14ac:dyDescent="0.25">
      <c r="A48" s="134"/>
      <c r="B48" s="147" t="s">
        <v>378</v>
      </c>
      <c r="C48" s="128"/>
      <c r="D48" s="128"/>
      <c r="E48" s="128">
        <v>0</v>
      </c>
      <c r="F48" s="315">
        <v>0.54998999999999998</v>
      </c>
      <c r="G48" s="315">
        <v>0.54998999999999998</v>
      </c>
      <c r="H48" s="206"/>
      <c r="I48" s="315">
        <v>0.90000999999999998</v>
      </c>
      <c r="J48" s="381">
        <v>0.90000999999999998</v>
      </c>
      <c r="K48" s="236"/>
      <c r="L48" s="172" t="s">
        <v>330</v>
      </c>
      <c r="M48" s="172" t="s">
        <v>330</v>
      </c>
      <c r="N48" s="172"/>
      <c r="O48" s="236"/>
      <c r="P48" s="134"/>
    </row>
    <row r="49" spans="1:16" x14ac:dyDescent="0.25">
      <c r="A49" s="134"/>
      <c r="B49" s="147" t="s">
        <v>384</v>
      </c>
      <c r="C49" s="128"/>
      <c r="D49" s="128"/>
      <c r="E49" s="128">
        <v>0</v>
      </c>
      <c r="F49" s="315">
        <v>0.59999000000000002</v>
      </c>
      <c r="G49" s="315">
        <v>0.59999000000000002</v>
      </c>
      <c r="H49" s="206"/>
      <c r="I49" s="315">
        <v>0.95001000000000002</v>
      </c>
      <c r="J49" s="381">
        <v>0.95001000000000002</v>
      </c>
      <c r="K49" s="236"/>
      <c r="L49" s="172" t="s">
        <v>330</v>
      </c>
      <c r="M49" s="172" t="s">
        <v>330</v>
      </c>
      <c r="N49" s="172"/>
      <c r="O49" s="236"/>
      <c r="P49" s="134"/>
    </row>
    <row r="50" spans="1:16" x14ac:dyDescent="0.25">
      <c r="A50" s="134"/>
      <c r="B50" s="147" t="s">
        <v>391</v>
      </c>
      <c r="C50" s="128"/>
      <c r="D50" s="128"/>
      <c r="E50" s="128">
        <v>0</v>
      </c>
      <c r="F50" s="315">
        <v>0.64998999999999996</v>
      </c>
      <c r="G50" s="315">
        <v>0.64998999999999996</v>
      </c>
      <c r="H50" s="206"/>
      <c r="I50" s="315">
        <v>0.95001000000000002</v>
      </c>
      <c r="J50" s="381">
        <v>0.95001000000000002</v>
      </c>
      <c r="K50" s="236"/>
      <c r="L50" s="172" t="s">
        <v>330</v>
      </c>
      <c r="M50" s="172" t="s">
        <v>330</v>
      </c>
      <c r="N50" s="172"/>
      <c r="O50" s="236"/>
      <c r="P50" s="134"/>
    </row>
    <row r="51" spans="1:16" x14ac:dyDescent="0.25">
      <c r="A51" s="134"/>
      <c r="B51" s="147" t="s">
        <v>417</v>
      </c>
      <c r="C51" s="128"/>
      <c r="D51" s="128"/>
      <c r="E51" s="128">
        <v>0</v>
      </c>
      <c r="F51" s="315">
        <v>0.79998999999999998</v>
      </c>
      <c r="G51" s="315">
        <v>0.79998999999999998</v>
      </c>
      <c r="H51" s="206"/>
      <c r="I51" s="315">
        <v>0.99000999999999995</v>
      </c>
      <c r="J51" s="381">
        <v>0.99000999999999995</v>
      </c>
      <c r="K51" s="236"/>
      <c r="L51" s="172" t="s">
        <v>330</v>
      </c>
      <c r="M51" s="172" t="s">
        <v>330</v>
      </c>
      <c r="N51" s="172"/>
      <c r="O51" s="236"/>
      <c r="P51" s="134"/>
    </row>
    <row r="52" spans="1:16" x14ac:dyDescent="0.25">
      <c r="A52" s="134"/>
      <c r="B52" s="236"/>
      <c r="C52" s="236"/>
      <c r="D52" s="217"/>
      <c r="E52" s="217"/>
      <c r="F52" s="217"/>
      <c r="G52" s="315"/>
      <c r="H52" s="201"/>
      <c r="I52" s="315"/>
      <c r="J52" s="381"/>
      <c r="K52" s="236"/>
      <c r="L52" s="172"/>
      <c r="M52" s="172"/>
      <c r="N52" s="172"/>
      <c r="O52" s="236"/>
      <c r="P52" s="134"/>
    </row>
    <row r="53" spans="1:16" x14ac:dyDescent="0.25">
      <c r="A53" s="134"/>
      <c r="B53" s="172"/>
      <c r="C53" s="172"/>
      <c r="D53" s="172"/>
      <c r="E53" s="172"/>
      <c r="F53" s="172"/>
      <c r="G53" s="386"/>
      <c r="H53" s="205"/>
      <c r="I53" s="315"/>
      <c r="J53" s="382"/>
      <c r="K53" s="236"/>
      <c r="L53" s="172"/>
      <c r="M53" s="172"/>
      <c r="N53" s="172"/>
      <c r="O53" s="236"/>
      <c r="P53" s="134"/>
    </row>
    <row r="54" spans="1:16" x14ac:dyDescent="0.25">
      <c r="A54" s="134"/>
      <c r="B54" s="236"/>
      <c r="C54" s="128"/>
      <c r="D54" s="128"/>
      <c r="E54" s="128"/>
      <c r="F54" s="315"/>
      <c r="G54" s="315"/>
      <c r="H54" s="206"/>
      <c r="I54" s="315"/>
      <c r="J54" s="381"/>
      <c r="K54" s="236"/>
      <c r="L54" s="172"/>
      <c r="M54" s="172"/>
      <c r="N54" s="172"/>
      <c r="O54" s="236"/>
      <c r="P54" s="134"/>
    </row>
    <row r="55" spans="1:16" x14ac:dyDescent="0.25">
      <c r="A55" s="134"/>
      <c r="B55" s="236" t="s">
        <v>239</v>
      </c>
      <c r="C55" s="236"/>
      <c r="D55" s="217"/>
      <c r="E55" s="217"/>
      <c r="F55" s="217"/>
      <c r="G55" s="315" t="s">
        <v>303</v>
      </c>
      <c r="H55" s="201"/>
      <c r="I55" s="315"/>
      <c r="J55" s="198" t="s">
        <v>304</v>
      </c>
      <c r="K55" s="236"/>
      <c r="L55" s="172"/>
      <c r="M55" s="172"/>
      <c r="N55" s="172"/>
      <c r="O55" s="236"/>
      <c r="P55" s="134"/>
    </row>
    <row r="56" spans="1:16" x14ac:dyDescent="0.25">
      <c r="A56" s="134"/>
      <c r="B56" s="147" t="s">
        <v>427</v>
      </c>
      <c r="C56" s="128"/>
      <c r="D56" s="128"/>
      <c r="E56" s="128">
        <v>0</v>
      </c>
      <c r="F56" s="315">
        <v>0.64998999999999996</v>
      </c>
      <c r="G56" s="315">
        <v>0.64998999999999996</v>
      </c>
      <c r="H56" s="206"/>
      <c r="I56" s="315">
        <v>0.95001000000000002</v>
      </c>
      <c r="J56" s="381">
        <v>0.95001000000000002</v>
      </c>
      <c r="K56" s="236"/>
      <c r="L56" s="172" t="s">
        <v>331</v>
      </c>
      <c r="M56" s="172" t="s">
        <v>331</v>
      </c>
      <c r="N56" s="172"/>
      <c r="O56" s="236"/>
      <c r="P56" s="134"/>
    </row>
    <row r="57" spans="1:16" x14ac:dyDescent="0.25">
      <c r="A57" s="134"/>
      <c r="B57" s="147" t="s">
        <v>378</v>
      </c>
      <c r="C57" s="128"/>
      <c r="D57" s="128"/>
      <c r="E57" s="128">
        <v>0</v>
      </c>
      <c r="F57" s="315">
        <v>0.64998999999999996</v>
      </c>
      <c r="G57" s="315">
        <v>0.64998999999999996</v>
      </c>
      <c r="H57" s="206"/>
      <c r="I57" s="315">
        <v>0.95001000000000002</v>
      </c>
      <c r="J57" s="381">
        <v>0.95001000000000002</v>
      </c>
      <c r="K57" s="236"/>
      <c r="L57" s="172" t="s">
        <v>331</v>
      </c>
      <c r="M57" s="172" t="s">
        <v>331</v>
      </c>
      <c r="N57" s="172"/>
      <c r="O57" s="236"/>
      <c r="P57" s="134"/>
    </row>
    <row r="58" spans="1:16" x14ac:dyDescent="0.25">
      <c r="A58" s="134"/>
      <c r="B58" s="147" t="s">
        <v>384</v>
      </c>
      <c r="C58" s="128"/>
      <c r="D58" s="128"/>
      <c r="E58" s="128">
        <v>0</v>
      </c>
      <c r="F58" s="315">
        <v>0.69999</v>
      </c>
      <c r="G58" s="315">
        <v>0.69999</v>
      </c>
      <c r="H58" s="206"/>
      <c r="I58" s="315">
        <v>0.99000999999999995</v>
      </c>
      <c r="J58" s="381">
        <v>0.99000999999999995</v>
      </c>
      <c r="K58" s="236"/>
      <c r="L58" s="172" t="s">
        <v>331</v>
      </c>
      <c r="M58" s="172" t="s">
        <v>331</v>
      </c>
      <c r="N58" s="172"/>
      <c r="O58" s="236"/>
      <c r="P58" s="134"/>
    </row>
    <row r="59" spans="1:16" x14ac:dyDescent="0.25">
      <c r="A59" s="134"/>
      <c r="B59" s="147" t="s">
        <v>391</v>
      </c>
      <c r="C59" s="128"/>
      <c r="D59" s="128"/>
      <c r="E59" s="128">
        <v>0</v>
      </c>
      <c r="F59" s="315">
        <v>0.79998999999999998</v>
      </c>
      <c r="G59" s="315">
        <v>0.79998999999999998</v>
      </c>
      <c r="H59" s="206"/>
      <c r="I59" s="315">
        <v>0.99000999999999995</v>
      </c>
      <c r="J59" s="381">
        <v>0.99000999999999995</v>
      </c>
      <c r="K59" s="236"/>
      <c r="L59" s="172" t="s">
        <v>331</v>
      </c>
      <c r="M59" s="172" t="s">
        <v>331</v>
      </c>
      <c r="N59" s="172"/>
      <c r="O59" s="236"/>
      <c r="P59" s="134"/>
    </row>
    <row r="60" spans="1:16" x14ac:dyDescent="0.25">
      <c r="A60" s="134"/>
      <c r="B60" s="147" t="s">
        <v>417</v>
      </c>
      <c r="C60" s="128"/>
      <c r="D60" s="128"/>
      <c r="E60" s="128">
        <v>0</v>
      </c>
      <c r="F60" s="315">
        <v>0.89998999999999996</v>
      </c>
      <c r="G60" s="315">
        <v>0.89998999999999996</v>
      </c>
      <c r="H60" s="206"/>
      <c r="I60" s="315">
        <v>0.99000999999999995</v>
      </c>
      <c r="J60" s="381">
        <v>0.99000999999999995</v>
      </c>
      <c r="K60" s="236"/>
      <c r="L60" s="172" t="s">
        <v>331</v>
      </c>
      <c r="M60" s="172" t="s">
        <v>331</v>
      </c>
      <c r="N60" s="172"/>
      <c r="O60" s="236"/>
      <c r="P60" s="134"/>
    </row>
    <row r="61" spans="1:16" x14ac:dyDescent="0.25">
      <c r="F61" s="170"/>
      <c r="G61" s="165"/>
      <c r="I61" s="35"/>
    </row>
  </sheetData>
  <mergeCells count="4">
    <mergeCell ref="B13:B14"/>
    <mergeCell ref="C13:C14"/>
    <mergeCell ref="D13:D14"/>
    <mergeCell ref="E13:E14"/>
  </mergeCells>
  <phoneticPr fontId="75" type="noConversion"/>
  <pageMargins left="0.31496062992125984" right="0.11811023622047245" top="0.39370078740157483" bottom="0.39370078740157483" header="0.31496062992125984" footer="0.31496062992125984"/>
  <pageSetup paperSize="9" orientation="landscape" r:id="rId1"/>
  <ignoredErrors>
    <ignoredError sqref="C20"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dimension ref="A1:V62"/>
  <sheetViews>
    <sheetView workbookViewId="0">
      <selection activeCell="A33" sqref="A33"/>
    </sheetView>
  </sheetViews>
  <sheetFormatPr defaultColWidth="9.140625" defaultRowHeight="11.25" x14ac:dyDescent="0.25"/>
  <cols>
    <col min="1" max="1" width="17.7109375" style="134" customWidth="1"/>
    <col min="2" max="2" width="7.5703125" style="134" customWidth="1"/>
    <col min="3" max="3" width="9.140625" style="134" customWidth="1"/>
    <col min="4" max="4" width="25.28515625" style="134" customWidth="1"/>
    <col min="5" max="5" width="9.42578125" style="134" customWidth="1"/>
    <col min="6" max="6" width="7.85546875" style="134" customWidth="1"/>
    <col min="7" max="7" width="9.42578125" style="134" customWidth="1"/>
    <col min="8" max="8" width="41.85546875" style="134" customWidth="1"/>
    <col min="9" max="9" width="56.28515625" style="134" customWidth="1"/>
    <col min="10" max="10" width="7.85546875" style="114" customWidth="1"/>
    <col min="11" max="11" width="15.7109375" style="134" customWidth="1"/>
    <col min="12" max="12" width="20.5703125" style="114" customWidth="1"/>
    <col min="13" max="13" width="20.28515625" style="114" customWidth="1"/>
    <col min="14" max="14" width="20.7109375" style="114" customWidth="1"/>
    <col min="15" max="15" width="44" style="187" customWidth="1"/>
    <col min="16" max="16" width="51.5703125" style="187" customWidth="1"/>
    <col min="17" max="23" width="9.140625" style="134" customWidth="1"/>
    <col min="24" max="16384" width="9.140625" style="134"/>
  </cols>
  <sheetData>
    <row r="1" spans="1:22" s="35" customFormat="1" ht="23.25" thickBot="1" x14ac:dyDescent="0.3">
      <c r="J1" s="159"/>
      <c r="L1" s="224" t="s">
        <v>313</v>
      </c>
      <c r="M1" s="224" t="s">
        <v>119</v>
      </c>
      <c r="N1" s="224" t="s">
        <v>121</v>
      </c>
      <c r="O1" s="224" t="s">
        <v>240</v>
      </c>
      <c r="P1" s="224" t="s">
        <v>50</v>
      </c>
    </row>
    <row r="2" spans="1:22" s="35" customFormat="1" x14ac:dyDescent="0.25">
      <c r="A2" s="172" t="str">
        <f>IF(Datenquelle!$F$3&gt;5,IF(Datenquelle!$F$3=6,"EZ",IF(Datenquelle!$F$3&gt;6,"relevant","?")),"nicht relevant")</f>
        <v>nicht relevant</v>
      </c>
      <c r="B2" s="147" t="s">
        <v>132</v>
      </c>
      <c r="C2" s="218"/>
      <c r="D2" s="145" t="s">
        <v>288</v>
      </c>
      <c r="E2" s="156" t="str">
        <f>IF(H2="","","2013")</f>
        <v/>
      </c>
      <c r="F2" s="156" t="str">
        <f t="shared" ref="F2:F7" si="0">IF(H2="","","a")</f>
        <v/>
      </c>
      <c r="G2" s="156" t="str">
        <f>IF(H2="","","1")</f>
        <v/>
      </c>
      <c r="H2" s="186" t="str">
        <f>IF(A2="relevant",IF(COUNTIF('Matrix-Colon'!C23:W23,"")&gt;2,Berechnung2!$L$32,""),"")</f>
        <v/>
      </c>
      <c r="I2" s="239" t="str">
        <f>IF(H2="","",VLOOKUP(F2,Berechnung2!$I$15:$J$25,2,FALSE))</f>
        <v/>
      </c>
      <c r="J2" s="238" t="str">
        <f>IF(H2&lt;&gt;"",1,"")</f>
        <v/>
      </c>
      <c r="L2" s="94" t="str">
        <f t="array" aca="1" ref="L2" ca="1">IF(ROW()-ROW($F$2:$F$57)+1&gt;ROWS($E$2:$E$57)-COUNTBLANK($E$2:$E$57),"",INDIRECT(ADDRESS(SMALL((IF($E$2:$E$57&gt;"",ROW($E$2:$E$57),ROW()+ROWS($E$2:$E$57))),ROW()-ROW($F$2:$F$57)+1),COLUMN($E$2:$E$57),4)))</f>
        <v/>
      </c>
      <c r="M2" s="94" t="str">
        <f t="array" aca="1" ref="M2" ca="1">IF(ROW()-ROW($G$2:$G$57)+1&gt;ROWS($F$2:$F$57)-COUNTBLANK($F$2:$F$57),"",INDIRECT(ADDRESS(SMALL((IF($F$2:$F$57&lt;&gt;"",ROW($F$2:$F$57),ROW()+ROWS($F$2:$F$57))),ROW()-ROW($G$2:$G$57)+1),COLUMN($F$2:$F$57),4)))</f>
        <v/>
      </c>
      <c r="N2" s="94" t="str">
        <f t="array" aca="1" ref="N2" ca="1">IF(ROW()-ROW($H$2:$H$57)+1&gt;ROWS($G$2:$G$57)-COUNTBLANK($G$2:$G$57),"",INDIRECT(ADDRESS(SMALL((IF($G$2:$G$57&lt;&gt;"",ROW($G$2:$G$57),ROW()+ROWS($G$2:$G$57))),ROW()-ROW($H$2:$H$57)+1),COLUMN($G$2:$G$57),4)))</f>
        <v/>
      </c>
      <c r="O2" s="184" t="str">
        <f t="array" aca="1" ref="O2" ca="1">IF(ROW()-ROW($I$2:$I$57)+1&gt;ROWS($H$2:$H$57)-COUNTBLANK($H$2:$H$57),"",INDIRECT(ADDRESS(SMALL((IF($H$2:$H$57&lt;&gt;"",ROW($H$2:$H$57),ROW()+ROWS($H$2:$H$57))),ROW()-ROW($I$2:$I$57)+1),COLUMN($H$2:$H$57),4)))</f>
        <v/>
      </c>
      <c r="P2" s="184" t="str">
        <f t="array" aca="1" ref="P2" ca="1">IF(ROW()-ROW($J$2:$J$57)+1&gt;ROWS($I$2:$I$57)-COUNTBLANK($I$2:$I$57),"",INDIRECT(ADDRESS(SMALL((IF($I$2:$I$57&lt;&gt;"",ROW($I$2:$I$57),ROW()+ROWS($I$2:$I$57))),ROW()-ROW($J$2:$J$57)+1),COLUMN($I$2:$I$57),4)))</f>
        <v/>
      </c>
      <c r="R2" s="170"/>
      <c r="T2" s="171"/>
    </row>
    <row r="3" spans="1:22" s="35" customFormat="1" x14ac:dyDescent="0.25">
      <c r="A3" s="172" t="str">
        <f>IF(Datenquelle!$F$3&gt;4,IF(Datenquelle!$F$3=5,"EZ",IF(Datenquelle!$F$3&gt;5,"relevant","?")),"nicht relevant")</f>
        <v>nicht relevant</v>
      </c>
      <c r="B3" s="147" t="s">
        <v>378</v>
      </c>
      <c r="C3" s="218"/>
      <c r="D3" s="856" t="s">
        <v>29</v>
      </c>
      <c r="E3" s="34" t="str">
        <f>IF(H3="","","2014")</f>
        <v/>
      </c>
      <c r="F3" s="34" t="str">
        <f t="shared" si="0"/>
        <v/>
      </c>
      <c r="G3" s="34" t="str">
        <f t="shared" ref="G3:G25" si="1">IF(H3="","","1")</f>
        <v/>
      </c>
      <c r="H3" s="173" t="str">
        <f>IF(A3="relevant",IF(COUNTIF('Matrix-Colon'!C24:W24,"")&gt;2,Berechnung2!$L$32,""),"")</f>
        <v/>
      </c>
      <c r="I3" s="172" t="str">
        <f>IF(H3="","",VLOOKUP(F3,Berechnung2!$I$15:$J$25,2,FALSE))</f>
        <v/>
      </c>
      <c r="J3" s="237" t="str">
        <f t="shared" ref="J3:J57" si="2">IF(H3&lt;&gt;"",1,"")</f>
        <v/>
      </c>
      <c r="L3" s="94" t="str">
        <f t="array" aca="1" ref="L3" ca="1">IF(ROW()-ROW($F$2:$F$57)+1&gt;ROWS($E$2:$E$57)-COUNTBLANK($E$2:$E$57),"",INDIRECT(ADDRESS(SMALL((IF($E$2:$E$57&gt;"",ROW($E$2:$E$57),ROW()+ROWS($E$2:$E$57))),ROW()-ROW($F$2:$F$57)+1),COLUMN($E$2:$E$57),4)))</f>
        <v/>
      </c>
      <c r="M3" s="94" t="str">
        <f t="array" aca="1" ref="M3" ca="1">IF(ROW()-ROW($G$2:$G$57)+1&gt;ROWS($F$2:$F$57)-COUNTBLANK($F$2:$F$57),"",INDIRECT(ADDRESS(SMALL((IF($F$2:$F$57&lt;&gt;"",ROW($F$2:$F$57),ROW()+ROWS($F$2:$F$57))),ROW()-ROW($G$2:$G$57)+1),COLUMN($F$2:$F$57),4)))</f>
        <v/>
      </c>
      <c r="N3" s="94" t="str">
        <f t="array" aca="1" ref="N3" ca="1">IF(ROW()-ROW($H$2:$H$57)+1&gt;ROWS($G$2:$G$57)-COUNTBLANK($G$2:$G$57),"",INDIRECT(ADDRESS(SMALL((IF($G$2:$G$57&lt;&gt;"",ROW($G$2:$G$57),ROW()+ROWS($G$2:$G$57))),ROW()-ROW($H$2:$H$57)+1),COLUMN($G$2:$G$57),4)))</f>
        <v/>
      </c>
      <c r="O3" s="184" t="str">
        <f t="array" aca="1" ref="O3" ca="1">IF(ROW()-ROW($I$2:$I$57)+1&gt;ROWS($H$2:$H$57)-COUNTBLANK($H$2:$H$57),"",INDIRECT(ADDRESS(SMALL((IF($H$2:$H$57&lt;&gt;"",ROW($H$2:$H$57),ROW()+ROWS($H$2:$H$57))),ROW()-ROW($I$2:$I$57)+1),COLUMN($H$2:$H$57),4)))</f>
        <v/>
      </c>
      <c r="P3" s="184" t="str">
        <f t="array" aca="1" ref="P3" ca="1">IF(ROW()-ROW($J$2:$J$57)+1&gt;ROWS($I$2:$I$57)-COUNTBLANK($I$2:$I$57),"",INDIRECT(ADDRESS(SMALL((IF($I$2:$I$57&lt;&gt;"",ROW($I$2:$I$57),ROW()+ROWS($I$2:$I$57))),ROW()-ROW($J$2:$J$57)+1),COLUMN($I$2:$I$57),4)))</f>
        <v/>
      </c>
    </row>
    <row r="4" spans="1:22" s="35" customFormat="1" ht="15" customHeight="1" x14ac:dyDescent="0.25">
      <c r="A4" s="172" t="str">
        <f>IF(Datenquelle!$F$3&gt;3,IF(Datenquelle!$F$3=4,"EZ",IF(Datenquelle!$F$3&gt;4,"relevant","?")),"nicht relevant")</f>
        <v>nicht relevant</v>
      </c>
      <c r="B4" s="147" t="s">
        <v>384</v>
      </c>
      <c r="C4" s="218"/>
      <c r="D4" s="856"/>
      <c r="E4" s="34" t="str">
        <f>IF(H4="","","2015")</f>
        <v/>
      </c>
      <c r="F4" s="34" t="str">
        <f t="shared" si="0"/>
        <v/>
      </c>
      <c r="G4" s="34" t="str">
        <f t="shared" si="1"/>
        <v/>
      </c>
      <c r="H4" s="173" t="str">
        <f>IF(A4="relevant",IF(COUNTIF('Matrix-Colon'!C25:W25,"")&gt;2,Berechnung2!$L$32,""),"")</f>
        <v/>
      </c>
      <c r="I4" s="172" t="str">
        <f>IF(H4="","",VLOOKUP(F4,Berechnung2!$I$15:$J$25,2,FALSE))</f>
        <v/>
      </c>
      <c r="J4" s="237" t="str">
        <f t="shared" si="2"/>
        <v/>
      </c>
      <c r="L4" s="94" t="str">
        <f t="array" aca="1" ref="L4" ca="1">IF(ROW()-ROW($F$2:$F$57)+1&gt;ROWS($E$2:$E$57)-COUNTBLANK($E$2:$E$57),"",INDIRECT(ADDRESS(SMALL((IF($E$2:$E$57&gt;"",ROW($E$2:$E$57),ROW()+ROWS($E$2:$E$57))),ROW()-ROW($F$2:$F$57)+1),COLUMN($E$2:$E$57),4)))</f>
        <v/>
      </c>
      <c r="M4" s="94" t="str">
        <f t="array" aca="1" ref="M4" ca="1">IF(ROW()-ROW($G$2:$G$57)+1&gt;ROWS($F$2:$F$57)-COUNTBLANK($F$2:$F$57),"",INDIRECT(ADDRESS(SMALL((IF($F$2:$F$57&lt;&gt;"",ROW($F$2:$F$57),ROW()+ROWS($F$2:$F$57))),ROW()-ROW($G$2:$G$57)+1),COLUMN($F$2:$F$57),4)))</f>
        <v/>
      </c>
      <c r="N4" s="94" t="str">
        <f t="array" aca="1" ref="N4" ca="1">IF(ROW()-ROW($H$2:$H$57)+1&gt;ROWS($G$2:$G$57)-COUNTBLANK($G$2:$G$57),"",INDIRECT(ADDRESS(SMALL((IF($G$2:$G$57&lt;&gt;"",ROW($G$2:$G$57),ROW()+ROWS($G$2:$G$57))),ROW()-ROW($H$2:$H$57)+1),COLUMN($G$2:$G$57),4)))</f>
        <v/>
      </c>
      <c r="O4" s="184" t="str">
        <f t="array" aca="1" ref="O4" ca="1">IF(ROW()-ROW($I$2:$I$57)+1&gt;ROWS($H$2:$H$57)-COUNTBLANK($H$2:$H$57),"",INDIRECT(ADDRESS(SMALL((IF($H$2:$H$57&lt;&gt;"",ROW($H$2:$H$57),ROW()+ROWS($H$2:$H$57))),ROW()-ROW($I$2:$I$57)+1),COLUMN($H$2:$H$57),4)))</f>
        <v/>
      </c>
      <c r="P4" s="184" t="str">
        <f t="array" aca="1" ref="P4" ca="1">IF(ROW()-ROW($J$2:$J$57)+1&gt;ROWS($I$2:$I$57)-COUNTBLANK($I$2:$I$57),"",INDIRECT(ADDRESS(SMALL((IF($I$2:$I$57&lt;&gt;"",ROW($I$2:$I$57),ROW()+ROWS($I$2:$I$57))),ROW()-ROW($J$2:$J$57)+1),COLUMN($I$2:$I$57),4)))</f>
        <v/>
      </c>
      <c r="R4" s="123"/>
      <c r="S4" s="122"/>
      <c r="T4" s="122"/>
    </row>
    <row r="5" spans="1:22" s="35" customFormat="1" ht="15" customHeight="1" x14ac:dyDescent="0.25">
      <c r="A5" s="172" t="str">
        <f>IF(Datenquelle!$F$3&gt;2,IF(Datenquelle!$F$3=3,"EZ",IF(Datenquelle!$F$3&gt;3,"relevant","?")),"nicht relevant")</f>
        <v>nicht relevant</v>
      </c>
      <c r="B5" s="147" t="s">
        <v>391</v>
      </c>
      <c r="C5" s="218"/>
      <c r="D5" s="856"/>
      <c r="E5" s="34" t="str">
        <f>IF(H5="","","2016")</f>
        <v/>
      </c>
      <c r="F5" s="34" t="str">
        <f t="shared" si="0"/>
        <v/>
      </c>
      <c r="G5" s="34" t="str">
        <f t="shared" si="1"/>
        <v/>
      </c>
      <c r="H5" s="173" t="str">
        <f>IF(A5="relevant",IF(COUNTIF('Matrix-Colon'!C26:W26,"")&gt;2,Berechnung2!$L$32,""),"")</f>
        <v/>
      </c>
      <c r="I5" s="172" t="str">
        <f>IF(H5="","",VLOOKUP(F5,Berechnung2!$I$15:$J$25,2,FALSE))</f>
        <v/>
      </c>
      <c r="J5" s="237" t="str">
        <f t="shared" si="2"/>
        <v/>
      </c>
      <c r="L5" s="94" t="str">
        <f t="array" aca="1" ref="L5" ca="1">IF(ROW()-ROW($F$2:$F$57)+1&gt;ROWS($E$2:$E$57)-COUNTBLANK($E$2:$E$57),"",INDIRECT(ADDRESS(SMALL((IF($E$2:$E$57&gt;"",ROW($E$2:$E$57),ROW()+ROWS($E$2:$E$57))),ROW()-ROW($F$2:$F$57)+1),COLUMN($E$2:$E$57),4)))</f>
        <v/>
      </c>
      <c r="M5" s="94" t="str">
        <f t="array" aca="1" ref="M5" ca="1">IF(ROW()-ROW($G$2:$G$57)+1&gt;ROWS($F$2:$F$57)-COUNTBLANK($F$2:$F$57),"",INDIRECT(ADDRESS(SMALL((IF($F$2:$F$57&lt;&gt;"",ROW($F$2:$F$57),ROW()+ROWS($F$2:$F$57))),ROW()-ROW($G$2:$G$57)+1),COLUMN($F$2:$F$57),4)))</f>
        <v/>
      </c>
      <c r="N5" s="94" t="str">
        <f t="array" aca="1" ref="N5" ca="1">IF(ROW()-ROW($H$2:$H$57)+1&gt;ROWS($G$2:$G$57)-COUNTBLANK($G$2:$G$57),"",INDIRECT(ADDRESS(SMALL((IF($G$2:$G$57&lt;&gt;"",ROW($G$2:$G$57),ROW()+ROWS($G$2:$G$57))),ROW()-ROW($H$2:$H$57)+1),COLUMN($G$2:$G$57),4)))</f>
        <v/>
      </c>
      <c r="O5" s="184" t="str">
        <f t="array" aca="1" ref="O5" ca="1">IF(ROW()-ROW($I$2:$I$57)+1&gt;ROWS($H$2:$H$57)-COUNTBLANK($H$2:$H$57),"",INDIRECT(ADDRESS(SMALL((IF($H$2:$H$57&lt;&gt;"",ROW($H$2:$H$57),ROW()+ROWS($H$2:$H$57))),ROW()-ROW($I$2:$I$57)+1),COLUMN($H$2:$H$57),4)))</f>
        <v/>
      </c>
      <c r="P5" s="184" t="str">
        <f t="array" aca="1" ref="P5" ca="1">IF(ROW()-ROW($J$2:$J$57)+1&gt;ROWS($I$2:$I$57)-COUNTBLANK($I$2:$I$57),"",INDIRECT(ADDRESS(SMALL((IF($I$2:$I$57&lt;&gt;"",ROW($I$2:$I$57),ROW()+ROWS($I$2:$I$57))),ROW()-ROW($J$2:$J$57)+1),COLUMN($I$2:$I$57),4)))</f>
        <v/>
      </c>
      <c r="R5" s="170"/>
      <c r="T5" s="171"/>
    </row>
    <row r="6" spans="1:22" s="35" customFormat="1" ht="15.75" customHeight="1" x14ac:dyDescent="0.25">
      <c r="A6" s="172" t="str">
        <f>IF(Datenquelle!$F$3&gt;1,IF(Datenquelle!$F$3=2,"EZ",IF(Datenquelle!$F$3&gt;2,"relevant","?")),"nicht relevant")</f>
        <v>nicht relevant</v>
      </c>
      <c r="B6" s="147" t="s">
        <v>417</v>
      </c>
      <c r="C6" s="218"/>
      <c r="D6" s="856"/>
      <c r="E6" s="34" t="str">
        <f>IF(H6="","","2017")</f>
        <v/>
      </c>
      <c r="F6" s="34" t="str">
        <f t="shared" si="0"/>
        <v/>
      </c>
      <c r="G6" s="34" t="str">
        <f t="shared" si="1"/>
        <v/>
      </c>
      <c r="H6" s="173" t="str">
        <f>IF(A6="relevant",IF(COUNTIF('Matrix-Colon'!C27:G27,"")&gt;0,Berechnung2!$L$32,""),"")</f>
        <v/>
      </c>
      <c r="I6" s="172" t="str">
        <f>IF(H6="","",VLOOKUP(F6,Berechnung2!$I$15:$J$25,2,FALSE))</f>
        <v/>
      </c>
      <c r="J6" s="237" t="str">
        <f t="shared" si="2"/>
        <v/>
      </c>
      <c r="L6" s="94" t="str">
        <f t="array" aca="1" ref="L6" ca="1">IF(ROW()-ROW($F$2:$F$57)+1&gt;ROWS($E$2:$E$57)-COUNTBLANK($E$2:$E$57),"",INDIRECT(ADDRESS(SMALL((IF($E$2:$E$57&gt;"",ROW($E$2:$E$57),ROW()+ROWS($E$2:$E$57))),ROW()-ROW($F$2:$F$57)+1),COLUMN($E$2:$E$57),4)))</f>
        <v/>
      </c>
      <c r="M6" s="94" t="str">
        <f t="array" aca="1" ref="M6" ca="1">IF(ROW()-ROW($G$2:$G$57)+1&gt;ROWS($F$2:$F$57)-COUNTBLANK($F$2:$F$57),"",INDIRECT(ADDRESS(SMALL((IF($F$2:$F$57&lt;&gt;"",ROW($F$2:$F$57),ROW()+ROWS($F$2:$F$57))),ROW()-ROW($G$2:$G$57)+1),COLUMN($F$2:$F$57),4)))</f>
        <v/>
      </c>
      <c r="N6" s="94" t="str">
        <f t="array" aca="1" ref="N6" ca="1">IF(ROW()-ROW($H$2:$H$57)+1&gt;ROWS($G$2:$G$57)-COUNTBLANK($G$2:$G$57),"",INDIRECT(ADDRESS(SMALL((IF($G$2:$G$57&lt;&gt;"",ROW($G$2:$G$57),ROW()+ROWS($G$2:$G$57))),ROW()-ROW($H$2:$H$57)+1),COLUMN($G$2:$G$57),4)))</f>
        <v/>
      </c>
      <c r="O6" s="184" t="str">
        <f t="array" aca="1" ref="O6" ca="1">IF(ROW()-ROW($I$2:$I$57)+1&gt;ROWS($H$2:$H$57)-COUNTBLANK($H$2:$H$57),"",INDIRECT(ADDRESS(SMALL((IF($H$2:$H$57&lt;&gt;"",ROW($H$2:$H$57),ROW()+ROWS($H$2:$H$57))),ROW()-ROW($I$2:$I$57)+1),COLUMN($H$2:$H$57),4)))</f>
        <v/>
      </c>
      <c r="P6" s="184" t="str">
        <f t="array" aca="1" ref="P6" ca="1">IF(ROW()-ROW($J$2:$J$57)+1&gt;ROWS($I$2:$I$57)-COUNTBLANK($I$2:$I$57),"",INDIRECT(ADDRESS(SMALL((IF($I$2:$I$57&lt;&gt;"",ROW($I$2:$I$57),ROW()+ROWS($I$2:$I$57))),ROW()-ROW($J$2:$J$57)+1),COLUMN($I$2:$I$57),4)))</f>
        <v/>
      </c>
    </row>
    <row r="7" spans="1:22" s="35" customFormat="1" ht="12" thickBot="1" x14ac:dyDescent="0.3">
      <c r="A7" s="172" t="str">
        <f>IF(Datenquelle!$F$3&gt;0,IF(Datenquelle!$F$3=1,"EZ",IF(Datenquelle!$F$3&gt;1,"relevant","?")),"nicht relevant")</f>
        <v>nicht relevant</v>
      </c>
      <c r="B7" s="147" t="s">
        <v>426</v>
      </c>
      <c r="C7" s="218"/>
      <c r="D7" s="144" t="s">
        <v>108</v>
      </c>
      <c r="E7" s="155" t="str">
        <f>IF(H7="","","2018")</f>
        <v/>
      </c>
      <c r="F7" s="155" t="str">
        <f t="shared" si="0"/>
        <v/>
      </c>
      <c r="G7" s="155" t="str">
        <f t="shared" si="1"/>
        <v/>
      </c>
      <c r="H7" s="185" t="str">
        <f>IF(A7="relevant",IF(COUNTIF('Matrix-Colon'!C28:G28,"")&gt;0,Berechnung2!$L$32,""),"")</f>
        <v/>
      </c>
      <c r="I7" s="219" t="str">
        <f>IF(H7="","",VLOOKUP(F7,Berechnung2!$I$15:$J$25,2,FALSE))</f>
        <v/>
      </c>
      <c r="J7" s="220" t="str">
        <f t="shared" si="2"/>
        <v/>
      </c>
      <c r="L7" s="94" t="str">
        <f t="array" aca="1" ref="L7" ca="1">IF(ROW()-ROW($F$2:$F$57)+1&gt;ROWS($E$2:$E$57)-COUNTBLANK($E$2:$E$57),"",INDIRECT(ADDRESS(SMALL((IF($E$2:$E$57&gt;"",ROW($E$2:$E$57),ROW()+ROWS($E$2:$E$57))),ROW()-ROW($F$2:$F$57)+1),COLUMN($E$2:$E$57),4)))</f>
        <v/>
      </c>
      <c r="M7" s="94" t="str">
        <f t="array" aca="1" ref="M7" ca="1">IF(ROW()-ROW($G$2:$G$57)+1&gt;ROWS($F$2:$F$57)-COUNTBLANK($F$2:$F$57),"",INDIRECT(ADDRESS(SMALL((IF($F$2:$F$57&lt;&gt;"",ROW($F$2:$F$57),ROW()+ROWS($F$2:$F$57))),ROW()-ROW($G$2:$G$57)+1),COLUMN($F$2:$F$57),4)))</f>
        <v/>
      </c>
      <c r="N7" s="94" t="str">
        <f t="array" aca="1" ref="N7" ca="1">IF(ROW()-ROW($H$2:$H$57)+1&gt;ROWS($G$2:$G$57)-COUNTBLANK($G$2:$G$57),"",INDIRECT(ADDRESS(SMALL((IF($G$2:$G$57&lt;&gt;"",ROW($G$2:$G$57),ROW()+ROWS($G$2:$G$57))),ROW()-ROW($H$2:$H$57)+1),COLUMN($G$2:$G$57),4)))</f>
        <v/>
      </c>
      <c r="O7" s="184" t="str">
        <f t="array" aca="1" ref="O7" ca="1">IF(ROW()-ROW($I$2:$I$57)+1&gt;ROWS($H$2:$H$57)-COUNTBLANK($H$2:$H$57),"",INDIRECT(ADDRESS(SMALL((IF($H$2:$H$57&lt;&gt;"",ROW($H$2:$H$57),ROW()+ROWS($H$2:$H$57))),ROW()-ROW($I$2:$I$57)+1),COLUMN($H$2:$H$57),4)))</f>
        <v/>
      </c>
      <c r="P7" s="184" t="str">
        <f t="array" aca="1" ref="P7" ca="1">IF(ROW()-ROW($J$2:$J$57)+1&gt;ROWS($I$2:$I$57)-COUNTBLANK($I$2:$I$57),"",INDIRECT(ADDRESS(SMALL((IF($I$2:$I$57&lt;&gt;"",ROW($I$2:$I$57),ROW()+ROWS($I$2:$I$57))),ROW()-ROW($J$2:$J$57)+1),COLUMN($I$2:$I$57),4)))</f>
        <v/>
      </c>
      <c r="Q7" s="134"/>
      <c r="R7" s="134"/>
      <c r="S7" s="134"/>
      <c r="T7" s="134"/>
      <c r="U7" s="134"/>
      <c r="V7" s="134"/>
    </row>
    <row r="8" spans="1:22" s="35" customFormat="1" x14ac:dyDescent="0.25">
      <c r="D8" s="145" t="s">
        <v>287</v>
      </c>
      <c r="E8" s="156" t="str">
        <f>IF(H8="","","2013")</f>
        <v/>
      </c>
      <c r="F8" s="156" t="str">
        <f t="shared" ref="F8:F13" si="3">IF(H8="","","b")</f>
        <v/>
      </c>
      <c r="G8" s="156" t="str">
        <f t="shared" si="1"/>
        <v/>
      </c>
      <c r="H8" s="186" t="str">
        <f>IF(A2="relevant",IF('Matrix-Colon'!I23="","",IF('Matrix-Colon'!I23&gt;('Matrix-Colon'!C23-'Matrix-Colon'!G23),Berechnung2!$L$36,"")),"")</f>
        <v/>
      </c>
      <c r="I8" s="239" t="str">
        <f>IF(H8="","",VLOOKUP(F8,Berechnung2!$I$15:$J$25,2,FALSE))</f>
        <v/>
      </c>
      <c r="J8" s="238" t="str">
        <f t="shared" si="2"/>
        <v/>
      </c>
      <c r="L8" s="94" t="str">
        <f t="array" aca="1" ref="L8" ca="1">IF(ROW()-ROW($F$2:$F$57)+1&gt;ROWS($E$2:$E$57)-COUNTBLANK($E$2:$E$57),"",INDIRECT(ADDRESS(SMALL((IF($E$2:$E$57&gt;"",ROW($E$2:$E$57),ROW()+ROWS($E$2:$E$57))),ROW()-ROW($F$2:$F$57)+1),COLUMN($E$2:$E$57),4)))</f>
        <v/>
      </c>
      <c r="M8" s="94" t="str">
        <f t="array" aca="1" ref="M8" ca="1">IF(ROW()-ROW($G$2:$G$57)+1&gt;ROWS($F$2:$F$57)-COUNTBLANK($F$2:$F$57),"",INDIRECT(ADDRESS(SMALL((IF($F$2:$F$57&lt;&gt;"",ROW($F$2:$F$57),ROW()+ROWS($F$2:$F$57))),ROW()-ROW($G$2:$G$57)+1),COLUMN($F$2:$F$57),4)))</f>
        <v/>
      </c>
      <c r="N8" s="94" t="str">
        <f t="array" aca="1" ref="N8" ca="1">IF(ROW()-ROW($H$2:$H$57)+1&gt;ROWS($G$2:$G$57)-COUNTBLANK($G$2:$G$57),"",INDIRECT(ADDRESS(SMALL((IF($G$2:$G$57&lt;&gt;"",ROW($G$2:$G$57),ROW()+ROWS($G$2:$G$57))),ROW()-ROW($H$2:$H$57)+1),COLUMN($G$2:$G$57),4)))</f>
        <v/>
      </c>
      <c r="O8" s="184" t="str">
        <f t="array" aca="1" ref="O8" ca="1">IF(ROW()-ROW($I$2:$I$57)+1&gt;ROWS($H$2:$H$57)-COUNTBLANK($H$2:$H$57),"",INDIRECT(ADDRESS(SMALL((IF($H$2:$H$57&lt;&gt;"",ROW($H$2:$H$57),ROW()+ROWS($H$2:$H$57))),ROW()-ROW($I$2:$I$57)+1),COLUMN($H$2:$H$57),4)))</f>
        <v/>
      </c>
      <c r="P8" s="184" t="str">
        <f t="array" aca="1" ref="P8" ca="1">IF(ROW()-ROW($J$2:$J$57)+1&gt;ROWS($I$2:$I$57)-COUNTBLANK($I$2:$I$57),"",INDIRECT(ADDRESS(SMALL((IF($I$2:$I$57&lt;&gt;"",ROW($I$2:$I$57),ROW()+ROWS($I$2:$I$57))),ROW()-ROW($J$2:$J$57)+1),COLUMN($I$2:$I$57),4)))</f>
        <v/>
      </c>
    </row>
    <row r="9" spans="1:22" s="35" customFormat="1" x14ac:dyDescent="0.25">
      <c r="D9" s="856" t="s">
        <v>360</v>
      </c>
      <c r="E9" s="34" t="str">
        <f>IF(H9="","","2014")</f>
        <v/>
      </c>
      <c r="F9" s="34" t="str">
        <f t="shared" si="3"/>
        <v/>
      </c>
      <c r="G9" s="34" t="str">
        <f t="shared" si="1"/>
        <v/>
      </c>
      <c r="H9" s="173" t="str">
        <f>IF(A3="relevant",IF('Matrix-Colon'!I24="","",IF('Matrix-Colon'!I24&gt;('Matrix-Colon'!C24-'Matrix-Colon'!G24),Berechnung2!$L$36,"")),"")</f>
        <v/>
      </c>
      <c r="I9" s="172" t="str">
        <f>IF(H9="","",VLOOKUP(F9,Berechnung2!$I$15:$J$25,2,FALSE))</f>
        <v/>
      </c>
      <c r="J9" s="237" t="str">
        <f t="shared" si="2"/>
        <v/>
      </c>
      <c r="L9" s="94" t="str">
        <f t="array" aca="1" ref="L9" ca="1">IF(ROW()-ROW($F$2:$F$57)+1&gt;ROWS($E$2:$E$57)-COUNTBLANK($E$2:$E$57),"",INDIRECT(ADDRESS(SMALL((IF($E$2:$E$57&gt;"",ROW($E$2:$E$57),ROW()+ROWS($E$2:$E$57))),ROW()-ROW($F$2:$F$57)+1),COLUMN($E$2:$E$57),4)))</f>
        <v/>
      </c>
      <c r="M9" s="94" t="str">
        <f t="array" aca="1" ref="M9" ca="1">IF(ROW()-ROW($G$2:$G$57)+1&gt;ROWS($F$2:$F$57)-COUNTBLANK($F$2:$F$57),"",INDIRECT(ADDRESS(SMALL((IF($F$2:$F$57&lt;&gt;"",ROW($F$2:$F$57),ROW()+ROWS($F$2:$F$57))),ROW()-ROW($G$2:$G$57)+1),COLUMN($F$2:$F$57),4)))</f>
        <v/>
      </c>
      <c r="N9" s="94" t="str">
        <f t="array" aca="1" ref="N9" ca="1">IF(ROW()-ROW($H$2:$H$57)+1&gt;ROWS($G$2:$G$57)-COUNTBLANK($G$2:$G$57),"",INDIRECT(ADDRESS(SMALL((IF($G$2:$G$57&lt;&gt;"",ROW($G$2:$G$57),ROW()+ROWS($G$2:$G$57))),ROW()-ROW($H$2:$H$57)+1),COLUMN($G$2:$G$57),4)))</f>
        <v/>
      </c>
      <c r="O9" s="184" t="str">
        <f t="array" aca="1" ref="O9" ca="1">IF(ROW()-ROW($I$2:$I$57)+1&gt;ROWS($H$2:$H$57)-COUNTBLANK($H$2:$H$57),"",INDIRECT(ADDRESS(SMALL((IF($H$2:$H$57&lt;&gt;"",ROW($H$2:$H$57),ROW()+ROWS($H$2:$H$57))),ROW()-ROW($I$2:$I$57)+1),COLUMN($H$2:$H$57),4)))</f>
        <v/>
      </c>
      <c r="P9" s="184" t="str">
        <f t="array" aca="1" ref="P9" ca="1">IF(ROW()-ROW($J$2:$J$57)+1&gt;ROWS($I$2:$I$57)-COUNTBLANK($I$2:$I$57),"",INDIRECT(ADDRESS(SMALL((IF($I$2:$I$57&lt;&gt;"",ROW($I$2:$I$57),ROW()+ROWS($I$2:$I$57))),ROW()-ROW($J$2:$J$57)+1),COLUMN($I$2:$I$57),4)))</f>
        <v/>
      </c>
    </row>
    <row r="10" spans="1:22" s="35" customFormat="1" x14ac:dyDescent="0.25">
      <c r="D10" s="856"/>
      <c r="E10" s="34" t="str">
        <f>IF(H10="","","2015")</f>
        <v/>
      </c>
      <c r="F10" s="34" t="str">
        <f t="shared" si="3"/>
        <v/>
      </c>
      <c r="G10" s="34" t="str">
        <f t="shared" si="1"/>
        <v/>
      </c>
      <c r="H10" s="173" t="str">
        <f>IF(A4="relevant",IF('Matrix-Colon'!I25="","",IF('Matrix-Colon'!I25&gt;('Matrix-Colon'!C25-'Matrix-Colon'!G25),Berechnung2!$L$36,"")),"")</f>
        <v/>
      </c>
      <c r="I10" s="172" t="str">
        <f>IF(H10="","",VLOOKUP(F10,Berechnung2!$I$15:$J$25,2,FALSE))</f>
        <v/>
      </c>
      <c r="J10" s="237" t="str">
        <f t="shared" si="2"/>
        <v/>
      </c>
      <c r="L10" s="94" t="str">
        <f t="array" aca="1" ref="L10" ca="1">IF(ROW()-ROW($F$2:$F$57)+1&gt;ROWS($E$2:$E$57)-COUNTBLANK($E$2:$E$57),"",INDIRECT(ADDRESS(SMALL((IF($E$2:$E$57&gt;"",ROW($E$2:$E$57),ROW()+ROWS($E$2:$E$57))),ROW()-ROW($F$2:$F$57)+1),COLUMN($E$2:$E$57),4)))</f>
        <v/>
      </c>
      <c r="M10" s="94" t="str">
        <f t="array" aca="1" ref="M10" ca="1">IF(ROW()-ROW($G$2:$G$57)+1&gt;ROWS($F$2:$F$57)-COUNTBLANK($F$2:$F$57),"",INDIRECT(ADDRESS(SMALL((IF($F$2:$F$57&lt;&gt;"",ROW($F$2:$F$57),ROW()+ROWS($F$2:$F$57))),ROW()-ROW($G$2:$G$57)+1),COLUMN($F$2:$F$57),4)))</f>
        <v/>
      </c>
      <c r="N10" s="94" t="str">
        <f t="array" aca="1" ref="N10" ca="1">IF(ROW()-ROW($H$2:$H$57)+1&gt;ROWS($G$2:$G$57)-COUNTBLANK($G$2:$G$57),"",INDIRECT(ADDRESS(SMALL((IF($G$2:$G$57&lt;&gt;"",ROW($G$2:$G$57),ROW()+ROWS($G$2:$G$57))),ROW()-ROW($H$2:$H$57)+1),COLUMN($G$2:$G$57),4)))</f>
        <v/>
      </c>
      <c r="O10" s="184" t="str">
        <f t="array" aca="1" ref="O10" ca="1">IF(ROW()-ROW($I$2:$I$57)+1&gt;ROWS($H$2:$H$57)-COUNTBLANK($H$2:$H$57),"",INDIRECT(ADDRESS(SMALL((IF($H$2:$H$57&lt;&gt;"",ROW($H$2:$H$57),ROW()+ROWS($H$2:$H$57))),ROW()-ROW($I$2:$I$57)+1),COLUMN($H$2:$H$57),4)))</f>
        <v/>
      </c>
      <c r="P10" s="184" t="str">
        <f t="array" aca="1" ref="P10" ca="1">IF(ROW()-ROW($J$2:$J$57)+1&gt;ROWS($I$2:$I$57)-COUNTBLANK($I$2:$I$57),"",INDIRECT(ADDRESS(SMALL((IF($I$2:$I$57&lt;&gt;"",ROW($I$2:$I$57),ROW()+ROWS($I$2:$I$57))),ROW()-ROW($J$2:$J$57)+1),COLUMN($I$2:$I$57),4)))</f>
        <v/>
      </c>
    </row>
    <row r="11" spans="1:22" s="35" customFormat="1" x14ac:dyDescent="0.25">
      <c r="D11" s="856"/>
      <c r="E11" s="34" t="str">
        <f>IF(H11="","","2016")</f>
        <v/>
      </c>
      <c r="F11" s="34" t="str">
        <f t="shared" si="3"/>
        <v/>
      </c>
      <c r="G11" s="34" t="str">
        <f t="shared" si="1"/>
        <v/>
      </c>
      <c r="H11" s="173" t="str">
        <f>IF(A5="relevant",IF('Matrix-Colon'!I26="","",IF('Matrix-Colon'!I26&gt;('Matrix-Colon'!C26-'Matrix-Colon'!G26),Berechnung2!$L$36,"")),"")</f>
        <v/>
      </c>
      <c r="I11" s="172" t="str">
        <f>IF(H11="","",VLOOKUP(F11,Berechnung2!$I$15:$J$25,2,FALSE))</f>
        <v/>
      </c>
      <c r="J11" s="237" t="str">
        <f t="shared" si="2"/>
        <v/>
      </c>
      <c r="L11" s="94" t="str">
        <f t="array" aca="1" ref="L11" ca="1">IF(ROW()-ROW($F$2:$F$57)+1&gt;ROWS($E$2:$E$57)-COUNTBLANK($E$2:$E$57),"",INDIRECT(ADDRESS(SMALL((IF($E$2:$E$57&gt;"",ROW($E$2:$E$57),ROW()+ROWS($E$2:$E$57))),ROW()-ROW($F$2:$F$57)+1),COLUMN($E$2:$E$57),4)))</f>
        <v/>
      </c>
      <c r="M11" s="94" t="str">
        <f t="array" aca="1" ref="M11" ca="1">IF(ROW()-ROW($G$2:$G$57)+1&gt;ROWS($F$2:$F$57)-COUNTBLANK($F$2:$F$57),"",INDIRECT(ADDRESS(SMALL((IF($F$2:$F$57&lt;&gt;"",ROW($F$2:$F$57),ROW()+ROWS($F$2:$F$57))),ROW()-ROW($G$2:$G$57)+1),COLUMN($F$2:$F$57),4)))</f>
        <v/>
      </c>
      <c r="N11" s="94" t="str">
        <f t="array" aca="1" ref="N11" ca="1">IF(ROW()-ROW($H$2:$H$57)+1&gt;ROWS($G$2:$G$57)-COUNTBLANK($G$2:$G$57),"",INDIRECT(ADDRESS(SMALL((IF($G$2:$G$57&lt;&gt;"",ROW($G$2:$G$57),ROW()+ROWS($G$2:$G$57))),ROW()-ROW($H$2:$H$57)+1),COLUMN($G$2:$G$57),4)))</f>
        <v/>
      </c>
      <c r="O11" s="184" t="str">
        <f t="array" aca="1" ref="O11" ca="1">IF(ROW()-ROW($I$2:$I$57)+1&gt;ROWS($H$2:$H$57)-COUNTBLANK($H$2:$H$57),"",INDIRECT(ADDRESS(SMALL((IF($H$2:$H$57&lt;&gt;"",ROW($H$2:$H$57),ROW()+ROWS($H$2:$H$57))),ROW()-ROW($I$2:$I$57)+1),COLUMN($H$2:$H$57),4)))</f>
        <v/>
      </c>
      <c r="P11" s="184" t="str">
        <f t="array" aca="1" ref="P11" ca="1">IF(ROW()-ROW($J$2:$J$57)+1&gt;ROWS($I$2:$I$57)-COUNTBLANK($I$2:$I$57),"",INDIRECT(ADDRESS(SMALL((IF($I$2:$I$57&lt;&gt;"",ROW($I$2:$I$57),ROW()+ROWS($I$2:$I$57))),ROW()-ROW($J$2:$J$57)+1),COLUMN($I$2:$I$57),4)))</f>
        <v/>
      </c>
    </row>
    <row r="12" spans="1:22" s="35" customFormat="1" x14ac:dyDescent="0.25">
      <c r="D12" s="856"/>
      <c r="E12" s="34" t="str">
        <f>IF(H12="","","2017")</f>
        <v/>
      </c>
      <c r="F12" s="34" t="str">
        <f t="shared" si="3"/>
        <v/>
      </c>
      <c r="G12" s="34" t="str">
        <f t="shared" si="1"/>
        <v/>
      </c>
      <c r="H12" s="173" t="str">
        <f>IF(A6="relevant",IF('Matrix-Colon'!I27="","",IF('Matrix-Colon'!I27&gt;('Matrix-Colon'!C27-'Matrix-Colon'!G27),Berechnung2!$L$36,"")),"")</f>
        <v/>
      </c>
      <c r="I12" s="172" t="str">
        <f>IF(H12="","",VLOOKUP(F12,Berechnung2!$I$15:$J$25,2,FALSE))</f>
        <v/>
      </c>
      <c r="J12" s="237" t="str">
        <f t="shared" si="2"/>
        <v/>
      </c>
      <c r="L12" s="94" t="str">
        <f t="array" aca="1" ref="L12" ca="1">IF(ROW()-ROW($F$2:$F$57)+1&gt;ROWS($E$2:$E$57)-COUNTBLANK($E$2:$E$57),"",INDIRECT(ADDRESS(SMALL((IF($E$2:$E$57&gt;"",ROW($E$2:$E$57),ROW()+ROWS($E$2:$E$57))),ROW()-ROW($F$2:$F$57)+1),COLUMN($E$2:$E$57),4)))</f>
        <v/>
      </c>
      <c r="M12" s="94" t="str">
        <f t="array" aca="1" ref="M12" ca="1">IF(ROW()-ROW($G$2:$G$57)+1&gt;ROWS($F$2:$F$57)-COUNTBLANK($F$2:$F$57),"",INDIRECT(ADDRESS(SMALL((IF($F$2:$F$57&lt;&gt;"",ROW($F$2:$F$57),ROW()+ROWS($F$2:$F$57))),ROW()-ROW($G$2:$G$57)+1),COLUMN($F$2:$F$57),4)))</f>
        <v/>
      </c>
      <c r="N12" s="94" t="str">
        <f t="array" aca="1" ref="N12" ca="1">IF(ROW()-ROW($H$2:$H$57)+1&gt;ROWS($G$2:$G$57)-COUNTBLANK($G$2:$G$57),"",INDIRECT(ADDRESS(SMALL((IF($G$2:$G$57&lt;&gt;"",ROW($G$2:$G$57),ROW()+ROWS($G$2:$G$57))),ROW()-ROW($H$2:$H$57)+1),COLUMN($G$2:$G$57),4)))</f>
        <v/>
      </c>
      <c r="O12" s="184" t="str">
        <f t="array" aca="1" ref="O12" ca="1">IF(ROW()-ROW($I$2:$I$57)+1&gt;ROWS($H$2:$H$57)-COUNTBLANK($H$2:$H$57),"",INDIRECT(ADDRESS(SMALL((IF($H$2:$H$57&lt;&gt;"",ROW($H$2:$H$57),ROW()+ROWS($H$2:$H$57))),ROW()-ROW($I$2:$I$57)+1),COLUMN($H$2:$H$57),4)))</f>
        <v/>
      </c>
      <c r="P12" s="184" t="str">
        <f t="array" aca="1" ref="P12" ca="1">IF(ROW()-ROW($J$2:$J$57)+1&gt;ROWS($I$2:$I$57)-COUNTBLANK($I$2:$I$57),"",INDIRECT(ADDRESS(SMALL((IF($I$2:$I$57&lt;&gt;"",ROW($I$2:$I$57),ROW()+ROWS($I$2:$I$57))),ROW()-ROW($J$2:$J$57)+1),COLUMN($I$2:$I$57),4)))</f>
        <v/>
      </c>
    </row>
    <row r="13" spans="1:22" s="35" customFormat="1" ht="12" thickBot="1" x14ac:dyDescent="0.3">
      <c r="D13" s="144" t="s">
        <v>109</v>
      </c>
      <c r="E13" s="155" t="str">
        <f>IF(H13="","","2018")</f>
        <v/>
      </c>
      <c r="F13" s="155" t="str">
        <f t="shared" si="3"/>
        <v/>
      </c>
      <c r="G13" s="155" t="str">
        <f t="shared" si="1"/>
        <v/>
      </c>
      <c r="H13" s="185" t="s">
        <v>310</v>
      </c>
      <c r="I13" s="219" t="str">
        <f>IF(H13="","",VLOOKUP(F13,Berechnung2!$I$15:$J$25,2,FALSE))</f>
        <v/>
      </c>
      <c r="J13" s="220" t="str">
        <f t="shared" si="2"/>
        <v/>
      </c>
      <c r="L13" s="94" t="str">
        <f t="array" aca="1" ref="L13" ca="1">IF(ROW()-ROW($F$2:$F$57)+1&gt;ROWS($E$2:$E$57)-COUNTBLANK($E$2:$E$57),"",INDIRECT(ADDRESS(SMALL((IF($E$2:$E$57&gt;"",ROW($E$2:$E$57),ROW()+ROWS($E$2:$E$57))),ROW()-ROW($F$2:$F$57)+1),COLUMN($E$2:$E$57),4)))</f>
        <v/>
      </c>
      <c r="M13" s="94" t="str">
        <f t="array" aca="1" ref="M13" ca="1">IF(ROW()-ROW($G$2:$G$57)+1&gt;ROWS($F$2:$F$57)-COUNTBLANK($F$2:$F$57),"",INDIRECT(ADDRESS(SMALL((IF($F$2:$F$57&lt;&gt;"",ROW($F$2:$F$57),ROW()+ROWS($F$2:$F$57))),ROW()-ROW($G$2:$G$57)+1),COLUMN($F$2:$F$57),4)))</f>
        <v/>
      </c>
      <c r="N13" s="94" t="str">
        <f t="array" aca="1" ref="N13" ca="1">IF(ROW()-ROW($H$2:$H$57)+1&gt;ROWS($G$2:$G$57)-COUNTBLANK($G$2:$G$57),"",INDIRECT(ADDRESS(SMALL((IF($G$2:$G$57&lt;&gt;"",ROW($G$2:$G$57),ROW()+ROWS($G$2:$G$57))),ROW()-ROW($H$2:$H$57)+1),COLUMN($G$2:$G$57),4)))</f>
        <v/>
      </c>
      <c r="O13" s="184" t="str">
        <f t="array" aca="1" ref="O13" ca="1">IF(ROW()-ROW($I$2:$I$57)+1&gt;ROWS($H$2:$H$57)-COUNTBLANK($H$2:$H$57),"",INDIRECT(ADDRESS(SMALL((IF($H$2:$H$57&lt;&gt;"",ROW($H$2:$H$57),ROW()+ROWS($H$2:$H$57))),ROW()-ROW($I$2:$I$57)+1),COLUMN($H$2:$H$57),4)))</f>
        <v/>
      </c>
      <c r="P13" s="184" t="str">
        <f t="array" aca="1" ref="P13" ca="1">IF(ROW()-ROW($J$2:$J$57)+1&gt;ROWS($I$2:$I$57)-COUNTBLANK($I$2:$I$57),"",INDIRECT(ADDRESS(SMALL((IF($I$2:$I$57&lt;&gt;"",ROW($I$2:$I$57),ROW()+ROWS($I$2:$I$57))),ROW()-ROW($J$2:$J$57)+1),COLUMN($I$2:$I$57),4)))</f>
        <v/>
      </c>
    </row>
    <row r="14" spans="1:22" x14ac:dyDescent="0.25">
      <c r="D14" s="145" t="s">
        <v>287</v>
      </c>
      <c r="E14" s="156" t="str">
        <f>IF(H14="","","2013")</f>
        <v/>
      </c>
      <c r="F14" s="156" t="str">
        <f t="shared" ref="F14:F19" si="4">IF(H14="","","c")</f>
        <v/>
      </c>
      <c r="G14" s="156" t="str">
        <f t="shared" si="1"/>
        <v/>
      </c>
      <c r="H14" s="186" t="str">
        <f>IF(A2="relevant",IF('Matrix-Colon'!O23&lt;Berechnung2!$G$42,Berechnung2!$L$42,""),"")</f>
        <v/>
      </c>
      <c r="I14" s="239" t="str">
        <f>IF(H14="","",VLOOKUP(F14,Berechnung2!$I$15:$J$25,2,FALSE))</f>
        <v/>
      </c>
      <c r="J14" s="238" t="str">
        <f t="shared" si="2"/>
        <v/>
      </c>
      <c r="L14" s="94" t="str">
        <f t="array" aca="1" ref="L14" ca="1">IF(ROW()-ROW($F$2:$F$57)+1&gt;ROWS($E$2:$E$57)-COUNTBLANK($E$2:$E$57),"",INDIRECT(ADDRESS(SMALL((IF($E$2:$E$57&gt;"",ROW($E$2:$E$57),ROW()+ROWS($E$2:$E$57))),ROW()-ROW($F$2:$F$57)+1),COLUMN($E$2:$E$57),4)))</f>
        <v/>
      </c>
      <c r="M14" s="94" t="str">
        <f t="array" aca="1" ref="M14" ca="1">IF(ROW()-ROW($G$2:$G$57)+1&gt;ROWS($F$2:$F$57)-COUNTBLANK($F$2:$F$57),"",INDIRECT(ADDRESS(SMALL((IF($F$2:$F$57&lt;&gt;"",ROW($F$2:$F$57),ROW()+ROWS($F$2:$F$57))),ROW()-ROW($G$2:$G$57)+1),COLUMN($F$2:$F$57),4)))</f>
        <v/>
      </c>
      <c r="N14" s="94" t="str">
        <f t="array" aca="1" ref="N14" ca="1">IF(ROW()-ROW($H$2:$H$57)+1&gt;ROWS($G$2:$G$57)-COUNTBLANK($G$2:$G$57),"",INDIRECT(ADDRESS(SMALL((IF($G$2:$G$57&lt;&gt;"",ROW($G$2:$G$57),ROW()+ROWS($G$2:$G$57))),ROW()-ROW($H$2:$H$57)+1),COLUMN($G$2:$G$57),4)))</f>
        <v/>
      </c>
      <c r="O14" s="184" t="str">
        <f t="array" aca="1" ref="O14" ca="1">IF(ROW()-ROW($I$2:$I$57)+1&gt;ROWS($H$2:$H$57)-COUNTBLANK($H$2:$H$57),"",INDIRECT(ADDRESS(SMALL((IF($H$2:$H$57&lt;&gt;"",ROW($H$2:$H$57),ROW()+ROWS($H$2:$H$57))),ROW()-ROW($I$2:$I$57)+1),COLUMN($H$2:$H$57),4)))</f>
        <v/>
      </c>
      <c r="P14" s="184" t="str">
        <f t="array" aca="1" ref="P14" ca="1">IF(ROW()-ROW($J$2:$J$57)+1&gt;ROWS($I$2:$I$57)-COUNTBLANK($I$2:$I$57),"",INDIRECT(ADDRESS(SMALL((IF($I$2:$I$57&lt;&gt;"",ROW($I$2:$I$57),ROW()+ROWS($I$2:$I$57))),ROW()-ROW($J$2:$J$57)+1),COLUMN($I$2:$I$57),4)))</f>
        <v/>
      </c>
    </row>
    <row r="15" spans="1:22" x14ac:dyDescent="0.25">
      <c r="D15" s="856" t="s">
        <v>30</v>
      </c>
      <c r="E15" s="34" t="str">
        <f>IF(H15="","","2014")</f>
        <v/>
      </c>
      <c r="F15" s="34" t="str">
        <f t="shared" si="4"/>
        <v/>
      </c>
      <c r="G15" s="34" t="str">
        <f t="shared" si="1"/>
        <v/>
      </c>
      <c r="H15" s="173" t="str">
        <f>IF(A3="relevant",IF('Matrix-Colon'!O24&lt;Berechnung2!$G$42,Berechnung2!$L$42,""),"")</f>
        <v/>
      </c>
      <c r="I15" s="172" t="str">
        <f>IF(H15="","",VLOOKUP(F15,Berechnung2!$I$15:$J$25,2,FALSE))</f>
        <v/>
      </c>
      <c r="J15" s="237" t="str">
        <f t="shared" si="2"/>
        <v/>
      </c>
      <c r="L15" s="94" t="str">
        <f t="array" aca="1" ref="L15" ca="1">IF(ROW()-ROW($F$2:$F$57)+1&gt;ROWS($E$2:$E$57)-COUNTBLANK($E$2:$E$57),"",INDIRECT(ADDRESS(SMALL((IF($E$2:$E$57&gt;"",ROW($E$2:$E$57),ROW()+ROWS($E$2:$E$57))),ROW()-ROW($F$2:$F$57)+1),COLUMN($E$2:$E$57),4)))</f>
        <v/>
      </c>
      <c r="M15" s="94" t="str">
        <f t="array" aca="1" ref="M15" ca="1">IF(ROW()-ROW($G$2:$G$57)+1&gt;ROWS($F$2:$F$57)-COUNTBLANK($F$2:$F$57),"",INDIRECT(ADDRESS(SMALL((IF($F$2:$F$57&lt;&gt;"",ROW($F$2:$F$57),ROW()+ROWS($F$2:$F$57))),ROW()-ROW($G$2:$G$57)+1),COLUMN($F$2:$F$57),4)))</f>
        <v/>
      </c>
      <c r="N15" s="94" t="str">
        <f t="array" aca="1" ref="N15" ca="1">IF(ROW()-ROW($H$2:$H$57)+1&gt;ROWS($G$2:$G$57)-COUNTBLANK($G$2:$G$57),"",INDIRECT(ADDRESS(SMALL((IF($G$2:$G$57&lt;&gt;"",ROW($G$2:$G$57),ROW()+ROWS($G$2:$G$57))),ROW()-ROW($H$2:$H$57)+1),COLUMN($G$2:$G$57),4)))</f>
        <v/>
      </c>
      <c r="O15" s="184" t="str">
        <f t="array" aca="1" ref="O15" ca="1">IF(ROW()-ROW($I$2:$I$57)+1&gt;ROWS($H$2:$H$57)-COUNTBLANK($H$2:$H$57),"",INDIRECT(ADDRESS(SMALL((IF($H$2:$H$57&lt;&gt;"",ROW($H$2:$H$57),ROW()+ROWS($H$2:$H$57))),ROW()-ROW($I$2:$I$57)+1),COLUMN($H$2:$H$57),4)))</f>
        <v/>
      </c>
      <c r="P15" s="184" t="str">
        <f t="array" aca="1" ref="P15" ca="1">IF(ROW()-ROW($J$2:$J$57)+1&gt;ROWS($I$2:$I$57)-COUNTBLANK($I$2:$I$57),"",INDIRECT(ADDRESS(SMALL((IF($I$2:$I$57&lt;&gt;"",ROW($I$2:$I$57),ROW()+ROWS($I$2:$I$57))),ROW()-ROW($J$2:$J$57)+1),COLUMN($I$2:$I$57),4)))</f>
        <v/>
      </c>
    </row>
    <row r="16" spans="1:22" x14ac:dyDescent="0.25">
      <c r="D16" s="856"/>
      <c r="E16" s="34" t="str">
        <f>IF(H16="","","2015")</f>
        <v/>
      </c>
      <c r="F16" s="34" t="str">
        <f t="shared" si="4"/>
        <v/>
      </c>
      <c r="G16" s="34" t="str">
        <f t="shared" si="1"/>
        <v/>
      </c>
      <c r="H16" s="173" t="str">
        <f>IF(A4="relevant",IF('Matrix-Colon'!O25&lt;Berechnung2!$G$42,Berechnung2!$L$42,""),"")</f>
        <v/>
      </c>
      <c r="I16" s="172" t="str">
        <f>IF(H16="","",VLOOKUP(F16,Berechnung2!$I$15:$J$25,2,FALSE))</f>
        <v/>
      </c>
      <c r="J16" s="237" t="str">
        <f t="shared" si="2"/>
        <v/>
      </c>
      <c r="L16" s="94" t="str">
        <f t="array" aca="1" ref="L16" ca="1">IF(ROW()-ROW($F$2:$F$57)+1&gt;ROWS($E$2:$E$57)-COUNTBLANK($E$2:$E$57),"",INDIRECT(ADDRESS(SMALL((IF($E$2:$E$57&gt;"",ROW($E$2:$E$57),ROW()+ROWS($E$2:$E$57))),ROW()-ROW($F$2:$F$57)+1),COLUMN($E$2:$E$57),4)))</f>
        <v/>
      </c>
      <c r="M16" s="94" t="str">
        <f t="array" aca="1" ref="M16" ca="1">IF(ROW()-ROW($G$2:$G$57)+1&gt;ROWS($F$2:$F$57)-COUNTBLANK($F$2:$F$57),"",INDIRECT(ADDRESS(SMALL((IF($F$2:$F$57&lt;&gt;"",ROW($F$2:$F$57),ROW()+ROWS($F$2:$F$57))),ROW()-ROW($G$2:$G$57)+1),COLUMN($F$2:$F$57),4)))</f>
        <v/>
      </c>
      <c r="N16" s="94" t="str">
        <f t="array" aca="1" ref="N16" ca="1">IF(ROW()-ROW($H$2:$H$57)+1&gt;ROWS($G$2:$G$57)-COUNTBLANK($G$2:$G$57),"",INDIRECT(ADDRESS(SMALL((IF($G$2:$G$57&lt;&gt;"",ROW($G$2:$G$57),ROW()+ROWS($G$2:$G$57))),ROW()-ROW($H$2:$H$57)+1),COLUMN($G$2:$G$57),4)))</f>
        <v/>
      </c>
      <c r="O16" s="184" t="str">
        <f t="array" aca="1" ref="O16" ca="1">IF(ROW()-ROW($I$2:$I$57)+1&gt;ROWS($H$2:$H$57)-COUNTBLANK($H$2:$H$57),"",INDIRECT(ADDRESS(SMALL((IF($H$2:$H$57&lt;&gt;"",ROW($H$2:$H$57),ROW()+ROWS($H$2:$H$57))),ROW()-ROW($I$2:$I$57)+1),COLUMN($H$2:$H$57),4)))</f>
        <v/>
      </c>
      <c r="P16" s="184" t="str">
        <f t="array" aca="1" ref="P16" ca="1">IF(ROW()-ROW($J$2:$J$57)+1&gt;ROWS($I$2:$I$57)-COUNTBLANK($I$2:$I$57),"",INDIRECT(ADDRESS(SMALL((IF($I$2:$I$57&lt;&gt;"",ROW($I$2:$I$57),ROW()+ROWS($I$2:$I$57))),ROW()-ROW($J$2:$J$57)+1),COLUMN($I$2:$I$57),4)))</f>
        <v/>
      </c>
    </row>
    <row r="17" spans="4:16" x14ac:dyDescent="0.25">
      <c r="D17" s="856"/>
      <c r="E17" s="34" t="str">
        <f>IF(H17="","","2016")</f>
        <v/>
      </c>
      <c r="F17" s="34" t="str">
        <f t="shared" si="4"/>
        <v/>
      </c>
      <c r="G17" s="34" t="str">
        <f t="shared" si="1"/>
        <v/>
      </c>
      <c r="H17" s="173" t="str">
        <f>IF(A5="relevant",IF('Matrix-Colon'!O26&lt;Berechnung2!$G$42,Berechnung2!$L$42,""),"")</f>
        <v/>
      </c>
      <c r="I17" s="172" t="str">
        <f>IF(H17="","",VLOOKUP(F17,Berechnung2!$I$15:$J$25,2,FALSE))</f>
        <v/>
      </c>
      <c r="J17" s="237" t="str">
        <f t="shared" si="2"/>
        <v/>
      </c>
      <c r="L17" s="94" t="str">
        <f t="array" aca="1" ref="L17" ca="1">IF(ROW()-ROW($F$2:$F$57)+1&gt;ROWS($E$2:$E$57)-COUNTBLANK($E$2:$E$57),"",INDIRECT(ADDRESS(SMALL((IF($E$2:$E$57&gt;"",ROW($E$2:$E$57),ROW()+ROWS($E$2:$E$57))),ROW()-ROW($F$2:$F$57)+1),COLUMN($E$2:$E$57),4)))</f>
        <v/>
      </c>
      <c r="M17" s="94" t="str">
        <f t="array" aca="1" ref="M17" ca="1">IF(ROW()-ROW($G$2:$G$57)+1&gt;ROWS($F$2:$F$57)-COUNTBLANK($F$2:$F$57),"",INDIRECT(ADDRESS(SMALL((IF($F$2:$F$57&lt;&gt;"",ROW($F$2:$F$57),ROW()+ROWS($F$2:$F$57))),ROW()-ROW($G$2:$G$57)+1),COLUMN($F$2:$F$57),4)))</f>
        <v/>
      </c>
      <c r="N17" s="94" t="str">
        <f t="array" aca="1" ref="N17" ca="1">IF(ROW()-ROW($H$2:$H$57)+1&gt;ROWS($G$2:$G$57)-COUNTBLANK($G$2:$G$57),"",INDIRECT(ADDRESS(SMALL((IF($G$2:$G$57&lt;&gt;"",ROW($G$2:$G$57),ROW()+ROWS($G$2:$G$57))),ROW()-ROW($H$2:$H$57)+1),COLUMN($G$2:$G$57),4)))</f>
        <v/>
      </c>
      <c r="O17" s="184" t="str">
        <f t="array" aca="1" ref="O17" ca="1">IF(ROW()-ROW($I$2:$I$57)+1&gt;ROWS($H$2:$H$57)-COUNTBLANK($H$2:$H$57),"",INDIRECT(ADDRESS(SMALL((IF($H$2:$H$57&lt;&gt;"",ROW($H$2:$H$57),ROW()+ROWS($H$2:$H$57))),ROW()-ROW($I$2:$I$57)+1),COLUMN($H$2:$H$57),4)))</f>
        <v/>
      </c>
      <c r="P17" s="184" t="str">
        <f t="array" aca="1" ref="P17" ca="1">IF(ROW()-ROW($J$2:$J$57)+1&gt;ROWS($I$2:$I$57)-COUNTBLANK($I$2:$I$57),"",INDIRECT(ADDRESS(SMALL((IF($I$2:$I$57&lt;&gt;"",ROW($I$2:$I$57),ROW()+ROWS($I$2:$I$57))),ROW()-ROW($J$2:$J$57)+1),COLUMN($I$2:$I$57),4)))</f>
        <v/>
      </c>
    </row>
    <row r="18" spans="4:16" x14ac:dyDescent="0.25">
      <c r="D18" s="856"/>
      <c r="E18" s="34" t="str">
        <f>IF(H18="","","2017")</f>
        <v/>
      </c>
      <c r="F18" s="34" t="str">
        <f t="shared" si="4"/>
        <v/>
      </c>
      <c r="G18" s="34" t="str">
        <f t="shared" si="1"/>
        <v/>
      </c>
      <c r="H18" s="173" t="str">
        <f>IF(A6="relevant",IF('Matrix-Colon'!O27&lt;Berechnung2!$G$42,Berechnung2!$L$42,""),"")</f>
        <v/>
      </c>
      <c r="I18" s="172" t="str">
        <f>IF(H18="","",VLOOKUP(F18,Berechnung2!$I$15:$J$25,2,FALSE))</f>
        <v/>
      </c>
      <c r="J18" s="237" t="str">
        <f t="shared" si="2"/>
        <v/>
      </c>
      <c r="L18" s="94" t="str">
        <f t="array" aca="1" ref="L18" ca="1">IF(ROW()-ROW($F$2:$F$57)+1&gt;ROWS($E$2:$E$57)-COUNTBLANK($E$2:$E$57),"",INDIRECT(ADDRESS(SMALL((IF($E$2:$E$57&gt;"",ROW($E$2:$E$57),ROW()+ROWS($E$2:$E$57))),ROW()-ROW($F$2:$F$57)+1),COLUMN($E$2:$E$57),4)))</f>
        <v/>
      </c>
      <c r="M18" s="94" t="str">
        <f t="array" aca="1" ref="M18" ca="1">IF(ROW()-ROW($G$2:$G$57)+1&gt;ROWS($F$2:$F$57)-COUNTBLANK($F$2:$F$57),"",INDIRECT(ADDRESS(SMALL((IF($F$2:$F$57&lt;&gt;"",ROW($F$2:$F$57),ROW()+ROWS($F$2:$F$57))),ROW()-ROW($G$2:$G$57)+1),COLUMN($F$2:$F$57),4)))</f>
        <v/>
      </c>
      <c r="N18" s="94" t="str">
        <f t="array" aca="1" ref="N18" ca="1">IF(ROW()-ROW($H$2:$H$57)+1&gt;ROWS($G$2:$G$57)-COUNTBLANK($G$2:$G$57),"",INDIRECT(ADDRESS(SMALL((IF($G$2:$G$57&lt;&gt;"",ROW($G$2:$G$57),ROW()+ROWS($G$2:$G$57))),ROW()-ROW($H$2:$H$57)+1),COLUMN($G$2:$G$57),4)))</f>
        <v/>
      </c>
      <c r="O18" s="184" t="str">
        <f t="array" aca="1" ref="O18" ca="1">IF(ROW()-ROW($I$2:$I$57)+1&gt;ROWS($H$2:$H$57)-COUNTBLANK($H$2:$H$57),"",INDIRECT(ADDRESS(SMALL((IF($H$2:$H$57&lt;&gt;"",ROW($H$2:$H$57),ROW()+ROWS($H$2:$H$57))),ROW()-ROW($I$2:$I$57)+1),COLUMN($H$2:$H$57),4)))</f>
        <v/>
      </c>
      <c r="P18" s="184" t="str">
        <f t="array" aca="1" ref="P18" ca="1">IF(ROW()-ROW($J$2:$J$57)+1&gt;ROWS($I$2:$I$57)-COUNTBLANK($I$2:$I$57),"",INDIRECT(ADDRESS(SMALL((IF($I$2:$I$57&lt;&gt;"",ROW($I$2:$I$57),ROW()+ROWS($I$2:$I$57))),ROW()-ROW($J$2:$J$57)+1),COLUMN($I$2:$I$57),4)))</f>
        <v/>
      </c>
    </row>
    <row r="19" spans="4:16" ht="12" thickBot="1" x14ac:dyDescent="0.3">
      <c r="D19" s="174" t="s">
        <v>110</v>
      </c>
      <c r="E19" s="244" t="str">
        <f>IF(H19="","","2018")</f>
        <v/>
      </c>
      <c r="F19" s="244" t="str">
        <f t="shared" si="4"/>
        <v/>
      </c>
      <c r="G19" s="244" t="str">
        <f t="shared" si="1"/>
        <v/>
      </c>
      <c r="H19" s="242"/>
      <c r="I19" s="245" t="str">
        <f>IF(H19="","",VLOOKUP(F19,Berechnung2!$I$15:$J$25,2,FALSE))</f>
        <v/>
      </c>
      <c r="J19" s="246" t="str">
        <f t="shared" si="2"/>
        <v/>
      </c>
      <c r="L19" s="94" t="str">
        <f t="array" aca="1" ref="L19" ca="1">IF(ROW()-ROW($F$2:$F$57)+1&gt;ROWS($E$2:$E$57)-COUNTBLANK($E$2:$E$57),"",INDIRECT(ADDRESS(SMALL((IF($E$2:$E$57&gt;"",ROW($E$2:$E$57),ROW()+ROWS($E$2:$E$57))),ROW()-ROW($F$2:$F$57)+1),COLUMN($E$2:$E$57),4)))</f>
        <v/>
      </c>
      <c r="M19" s="94" t="str">
        <f t="array" aca="1" ref="M19" ca="1">IF(ROW()-ROW($G$2:$G$57)+1&gt;ROWS($F$2:$F$57)-COUNTBLANK($F$2:$F$57),"",INDIRECT(ADDRESS(SMALL((IF($F$2:$F$57&lt;&gt;"",ROW($F$2:$F$57),ROW()+ROWS($F$2:$F$57))),ROW()-ROW($G$2:$G$57)+1),COLUMN($F$2:$F$57),4)))</f>
        <v/>
      </c>
      <c r="N19" s="94" t="str">
        <f t="array" aca="1" ref="N19" ca="1">IF(ROW()-ROW($H$2:$H$57)+1&gt;ROWS($G$2:$G$57)-COUNTBLANK($G$2:$G$57),"",INDIRECT(ADDRESS(SMALL((IF($G$2:$G$57&lt;&gt;"",ROW($G$2:$G$57),ROW()+ROWS($G$2:$G$57))),ROW()-ROW($H$2:$H$57)+1),COLUMN($G$2:$G$57),4)))</f>
        <v/>
      </c>
      <c r="O19" s="184" t="str">
        <f t="array" aca="1" ref="O19" ca="1">IF(ROW()-ROW($I$2:$I$57)+1&gt;ROWS($H$2:$H$57)-COUNTBLANK($H$2:$H$57),"",INDIRECT(ADDRESS(SMALL((IF($H$2:$H$57&lt;&gt;"",ROW($H$2:$H$57),ROW()+ROWS($H$2:$H$57))),ROW()-ROW($I$2:$I$57)+1),COLUMN($H$2:$H$57),4)))</f>
        <v/>
      </c>
      <c r="P19" s="184" t="str">
        <f t="array" aca="1" ref="P19" ca="1">IF(ROW()-ROW($J$2:$J$57)+1&gt;ROWS($I$2:$I$57)-COUNTBLANK($I$2:$I$57),"",INDIRECT(ADDRESS(SMALL((IF($I$2:$I$57&lt;&gt;"",ROW($I$2:$I$57),ROW()+ROWS($I$2:$I$57))),ROW()-ROW($J$2:$J$57)+1),COLUMN($I$2:$I$57),4)))</f>
        <v/>
      </c>
    </row>
    <row r="20" spans="4:16" x14ac:dyDescent="0.25">
      <c r="D20" s="145" t="s">
        <v>287</v>
      </c>
      <c r="E20" s="156" t="str">
        <f>IF(H20="","","2013")</f>
        <v/>
      </c>
      <c r="F20" s="156" t="str">
        <f t="shared" ref="F20:F25" si="5">IF(H20="","","d")</f>
        <v/>
      </c>
      <c r="G20" s="156" t="str">
        <f t="shared" si="1"/>
        <v/>
      </c>
      <c r="H20" s="186" t="str">
        <f>IF(A2="relevant",IF(AND('Matrix-Colon'!Q23="",'Matrix-Colon'!R23="",'Matrix-Colon'!S23="",'Matrix-Colon'!T23=""),"",IF('Matrix-Colon'!Q23&lt;MAX('Matrix-Colon'!R23:T23),Berechnung2!$L$40,"")),"")</f>
        <v/>
      </c>
      <c r="I20" s="239" t="str">
        <f>IF(H20="","",VLOOKUP(F20,Berechnung2!$I$15:$J$25,2,FALSE))</f>
        <v/>
      </c>
      <c r="J20" s="238" t="str">
        <f t="shared" si="2"/>
        <v/>
      </c>
      <c r="L20" s="94" t="str">
        <f t="array" aca="1" ref="L20" ca="1">IF(ROW()-ROW($F$2:$F$57)+1&gt;ROWS($E$2:$E$57)-COUNTBLANK($E$2:$E$57),"",INDIRECT(ADDRESS(SMALL((IF($E$2:$E$57&gt;"",ROW($E$2:$E$57),ROW()+ROWS($E$2:$E$57))),ROW()-ROW($F$2:$F$57)+1),COLUMN($E$2:$E$57),4)))</f>
        <v/>
      </c>
      <c r="M20" s="94" t="str">
        <f t="array" aca="1" ref="M20" ca="1">IF(ROW()-ROW($G$2:$G$57)+1&gt;ROWS($F$2:$F$57)-COUNTBLANK($F$2:$F$57),"",INDIRECT(ADDRESS(SMALL((IF($F$2:$F$57&lt;&gt;"",ROW($F$2:$F$57),ROW()+ROWS($F$2:$F$57))),ROW()-ROW($G$2:$G$57)+1),COLUMN($F$2:$F$57),4)))</f>
        <v/>
      </c>
      <c r="N20" s="94" t="str">
        <f t="array" aca="1" ref="N20" ca="1">IF(ROW()-ROW($H$2:$H$57)+1&gt;ROWS($G$2:$G$57)-COUNTBLANK($G$2:$G$57),"",INDIRECT(ADDRESS(SMALL((IF($G$2:$G$57&lt;&gt;"",ROW($G$2:$G$57),ROW()+ROWS($G$2:$G$57))),ROW()-ROW($H$2:$H$57)+1),COLUMN($G$2:$G$57),4)))</f>
        <v/>
      </c>
      <c r="O20" s="184" t="str">
        <f t="array" aca="1" ref="O20" ca="1">IF(ROW()-ROW($I$2:$I$57)+1&gt;ROWS($H$2:$H$57)-COUNTBLANK($H$2:$H$57),"",INDIRECT(ADDRESS(SMALL((IF($H$2:$H$57&lt;&gt;"",ROW($H$2:$H$57),ROW()+ROWS($H$2:$H$57))),ROW()-ROW($I$2:$I$57)+1),COLUMN($H$2:$H$57),4)))</f>
        <v/>
      </c>
      <c r="P20" s="184" t="str">
        <f t="array" aca="1" ref="P20" ca="1">IF(ROW()-ROW($J$2:$J$57)+1&gt;ROWS($I$2:$I$57)-COUNTBLANK($I$2:$I$57),"",INDIRECT(ADDRESS(SMALL((IF($I$2:$I$57&lt;&gt;"",ROW($I$2:$I$57),ROW()+ROWS($I$2:$I$57))),ROW()-ROW($J$2:$J$57)+1),COLUMN($I$2:$I$57),4)))</f>
        <v/>
      </c>
    </row>
    <row r="21" spans="4:16" x14ac:dyDescent="0.25">
      <c r="D21" s="856" t="s">
        <v>361</v>
      </c>
      <c r="E21" s="34" t="str">
        <f>IF(H21="","","2014")</f>
        <v/>
      </c>
      <c r="F21" s="34" t="str">
        <f t="shared" si="5"/>
        <v/>
      </c>
      <c r="G21" s="34" t="str">
        <f t="shared" si="1"/>
        <v/>
      </c>
      <c r="H21" s="173" t="str">
        <f>IF(A3="relevant",IF(AND('Matrix-Colon'!Q24="",'Matrix-Colon'!R24="",'Matrix-Colon'!S24="",'Matrix-Colon'!T24=""),"",IF('Matrix-Colon'!Q24&lt;MAX('Matrix-Colon'!R24:T24),Berechnung2!$L$40,"")),"")</f>
        <v/>
      </c>
      <c r="I21" s="172" t="str">
        <f>IF(H21="","",VLOOKUP(F21,Berechnung2!$I$15:$J$25,2,FALSE))</f>
        <v/>
      </c>
      <c r="J21" s="237" t="str">
        <f t="shared" si="2"/>
        <v/>
      </c>
      <c r="L21" s="94" t="str">
        <f t="array" aca="1" ref="L21" ca="1">IF(ROW()-ROW($F$2:$F$57)+1&gt;ROWS($E$2:$E$57)-COUNTBLANK($E$2:$E$57),"",INDIRECT(ADDRESS(SMALL((IF($E$2:$E$57&gt;"",ROW($E$2:$E$57),ROW()+ROWS($E$2:$E$57))),ROW()-ROW($F$2:$F$57)+1),COLUMN($E$2:$E$57),4)))</f>
        <v/>
      </c>
      <c r="M21" s="94" t="str">
        <f t="array" aca="1" ref="M21" ca="1">IF(ROW()-ROW($G$2:$G$57)+1&gt;ROWS($F$2:$F$57)-COUNTBLANK($F$2:$F$57),"",INDIRECT(ADDRESS(SMALL((IF($F$2:$F$57&lt;&gt;"",ROW($F$2:$F$57),ROW()+ROWS($F$2:$F$57))),ROW()-ROW($G$2:$G$57)+1),COLUMN($F$2:$F$57),4)))</f>
        <v/>
      </c>
      <c r="N21" s="94" t="str">
        <f t="array" aca="1" ref="N21" ca="1">IF(ROW()-ROW($H$2:$H$57)+1&gt;ROWS($G$2:$G$57)-COUNTBLANK($G$2:$G$57),"",INDIRECT(ADDRESS(SMALL((IF($G$2:$G$57&lt;&gt;"",ROW($G$2:$G$57),ROW()+ROWS($G$2:$G$57))),ROW()-ROW($H$2:$H$57)+1),COLUMN($G$2:$G$57),4)))</f>
        <v/>
      </c>
      <c r="O21" s="184" t="str">
        <f t="array" aca="1" ref="O21" ca="1">IF(ROW()-ROW($I$2:$I$57)+1&gt;ROWS($H$2:$H$57)-COUNTBLANK($H$2:$H$57),"",INDIRECT(ADDRESS(SMALL((IF($H$2:$H$57&lt;&gt;"",ROW($H$2:$H$57),ROW()+ROWS($H$2:$H$57))),ROW()-ROW($I$2:$I$57)+1),COLUMN($H$2:$H$57),4)))</f>
        <v/>
      </c>
      <c r="P21" s="184" t="str">
        <f t="array" aca="1" ref="P21" ca="1">IF(ROW()-ROW($J$2:$J$57)+1&gt;ROWS($I$2:$I$57)-COUNTBLANK($I$2:$I$57),"",INDIRECT(ADDRESS(SMALL((IF($I$2:$I$57&lt;&gt;"",ROW($I$2:$I$57),ROW()+ROWS($I$2:$I$57))),ROW()-ROW($J$2:$J$57)+1),COLUMN($I$2:$I$57),4)))</f>
        <v/>
      </c>
    </row>
    <row r="22" spans="4:16" x14ac:dyDescent="0.25">
      <c r="D22" s="856"/>
      <c r="E22" s="34" t="str">
        <f>IF(H22="","","2015")</f>
        <v/>
      </c>
      <c r="F22" s="34" t="str">
        <f t="shared" si="5"/>
        <v/>
      </c>
      <c r="G22" s="34" t="str">
        <f t="shared" si="1"/>
        <v/>
      </c>
      <c r="H22" s="173" t="str">
        <f>IF(A4="relevant",IF(AND('Matrix-Colon'!Q25="",'Matrix-Colon'!R25="",'Matrix-Colon'!S25="",'Matrix-Colon'!T25=""),"",IF('Matrix-Colon'!Q25&lt;MAX('Matrix-Colon'!R25:T25),Berechnung2!$L$40,"")),"")</f>
        <v/>
      </c>
      <c r="I22" s="172" t="str">
        <f>IF(H22="","",VLOOKUP(F22,Berechnung2!$I$15:$J$25,2,FALSE))</f>
        <v/>
      </c>
      <c r="J22" s="237" t="str">
        <f t="shared" si="2"/>
        <v/>
      </c>
      <c r="L22" s="94" t="str">
        <f t="array" aca="1" ref="L22" ca="1">IF(ROW()-ROW($F$2:$F$57)+1&gt;ROWS($E$2:$E$57)-COUNTBLANK($E$2:$E$57),"",INDIRECT(ADDRESS(SMALL((IF($E$2:$E$57&gt;"",ROW($E$2:$E$57),ROW()+ROWS($E$2:$E$57))),ROW()-ROW($F$2:$F$57)+1),COLUMN($E$2:$E$57),4)))</f>
        <v/>
      </c>
      <c r="M22" s="94" t="str">
        <f t="array" aca="1" ref="M22" ca="1">IF(ROW()-ROW($G$2:$G$57)+1&gt;ROWS($F$2:$F$57)-COUNTBLANK($F$2:$F$57),"",INDIRECT(ADDRESS(SMALL((IF($F$2:$F$57&lt;&gt;"",ROW($F$2:$F$57),ROW()+ROWS($F$2:$F$57))),ROW()-ROW($G$2:$G$57)+1),COLUMN($F$2:$F$57),4)))</f>
        <v/>
      </c>
      <c r="N22" s="94" t="str">
        <f t="array" aca="1" ref="N22" ca="1">IF(ROW()-ROW($H$2:$H$57)+1&gt;ROWS($G$2:$G$57)-COUNTBLANK($G$2:$G$57),"",INDIRECT(ADDRESS(SMALL((IF($G$2:$G$57&lt;&gt;"",ROW($G$2:$G$57),ROW()+ROWS($G$2:$G$57))),ROW()-ROW($H$2:$H$57)+1),COLUMN($G$2:$G$57),4)))</f>
        <v/>
      </c>
      <c r="O22" s="184" t="str">
        <f t="array" aca="1" ref="O22" ca="1">IF(ROW()-ROW($I$2:$I$57)+1&gt;ROWS($H$2:$H$57)-COUNTBLANK($H$2:$H$57),"",INDIRECT(ADDRESS(SMALL((IF($H$2:$H$57&lt;&gt;"",ROW($H$2:$H$57),ROW()+ROWS($H$2:$H$57))),ROW()-ROW($I$2:$I$57)+1),COLUMN($H$2:$H$57),4)))</f>
        <v/>
      </c>
      <c r="P22" s="184" t="str">
        <f t="array" aca="1" ref="P22" ca="1">IF(ROW()-ROW($J$2:$J$57)+1&gt;ROWS($I$2:$I$57)-COUNTBLANK($I$2:$I$57),"",INDIRECT(ADDRESS(SMALL((IF($I$2:$I$57&lt;&gt;"",ROW($I$2:$I$57),ROW()+ROWS($I$2:$I$57))),ROW()-ROW($J$2:$J$57)+1),COLUMN($I$2:$I$57),4)))</f>
        <v/>
      </c>
    </row>
    <row r="23" spans="4:16" x14ac:dyDescent="0.25">
      <c r="D23" s="856"/>
      <c r="E23" s="34" t="str">
        <f>IF(H23="","","2016")</f>
        <v/>
      </c>
      <c r="F23" s="34" t="str">
        <f t="shared" si="5"/>
        <v/>
      </c>
      <c r="G23" s="34" t="str">
        <f t="shared" si="1"/>
        <v/>
      </c>
      <c r="H23" s="173" t="str">
        <f>IF(A5="relevant",IF(AND('Matrix-Colon'!Q26="",'Matrix-Colon'!R26="",'Matrix-Colon'!S26="",'Matrix-Colon'!T26=""),"",IF('Matrix-Colon'!Q26&lt;MAX('Matrix-Colon'!R26:T26),Berechnung2!$L$40,"")),"")</f>
        <v/>
      </c>
      <c r="I23" s="172" t="str">
        <f>IF(H23="","",VLOOKUP(F23,Berechnung2!$I$15:$J$25,2,FALSE))</f>
        <v/>
      </c>
      <c r="J23" s="237" t="str">
        <f t="shared" si="2"/>
        <v/>
      </c>
      <c r="L23" s="94" t="str">
        <f t="array" aca="1" ref="L23" ca="1">IF(ROW()-ROW($F$2:$F$57)+1&gt;ROWS($E$2:$E$57)-COUNTBLANK($E$2:$E$57),"",INDIRECT(ADDRESS(SMALL((IF($E$2:$E$57&gt;"",ROW($E$2:$E$57),ROW()+ROWS($E$2:$E$57))),ROW()-ROW($F$2:$F$57)+1),COLUMN($E$2:$E$57),4)))</f>
        <v/>
      </c>
      <c r="M23" s="94" t="str">
        <f t="array" aca="1" ref="M23" ca="1">IF(ROW()-ROW($G$2:$G$57)+1&gt;ROWS($F$2:$F$57)-COUNTBLANK($F$2:$F$57),"",INDIRECT(ADDRESS(SMALL((IF($F$2:$F$57&lt;&gt;"",ROW($F$2:$F$57),ROW()+ROWS($F$2:$F$57))),ROW()-ROW($G$2:$G$57)+1),COLUMN($F$2:$F$57),4)))</f>
        <v/>
      </c>
      <c r="N23" s="94" t="str">
        <f t="array" aca="1" ref="N23" ca="1">IF(ROW()-ROW($H$2:$H$57)+1&gt;ROWS($G$2:$G$57)-COUNTBLANK($G$2:$G$57),"",INDIRECT(ADDRESS(SMALL((IF($G$2:$G$57&lt;&gt;"",ROW($G$2:$G$57),ROW()+ROWS($G$2:$G$57))),ROW()-ROW($H$2:$H$57)+1),COLUMN($G$2:$G$57),4)))</f>
        <v/>
      </c>
      <c r="O23" s="184" t="str">
        <f t="array" aca="1" ref="O23" ca="1">IF(ROW()-ROW($I$2:$I$57)+1&gt;ROWS($H$2:$H$57)-COUNTBLANK($H$2:$H$57),"",INDIRECT(ADDRESS(SMALL((IF($H$2:$H$57&lt;&gt;"",ROW($H$2:$H$57),ROW()+ROWS($H$2:$H$57))),ROW()-ROW($I$2:$I$57)+1),COLUMN($H$2:$H$57),4)))</f>
        <v/>
      </c>
      <c r="P23" s="184" t="str">
        <f t="array" aca="1" ref="P23" ca="1">IF(ROW()-ROW($J$2:$J$57)+1&gt;ROWS($I$2:$I$57)-COUNTBLANK($I$2:$I$57),"",INDIRECT(ADDRESS(SMALL((IF($I$2:$I$57&lt;&gt;"",ROW($I$2:$I$57),ROW()+ROWS($I$2:$I$57))),ROW()-ROW($J$2:$J$57)+1),COLUMN($I$2:$I$57),4)))</f>
        <v/>
      </c>
    </row>
    <row r="24" spans="4:16" x14ac:dyDescent="0.25">
      <c r="D24" s="856"/>
      <c r="E24" s="34" t="str">
        <f>IF(H24="","","2017")</f>
        <v/>
      </c>
      <c r="F24" s="34" t="str">
        <f t="shared" si="5"/>
        <v/>
      </c>
      <c r="G24" s="34" t="str">
        <f t="shared" si="1"/>
        <v/>
      </c>
      <c r="H24" s="173" t="str">
        <f>IF(A6="relevant",IF(AND('Matrix-Colon'!Q27="",'Matrix-Colon'!R27="",'Matrix-Colon'!S27="",'Matrix-Colon'!T27=""),"",IF('Matrix-Colon'!Q27&lt;MAX('Matrix-Colon'!R27:T27),Berechnung2!$L$40,"")),"")</f>
        <v/>
      </c>
      <c r="I24" s="172" t="str">
        <f>IF(H24="","",VLOOKUP(F24,Berechnung2!$I$15:$J$25,2,FALSE))</f>
        <v/>
      </c>
      <c r="J24" s="237" t="str">
        <f t="shared" si="2"/>
        <v/>
      </c>
      <c r="L24" s="94" t="str">
        <f t="array" aca="1" ref="L24" ca="1">IF(ROW()-ROW($F$2:$F$57)+1&gt;ROWS($E$2:$E$57)-COUNTBLANK($E$2:$E$57),"",INDIRECT(ADDRESS(SMALL((IF($E$2:$E$57&gt;"",ROW($E$2:$E$57),ROW()+ROWS($E$2:$E$57))),ROW()-ROW($F$2:$F$57)+1),COLUMN($E$2:$E$57),4)))</f>
        <v/>
      </c>
      <c r="M24" s="94" t="str">
        <f t="array" aca="1" ref="M24" ca="1">IF(ROW()-ROW($G$2:$G$57)+1&gt;ROWS($F$2:$F$57)-COUNTBLANK($F$2:$F$57),"",INDIRECT(ADDRESS(SMALL((IF($F$2:$F$57&lt;&gt;"",ROW($F$2:$F$57),ROW()+ROWS($F$2:$F$57))),ROW()-ROW($G$2:$G$57)+1),COLUMN($F$2:$F$57),4)))</f>
        <v/>
      </c>
      <c r="N24" s="94" t="str">
        <f t="array" aca="1" ref="N24" ca="1">IF(ROW()-ROW($H$2:$H$57)+1&gt;ROWS($G$2:$G$57)-COUNTBLANK($G$2:$G$57),"",INDIRECT(ADDRESS(SMALL((IF($G$2:$G$57&lt;&gt;"",ROW($G$2:$G$57),ROW()+ROWS($G$2:$G$57))),ROW()-ROW($H$2:$H$57)+1),COLUMN($G$2:$G$57),4)))</f>
        <v/>
      </c>
      <c r="O24" s="184" t="str">
        <f t="array" aca="1" ref="O24" ca="1">IF(ROW()-ROW($I$2:$I$57)+1&gt;ROWS($H$2:$H$57)-COUNTBLANK($H$2:$H$57),"",INDIRECT(ADDRESS(SMALL((IF($H$2:$H$57&lt;&gt;"",ROW($H$2:$H$57),ROW()+ROWS($H$2:$H$57))),ROW()-ROW($I$2:$I$57)+1),COLUMN($H$2:$H$57),4)))</f>
        <v/>
      </c>
      <c r="P24" s="184" t="str">
        <f t="array" aca="1" ref="P24" ca="1">IF(ROW()-ROW($J$2:$J$57)+1&gt;ROWS($I$2:$I$57)-COUNTBLANK($I$2:$I$57),"",INDIRECT(ADDRESS(SMALL((IF($I$2:$I$57&lt;&gt;"",ROW($I$2:$I$57),ROW()+ROWS($I$2:$I$57))),ROW()-ROW($J$2:$J$57)+1),COLUMN($I$2:$I$57),4)))</f>
        <v/>
      </c>
    </row>
    <row r="25" spans="4:16" ht="12" thickBot="1" x14ac:dyDescent="0.3">
      <c r="D25" s="144" t="s">
        <v>112</v>
      </c>
      <c r="E25" s="155" t="str">
        <f>IF(H25="","","2018")</f>
        <v/>
      </c>
      <c r="F25" s="155" t="str">
        <f t="shared" si="5"/>
        <v/>
      </c>
      <c r="G25" s="155" t="str">
        <f t="shared" si="1"/>
        <v/>
      </c>
      <c r="H25" s="185" t="str">
        <f>IF(A7="relevant",IF(AND('Matrix-Colon'!Q28="",'Matrix-Colon'!R28="",'Matrix-Colon'!S28="",'Matrix-Colon'!T28=""),"",IF('Matrix-Colon'!Q28&lt;MAX('Matrix-Colon'!R28:T28),Berechnung2!$L$40,"")),"")</f>
        <v/>
      </c>
      <c r="I25" s="219" t="str">
        <f>IF(H25="","",VLOOKUP(F25,Berechnung2!$I$15:$J$25,2,FALSE))</f>
        <v/>
      </c>
      <c r="J25" s="220" t="str">
        <f t="shared" si="2"/>
        <v/>
      </c>
      <c r="L25" s="94" t="str">
        <f t="array" aca="1" ref="L25" ca="1">IF(ROW()-ROW($F$2:$F$57)+1&gt;ROWS($E$2:$E$57)-COUNTBLANK($E$2:$E$57),"",INDIRECT(ADDRESS(SMALL((IF($E$2:$E$57&gt;"",ROW($E$2:$E$57),ROW()+ROWS($E$2:$E$57))),ROW()-ROW($F$2:$F$57)+1),COLUMN($E$2:$E$57),4)))</f>
        <v/>
      </c>
      <c r="M25" s="94" t="str">
        <f t="array" aca="1" ref="M25" ca="1">IF(ROW()-ROW($G$2:$G$57)+1&gt;ROWS($F$2:$F$57)-COUNTBLANK($F$2:$F$57),"",INDIRECT(ADDRESS(SMALL((IF($F$2:$F$57&lt;&gt;"",ROW($F$2:$F$57),ROW()+ROWS($F$2:$F$57))),ROW()-ROW($G$2:$G$57)+1),COLUMN($F$2:$F$57),4)))</f>
        <v/>
      </c>
      <c r="N25" s="94" t="str">
        <f t="array" aca="1" ref="N25" ca="1">IF(ROW()-ROW($H$2:$H$57)+1&gt;ROWS($G$2:$G$57)-COUNTBLANK($G$2:$G$57),"",INDIRECT(ADDRESS(SMALL((IF($G$2:$G$57&lt;&gt;"",ROW($G$2:$G$57),ROW()+ROWS($G$2:$G$57))),ROW()-ROW($H$2:$H$57)+1),COLUMN($G$2:$G$57),4)))</f>
        <v/>
      </c>
      <c r="O25" s="184" t="str">
        <f t="array" aca="1" ref="O25" ca="1">IF(ROW()-ROW($I$2:$I$57)+1&gt;ROWS($H$2:$H$57)-COUNTBLANK($H$2:$H$57),"",INDIRECT(ADDRESS(SMALL((IF($H$2:$H$57&lt;&gt;"",ROW($H$2:$H$57),ROW()+ROWS($H$2:$H$57))),ROW()-ROW($I$2:$I$57)+1),COLUMN($H$2:$H$57),4)))</f>
        <v/>
      </c>
      <c r="P25" s="184" t="str">
        <f t="array" aca="1" ref="P25" ca="1">IF(ROW()-ROW($J$2:$J$57)+1&gt;ROWS($I$2:$I$57)-COUNTBLANK($I$2:$I$57),"",INDIRECT(ADDRESS(SMALL((IF($I$2:$I$57&lt;&gt;"",ROW($I$2:$I$57),ROW()+ROWS($I$2:$I$57))),ROW()-ROW($J$2:$J$57)+1),COLUMN($I$2:$I$57),4)))</f>
        <v/>
      </c>
    </row>
    <row r="26" spans="4:16" ht="34.5" thickBot="1" x14ac:dyDescent="0.3">
      <c r="D26" s="247" t="s">
        <v>111</v>
      </c>
      <c r="E26" s="248" t="str">
        <f>IF(H26="","","2-4 Jahre")</f>
        <v/>
      </c>
      <c r="F26" s="248" t="str">
        <f>IF(H26="","","e")</f>
        <v/>
      </c>
      <c r="G26" s="248" t="str">
        <f>IF(H26="","","5")</f>
        <v/>
      </c>
      <c r="H26" s="243" t="str">
        <f>IF(OR('Matrix-Colon'!$M$30="-----",'Matrix-Colon'!$M$30=""),"",IF(AND(ROUND('Matrix-Colon'!M30,4)&gt;=Berechnung2!G38,ROUND('Matrix-Colon'!M30,4)&lt;Berechnung2!J38),Berechnung2!L38,""))</f>
        <v/>
      </c>
      <c r="I26" s="249" t="str">
        <f>IF(H26="","",VLOOKUP(F26,Berechnung2!$I$15:$J$25,2,FALSE))</f>
        <v/>
      </c>
      <c r="J26" s="250" t="str">
        <f t="shared" si="2"/>
        <v/>
      </c>
      <c r="L26" s="94" t="str">
        <f t="array" aca="1" ref="L26" ca="1">IF(ROW()-ROW($F$2:$F$57)+1&gt;ROWS($E$2:$E$57)-COUNTBLANK($E$2:$E$57),"",INDIRECT(ADDRESS(SMALL((IF($E$2:$E$57&gt;"",ROW($E$2:$E$57),ROW()+ROWS($E$2:$E$57))),ROW()-ROW($F$2:$F$57)+1),COLUMN($E$2:$E$57),4)))</f>
        <v/>
      </c>
      <c r="M26" s="94" t="str">
        <f t="array" aca="1" ref="M26" ca="1">IF(ROW()-ROW($G$2:$G$57)+1&gt;ROWS($F$2:$F$57)-COUNTBLANK($F$2:$F$57),"",INDIRECT(ADDRESS(SMALL((IF($F$2:$F$57&lt;&gt;"",ROW($F$2:$F$57),ROW()+ROWS($F$2:$F$57))),ROW()-ROW($G$2:$G$57)+1),COLUMN($F$2:$F$57),4)))</f>
        <v/>
      </c>
      <c r="N26" s="94" t="str">
        <f t="array" aca="1" ref="N26" ca="1">IF(ROW()-ROW($H$2:$H$57)+1&gt;ROWS($G$2:$G$57)-COUNTBLANK($G$2:$G$57),"",INDIRECT(ADDRESS(SMALL((IF($G$2:$G$57&lt;&gt;"",ROW($G$2:$G$57),ROW()+ROWS($G$2:$G$57))),ROW()-ROW($H$2:$H$57)+1),COLUMN($G$2:$G$57),4)))</f>
        <v/>
      </c>
      <c r="O26" s="184" t="str">
        <f t="array" aca="1" ref="O26" ca="1">IF(ROW()-ROW($I$2:$I$57)+1&gt;ROWS($H$2:$H$57)-COUNTBLANK($H$2:$H$57),"",INDIRECT(ADDRESS(SMALL((IF($H$2:$H$57&lt;&gt;"",ROW($H$2:$H$57),ROW()+ROWS($H$2:$H$57))),ROW()-ROW($I$2:$I$57)+1),COLUMN($H$2:$H$57),4)))</f>
        <v/>
      </c>
      <c r="P26" s="184" t="str">
        <f t="array" aca="1" ref="P26" ca="1">IF(ROW()-ROW($J$2:$J$57)+1&gt;ROWS($I$2:$I$57)-COUNTBLANK($I$2:$I$57),"",INDIRECT(ADDRESS(SMALL((IF($I$2:$I$57&lt;&gt;"",ROW($I$2:$I$57),ROW()+ROWS($I$2:$I$57))),ROW()-ROW($J$2:$J$57)+1),COLUMN($I$2:$I$57),4)))</f>
        <v/>
      </c>
    </row>
    <row r="27" spans="4:16" x14ac:dyDescent="0.25">
      <c r="D27" s="143" t="s">
        <v>280</v>
      </c>
      <c r="E27" s="156" t="str">
        <f>IF(H27="","","2013")</f>
        <v/>
      </c>
      <c r="F27" s="156" t="str">
        <f t="shared" ref="F27:F32" si="6">IF(H27="","","f")</f>
        <v/>
      </c>
      <c r="G27" s="156" t="str">
        <f>IF(H27="","","6")</f>
        <v/>
      </c>
      <c r="H27" s="186" t="str">
        <f>IF(A2="relevant",IF('Matrix-Colon'!C23="","",IF('Matrix-Colon'!C23&lt;Berechnung2!$G$35,Berechnung2!$L$35,"")),"")</f>
        <v/>
      </c>
      <c r="I27" s="239" t="str">
        <f>IF(H27="","",VLOOKUP(F27,Berechnung2!$I$15:$J$25,2,FALSE))</f>
        <v/>
      </c>
      <c r="J27" s="238" t="str">
        <f t="shared" si="2"/>
        <v/>
      </c>
      <c r="L27" s="94" t="str">
        <f t="array" aca="1" ref="L27" ca="1">IF(ROW()-ROW($F$2:$F$57)+1&gt;ROWS($E$2:$E$57)-COUNTBLANK($E$2:$E$57),"",INDIRECT(ADDRESS(SMALL((IF($E$2:$E$57&gt;"",ROW($E$2:$E$57),ROW()+ROWS($E$2:$E$57))),ROW()-ROW($F$2:$F$57)+1),COLUMN($E$2:$E$57),4)))</f>
        <v/>
      </c>
      <c r="M27" s="94" t="str">
        <f t="array" aca="1" ref="M27" ca="1">IF(ROW()-ROW($G$2:$G$57)+1&gt;ROWS($F$2:$F$57)-COUNTBLANK($F$2:$F$57),"",INDIRECT(ADDRESS(SMALL((IF($F$2:$F$57&lt;&gt;"",ROW($F$2:$F$57),ROW()+ROWS($F$2:$F$57))),ROW()-ROW($G$2:$G$57)+1),COLUMN($F$2:$F$57),4)))</f>
        <v/>
      </c>
      <c r="N27" s="94" t="str">
        <f t="array" aca="1" ref="N27" ca="1">IF(ROW()-ROW($H$2:$H$57)+1&gt;ROWS($G$2:$G$57)-COUNTBLANK($G$2:$G$57),"",INDIRECT(ADDRESS(SMALL((IF($G$2:$G$57&lt;&gt;"",ROW($G$2:$G$57),ROW()+ROWS($G$2:$G$57))),ROW()-ROW($H$2:$H$57)+1),COLUMN($G$2:$G$57),4)))</f>
        <v/>
      </c>
      <c r="O27" s="184" t="str">
        <f t="array" aca="1" ref="O27" ca="1">IF(ROW()-ROW($I$2:$I$57)+1&gt;ROWS($H$2:$H$57)-COUNTBLANK($H$2:$H$57),"",INDIRECT(ADDRESS(SMALL((IF($H$2:$H$57&lt;&gt;"",ROW($H$2:$H$57),ROW()+ROWS($H$2:$H$57))),ROW()-ROW($I$2:$I$57)+1),COLUMN($H$2:$H$57),4)))</f>
        <v/>
      </c>
      <c r="P27" s="184" t="str">
        <f t="array" aca="1" ref="P27" ca="1">IF(ROW()-ROW($J$2:$J$57)+1&gt;ROWS($I$2:$I$57)-COUNTBLANK($I$2:$I$57),"",INDIRECT(ADDRESS(SMALL((IF($I$2:$I$57&lt;&gt;"",ROW($I$2:$I$57),ROW()+ROWS($I$2:$I$57))),ROW()-ROW($J$2:$J$57)+1),COLUMN($I$2:$I$57),4)))</f>
        <v/>
      </c>
    </row>
    <row r="28" spans="4:16" x14ac:dyDescent="0.25">
      <c r="D28" s="855" t="s">
        <v>326</v>
      </c>
      <c r="E28" s="34" t="str">
        <f>IF(H28="","","2014")</f>
        <v/>
      </c>
      <c r="F28" s="34" t="str">
        <f t="shared" si="6"/>
        <v/>
      </c>
      <c r="G28" s="34" t="str">
        <f t="shared" ref="G28:G57" si="7">IF(H28="","","6")</f>
        <v/>
      </c>
      <c r="H28" s="173" t="str">
        <f>IF(A3="relevant",IF('Matrix-Colon'!C24="","",IF('Matrix-Colon'!C24&lt;Berechnung2!$G$35,Berechnung2!$L$35,"")),"")</f>
        <v/>
      </c>
      <c r="I28" s="172" t="str">
        <f>IF(H28="","",VLOOKUP(F28,Berechnung2!$I$15:$J$25,2,FALSE))</f>
        <v/>
      </c>
      <c r="J28" s="237" t="str">
        <f t="shared" si="2"/>
        <v/>
      </c>
      <c r="L28" s="94" t="str">
        <f t="array" aca="1" ref="L28" ca="1">IF(ROW()-ROW($F$2:$F$57)+1&gt;ROWS($E$2:$E$57)-COUNTBLANK($E$2:$E$57),"",INDIRECT(ADDRESS(SMALL((IF($E$2:$E$57&gt;"",ROW($E$2:$E$57),ROW()+ROWS($E$2:$E$57))),ROW()-ROW($F$2:$F$57)+1),COLUMN($E$2:$E$57),4)))</f>
        <v/>
      </c>
      <c r="M28" s="94" t="str">
        <f t="array" aca="1" ref="M28" ca="1">IF(ROW()-ROW($G$2:$G$57)+1&gt;ROWS($F$2:$F$57)-COUNTBLANK($F$2:$F$57),"",INDIRECT(ADDRESS(SMALL((IF($F$2:$F$57&lt;&gt;"",ROW($F$2:$F$57),ROW()+ROWS($F$2:$F$57))),ROW()-ROW($G$2:$G$57)+1),COLUMN($F$2:$F$57),4)))</f>
        <v/>
      </c>
      <c r="N28" s="94" t="str">
        <f t="array" aca="1" ref="N28" ca="1">IF(ROW()-ROW($H$2:$H$57)+1&gt;ROWS($G$2:$G$57)-COUNTBLANK($G$2:$G$57),"",INDIRECT(ADDRESS(SMALL((IF($G$2:$G$57&lt;&gt;"",ROW($G$2:$G$57),ROW()+ROWS($G$2:$G$57))),ROW()-ROW($H$2:$H$57)+1),COLUMN($G$2:$G$57),4)))</f>
        <v/>
      </c>
      <c r="O28" s="184" t="str">
        <f t="array" aca="1" ref="O28" ca="1">IF(ROW()-ROW($I$2:$I$57)+1&gt;ROWS($H$2:$H$57)-COUNTBLANK($H$2:$H$57),"",INDIRECT(ADDRESS(SMALL((IF($H$2:$H$57&lt;&gt;"",ROW($H$2:$H$57),ROW()+ROWS($H$2:$H$57))),ROW()-ROW($I$2:$I$57)+1),COLUMN($H$2:$H$57),4)))</f>
        <v/>
      </c>
      <c r="P28" s="184" t="str">
        <f t="array" aca="1" ref="P28" ca="1">IF(ROW()-ROW($J$2:$J$57)+1&gt;ROWS($I$2:$I$57)-COUNTBLANK($I$2:$I$57),"",INDIRECT(ADDRESS(SMALL((IF($I$2:$I$57&lt;&gt;"",ROW($I$2:$I$57),ROW()+ROWS($I$2:$I$57))),ROW()-ROW($J$2:$J$57)+1),COLUMN($I$2:$I$57),4)))</f>
        <v/>
      </c>
    </row>
    <row r="29" spans="4:16" x14ac:dyDescent="0.25">
      <c r="D29" s="855"/>
      <c r="E29" s="34" t="str">
        <f>IF(H29="","","2015")</f>
        <v/>
      </c>
      <c r="F29" s="34" t="str">
        <f t="shared" si="6"/>
        <v/>
      </c>
      <c r="G29" s="34" t="str">
        <f t="shared" si="7"/>
        <v/>
      </c>
      <c r="H29" s="173" t="str">
        <f>IF(A4="relevant",IF('Matrix-Colon'!C25="","",IF('Matrix-Colon'!C25&lt;Berechnung2!$G$35,Berechnung2!$L$35,"")),"")</f>
        <v/>
      </c>
      <c r="I29" s="172" t="str">
        <f>IF(H29="","",VLOOKUP(F29,Berechnung2!$I$15:$J$25,2,FALSE))</f>
        <v/>
      </c>
      <c r="J29" s="237" t="str">
        <f t="shared" si="2"/>
        <v/>
      </c>
      <c r="L29" s="94" t="str">
        <f t="array" aca="1" ref="L29" ca="1">IF(ROW()-ROW($F$2:$F$57)+1&gt;ROWS($E$2:$E$57)-COUNTBLANK($E$2:$E$57),"",INDIRECT(ADDRESS(SMALL((IF($E$2:$E$57&gt;"",ROW($E$2:$E$57),ROW()+ROWS($E$2:$E$57))),ROW()-ROW($F$2:$F$57)+1),COLUMN($E$2:$E$57),4)))</f>
        <v/>
      </c>
      <c r="M29" s="94" t="str">
        <f t="array" aca="1" ref="M29" ca="1">IF(ROW()-ROW($G$2:$G$57)+1&gt;ROWS($F$2:$F$57)-COUNTBLANK($F$2:$F$57),"",INDIRECT(ADDRESS(SMALL((IF($F$2:$F$57&lt;&gt;"",ROW($F$2:$F$57),ROW()+ROWS($F$2:$F$57))),ROW()-ROW($G$2:$G$57)+1),COLUMN($F$2:$F$57),4)))</f>
        <v/>
      </c>
      <c r="N29" s="94" t="str">
        <f t="array" aca="1" ref="N29" ca="1">IF(ROW()-ROW($H$2:$H$57)+1&gt;ROWS($G$2:$G$57)-COUNTBLANK($G$2:$G$57),"",INDIRECT(ADDRESS(SMALL((IF($G$2:$G$57&lt;&gt;"",ROW($G$2:$G$57),ROW()+ROWS($G$2:$G$57))),ROW()-ROW($H$2:$H$57)+1),COLUMN($G$2:$G$57),4)))</f>
        <v/>
      </c>
      <c r="O29" s="184" t="str">
        <f t="array" aca="1" ref="O29" ca="1">IF(ROW()-ROW($I$2:$I$57)+1&gt;ROWS($H$2:$H$57)-COUNTBLANK($H$2:$H$57),"",INDIRECT(ADDRESS(SMALL((IF($H$2:$H$57&lt;&gt;"",ROW($H$2:$H$57),ROW()+ROWS($H$2:$H$57))),ROW()-ROW($I$2:$I$57)+1),COLUMN($H$2:$H$57),4)))</f>
        <v/>
      </c>
      <c r="P29" s="184" t="str">
        <f t="array" aca="1" ref="P29" ca="1">IF(ROW()-ROW($J$2:$J$57)+1&gt;ROWS($I$2:$I$57)-COUNTBLANK($I$2:$I$57),"",INDIRECT(ADDRESS(SMALL((IF($I$2:$I$57&lt;&gt;"",ROW($I$2:$I$57),ROW()+ROWS($I$2:$I$57))),ROW()-ROW($J$2:$J$57)+1),COLUMN($I$2:$I$57),4)))</f>
        <v/>
      </c>
    </row>
    <row r="30" spans="4:16" x14ac:dyDescent="0.25">
      <c r="D30" s="855"/>
      <c r="E30" s="34" t="str">
        <f>IF(H30="","","2016")</f>
        <v/>
      </c>
      <c r="F30" s="34" t="str">
        <f t="shared" si="6"/>
        <v/>
      </c>
      <c r="G30" s="34" t="str">
        <f t="shared" si="7"/>
        <v/>
      </c>
      <c r="H30" s="173" t="str">
        <f>IF(A5="relevant",IF('Matrix-Colon'!C26="","",IF('Matrix-Colon'!C26&lt;Berechnung2!$G$35,Berechnung2!$L$35,"")),"")</f>
        <v/>
      </c>
      <c r="I30" s="172" t="str">
        <f>IF(H30="","",VLOOKUP(F30,Berechnung2!$I$15:$J$25,2,FALSE))</f>
        <v/>
      </c>
      <c r="J30" s="237" t="str">
        <f t="shared" si="2"/>
        <v/>
      </c>
      <c r="L30" s="94" t="str">
        <f t="array" aca="1" ref="L30" ca="1">IF(ROW()-ROW($F$2:$F$57)+1&gt;ROWS($E$2:$E$57)-COUNTBLANK($E$2:$E$57),"",INDIRECT(ADDRESS(SMALL((IF($E$2:$E$57&gt;"",ROW($E$2:$E$57),ROW()+ROWS($E$2:$E$57))),ROW()-ROW($F$2:$F$57)+1),COLUMN($E$2:$E$57),4)))</f>
        <v/>
      </c>
      <c r="M30" s="94" t="str">
        <f t="array" aca="1" ref="M30" ca="1">IF(ROW()-ROW($G$2:$G$57)+1&gt;ROWS($F$2:$F$57)-COUNTBLANK($F$2:$F$57),"",INDIRECT(ADDRESS(SMALL((IF($F$2:$F$57&lt;&gt;"",ROW($F$2:$F$57),ROW()+ROWS($F$2:$F$57))),ROW()-ROW($G$2:$G$57)+1),COLUMN($F$2:$F$57),4)))</f>
        <v/>
      </c>
      <c r="N30" s="94" t="str">
        <f t="array" aca="1" ref="N30" ca="1">IF(ROW()-ROW($H$2:$H$57)+1&gt;ROWS($G$2:$G$57)-COUNTBLANK($G$2:$G$57),"",INDIRECT(ADDRESS(SMALL((IF($G$2:$G$57&lt;&gt;"",ROW($G$2:$G$57),ROW()+ROWS($G$2:$G$57))),ROW()-ROW($H$2:$H$57)+1),COLUMN($G$2:$G$57),4)))</f>
        <v/>
      </c>
      <c r="O30" s="184" t="str">
        <f t="array" aca="1" ref="O30" ca="1">IF(ROW()-ROW($I$2:$I$57)+1&gt;ROWS($H$2:$H$57)-COUNTBLANK($H$2:$H$57),"",INDIRECT(ADDRESS(SMALL((IF($H$2:$H$57&lt;&gt;"",ROW($H$2:$H$57),ROW()+ROWS($H$2:$H$57))),ROW()-ROW($I$2:$I$57)+1),COLUMN($H$2:$H$57),4)))</f>
        <v/>
      </c>
      <c r="P30" s="184" t="str">
        <f t="array" aca="1" ref="P30" ca="1">IF(ROW()-ROW($J$2:$J$57)+1&gt;ROWS($I$2:$I$57)-COUNTBLANK($I$2:$I$57),"",INDIRECT(ADDRESS(SMALL((IF($I$2:$I$57&lt;&gt;"",ROW($I$2:$I$57),ROW()+ROWS($I$2:$I$57))),ROW()-ROW($J$2:$J$57)+1),COLUMN($I$2:$I$57),4)))</f>
        <v/>
      </c>
    </row>
    <row r="31" spans="4:16" x14ac:dyDescent="0.25">
      <c r="D31" s="855"/>
      <c r="E31" s="34" t="str">
        <f>IF(H31="","","2017")</f>
        <v/>
      </c>
      <c r="F31" s="34" t="str">
        <f t="shared" si="6"/>
        <v/>
      </c>
      <c r="G31" s="34" t="str">
        <f t="shared" si="7"/>
        <v/>
      </c>
      <c r="H31" s="173" t="str">
        <f>IF(A6="relevant",IF('Matrix-Colon'!C27="","",IF('Matrix-Colon'!C27&lt;Berechnung2!$G$35,Berechnung2!$L$35,"")),"")</f>
        <v/>
      </c>
      <c r="I31" s="172" t="str">
        <f>IF(H31="","",VLOOKUP(F31,Berechnung2!$I$15:$J$25,2,FALSE))</f>
        <v/>
      </c>
      <c r="J31" s="237" t="str">
        <f t="shared" si="2"/>
        <v/>
      </c>
      <c r="L31" s="94" t="str">
        <f t="array" aca="1" ref="L31" ca="1">IF(ROW()-ROW($F$2:$F$57)+1&gt;ROWS($E$2:$E$57)-COUNTBLANK($E$2:$E$57),"",INDIRECT(ADDRESS(SMALL((IF($E$2:$E$57&gt;"",ROW($E$2:$E$57),ROW()+ROWS($E$2:$E$57))),ROW()-ROW($F$2:$F$57)+1),COLUMN($E$2:$E$57),4)))</f>
        <v/>
      </c>
      <c r="M31" s="94" t="str">
        <f t="array" aca="1" ref="M31" ca="1">IF(ROW()-ROW($G$2:$G$57)+1&gt;ROWS($F$2:$F$57)-COUNTBLANK($F$2:$F$57),"",INDIRECT(ADDRESS(SMALL((IF($F$2:$F$57&lt;&gt;"",ROW($F$2:$F$57),ROW()+ROWS($F$2:$F$57))),ROW()-ROW($G$2:$G$57)+1),COLUMN($F$2:$F$57),4)))</f>
        <v/>
      </c>
      <c r="N31" s="94" t="str">
        <f t="array" aca="1" ref="N31" ca="1">IF(ROW()-ROW($H$2:$H$57)+1&gt;ROWS($G$2:$G$57)-COUNTBLANK($G$2:$G$57),"",INDIRECT(ADDRESS(SMALL((IF($G$2:$G$57&lt;&gt;"",ROW($G$2:$G$57),ROW()+ROWS($G$2:$G$57))),ROW()-ROW($H$2:$H$57)+1),COLUMN($G$2:$G$57),4)))</f>
        <v/>
      </c>
      <c r="O31" s="184" t="str">
        <f t="array" aca="1" ref="O31" ca="1">IF(ROW()-ROW($I$2:$I$57)+1&gt;ROWS($H$2:$H$57)-COUNTBLANK($H$2:$H$57),"",INDIRECT(ADDRESS(SMALL((IF($H$2:$H$57&lt;&gt;"",ROW($H$2:$H$57),ROW()+ROWS($H$2:$H$57))),ROW()-ROW($I$2:$I$57)+1),COLUMN($H$2:$H$57),4)))</f>
        <v/>
      </c>
      <c r="P31" s="184" t="str">
        <f t="array" aca="1" ref="P31" ca="1">IF(ROW()-ROW($J$2:$J$57)+1&gt;ROWS($I$2:$I$57)-COUNTBLANK($I$2:$I$57),"",INDIRECT(ADDRESS(SMALL((IF($I$2:$I$57&lt;&gt;"",ROW($I$2:$I$57),ROW()+ROWS($I$2:$I$57))),ROW()-ROW($J$2:$J$57)+1),COLUMN($I$2:$I$57),4)))</f>
        <v/>
      </c>
    </row>
    <row r="32" spans="4:16" ht="12" thickBot="1" x14ac:dyDescent="0.3">
      <c r="D32" s="142" t="s">
        <v>113</v>
      </c>
      <c r="E32" s="155" t="str">
        <f>IF(H32="","","2018")</f>
        <v/>
      </c>
      <c r="F32" s="155" t="str">
        <f t="shared" si="6"/>
        <v/>
      </c>
      <c r="G32" s="155" t="str">
        <f t="shared" si="7"/>
        <v/>
      </c>
      <c r="H32" s="185" t="str">
        <f>IF(A7="relevant",IF('Matrix-Colon'!C28="","",IF('Matrix-Colon'!C28&lt;Berechnung2!$G$35,Berechnung2!$L$35,"")),"")</f>
        <v/>
      </c>
      <c r="I32" s="219" t="str">
        <f>IF(H32="","",VLOOKUP(F32,Berechnung2!$I$15:$J$25,2,FALSE))</f>
        <v/>
      </c>
      <c r="J32" s="220" t="str">
        <f t="shared" si="2"/>
        <v/>
      </c>
      <c r="L32" s="94" t="str">
        <f t="array" aca="1" ref="L32" ca="1">IF(ROW()-ROW($F$2:$F$57)+1&gt;ROWS($E$2:$E$57)-COUNTBLANK($E$2:$E$57),"",INDIRECT(ADDRESS(SMALL((IF($E$2:$E$57&gt;"",ROW($E$2:$E$57),ROW()+ROWS($E$2:$E$57))),ROW()-ROW($F$2:$F$57)+1),COLUMN($E$2:$E$57),4)))</f>
        <v/>
      </c>
      <c r="M32" s="94" t="str">
        <f t="array" aca="1" ref="M32" ca="1">IF(ROW()-ROW($G$2:$G$57)+1&gt;ROWS($F$2:$F$57)-COUNTBLANK($F$2:$F$57),"",INDIRECT(ADDRESS(SMALL((IF($F$2:$F$57&lt;&gt;"",ROW($F$2:$F$57),ROW()+ROWS($F$2:$F$57))),ROW()-ROW($G$2:$G$57)+1),COLUMN($F$2:$F$57),4)))</f>
        <v/>
      </c>
      <c r="N32" s="94" t="str">
        <f t="array" aca="1" ref="N32" ca="1">IF(ROW()-ROW($H$2:$H$57)+1&gt;ROWS($G$2:$G$57)-COUNTBLANK($G$2:$G$57),"",INDIRECT(ADDRESS(SMALL((IF($G$2:$G$57&lt;&gt;"",ROW($G$2:$G$57),ROW()+ROWS($G$2:$G$57))),ROW()-ROW($H$2:$H$57)+1),COLUMN($G$2:$G$57),4)))</f>
        <v/>
      </c>
      <c r="O32" s="184" t="str">
        <f t="array" aca="1" ref="O32" ca="1">IF(ROW()-ROW($I$2:$I$57)+1&gt;ROWS($H$2:$H$57)-COUNTBLANK($H$2:$H$57),"",INDIRECT(ADDRESS(SMALL((IF($H$2:$H$57&lt;&gt;"",ROW($H$2:$H$57),ROW()+ROWS($H$2:$H$57))),ROW()-ROW($I$2:$I$57)+1),COLUMN($H$2:$H$57),4)))</f>
        <v/>
      </c>
      <c r="P32" s="184" t="str">
        <f t="array" aca="1" ref="P32" ca="1">IF(ROW()-ROW($J$2:$J$57)+1&gt;ROWS($I$2:$I$57)-COUNTBLANK($I$2:$I$57),"",INDIRECT(ADDRESS(SMALL((IF($I$2:$I$57&lt;&gt;"",ROW($I$2:$I$57),ROW()+ROWS($I$2:$I$57))),ROW()-ROW($J$2:$J$57)+1),COLUMN($I$2:$I$57),4)))</f>
        <v/>
      </c>
    </row>
    <row r="33" spans="4:16" ht="34.5" thickBot="1" x14ac:dyDescent="0.3">
      <c r="D33" s="153" t="s">
        <v>114</v>
      </c>
      <c r="E33" s="154" t="str">
        <f>IF(H33="","","2-4 Jahre")</f>
        <v/>
      </c>
      <c r="F33" s="154" t="str">
        <f>IF(H33="","","g")</f>
        <v/>
      </c>
      <c r="G33" s="154" t="str">
        <f t="shared" si="7"/>
        <v/>
      </c>
      <c r="H33" s="221" t="str">
        <f>IF(OR('Matrix-Colon'!M30="-----",'Matrix-Colon'!M30=""),"",IF(ROUND('Matrix-Colon'!M30,4)&gt;Berechnung2!J39,Berechnung2!L39,""))</f>
        <v/>
      </c>
      <c r="I33" s="222" t="str">
        <f>IF(H33="","",VLOOKUP(F33,Berechnung2!$I$15:$J$25,2,FALSE))</f>
        <v/>
      </c>
      <c r="J33" s="223" t="str">
        <f t="shared" si="2"/>
        <v/>
      </c>
      <c r="L33" s="94" t="str">
        <f t="array" aca="1" ref="L33" ca="1">IF(ROW()-ROW($F$2:$F$57)+1&gt;ROWS($E$2:$E$57)-COUNTBLANK($E$2:$E$57),"",INDIRECT(ADDRESS(SMALL((IF($E$2:$E$57&gt;"",ROW($E$2:$E$57),ROW()+ROWS($E$2:$E$57))),ROW()-ROW($F$2:$F$57)+1),COLUMN($E$2:$E$57),4)))</f>
        <v/>
      </c>
      <c r="M33" s="94" t="str">
        <f t="array" aca="1" ref="M33" ca="1">IF(ROW()-ROW($G$2:$G$57)+1&gt;ROWS($F$2:$F$57)-COUNTBLANK($F$2:$F$57),"",INDIRECT(ADDRESS(SMALL((IF($F$2:$F$57&lt;&gt;"",ROW($F$2:$F$57),ROW()+ROWS($F$2:$F$57))),ROW()-ROW($G$2:$G$57)+1),COLUMN($F$2:$F$57),4)))</f>
        <v/>
      </c>
      <c r="N33" s="94" t="str">
        <f t="array" aca="1" ref="N33" ca="1">IF(ROW()-ROW($H$2:$H$57)+1&gt;ROWS($G$2:$G$57)-COUNTBLANK($G$2:$G$57),"",INDIRECT(ADDRESS(SMALL((IF($G$2:$G$57&lt;&gt;"",ROW($G$2:$G$57),ROW()+ROWS($G$2:$G$57))),ROW()-ROW($H$2:$H$57)+1),COLUMN($G$2:$G$57),4)))</f>
        <v/>
      </c>
      <c r="O33" s="184" t="str">
        <f t="array" aca="1" ref="O33" ca="1">IF(ROW()-ROW($I$2:$I$57)+1&gt;ROWS($H$2:$H$57)-COUNTBLANK($H$2:$H$57),"",INDIRECT(ADDRESS(SMALL((IF($H$2:$H$57&lt;&gt;"",ROW($H$2:$H$57),ROW()+ROWS($H$2:$H$57))),ROW()-ROW($I$2:$I$57)+1),COLUMN($H$2:$H$57),4)))</f>
        <v/>
      </c>
      <c r="P33" s="184" t="str">
        <f t="array" aca="1" ref="P33" ca="1">IF(ROW()-ROW($J$2:$J$57)+1&gt;ROWS($I$2:$I$57)-COUNTBLANK($I$2:$I$57),"",INDIRECT(ADDRESS(SMALL((IF($I$2:$I$57&lt;&gt;"",ROW($I$2:$I$57),ROW()+ROWS($I$2:$I$57))),ROW()-ROW($J$2:$J$57)+1),COLUMN($I$2:$I$57),4)))</f>
        <v/>
      </c>
    </row>
    <row r="34" spans="4:16" x14ac:dyDescent="0.25">
      <c r="D34" s="143" t="s">
        <v>280</v>
      </c>
      <c r="E34" s="156" t="str">
        <f>IF(H34="","","2013")</f>
        <v/>
      </c>
      <c r="F34" s="156" t="str">
        <f t="shared" ref="F34:F39" si="8">IF(H34="","","h")</f>
        <v/>
      </c>
      <c r="G34" s="156" t="str">
        <f t="shared" si="7"/>
        <v/>
      </c>
      <c r="H34" s="186" t="str">
        <f>IF(A2="relevant",IF('Matrix-Colon'!M23="","",IF(ROUND('Matrix-Colon'!M23,4)&lt;Berechnung2!$J$37,Berechnung2!$L$37,"")),"")</f>
        <v/>
      </c>
      <c r="I34" s="239" t="str">
        <f>IF(H34="","",VLOOKUP(F34,Berechnung2!$I$15:$J$25,2,FALSE))</f>
        <v/>
      </c>
      <c r="J34" s="238" t="str">
        <f t="shared" si="2"/>
        <v/>
      </c>
      <c r="L34" s="94" t="str">
        <f t="array" aca="1" ref="L34" ca="1">IF(ROW()-ROW($F$2:$F$57)+1&gt;ROWS($E$2:$E$57)-COUNTBLANK($E$2:$E$57),"",INDIRECT(ADDRESS(SMALL((IF($E$2:$E$57&gt;"",ROW($E$2:$E$57),ROW()+ROWS($E$2:$E$57))),ROW()-ROW($F$2:$F$57)+1),COLUMN($E$2:$E$57),4)))</f>
        <v/>
      </c>
      <c r="M34" s="94" t="str">
        <f t="array" aca="1" ref="M34" ca="1">IF(ROW()-ROW($G$2:$G$57)+1&gt;ROWS($F$2:$F$57)-COUNTBLANK($F$2:$F$57),"",INDIRECT(ADDRESS(SMALL((IF($F$2:$F$57&lt;&gt;"",ROW($F$2:$F$57),ROW()+ROWS($F$2:$F$57))),ROW()-ROW($G$2:$G$57)+1),COLUMN($F$2:$F$57),4)))</f>
        <v/>
      </c>
      <c r="N34" s="94" t="str">
        <f t="array" aca="1" ref="N34" ca="1">IF(ROW()-ROW($H$2:$H$57)+1&gt;ROWS($G$2:$G$57)-COUNTBLANK($G$2:$G$57),"",INDIRECT(ADDRESS(SMALL((IF($G$2:$G$57&lt;&gt;"",ROW($G$2:$G$57),ROW()+ROWS($G$2:$G$57))),ROW()-ROW($H$2:$H$57)+1),COLUMN($G$2:$G$57),4)))</f>
        <v/>
      </c>
      <c r="O34" s="184" t="str">
        <f t="array" aca="1" ref="O34" ca="1">IF(ROW()-ROW($I$2:$I$57)+1&gt;ROWS($H$2:$H$57)-COUNTBLANK($H$2:$H$57),"",INDIRECT(ADDRESS(SMALL((IF($H$2:$H$57&lt;&gt;"",ROW($H$2:$H$57),ROW()+ROWS($H$2:$H$57))),ROW()-ROW($I$2:$I$57)+1),COLUMN($H$2:$H$57),4)))</f>
        <v/>
      </c>
      <c r="P34" s="184" t="str">
        <f t="array" aca="1" ref="P34" ca="1">IF(ROW()-ROW($J$2:$J$57)+1&gt;ROWS($I$2:$I$57)-COUNTBLANK($I$2:$I$57),"",INDIRECT(ADDRESS(SMALL((IF($I$2:$I$57&lt;&gt;"",ROW($I$2:$I$57),ROW()+ROWS($I$2:$I$57))),ROW()-ROW($J$2:$J$57)+1),COLUMN($I$2:$I$57),4)))</f>
        <v/>
      </c>
    </row>
    <row r="35" spans="4:16" x14ac:dyDescent="0.25">
      <c r="D35" s="857" t="s">
        <v>25</v>
      </c>
      <c r="E35" s="34" t="str">
        <f>IF(H35="","","2014")</f>
        <v/>
      </c>
      <c r="F35" s="34" t="str">
        <f t="shared" si="8"/>
        <v/>
      </c>
      <c r="G35" s="34" t="str">
        <f t="shared" si="7"/>
        <v/>
      </c>
      <c r="H35" s="173" t="str">
        <f>IF(A3="relevant",IF('Matrix-Colon'!M24="","",IF(ROUND('Matrix-Colon'!M24,4)&lt;Berechnung2!$J$37,Berechnung2!$L$37,"")),"")</f>
        <v/>
      </c>
      <c r="I35" s="172" t="str">
        <f>IF(H35="","",VLOOKUP(F35,Berechnung2!$I$15:$J$25,2,FALSE))</f>
        <v/>
      </c>
      <c r="J35" s="237" t="str">
        <f t="shared" si="2"/>
        <v/>
      </c>
      <c r="L35" s="94" t="str">
        <f t="array" aca="1" ref="L35" ca="1">IF(ROW()-ROW($F$2:$F$57)+1&gt;ROWS($E$2:$E$57)-COUNTBLANK($E$2:$E$57),"",INDIRECT(ADDRESS(SMALL((IF($E$2:$E$57&gt;"",ROW($E$2:$E$57),ROW()+ROWS($E$2:$E$57))),ROW()-ROW($F$2:$F$57)+1),COLUMN($E$2:$E$57),4)))</f>
        <v/>
      </c>
      <c r="M35" s="94" t="str">
        <f t="array" aca="1" ref="M35" ca="1">IF(ROW()-ROW($G$2:$G$57)+1&gt;ROWS($F$2:$F$57)-COUNTBLANK($F$2:$F$57),"",INDIRECT(ADDRESS(SMALL((IF($F$2:$F$57&lt;&gt;"",ROW($F$2:$F$57),ROW()+ROWS($F$2:$F$57))),ROW()-ROW($G$2:$G$57)+1),COLUMN($F$2:$F$57),4)))</f>
        <v/>
      </c>
      <c r="N35" s="94" t="str">
        <f t="array" aca="1" ref="N35" ca="1">IF(ROW()-ROW($H$2:$H$57)+1&gt;ROWS($G$2:$G$57)-COUNTBLANK($G$2:$G$57),"",INDIRECT(ADDRESS(SMALL((IF($G$2:$G$57&lt;&gt;"",ROW($G$2:$G$57),ROW()+ROWS($G$2:$G$57))),ROW()-ROW($H$2:$H$57)+1),COLUMN($G$2:$G$57),4)))</f>
        <v/>
      </c>
      <c r="O35" s="184" t="str">
        <f t="array" aca="1" ref="O35" ca="1">IF(ROW()-ROW($I$2:$I$57)+1&gt;ROWS($H$2:$H$57)-COUNTBLANK($H$2:$H$57),"",INDIRECT(ADDRESS(SMALL((IF($H$2:$H$57&lt;&gt;"",ROW($H$2:$H$57),ROW()+ROWS($H$2:$H$57))),ROW()-ROW($I$2:$I$57)+1),COLUMN($H$2:$H$57),4)))</f>
        <v/>
      </c>
      <c r="P35" s="184" t="str">
        <f t="array" aca="1" ref="P35" ca="1">IF(ROW()-ROW($J$2:$J$57)+1&gt;ROWS($I$2:$I$57)-COUNTBLANK($I$2:$I$57),"",INDIRECT(ADDRESS(SMALL((IF($I$2:$I$57&lt;&gt;"",ROW($I$2:$I$57),ROW()+ROWS($I$2:$I$57))),ROW()-ROW($J$2:$J$57)+1),COLUMN($I$2:$I$57),4)))</f>
        <v/>
      </c>
    </row>
    <row r="36" spans="4:16" x14ac:dyDescent="0.25">
      <c r="D36" s="857"/>
      <c r="E36" s="34" t="str">
        <f>IF(H36="","","2015")</f>
        <v/>
      </c>
      <c r="F36" s="34" t="str">
        <f t="shared" si="8"/>
        <v/>
      </c>
      <c r="G36" s="34" t="str">
        <f t="shared" si="7"/>
        <v/>
      </c>
      <c r="H36" s="173" t="str">
        <f>IF(A4="relevant",IF('Matrix-Colon'!M25="","",IF(ROUND('Matrix-Colon'!M25,4)&lt;Berechnung2!$J$37,Berechnung2!$L$37,"")),"")</f>
        <v/>
      </c>
      <c r="I36" s="172" t="str">
        <f>IF(H36="","",VLOOKUP(F36,Berechnung2!$I$15:$J$25,2,FALSE))</f>
        <v/>
      </c>
      <c r="J36" s="237" t="str">
        <f t="shared" si="2"/>
        <v/>
      </c>
      <c r="L36" s="94" t="str">
        <f t="array" aca="1" ref="L36" ca="1">IF(ROW()-ROW($F$2:$F$57)+1&gt;ROWS($E$2:$E$57)-COUNTBLANK($E$2:$E$57),"",INDIRECT(ADDRESS(SMALL((IF($E$2:$E$57&gt;"",ROW($E$2:$E$57),ROW()+ROWS($E$2:$E$57))),ROW()-ROW($F$2:$F$57)+1),COLUMN($E$2:$E$57),4)))</f>
        <v/>
      </c>
      <c r="M36" s="94" t="str">
        <f t="array" aca="1" ref="M36" ca="1">IF(ROW()-ROW($G$2:$G$57)+1&gt;ROWS($F$2:$F$57)-COUNTBLANK($F$2:$F$57),"",INDIRECT(ADDRESS(SMALL((IF($F$2:$F$57&lt;&gt;"",ROW($F$2:$F$57),ROW()+ROWS($F$2:$F$57))),ROW()-ROW($G$2:$G$57)+1),COLUMN($F$2:$F$57),4)))</f>
        <v/>
      </c>
      <c r="N36" s="94" t="str">
        <f t="array" aca="1" ref="N36" ca="1">IF(ROW()-ROW($H$2:$H$57)+1&gt;ROWS($G$2:$G$57)-COUNTBLANK($G$2:$G$57),"",INDIRECT(ADDRESS(SMALL((IF($G$2:$G$57&lt;&gt;"",ROW($G$2:$G$57),ROW()+ROWS($G$2:$G$57))),ROW()-ROW($H$2:$H$57)+1),COLUMN($G$2:$G$57),4)))</f>
        <v/>
      </c>
      <c r="O36" s="184" t="str">
        <f t="array" aca="1" ref="O36" ca="1">IF(ROW()-ROW($I$2:$I$57)+1&gt;ROWS($H$2:$H$57)-COUNTBLANK($H$2:$H$57),"",INDIRECT(ADDRESS(SMALL((IF($H$2:$H$57&lt;&gt;"",ROW($H$2:$H$57),ROW()+ROWS($H$2:$H$57))),ROW()-ROW($I$2:$I$57)+1),COLUMN($H$2:$H$57),4)))</f>
        <v/>
      </c>
      <c r="P36" s="184" t="str">
        <f t="array" aca="1" ref="P36" ca="1">IF(ROW()-ROW($J$2:$J$57)+1&gt;ROWS($I$2:$I$57)-COUNTBLANK($I$2:$I$57),"",INDIRECT(ADDRESS(SMALL((IF($I$2:$I$57&lt;&gt;"",ROW($I$2:$I$57),ROW()+ROWS($I$2:$I$57))),ROW()-ROW($J$2:$J$57)+1),COLUMN($I$2:$I$57),4)))</f>
        <v/>
      </c>
    </row>
    <row r="37" spans="4:16" x14ac:dyDescent="0.25">
      <c r="D37" s="857"/>
      <c r="E37" s="34" t="str">
        <f>IF(H37="","","2016")</f>
        <v/>
      </c>
      <c r="F37" s="34" t="str">
        <f t="shared" si="8"/>
        <v/>
      </c>
      <c r="G37" s="34" t="str">
        <f t="shared" si="7"/>
        <v/>
      </c>
      <c r="H37" s="173" t="str">
        <f>IF(A5="relevant",IF('Matrix-Colon'!M26="","",IF(ROUND('Matrix-Colon'!M26,4)&lt;Berechnung2!$J$37,Berechnung2!$L$37,"")),"")</f>
        <v/>
      </c>
      <c r="I37" s="172" t="str">
        <f>IF(H37="","",VLOOKUP(F37,Berechnung2!$I$15:$J$25,2,FALSE))</f>
        <v/>
      </c>
      <c r="J37" s="237" t="str">
        <f t="shared" si="2"/>
        <v/>
      </c>
      <c r="L37" s="94" t="str">
        <f t="array" aca="1" ref="L37" ca="1">IF(ROW()-ROW($F$2:$F$57)+1&gt;ROWS($E$2:$E$57)-COUNTBLANK($E$2:$E$57),"",INDIRECT(ADDRESS(SMALL((IF($E$2:$E$57&gt;"",ROW($E$2:$E$57),ROW()+ROWS($E$2:$E$57))),ROW()-ROW($F$2:$F$57)+1),COLUMN($E$2:$E$57),4)))</f>
        <v/>
      </c>
      <c r="M37" s="94" t="str">
        <f t="array" aca="1" ref="M37" ca="1">IF(ROW()-ROW($G$2:$G$57)+1&gt;ROWS($F$2:$F$57)-COUNTBLANK($F$2:$F$57),"",INDIRECT(ADDRESS(SMALL((IF($F$2:$F$57&lt;&gt;"",ROW($F$2:$F$57),ROW()+ROWS($F$2:$F$57))),ROW()-ROW($G$2:$G$57)+1),COLUMN($F$2:$F$57),4)))</f>
        <v/>
      </c>
      <c r="N37" s="94" t="str">
        <f t="array" aca="1" ref="N37" ca="1">IF(ROW()-ROW($H$2:$H$57)+1&gt;ROWS($G$2:$G$57)-COUNTBLANK($G$2:$G$57),"",INDIRECT(ADDRESS(SMALL((IF($G$2:$G$57&lt;&gt;"",ROW($G$2:$G$57),ROW()+ROWS($G$2:$G$57))),ROW()-ROW($H$2:$H$57)+1),COLUMN($G$2:$G$57),4)))</f>
        <v/>
      </c>
      <c r="O37" s="184" t="str">
        <f t="array" aca="1" ref="O37" ca="1">IF(ROW()-ROW($I$2:$I$57)+1&gt;ROWS($H$2:$H$57)-COUNTBLANK($H$2:$H$57),"",INDIRECT(ADDRESS(SMALL((IF($H$2:$H$57&lt;&gt;"",ROW($H$2:$H$57),ROW()+ROWS($H$2:$H$57))),ROW()-ROW($I$2:$I$57)+1),COLUMN($H$2:$H$57),4)))</f>
        <v/>
      </c>
      <c r="P37" s="184" t="str">
        <f t="array" aca="1" ref="P37" ca="1">IF(ROW()-ROW($J$2:$J$57)+1&gt;ROWS($I$2:$I$57)-COUNTBLANK($I$2:$I$57),"",INDIRECT(ADDRESS(SMALL((IF($I$2:$I$57&lt;&gt;"",ROW($I$2:$I$57),ROW()+ROWS($I$2:$I$57))),ROW()-ROW($J$2:$J$57)+1),COLUMN($I$2:$I$57),4)))</f>
        <v/>
      </c>
    </row>
    <row r="38" spans="4:16" x14ac:dyDescent="0.25">
      <c r="D38" s="857"/>
      <c r="E38" s="34" t="str">
        <f>IF(H38="","","2017")</f>
        <v/>
      </c>
      <c r="F38" s="34" t="str">
        <f t="shared" si="8"/>
        <v/>
      </c>
      <c r="G38" s="34" t="str">
        <f t="shared" si="7"/>
        <v/>
      </c>
      <c r="H38" s="173" t="str">
        <f>IF(A6="relevant",IF('Matrix-Colon'!M27="","",IF(ROUND('Matrix-Colon'!M27,4)&lt;Berechnung2!$J$37,Berechnung2!$L$37,"")),"")</f>
        <v/>
      </c>
      <c r="I38" s="172" t="str">
        <f>IF(H38="","",VLOOKUP(F38,Berechnung2!$I$15:$J$25,2,FALSE))</f>
        <v/>
      </c>
      <c r="J38" s="237" t="str">
        <f t="shared" si="2"/>
        <v/>
      </c>
      <c r="L38" s="94" t="str">
        <f t="array" aca="1" ref="L38" ca="1">IF(ROW()-ROW($F$2:$F$57)+1&gt;ROWS($E$2:$E$57)-COUNTBLANK($E$2:$E$57),"",INDIRECT(ADDRESS(SMALL((IF($E$2:$E$57&gt;"",ROW($E$2:$E$57),ROW()+ROWS($E$2:$E$57))),ROW()-ROW($F$2:$F$57)+1),COLUMN($E$2:$E$57),4)))</f>
        <v/>
      </c>
      <c r="M38" s="94" t="str">
        <f t="array" aca="1" ref="M38" ca="1">IF(ROW()-ROW($G$2:$G$57)+1&gt;ROWS($F$2:$F$57)-COUNTBLANK($F$2:$F$57),"",INDIRECT(ADDRESS(SMALL((IF($F$2:$F$57&lt;&gt;"",ROW($F$2:$F$57),ROW()+ROWS($F$2:$F$57))),ROW()-ROW($G$2:$G$57)+1),COLUMN($F$2:$F$57),4)))</f>
        <v/>
      </c>
      <c r="N38" s="94" t="str">
        <f t="array" aca="1" ref="N38" ca="1">IF(ROW()-ROW($H$2:$H$57)+1&gt;ROWS($G$2:$G$57)-COUNTBLANK($G$2:$G$57),"",INDIRECT(ADDRESS(SMALL((IF($G$2:$G$57&lt;&gt;"",ROW($G$2:$G$57),ROW()+ROWS($G$2:$G$57))),ROW()-ROW($H$2:$H$57)+1),COLUMN($G$2:$G$57),4)))</f>
        <v/>
      </c>
      <c r="O38" s="184" t="str">
        <f t="array" aca="1" ref="O38" ca="1">IF(ROW()-ROW($I$2:$I$57)+1&gt;ROWS($H$2:$H$57)-COUNTBLANK($H$2:$H$57),"",INDIRECT(ADDRESS(SMALL((IF($H$2:$H$57&lt;&gt;"",ROW($H$2:$H$57),ROW()+ROWS($H$2:$H$57))),ROW()-ROW($I$2:$I$57)+1),COLUMN($H$2:$H$57),4)))</f>
        <v/>
      </c>
      <c r="P38" s="184" t="str">
        <f t="array" aca="1" ref="P38" ca="1">IF(ROW()-ROW($J$2:$J$57)+1&gt;ROWS($I$2:$I$57)-COUNTBLANK($I$2:$I$57),"",INDIRECT(ADDRESS(SMALL((IF($I$2:$I$57&lt;&gt;"",ROW($I$2:$I$57),ROW()+ROWS($I$2:$I$57))),ROW()-ROW($J$2:$J$57)+1),COLUMN($I$2:$I$57),4)))</f>
        <v/>
      </c>
    </row>
    <row r="39" spans="4:16" ht="12" thickBot="1" x14ac:dyDescent="0.3">
      <c r="D39" s="142" t="s">
        <v>115</v>
      </c>
      <c r="E39" s="155" t="str">
        <f>IF(H39="","","2018")</f>
        <v/>
      </c>
      <c r="F39" s="155" t="str">
        <f t="shared" si="8"/>
        <v/>
      </c>
      <c r="G39" s="155" t="str">
        <f t="shared" si="7"/>
        <v/>
      </c>
      <c r="H39" s="185"/>
      <c r="I39" s="219" t="str">
        <f>IF(H39="","",VLOOKUP(F39,Berechnung2!$I$15:$J$25,2,FALSE))</f>
        <v/>
      </c>
      <c r="J39" s="220" t="str">
        <f t="shared" si="2"/>
        <v/>
      </c>
      <c r="L39" s="94" t="str">
        <f t="array" aca="1" ref="L39" ca="1">IF(ROW()-ROW($F$2:$F$57)+1&gt;ROWS($E$2:$E$57)-COUNTBLANK($E$2:$E$57),"",INDIRECT(ADDRESS(SMALL((IF($E$2:$E$57&gt;"",ROW($E$2:$E$57),ROW()+ROWS($E$2:$E$57))),ROW()-ROW($F$2:$F$57)+1),COLUMN($E$2:$E$57),4)))</f>
        <v/>
      </c>
      <c r="M39" s="94" t="str">
        <f t="array" aca="1" ref="M39" ca="1">IF(ROW()-ROW($G$2:$G$57)+1&gt;ROWS($F$2:$F$57)-COUNTBLANK($F$2:$F$57),"",INDIRECT(ADDRESS(SMALL((IF($F$2:$F$57&lt;&gt;"",ROW($F$2:$F$57),ROW()+ROWS($F$2:$F$57))),ROW()-ROW($G$2:$G$57)+1),COLUMN($F$2:$F$57),4)))</f>
        <v/>
      </c>
      <c r="N39" s="94" t="str">
        <f t="array" aca="1" ref="N39" ca="1">IF(ROW()-ROW($H$2:$H$57)+1&gt;ROWS($G$2:$G$57)-COUNTBLANK($G$2:$G$57),"",INDIRECT(ADDRESS(SMALL((IF($G$2:$G$57&lt;&gt;"",ROW($G$2:$G$57),ROW()+ROWS($G$2:$G$57))),ROW()-ROW($H$2:$H$57)+1),COLUMN($G$2:$G$57),4)))</f>
        <v/>
      </c>
      <c r="O39" s="184" t="str">
        <f t="array" aca="1" ref="O39" ca="1">IF(ROW()-ROW($I$2:$I$57)+1&gt;ROWS($H$2:$H$57)-COUNTBLANK($H$2:$H$57),"",INDIRECT(ADDRESS(SMALL((IF($H$2:$H$57&lt;&gt;"",ROW($H$2:$H$57),ROW()+ROWS($H$2:$H$57))),ROW()-ROW($I$2:$I$57)+1),COLUMN($H$2:$H$57),4)))</f>
        <v/>
      </c>
      <c r="P39" s="184" t="str">
        <f t="array" aca="1" ref="P39" ca="1">IF(ROW()-ROW($J$2:$J$57)+1&gt;ROWS($I$2:$I$57)-COUNTBLANK($I$2:$I$57),"",INDIRECT(ADDRESS(SMALL((IF($I$2:$I$57&lt;&gt;"",ROW($I$2:$I$57),ROW()+ROWS($I$2:$I$57))),ROW()-ROW($J$2:$J$57)+1),COLUMN($I$2:$I$57),4)))</f>
        <v/>
      </c>
    </row>
    <row r="40" spans="4:16" x14ac:dyDescent="0.25">
      <c r="D40" s="143" t="s">
        <v>280</v>
      </c>
      <c r="E40" s="156" t="str">
        <f>IF(H40="","","2013")</f>
        <v/>
      </c>
      <c r="F40" s="156" t="str">
        <f t="shared" ref="F40:F45" si="9">IF(H40="","","i")</f>
        <v/>
      </c>
      <c r="G40" s="156" t="str">
        <f t="shared" si="7"/>
        <v/>
      </c>
      <c r="H40" s="186" t="str">
        <f>IF(A2="relevant",IF('Matrix-Colon'!P23="","",IF(AND(ROUND('Matrix-Colon'!P23,4)&lt;Berechnung2!$J$33,(ROUND('Matrix-Colon'!P23,4))&gt;=0),Berechnung2!$L$33,"")),"")</f>
        <v/>
      </c>
      <c r="I40" s="239" t="str">
        <f>IF(H40="","",VLOOKUP(F40,Berechnung2!$I$15:$J$25,2,FALSE))</f>
        <v/>
      </c>
      <c r="J40" s="238" t="str">
        <f t="shared" si="2"/>
        <v/>
      </c>
      <c r="L40" s="94" t="str">
        <f t="array" aca="1" ref="L40" ca="1">IF(ROW()-ROW($F$2:$F$57)+1&gt;ROWS($E$2:$E$57)-COUNTBLANK($E$2:$E$57),"",INDIRECT(ADDRESS(SMALL((IF($E$2:$E$57&gt;"",ROW($E$2:$E$57),ROW()+ROWS($E$2:$E$57))),ROW()-ROW($F$2:$F$57)+1),COLUMN($E$2:$E$57),4)))</f>
        <v/>
      </c>
      <c r="M40" s="94" t="str">
        <f t="array" aca="1" ref="M40" ca="1">IF(ROW()-ROW($G$2:$G$57)+1&gt;ROWS($F$2:$F$57)-COUNTBLANK($F$2:$F$57),"",INDIRECT(ADDRESS(SMALL((IF($F$2:$F$57&lt;&gt;"",ROW($F$2:$F$57),ROW()+ROWS($F$2:$F$57))),ROW()-ROW($G$2:$G$57)+1),COLUMN($F$2:$F$57),4)))</f>
        <v/>
      </c>
      <c r="N40" s="94" t="str">
        <f t="array" aca="1" ref="N40" ca="1">IF(ROW()-ROW($H$2:$H$57)+1&gt;ROWS($G$2:$G$57)-COUNTBLANK($G$2:$G$57),"",INDIRECT(ADDRESS(SMALL((IF($G$2:$G$57&lt;&gt;"",ROW($G$2:$G$57),ROW()+ROWS($G$2:$G$57))),ROW()-ROW($H$2:$H$57)+1),COLUMN($G$2:$G$57),4)))</f>
        <v/>
      </c>
      <c r="O40" s="184" t="str">
        <f t="array" aca="1" ref="O40" ca="1">IF(ROW()-ROW($I$2:$I$57)+1&gt;ROWS($H$2:$H$57)-COUNTBLANK($H$2:$H$57),"",INDIRECT(ADDRESS(SMALL((IF($H$2:$H$57&lt;&gt;"",ROW($H$2:$H$57),ROW()+ROWS($H$2:$H$57))),ROW()-ROW($I$2:$I$57)+1),COLUMN($H$2:$H$57),4)))</f>
        <v/>
      </c>
      <c r="P40" s="184" t="str">
        <f t="array" aca="1" ref="P40" ca="1">IF(ROW()-ROW($J$2:$J$57)+1&gt;ROWS($I$2:$I$57)-COUNTBLANK($I$2:$I$57),"",INDIRECT(ADDRESS(SMALL((IF($I$2:$I$57&lt;&gt;"",ROW($I$2:$I$57),ROW()+ROWS($I$2:$I$57))),ROW()-ROW($J$2:$J$57)+1),COLUMN($I$2:$I$57),4)))</f>
        <v/>
      </c>
    </row>
    <row r="41" spans="4:16" x14ac:dyDescent="0.25">
      <c r="D41" s="857" t="s">
        <v>325</v>
      </c>
      <c r="E41" s="34" t="str">
        <f>IF(H41="","","2014")</f>
        <v/>
      </c>
      <c r="F41" s="34" t="str">
        <f t="shared" si="9"/>
        <v/>
      </c>
      <c r="G41" s="34" t="str">
        <f t="shared" si="7"/>
        <v/>
      </c>
      <c r="H41" s="173" t="str">
        <f>IF(A3="relevant",IF('Matrix-Colon'!P24="","",IF(AND(ROUND('Matrix-Colon'!P24,4)&lt;Berechnung2!$J$33,(ROUND('Matrix-Colon'!P24,4))&gt;=0),Berechnung2!$L$33,"")),"")</f>
        <v/>
      </c>
      <c r="I41" s="172" t="str">
        <f>IF(H41="","",VLOOKUP(F41,Berechnung2!$I$15:$J$25,2,FALSE))</f>
        <v/>
      </c>
      <c r="J41" s="237" t="str">
        <f t="shared" si="2"/>
        <v/>
      </c>
      <c r="L41" s="94" t="str">
        <f t="array" aca="1" ref="L41" ca="1">IF(ROW()-ROW($F$2:$F$57)+1&gt;ROWS($E$2:$E$57)-COUNTBLANK($E$2:$E$57),"",INDIRECT(ADDRESS(SMALL((IF($E$2:$E$57&gt;"",ROW($E$2:$E$57),ROW()+ROWS($E$2:$E$57))),ROW()-ROW($F$2:$F$57)+1),COLUMN($E$2:$E$57),4)))</f>
        <v/>
      </c>
      <c r="M41" s="94" t="str">
        <f t="array" aca="1" ref="M41" ca="1">IF(ROW()-ROW($G$2:$G$57)+1&gt;ROWS($F$2:$F$57)-COUNTBLANK($F$2:$F$57),"",INDIRECT(ADDRESS(SMALL((IF($F$2:$F$57&lt;&gt;"",ROW($F$2:$F$57),ROW()+ROWS($F$2:$F$57))),ROW()-ROW($G$2:$G$57)+1),COLUMN($F$2:$F$57),4)))</f>
        <v/>
      </c>
      <c r="N41" s="94" t="str">
        <f t="array" aca="1" ref="N41" ca="1">IF(ROW()-ROW($H$2:$H$57)+1&gt;ROWS($G$2:$G$57)-COUNTBLANK($G$2:$G$57),"",INDIRECT(ADDRESS(SMALL((IF($G$2:$G$57&lt;&gt;"",ROW($G$2:$G$57),ROW()+ROWS($G$2:$G$57))),ROW()-ROW($H$2:$H$57)+1),COLUMN($G$2:$G$57),4)))</f>
        <v/>
      </c>
      <c r="O41" s="184" t="str">
        <f t="array" aca="1" ref="O41" ca="1">IF(ROW()-ROW($I$2:$I$57)+1&gt;ROWS($H$2:$H$57)-COUNTBLANK($H$2:$H$57),"",INDIRECT(ADDRESS(SMALL((IF($H$2:$H$57&lt;&gt;"",ROW($H$2:$H$57),ROW()+ROWS($H$2:$H$57))),ROW()-ROW($I$2:$I$57)+1),COLUMN($H$2:$H$57),4)))</f>
        <v/>
      </c>
      <c r="P41" s="184" t="str">
        <f t="array" aca="1" ref="P41" ca="1">IF(ROW()-ROW($J$2:$J$57)+1&gt;ROWS($I$2:$I$57)-COUNTBLANK($I$2:$I$57),"",INDIRECT(ADDRESS(SMALL((IF($I$2:$I$57&lt;&gt;"",ROW($I$2:$I$57),ROW()+ROWS($I$2:$I$57))),ROW()-ROW($J$2:$J$57)+1),COLUMN($I$2:$I$57),4)))</f>
        <v/>
      </c>
    </row>
    <row r="42" spans="4:16" x14ac:dyDescent="0.25">
      <c r="D42" s="857"/>
      <c r="E42" s="34" t="str">
        <f>IF(H42="","","2015")</f>
        <v/>
      </c>
      <c r="F42" s="34" t="str">
        <f t="shared" si="9"/>
        <v/>
      </c>
      <c r="G42" s="34" t="str">
        <f t="shared" si="7"/>
        <v/>
      </c>
      <c r="H42" s="173" t="str">
        <f>IF(A4="relevant",IF('Matrix-Colon'!P25="","",IF(AND(ROUND('Matrix-Colon'!P25,4)&lt;Berechnung2!$J$33,(ROUND('Matrix-Colon'!P25,4))&gt;=0),Berechnung2!$L$33,"")),"")</f>
        <v/>
      </c>
      <c r="I42" s="172" t="str">
        <f>IF(H42="","",VLOOKUP(F42,Berechnung2!$I$15:$J$25,2,FALSE))</f>
        <v/>
      </c>
      <c r="J42" s="237" t="str">
        <f t="shared" si="2"/>
        <v/>
      </c>
      <c r="L42" s="94" t="str">
        <f t="array" aca="1" ref="L42" ca="1">IF(ROW()-ROW($F$2:$F$57)+1&gt;ROWS($E$2:$E$57)-COUNTBLANK($E$2:$E$57),"",INDIRECT(ADDRESS(SMALL((IF($E$2:$E$57&gt;"",ROW($E$2:$E$57),ROW()+ROWS($E$2:$E$57))),ROW()-ROW($F$2:$F$57)+1),COLUMN($E$2:$E$57),4)))</f>
        <v/>
      </c>
      <c r="M42" s="94" t="str">
        <f t="array" aca="1" ref="M42" ca="1">IF(ROW()-ROW($G$2:$G$57)+1&gt;ROWS($F$2:$F$57)-COUNTBLANK($F$2:$F$57),"",INDIRECT(ADDRESS(SMALL((IF($F$2:$F$57&lt;&gt;"",ROW($F$2:$F$57),ROW()+ROWS($F$2:$F$57))),ROW()-ROW($G$2:$G$57)+1),COLUMN($F$2:$F$57),4)))</f>
        <v/>
      </c>
      <c r="N42" s="94" t="str">
        <f t="array" aca="1" ref="N42" ca="1">IF(ROW()-ROW($H$2:$H$57)+1&gt;ROWS($G$2:$G$57)-COUNTBLANK($G$2:$G$57),"",INDIRECT(ADDRESS(SMALL((IF($G$2:$G$57&lt;&gt;"",ROW($G$2:$G$57),ROW()+ROWS($G$2:$G$57))),ROW()-ROW($H$2:$H$57)+1),COLUMN($G$2:$G$57),4)))</f>
        <v/>
      </c>
      <c r="O42" s="184" t="str">
        <f t="array" aca="1" ref="O42" ca="1">IF(ROW()-ROW($I$2:$I$57)+1&gt;ROWS($H$2:$H$57)-COUNTBLANK($H$2:$H$57),"",INDIRECT(ADDRESS(SMALL((IF($H$2:$H$57&lt;&gt;"",ROW($H$2:$H$57),ROW()+ROWS($H$2:$H$57))),ROW()-ROW($I$2:$I$57)+1),COLUMN($H$2:$H$57),4)))</f>
        <v/>
      </c>
      <c r="P42" s="184" t="str">
        <f t="array" aca="1" ref="P42" ca="1">IF(ROW()-ROW($J$2:$J$57)+1&gt;ROWS($I$2:$I$57)-COUNTBLANK($I$2:$I$57),"",INDIRECT(ADDRESS(SMALL((IF($I$2:$I$57&lt;&gt;"",ROW($I$2:$I$57),ROW()+ROWS($I$2:$I$57))),ROW()-ROW($J$2:$J$57)+1),COLUMN($I$2:$I$57),4)))</f>
        <v/>
      </c>
    </row>
    <row r="43" spans="4:16" x14ac:dyDescent="0.25">
      <c r="D43" s="857"/>
      <c r="E43" s="34" t="str">
        <f>IF(H43="","","2016")</f>
        <v/>
      </c>
      <c r="F43" s="34" t="str">
        <f t="shared" si="9"/>
        <v/>
      </c>
      <c r="G43" s="34" t="str">
        <f t="shared" si="7"/>
        <v/>
      </c>
      <c r="H43" s="173" t="str">
        <f>IF(A5="relevant",IF('Matrix-Colon'!P26="","",IF(AND(ROUND('Matrix-Colon'!P26,4)&lt;Berechnung2!$J$33,(ROUND('Matrix-Colon'!P26,4))&gt;=0),Berechnung2!$L$33,"")),"")</f>
        <v/>
      </c>
      <c r="I43" s="172" t="str">
        <f>IF(H43="","",VLOOKUP(F43,Berechnung2!$I$15:$J$25,2,FALSE))</f>
        <v/>
      </c>
      <c r="J43" s="237" t="str">
        <f t="shared" si="2"/>
        <v/>
      </c>
      <c r="L43" s="94" t="str">
        <f t="array" aca="1" ref="L43" ca="1">IF(ROW()-ROW($F$2:$F$57)+1&gt;ROWS($E$2:$E$57)-COUNTBLANK($E$2:$E$57),"",INDIRECT(ADDRESS(SMALL((IF($E$2:$E$57&gt;"",ROW($E$2:$E$57),ROW()+ROWS($E$2:$E$57))),ROW()-ROW($F$2:$F$57)+1),COLUMN($E$2:$E$57),4)))</f>
        <v/>
      </c>
      <c r="M43" s="94" t="str">
        <f t="array" aca="1" ref="M43" ca="1">IF(ROW()-ROW($G$2:$G$57)+1&gt;ROWS($F$2:$F$57)-COUNTBLANK($F$2:$F$57),"",INDIRECT(ADDRESS(SMALL((IF($F$2:$F$57&lt;&gt;"",ROW($F$2:$F$57),ROW()+ROWS($F$2:$F$57))),ROW()-ROW($G$2:$G$57)+1),COLUMN($F$2:$F$57),4)))</f>
        <v/>
      </c>
      <c r="N43" s="94" t="str">
        <f t="array" aca="1" ref="N43" ca="1">IF(ROW()-ROW($H$2:$H$57)+1&gt;ROWS($G$2:$G$57)-COUNTBLANK($G$2:$G$57),"",INDIRECT(ADDRESS(SMALL((IF($G$2:$G$57&lt;&gt;"",ROW($G$2:$G$57),ROW()+ROWS($G$2:$G$57))),ROW()-ROW($H$2:$H$57)+1),COLUMN($G$2:$G$57),4)))</f>
        <v/>
      </c>
      <c r="O43" s="184" t="str">
        <f t="array" aca="1" ref="O43" ca="1">IF(ROW()-ROW($I$2:$I$57)+1&gt;ROWS($H$2:$H$57)-COUNTBLANK($H$2:$H$57),"",INDIRECT(ADDRESS(SMALL((IF($H$2:$H$57&lt;&gt;"",ROW($H$2:$H$57),ROW()+ROWS($H$2:$H$57))),ROW()-ROW($I$2:$I$57)+1),COLUMN($H$2:$H$57),4)))</f>
        <v/>
      </c>
      <c r="P43" s="184" t="str">
        <f t="array" aca="1" ref="P43" ca="1">IF(ROW()-ROW($J$2:$J$57)+1&gt;ROWS($I$2:$I$57)-COUNTBLANK($I$2:$I$57),"",INDIRECT(ADDRESS(SMALL((IF($I$2:$I$57&lt;&gt;"",ROW($I$2:$I$57),ROW()+ROWS($I$2:$I$57))),ROW()-ROW($J$2:$J$57)+1),COLUMN($I$2:$I$57),4)))</f>
        <v/>
      </c>
    </row>
    <row r="44" spans="4:16" x14ac:dyDescent="0.25">
      <c r="D44" s="857"/>
      <c r="E44" s="34" t="str">
        <f>IF(H44="","","2017")</f>
        <v/>
      </c>
      <c r="F44" s="34" t="str">
        <f t="shared" si="9"/>
        <v/>
      </c>
      <c r="G44" s="34" t="str">
        <f t="shared" si="7"/>
        <v/>
      </c>
      <c r="H44" s="173" t="str">
        <f>IF(A6="relevant",IF('Matrix-Colon'!P27="","",IF(AND(ROUND('Matrix-Colon'!P27,4)&lt;Berechnung2!$J$33,(ROUND('Matrix-Colon'!P27,4))&gt;=0),Berechnung2!$L$33,"")),"")</f>
        <v/>
      </c>
      <c r="I44" s="172" t="str">
        <f>IF(H44="","",VLOOKUP(F44,Berechnung2!$I$15:$J$25,2,FALSE))</f>
        <v/>
      </c>
      <c r="J44" s="237" t="str">
        <f t="shared" si="2"/>
        <v/>
      </c>
      <c r="L44" s="94" t="str">
        <f t="array" aca="1" ref="L44" ca="1">IF(ROW()-ROW($F$2:$F$57)+1&gt;ROWS($E$2:$E$57)-COUNTBLANK($E$2:$E$57),"",INDIRECT(ADDRESS(SMALL((IF($E$2:$E$57&gt;"",ROW($E$2:$E$57),ROW()+ROWS($E$2:$E$57))),ROW()-ROW($F$2:$F$57)+1),COLUMN($E$2:$E$57),4)))</f>
        <v/>
      </c>
      <c r="M44" s="94" t="str">
        <f t="array" aca="1" ref="M44" ca="1">IF(ROW()-ROW($G$2:$G$57)+1&gt;ROWS($F$2:$F$57)-COUNTBLANK($F$2:$F$57),"",INDIRECT(ADDRESS(SMALL((IF($F$2:$F$57&lt;&gt;"",ROW($F$2:$F$57),ROW()+ROWS($F$2:$F$57))),ROW()-ROW($G$2:$G$57)+1),COLUMN($F$2:$F$57),4)))</f>
        <v/>
      </c>
      <c r="N44" s="94" t="str">
        <f t="array" aca="1" ref="N44" ca="1">IF(ROW()-ROW($H$2:$H$57)+1&gt;ROWS($G$2:$G$57)-COUNTBLANK($G$2:$G$57),"",INDIRECT(ADDRESS(SMALL((IF($G$2:$G$57&lt;&gt;"",ROW($G$2:$G$57),ROW()+ROWS($G$2:$G$57))),ROW()-ROW($H$2:$H$57)+1),COLUMN($G$2:$G$57),4)))</f>
        <v/>
      </c>
      <c r="O44" s="184" t="str">
        <f t="array" aca="1" ref="O44" ca="1">IF(ROW()-ROW($I$2:$I$57)+1&gt;ROWS($H$2:$H$57)-COUNTBLANK($H$2:$H$57),"",INDIRECT(ADDRESS(SMALL((IF($H$2:$H$57&lt;&gt;"",ROW($H$2:$H$57),ROW()+ROWS($H$2:$H$57))),ROW()-ROW($I$2:$I$57)+1),COLUMN($H$2:$H$57),4)))</f>
        <v/>
      </c>
      <c r="P44" s="184" t="str">
        <f t="array" aca="1" ref="P44" ca="1">IF(ROW()-ROW($J$2:$J$57)+1&gt;ROWS($I$2:$I$57)-COUNTBLANK($I$2:$I$57),"",INDIRECT(ADDRESS(SMALL((IF($I$2:$I$57&lt;&gt;"",ROW($I$2:$I$57),ROW()+ROWS($I$2:$I$57))),ROW()-ROW($J$2:$J$57)+1),COLUMN($I$2:$I$57),4)))</f>
        <v/>
      </c>
    </row>
    <row r="45" spans="4:16" ht="12" thickBot="1" x14ac:dyDescent="0.3">
      <c r="D45" s="142" t="s">
        <v>116</v>
      </c>
      <c r="E45" s="155" t="str">
        <f>IF(H45="","","2018")</f>
        <v/>
      </c>
      <c r="F45" s="155" t="str">
        <f t="shared" si="9"/>
        <v/>
      </c>
      <c r="G45" s="155" t="str">
        <f t="shared" si="7"/>
        <v/>
      </c>
      <c r="H45" s="189"/>
      <c r="I45" s="219" t="str">
        <f>IF(H45="","",VLOOKUP(F45,Berechnung2!$I$15:$J$25,2,FALSE))</f>
        <v/>
      </c>
      <c r="J45" s="220" t="str">
        <f t="shared" si="2"/>
        <v/>
      </c>
      <c r="L45" s="94" t="str">
        <f t="array" aca="1" ref="L45" ca="1">IF(ROW()-ROW($F$2:$F$57)+1&gt;ROWS($E$2:$E$57)-COUNTBLANK($E$2:$E$57),"",INDIRECT(ADDRESS(SMALL((IF($E$2:$E$57&gt;"",ROW($E$2:$E$57),ROW()+ROWS($E$2:$E$57))),ROW()-ROW($F$2:$F$57)+1),COLUMN($E$2:$E$57),4)))</f>
        <v/>
      </c>
      <c r="M45" s="94" t="str">
        <f t="array" aca="1" ref="M45" ca="1">IF(ROW()-ROW($G$2:$G$57)+1&gt;ROWS($F$2:$F$57)-COUNTBLANK($F$2:$F$57),"",INDIRECT(ADDRESS(SMALL((IF($F$2:$F$57&lt;&gt;"",ROW($F$2:$F$57),ROW()+ROWS($F$2:$F$57))),ROW()-ROW($G$2:$G$57)+1),COLUMN($F$2:$F$57),4)))</f>
        <v/>
      </c>
      <c r="N45" s="94" t="str">
        <f t="array" aca="1" ref="N45" ca="1">IF(ROW()-ROW($H$2:$H$57)+1&gt;ROWS($G$2:$G$57)-COUNTBLANK($G$2:$G$57),"",INDIRECT(ADDRESS(SMALL((IF($G$2:$G$57&lt;&gt;"",ROW($G$2:$G$57),ROW()+ROWS($G$2:$G$57))),ROW()-ROW($H$2:$H$57)+1),COLUMN($G$2:$G$57),4)))</f>
        <v/>
      </c>
      <c r="O45" s="184" t="str">
        <f t="array" aca="1" ref="O45" ca="1">IF(ROW()-ROW($I$2:$I$57)+1&gt;ROWS($H$2:$H$57)-COUNTBLANK($H$2:$H$57),"",INDIRECT(ADDRESS(SMALL((IF($H$2:$H$57&lt;&gt;"",ROW($H$2:$H$57),ROW()+ROWS($H$2:$H$57))),ROW()-ROW($I$2:$I$57)+1),COLUMN($H$2:$H$57),4)))</f>
        <v/>
      </c>
      <c r="P45" s="184" t="str">
        <f t="array" aca="1" ref="P45" ca="1">IF(ROW()-ROW($J$2:$J$57)+1&gt;ROWS($I$2:$I$57)-COUNTBLANK($I$2:$I$57),"",INDIRECT(ADDRESS(SMALL((IF($I$2:$I$57&lt;&gt;"",ROW($I$2:$I$57),ROW()+ROWS($I$2:$I$57))),ROW()-ROW($J$2:$J$57)+1),COLUMN($I$2:$I$57),4)))</f>
        <v/>
      </c>
    </row>
    <row r="46" spans="4:16" x14ac:dyDescent="0.25">
      <c r="D46" s="143" t="s">
        <v>280</v>
      </c>
      <c r="E46" s="156" t="str">
        <f>IF(H46="","","2013")</f>
        <v/>
      </c>
      <c r="F46" s="156" t="str">
        <f t="shared" ref="F46:F51" si="10">IF(H46="","","j")</f>
        <v/>
      </c>
      <c r="G46" s="156" t="str">
        <f t="shared" si="7"/>
        <v/>
      </c>
      <c r="H46" s="186" t="str">
        <f>IF(A2="relevant",IF('Matrix-Colon'!Y23="","",IF(AND(ROUND('Matrix-Colon'!Y23,4)&gt;=Berechnung2!E47,ROUND('Matrix-Colon'!Y23,4)&lt;=Berechnung2!G47),Berechnung2!L47,IF(ROUND('Matrix-Colon'!Y23,4)&gt;Berechnung2!J47,Berechnung2!M47,""))),"")</f>
        <v/>
      </c>
      <c r="I46" s="239" t="str">
        <f>IF(H46="","",VLOOKUP(F46,Berechnung2!$I$15:$J$25,2,FALSE))</f>
        <v/>
      </c>
      <c r="J46" s="238" t="str">
        <f t="shared" si="2"/>
        <v/>
      </c>
      <c r="L46" s="94" t="str">
        <f t="array" aca="1" ref="L46" ca="1">IF(ROW()-ROW($F$2:$F$57)+1&gt;ROWS($E$2:$E$57)-COUNTBLANK($E$2:$E$57),"",INDIRECT(ADDRESS(SMALL((IF($E$2:$E$57&gt;"",ROW($E$2:$E$57),ROW()+ROWS($E$2:$E$57))),ROW()-ROW($F$2:$F$57)+1),COLUMN($E$2:$E$57),4)))</f>
        <v/>
      </c>
      <c r="M46" s="94" t="str">
        <f t="array" aca="1" ref="M46" ca="1">IF(ROW()-ROW($G$2:$G$57)+1&gt;ROWS($F$2:$F$57)-COUNTBLANK($F$2:$F$57),"",INDIRECT(ADDRESS(SMALL((IF($F$2:$F$57&lt;&gt;"",ROW($F$2:$F$57),ROW()+ROWS($F$2:$F$57))),ROW()-ROW($G$2:$G$57)+1),COLUMN($F$2:$F$57),4)))</f>
        <v/>
      </c>
      <c r="N46" s="94" t="str">
        <f t="array" aca="1" ref="N46" ca="1">IF(ROW()-ROW($H$2:$H$57)+1&gt;ROWS($G$2:$G$57)-COUNTBLANK($G$2:$G$57),"",INDIRECT(ADDRESS(SMALL((IF($G$2:$G$57&lt;&gt;"",ROW($G$2:$G$57),ROW()+ROWS($G$2:$G$57))),ROW()-ROW($H$2:$H$57)+1),COLUMN($G$2:$G$57),4)))</f>
        <v/>
      </c>
      <c r="O46" s="184" t="str">
        <f t="array" aca="1" ref="O46" ca="1">IF(ROW()-ROW($I$2:$I$57)+1&gt;ROWS($H$2:$H$57)-COUNTBLANK($H$2:$H$57),"",INDIRECT(ADDRESS(SMALL((IF($H$2:$H$57&lt;&gt;"",ROW($H$2:$H$57),ROW()+ROWS($H$2:$H$57))),ROW()-ROW($I$2:$I$57)+1),COLUMN($H$2:$H$57),4)))</f>
        <v/>
      </c>
      <c r="P46" s="184" t="str">
        <f t="array" aca="1" ref="P46" ca="1">IF(ROW()-ROW($J$2:$J$57)+1&gt;ROWS($I$2:$I$57)-COUNTBLANK($I$2:$I$57),"",INDIRECT(ADDRESS(SMALL((IF($I$2:$I$57&lt;&gt;"",ROW($I$2:$I$57),ROW()+ROWS($I$2:$I$57))),ROW()-ROW($J$2:$J$57)+1),COLUMN($I$2:$I$57),4)))</f>
        <v/>
      </c>
    </row>
    <row r="47" spans="4:16" x14ac:dyDescent="0.25">
      <c r="D47" s="855" t="s">
        <v>330</v>
      </c>
      <c r="E47" s="34" t="str">
        <f>IF(H47="","","2014")</f>
        <v/>
      </c>
      <c r="F47" s="34" t="str">
        <f t="shared" si="10"/>
        <v/>
      </c>
      <c r="G47" s="34" t="str">
        <f t="shared" si="7"/>
        <v/>
      </c>
      <c r="H47" s="173" t="str">
        <f>IF(A3="relevant",IF('Matrix-Colon'!Y24="","",IF(AND(ROUND('Matrix-Colon'!Y24,4)&gt;=Berechnung2!E48,ROUND('Matrix-Colon'!Y24,4)&lt;=Berechnung2!G48),Berechnung2!L48,IF(ROUND('Matrix-Colon'!Y24,4)&gt;Berechnung2!J48,Berechnung2!M48,""))),"")</f>
        <v/>
      </c>
      <c r="I47" s="172" t="str">
        <f>IF(H47="","",VLOOKUP(F47,Berechnung2!$I$15:$J$25,2,FALSE))</f>
        <v/>
      </c>
      <c r="J47" s="237" t="str">
        <f t="shared" si="2"/>
        <v/>
      </c>
      <c r="L47" s="94" t="str">
        <f t="array" aca="1" ref="L47" ca="1">IF(ROW()-ROW($F$2:$F$57)+1&gt;ROWS($E$2:$E$57)-COUNTBLANK($E$2:$E$57),"",INDIRECT(ADDRESS(SMALL((IF($E$2:$E$57&gt;"",ROW($E$2:$E$57),ROW()+ROWS($E$2:$E$57))),ROW()-ROW($F$2:$F$57)+1),COLUMN($E$2:$E$57),4)))</f>
        <v/>
      </c>
      <c r="M47" s="94" t="str">
        <f t="array" aca="1" ref="M47" ca="1">IF(ROW()-ROW($G$2:$G$57)+1&gt;ROWS($F$2:$F$57)-COUNTBLANK($F$2:$F$57),"",INDIRECT(ADDRESS(SMALL((IF($F$2:$F$57&lt;&gt;"",ROW($F$2:$F$57),ROW()+ROWS($F$2:$F$57))),ROW()-ROW($G$2:$G$57)+1),COLUMN($F$2:$F$57),4)))</f>
        <v/>
      </c>
      <c r="N47" s="94" t="str">
        <f t="array" aca="1" ref="N47" ca="1">IF(ROW()-ROW($H$2:$H$57)+1&gt;ROWS($G$2:$G$57)-COUNTBLANK($G$2:$G$57),"",INDIRECT(ADDRESS(SMALL((IF($G$2:$G$57&lt;&gt;"",ROW($G$2:$G$57),ROW()+ROWS($G$2:$G$57))),ROW()-ROW($H$2:$H$57)+1),COLUMN($G$2:$G$57),4)))</f>
        <v/>
      </c>
      <c r="O47" s="184" t="str">
        <f t="array" aca="1" ref="O47" ca="1">IF(ROW()-ROW($I$2:$I$57)+1&gt;ROWS($H$2:$H$57)-COUNTBLANK($H$2:$H$57),"",INDIRECT(ADDRESS(SMALL((IF($H$2:$H$57&lt;&gt;"",ROW($H$2:$H$57),ROW()+ROWS($H$2:$H$57))),ROW()-ROW($I$2:$I$57)+1),COLUMN($H$2:$H$57),4)))</f>
        <v/>
      </c>
      <c r="P47" s="184" t="str">
        <f t="array" aca="1" ref="P47" ca="1">IF(ROW()-ROW($J$2:$J$57)+1&gt;ROWS($I$2:$I$57)-COUNTBLANK($I$2:$I$57),"",INDIRECT(ADDRESS(SMALL((IF($I$2:$I$57&lt;&gt;"",ROW($I$2:$I$57),ROW()+ROWS($I$2:$I$57))),ROW()-ROW($J$2:$J$57)+1),COLUMN($I$2:$I$57),4)))</f>
        <v/>
      </c>
    </row>
    <row r="48" spans="4:16" x14ac:dyDescent="0.25">
      <c r="D48" s="855"/>
      <c r="E48" s="34" t="str">
        <f>IF(H48="","","2015")</f>
        <v/>
      </c>
      <c r="F48" s="34" t="str">
        <f t="shared" si="10"/>
        <v/>
      </c>
      <c r="G48" s="34" t="str">
        <f t="shared" si="7"/>
        <v/>
      </c>
      <c r="H48" s="173" t="str">
        <f>IF(A4="relevant",IF('Matrix-Colon'!Y25="","",IF(AND(ROUND('Matrix-Colon'!Y25,4)&gt;=Berechnung2!E49,ROUND('Matrix-Colon'!Y25,4)&lt;=Berechnung2!G49),Berechnung2!L49,IF(ROUND('Matrix-Colon'!Y25,4)&gt;Berechnung2!J49,Berechnung2!M49,""))),"")</f>
        <v/>
      </c>
      <c r="I48" s="172" t="str">
        <f>IF(H48="","",VLOOKUP(F48,Berechnung2!$I$15:$J$25,2,FALSE))</f>
        <v/>
      </c>
      <c r="J48" s="237" t="str">
        <f t="shared" si="2"/>
        <v/>
      </c>
      <c r="L48" s="94" t="str">
        <f t="array" aca="1" ref="L48" ca="1">IF(ROW()-ROW($F$2:$F$57)+1&gt;ROWS($E$2:$E$57)-COUNTBLANK($E$2:$E$57),"",INDIRECT(ADDRESS(SMALL((IF($E$2:$E$57&gt;"",ROW($E$2:$E$57),ROW()+ROWS($E$2:$E$57))),ROW()-ROW($F$2:$F$57)+1),COLUMN($E$2:$E$57),4)))</f>
        <v/>
      </c>
      <c r="M48" s="94" t="str">
        <f t="array" aca="1" ref="M48" ca="1">IF(ROW()-ROW($G$2:$G$57)+1&gt;ROWS($F$2:$F$57)-COUNTBLANK($F$2:$F$57),"",INDIRECT(ADDRESS(SMALL((IF($F$2:$F$57&lt;&gt;"",ROW($F$2:$F$57),ROW()+ROWS($F$2:$F$57))),ROW()-ROW($G$2:$G$57)+1),COLUMN($F$2:$F$57),4)))</f>
        <v/>
      </c>
      <c r="N48" s="94" t="str">
        <f t="array" aca="1" ref="N48" ca="1">IF(ROW()-ROW($H$2:$H$57)+1&gt;ROWS($G$2:$G$57)-COUNTBLANK($G$2:$G$57),"",INDIRECT(ADDRESS(SMALL((IF($G$2:$G$57&lt;&gt;"",ROW($G$2:$G$57),ROW()+ROWS($G$2:$G$57))),ROW()-ROW($H$2:$H$57)+1),COLUMN($G$2:$G$57),4)))</f>
        <v/>
      </c>
      <c r="O48" s="184" t="str">
        <f t="array" aca="1" ref="O48" ca="1">IF(ROW()-ROW($I$2:$I$57)+1&gt;ROWS($H$2:$H$57)-COUNTBLANK($H$2:$H$57),"",INDIRECT(ADDRESS(SMALL((IF($H$2:$H$57&lt;&gt;"",ROW($H$2:$H$57),ROW()+ROWS($H$2:$H$57))),ROW()-ROW($I$2:$I$57)+1),COLUMN($H$2:$H$57),4)))</f>
        <v/>
      </c>
      <c r="P48" s="184" t="str">
        <f t="array" aca="1" ref="P48" ca="1">IF(ROW()-ROW($J$2:$J$57)+1&gt;ROWS($I$2:$I$57)-COUNTBLANK($I$2:$I$57),"",INDIRECT(ADDRESS(SMALL((IF($I$2:$I$57&lt;&gt;"",ROW($I$2:$I$57),ROW()+ROWS($I$2:$I$57))),ROW()-ROW($J$2:$J$57)+1),COLUMN($I$2:$I$57),4)))</f>
        <v/>
      </c>
    </row>
    <row r="49" spans="4:16" x14ac:dyDescent="0.25">
      <c r="D49" s="855"/>
      <c r="E49" s="34" t="str">
        <f>IF(H49="","","2016")</f>
        <v/>
      </c>
      <c r="F49" s="34" t="str">
        <f t="shared" si="10"/>
        <v/>
      </c>
      <c r="G49" s="34" t="str">
        <f t="shared" si="7"/>
        <v/>
      </c>
      <c r="H49" s="173" t="str">
        <f>IF(A5="relevant",IF('Matrix-Colon'!Y26="","",IF(AND(ROUND('Matrix-Colon'!Y26,4)&gt;=Berechnung2!E50,ROUND('Matrix-Colon'!Y26,4)&lt;=Berechnung2!G50),Berechnung2!L50,IF(ROUND('Matrix-Colon'!Y26,4)&gt;Berechnung2!J50,Berechnung2!M50,""))),"")</f>
        <v/>
      </c>
      <c r="I49" s="172" t="str">
        <f>IF(H49="","",VLOOKUP(F49,Berechnung2!$I$15:$J$25,2,FALSE))</f>
        <v/>
      </c>
      <c r="J49" s="237" t="str">
        <f t="shared" si="2"/>
        <v/>
      </c>
      <c r="L49" s="94" t="str">
        <f t="array" aca="1" ref="L49" ca="1">IF(ROW()-ROW($F$2:$F$57)+1&gt;ROWS($E$2:$E$57)-COUNTBLANK($E$2:$E$57),"",INDIRECT(ADDRESS(SMALL((IF($E$2:$E$57&gt;"",ROW($E$2:$E$57),ROW()+ROWS($E$2:$E$57))),ROW()-ROW($F$2:$F$57)+1),COLUMN($E$2:$E$57),4)))</f>
        <v/>
      </c>
      <c r="M49" s="94" t="str">
        <f t="array" aca="1" ref="M49" ca="1">IF(ROW()-ROW($G$2:$G$57)+1&gt;ROWS($F$2:$F$57)-COUNTBLANK($F$2:$F$57),"",INDIRECT(ADDRESS(SMALL((IF($F$2:$F$57&lt;&gt;"",ROW($F$2:$F$57),ROW()+ROWS($F$2:$F$57))),ROW()-ROW($G$2:$G$57)+1),COLUMN($F$2:$F$57),4)))</f>
        <v/>
      </c>
      <c r="N49" s="94" t="str">
        <f t="array" aca="1" ref="N49" ca="1">IF(ROW()-ROW($H$2:$H$57)+1&gt;ROWS($G$2:$G$57)-COUNTBLANK($G$2:$G$57),"",INDIRECT(ADDRESS(SMALL((IF($G$2:$G$57&lt;&gt;"",ROW($G$2:$G$57),ROW()+ROWS($G$2:$G$57))),ROW()-ROW($H$2:$H$57)+1),COLUMN($G$2:$G$57),4)))</f>
        <v/>
      </c>
      <c r="O49" s="184" t="str">
        <f t="array" aca="1" ref="O49" ca="1">IF(ROW()-ROW($I$2:$I$57)+1&gt;ROWS($H$2:$H$57)-COUNTBLANK($H$2:$H$57),"",INDIRECT(ADDRESS(SMALL((IF($H$2:$H$57&lt;&gt;"",ROW($H$2:$H$57),ROW()+ROWS($H$2:$H$57))),ROW()-ROW($I$2:$I$57)+1),COLUMN($H$2:$H$57),4)))</f>
        <v/>
      </c>
      <c r="P49" s="184" t="str">
        <f t="array" aca="1" ref="P49" ca="1">IF(ROW()-ROW($J$2:$J$57)+1&gt;ROWS($I$2:$I$57)-COUNTBLANK($I$2:$I$57),"",INDIRECT(ADDRESS(SMALL((IF($I$2:$I$57&lt;&gt;"",ROW($I$2:$I$57),ROW()+ROWS($I$2:$I$57))),ROW()-ROW($J$2:$J$57)+1),COLUMN($I$2:$I$57),4)))</f>
        <v/>
      </c>
    </row>
    <row r="50" spans="4:16" x14ac:dyDescent="0.25">
      <c r="D50" s="855"/>
      <c r="E50" s="34" t="str">
        <f>IF(H50="","","2017")</f>
        <v/>
      </c>
      <c r="F50" s="34" t="str">
        <f t="shared" si="10"/>
        <v/>
      </c>
      <c r="G50" s="34" t="str">
        <f t="shared" si="7"/>
        <v/>
      </c>
      <c r="H50" s="173" t="str">
        <f>IF(A6="relevant",IF('Matrix-Colon'!Y27="","",IF(AND(ROUND('Matrix-Colon'!Y27,4)&gt;=Berechnung2!E51,ROUND('Matrix-Colon'!Y27,4)&lt;=Berechnung2!G51),Berechnung2!L51,IF(ROUND('Matrix-Colon'!Y27,4)&gt;Berechnung2!J51,Berechnung2!M51,""))),"")</f>
        <v/>
      </c>
      <c r="I50" s="172" t="str">
        <f>IF(H50="","",VLOOKUP(F50,Berechnung2!$I$15:$J$25,2,FALSE))</f>
        <v/>
      </c>
      <c r="J50" s="237" t="str">
        <f t="shared" si="2"/>
        <v/>
      </c>
      <c r="L50" s="94" t="str">
        <f t="array" aca="1" ref="L50" ca="1">IF(ROW()-ROW($F$2:$F$57)+1&gt;ROWS($E$2:$E$57)-COUNTBLANK($E$2:$E$57),"",INDIRECT(ADDRESS(SMALL((IF($E$2:$E$57&gt;"",ROW($E$2:$E$57),ROW()+ROWS($E$2:$E$57))),ROW()-ROW($F$2:$F$57)+1),COLUMN($E$2:$E$57),4)))</f>
        <v/>
      </c>
      <c r="M50" s="94" t="str">
        <f t="array" aca="1" ref="M50" ca="1">IF(ROW()-ROW($G$2:$G$57)+1&gt;ROWS($F$2:$F$57)-COUNTBLANK($F$2:$F$57),"",INDIRECT(ADDRESS(SMALL((IF($F$2:$F$57&lt;&gt;"",ROW($F$2:$F$57),ROW()+ROWS($F$2:$F$57))),ROW()-ROW($G$2:$G$57)+1),COLUMN($F$2:$F$57),4)))</f>
        <v/>
      </c>
      <c r="N50" s="94" t="str">
        <f t="array" aca="1" ref="N50" ca="1">IF(ROW()-ROW($H$2:$H$57)+1&gt;ROWS($G$2:$G$57)-COUNTBLANK($G$2:$G$57),"",INDIRECT(ADDRESS(SMALL((IF($G$2:$G$57&lt;&gt;"",ROW($G$2:$G$57),ROW()+ROWS($G$2:$G$57))),ROW()-ROW($H$2:$H$57)+1),COLUMN($G$2:$G$57),4)))</f>
        <v/>
      </c>
      <c r="O50" s="184" t="str">
        <f t="array" aca="1" ref="O50" ca="1">IF(ROW()-ROW($I$2:$I$57)+1&gt;ROWS($H$2:$H$57)-COUNTBLANK($H$2:$H$57),"",INDIRECT(ADDRESS(SMALL((IF($H$2:$H$57&lt;&gt;"",ROW($H$2:$H$57),ROW()+ROWS($H$2:$H$57))),ROW()-ROW($I$2:$I$57)+1),COLUMN($H$2:$H$57),4)))</f>
        <v/>
      </c>
      <c r="P50" s="184" t="str">
        <f t="array" aca="1" ref="P50" ca="1">IF(ROW()-ROW($J$2:$J$57)+1&gt;ROWS($I$2:$I$57)-COUNTBLANK($I$2:$I$57),"",INDIRECT(ADDRESS(SMALL((IF($I$2:$I$57&lt;&gt;"",ROW($I$2:$I$57),ROW()+ROWS($I$2:$I$57))),ROW()-ROW($J$2:$J$57)+1),COLUMN($I$2:$I$57),4)))</f>
        <v/>
      </c>
    </row>
    <row r="51" spans="4:16" ht="12" thickBot="1" x14ac:dyDescent="0.3">
      <c r="D51" s="142" t="s">
        <v>117</v>
      </c>
      <c r="E51" s="155" t="str">
        <f>IF(H51="","","2018")</f>
        <v/>
      </c>
      <c r="F51" s="155" t="str">
        <f t="shared" si="10"/>
        <v/>
      </c>
      <c r="G51" s="155" t="str">
        <f t="shared" si="7"/>
        <v/>
      </c>
      <c r="H51" s="189"/>
      <c r="I51" s="219" t="str">
        <f>IF(H51="","",VLOOKUP(F51,Berechnung2!$I$15:$J$25,2,FALSE))</f>
        <v/>
      </c>
      <c r="J51" s="220" t="str">
        <f t="shared" si="2"/>
        <v/>
      </c>
      <c r="L51" s="94" t="str">
        <f t="array" aca="1" ref="L51" ca="1">IF(ROW()-ROW($F$2:$F$57)+1&gt;ROWS($E$2:$E$57)-COUNTBLANK($E$2:$E$57),"",INDIRECT(ADDRESS(SMALL((IF($E$2:$E$57&gt;"",ROW($E$2:$E$57),ROW()+ROWS($E$2:$E$57))),ROW()-ROW($F$2:$F$57)+1),COLUMN($E$2:$E$57),4)))</f>
        <v/>
      </c>
      <c r="M51" s="94" t="str">
        <f t="array" aca="1" ref="M51" ca="1">IF(ROW()-ROW($G$2:$G$57)+1&gt;ROWS($F$2:$F$57)-COUNTBLANK($F$2:$F$57),"",INDIRECT(ADDRESS(SMALL((IF($F$2:$F$57&lt;&gt;"",ROW($F$2:$F$57),ROW()+ROWS($F$2:$F$57))),ROW()-ROW($G$2:$G$57)+1),COLUMN($F$2:$F$57),4)))</f>
        <v/>
      </c>
      <c r="N51" s="94" t="str">
        <f t="array" aca="1" ref="N51" ca="1">IF(ROW()-ROW($H$2:$H$57)+1&gt;ROWS($G$2:$G$57)-COUNTBLANK($G$2:$G$57),"",INDIRECT(ADDRESS(SMALL((IF($G$2:$G$57&lt;&gt;"",ROW($G$2:$G$57),ROW()+ROWS($G$2:$G$57))),ROW()-ROW($H$2:$H$57)+1),COLUMN($G$2:$G$57),4)))</f>
        <v/>
      </c>
      <c r="O51" s="184" t="str">
        <f t="array" aca="1" ref="O51" ca="1">IF(ROW()-ROW($I$2:$I$57)+1&gt;ROWS($H$2:$H$57)-COUNTBLANK($H$2:$H$57),"",INDIRECT(ADDRESS(SMALL((IF($H$2:$H$57&lt;&gt;"",ROW($H$2:$H$57),ROW()+ROWS($H$2:$H$57))),ROW()-ROW($I$2:$I$57)+1),COLUMN($H$2:$H$57),4)))</f>
        <v/>
      </c>
      <c r="P51" s="184" t="str">
        <f t="array" aca="1" ref="P51" ca="1">IF(ROW()-ROW($J$2:$J$57)+1&gt;ROWS($I$2:$I$57)-COUNTBLANK($I$2:$I$57),"",INDIRECT(ADDRESS(SMALL((IF($I$2:$I$57&lt;&gt;"",ROW($I$2:$I$57),ROW()+ROWS($I$2:$I$57))),ROW()-ROW($J$2:$J$57)+1),COLUMN($I$2:$I$57),4)))</f>
        <v/>
      </c>
    </row>
    <row r="52" spans="4:16" x14ac:dyDescent="0.25">
      <c r="D52" s="143" t="s">
        <v>280</v>
      </c>
      <c r="E52" s="156" t="str">
        <f>IF(H52="","","2013")</f>
        <v/>
      </c>
      <c r="F52" s="156" t="str">
        <f t="shared" ref="F52:F57" si="11">IF(H52="","","k")</f>
        <v/>
      </c>
      <c r="G52" s="156" t="str">
        <f t="shared" si="7"/>
        <v/>
      </c>
      <c r="H52" s="186" t="str">
        <f>IF(A2="relevant",IF('Matrix-Colon'!Z23="","",IF(AND(ROUND('Matrix-Colon'!Z23,4)&gt;=Berechnung2!E56,ROUND('Matrix-Colon'!Z23,4)&lt;=Berechnung2!G56),Berechnung2!L56,IF(ROUND('Matrix-Colon'!Z23,4)&gt;Berechnung2!J56,Berechnung2!M56,""))),"")</f>
        <v/>
      </c>
      <c r="I52" s="239" t="str">
        <f>IF(H52="","",VLOOKUP(F52,Berechnung2!$I$15:$J$25,2,FALSE))</f>
        <v/>
      </c>
      <c r="J52" s="238" t="str">
        <f t="shared" si="2"/>
        <v/>
      </c>
      <c r="L52" s="94" t="str">
        <f t="array" aca="1" ref="L52" ca="1">IF(ROW()-ROW($F$2:$F$57)+1&gt;ROWS($E$2:$E$57)-COUNTBLANK($E$2:$E$57),"",INDIRECT(ADDRESS(SMALL((IF($E$2:$E$57&gt;"",ROW($E$2:$E$57),ROW()+ROWS($E$2:$E$57))),ROW()-ROW($F$2:$F$57)+1),COLUMN($E$2:$E$57),4)))</f>
        <v/>
      </c>
      <c r="M52" s="94" t="str">
        <f t="array" aca="1" ref="M52" ca="1">IF(ROW()-ROW($G$2:$G$57)+1&gt;ROWS($F$2:$F$57)-COUNTBLANK($F$2:$F$57),"",INDIRECT(ADDRESS(SMALL((IF($F$2:$F$57&lt;&gt;"",ROW($F$2:$F$57),ROW()+ROWS($F$2:$F$57))),ROW()-ROW($G$2:$G$57)+1),COLUMN($F$2:$F$57),4)))</f>
        <v/>
      </c>
      <c r="N52" s="94" t="str">
        <f t="array" aca="1" ref="N52" ca="1">IF(ROW()-ROW($H$2:$H$57)+1&gt;ROWS($G$2:$G$57)-COUNTBLANK($G$2:$G$57),"",INDIRECT(ADDRESS(SMALL((IF($G$2:$G$57&lt;&gt;"",ROW($G$2:$G$57),ROW()+ROWS($G$2:$G$57))),ROW()-ROW($H$2:$H$57)+1),COLUMN($G$2:$G$57),4)))</f>
        <v/>
      </c>
      <c r="O52" s="184" t="str">
        <f t="array" aca="1" ref="O52" ca="1">IF(ROW()-ROW($I$2:$I$57)+1&gt;ROWS($H$2:$H$57)-COUNTBLANK($H$2:$H$57),"",INDIRECT(ADDRESS(SMALL((IF($H$2:$H$57&lt;&gt;"",ROW($H$2:$H$57),ROW()+ROWS($H$2:$H$57))),ROW()-ROW($I$2:$I$57)+1),COLUMN($H$2:$H$57),4)))</f>
        <v/>
      </c>
      <c r="P52" s="184" t="str">
        <f t="array" aca="1" ref="P52" ca="1">IF(ROW()-ROW($J$2:$J$57)+1&gt;ROWS($I$2:$I$57)-COUNTBLANK($I$2:$I$57),"",INDIRECT(ADDRESS(SMALL((IF($I$2:$I$57&lt;&gt;"",ROW($I$2:$I$57),ROW()+ROWS($I$2:$I$57))),ROW()-ROW($J$2:$J$57)+1),COLUMN($I$2:$I$57),4)))</f>
        <v/>
      </c>
    </row>
    <row r="53" spans="4:16" x14ac:dyDescent="0.25">
      <c r="D53" s="855" t="s">
        <v>331</v>
      </c>
      <c r="E53" s="34" t="str">
        <f>IF(H53="","","2014")</f>
        <v/>
      </c>
      <c r="F53" s="34" t="str">
        <f t="shared" si="11"/>
        <v/>
      </c>
      <c r="G53" s="34" t="str">
        <f t="shared" si="7"/>
        <v/>
      </c>
      <c r="H53" s="173" t="str">
        <f>IF(A3="relevant",IF('Matrix-Colon'!Z24="","",IF(AND(ROUND('Matrix-Colon'!Z24,4)&gt;=Berechnung2!E57,ROUND('Matrix-Colon'!Z24,4)&lt;=Berechnung2!G57),Berechnung2!L57,IF(ROUND('Matrix-Colon'!Z24,4)&gt;Berechnung2!J57,Berechnung2!M57,""))),"")</f>
        <v/>
      </c>
      <c r="I53" s="172" t="str">
        <f>IF(H53="","",VLOOKUP(F53,Berechnung2!$I$15:$J$25,2,FALSE))</f>
        <v/>
      </c>
      <c r="J53" s="237" t="str">
        <f t="shared" si="2"/>
        <v/>
      </c>
      <c r="L53" s="94" t="str">
        <f t="array" aca="1" ref="L53" ca="1">IF(ROW()-ROW($F$2:$F$57)+1&gt;ROWS($E$2:$E$57)-COUNTBLANK($E$2:$E$57),"",INDIRECT(ADDRESS(SMALL((IF($E$2:$E$57&gt;"",ROW($E$2:$E$57),ROW()+ROWS($E$2:$E$57))),ROW()-ROW($F$2:$F$57)+1),COLUMN($E$2:$E$57),4)))</f>
        <v/>
      </c>
      <c r="M53" s="94" t="str">
        <f t="array" aca="1" ref="M53" ca="1">IF(ROW()-ROW($G$2:$G$57)+1&gt;ROWS($F$2:$F$57)-COUNTBLANK($F$2:$F$57),"",INDIRECT(ADDRESS(SMALL((IF($F$2:$F$57&lt;&gt;"",ROW($F$2:$F$57),ROW()+ROWS($F$2:$F$57))),ROW()-ROW($G$2:$G$57)+1),COLUMN($F$2:$F$57),4)))</f>
        <v/>
      </c>
      <c r="N53" s="94" t="str">
        <f t="array" aca="1" ref="N53" ca="1">IF(ROW()-ROW($H$2:$H$57)+1&gt;ROWS($G$2:$G$57)-COUNTBLANK($G$2:$G$57),"",INDIRECT(ADDRESS(SMALL((IF($G$2:$G$57&lt;&gt;"",ROW($G$2:$G$57),ROW()+ROWS($G$2:$G$57))),ROW()-ROW($H$2:$H$57)+1),COLUMN($G$2:$G$57),4)))</f>
        <v/>
      </c>
      <c r="O53" s="184" t="str">
        <f t="array" aca="1" ref="O53" ca="1">IF(ROW()-ROW($I$2:$I$57)+1&gt;ROWS($H$2:$H$57)-COUNTBLANK($H$2:$H$57),"",INDIRECT(ADDRESS(SMALL((IF($H$2:$H$57&lt;&gt;"",ROW($H$2:$H$57),ROW()+ROWS($H$2:$H$57))),ROW()-ROW($I$2:$I$57)+1),COLUMN($H$2:$H$57),4)))</f>
        <v/>
      </c>
      <c r="P53" s="184" t="str">
        <f t="array" aca="1" ref="P53" ca="1">IF(ROW()-ROW($J$2:$J$57)+1&gt;ROWS($I$2:$I$57)-COUNTBLANK($I$2:$I$57),"",INDIRECT(ADDRESS(SMALL((IF($I$2:$I$57&lt;&gt;"",ROW($I$2:$I$57),ROW()+ROWS($I$2:$I$57))),ROW()-ROW($J$2:$J$57)+1),COLUMN($I$2:$I$57),4)))</f>
        <v/>
      </c>
    </row>
    <row r="54" spans="4:16" x14ac:dyDescent="0.25">
      <c r="D54" s="855"/>
      <c r="E54" s="34" t="str">
        <f>IF(H54="","","2015")</f>
        <v/>
      </c>
      <c r="F54" s="34" t="str">
        <f t="shared" si="11"/>
        <v/>
      </c>
      <c r="G54" s="34" t="str">
        <f t="shared" si="7"/>
        <v/>
      </c>
      <c r="H54" s="173" t="str">
        <f>IF(A4="relevant",IF('Matrix-Colon'!Z25="","",IF(AND(ROUND('Matrix-Colon'!Z25,4)&gt;=Berechnung2!E58,ROUND('Matrix-Colon'!Z25,4)&lt;=Berechnung2!G58),Berechnung2!L58,IF(ROUND('Matrix-Colon'!Z25,4)&gt;Berechnung2!J58,Berechnung2!M58,""))),"")</f>
        <v/>
      </c>
      <c r="I54" s="172" t="str">
        <f>IF(H54="","",VLOOKUP(F54,Berechnung2!$I$15:$J$25,2,FALSE))</f>
        <v/>
      </c>
      <c r="J54" s="237" t="str">
        <f t="shared" si="2"/>
        <v/>
      </c>
      <c r="L54" s="94" t="str">
        <f t="array" aca="1" ref="L54" ca="1">IF(ROW()-ROW($F$2:$F$57)+1&gt;ROWS($E$2:$E$57)-COUNTBLANK($E$2:$E$57),"",INDIRECT(ADDRESS(SMALL((IF($E$2:$E$57&gt;"",ROW($E$2:$E$57),ROW()+ROWS($E$2:$E$57))),ROW()-ROW($F$2:$F$57)+1),COLUMN($E$2:$E$57),4)))</f>
        <v/>
      </c>
      <c r="M54" s="94" t="str">
        <f t="array" aca="1" ref="M54" ca="1">IF(ROW()-ROW($G$2:$G$57)+1&gt;ROWS($F$2:$F$57)-COUNTBLANK($F$2:$F$57),"",INDIRECT(ADDRESS(SMALL((IF($F$2:$F$57&lt;&gt;"",ROW($F$2:$F$57),ROW()+ROWS($F$2:$F$57))),ROW()-ROW($G$2:$G$57)+1),COLUMN($F$2:$F$57),4)))</f>
        <v/>
      </c>
      <c r="N54" s="94" t="str">
        <f t="array" aca="1" ref="N54" ca="1">IF(ROW()-ROW($H$2:$H$57)+1&gt;ROWS($G$2:$G$57)-COUNTBLANK($G$2:$G$57),"",INDIRECT(ADDRESS(SMALL((IF($G$2:$G$57&lt;&gt;"",ROW($G$2:$G$57),ROW()+ROWS($G$2:$G$57))),ROW()-ROW($H$2:$H$57)+1),COLUMN($G$2:$G$57),4)))</f>
        <v/>
      </c>
      <c r="O54" s="184" t="str">
        <f t="array" aca="1" ref="O54" ca="1">IF(ROW()-ROW($I$2:$I$57)+1&gt;ROWS($H$2:$H$57)-COUNTBLANK($H$2:$H$57),"",INDIRECT(ADDRESS(SMALL((IF($H$2:$H$57&lt;&gt;"",ROW($H$2:$H$57),ROW()+ROWS($H$2:$H$57))),ROW()-ROW($I$2:$I$57)+1),COLUMN($H$2:$H$57),4)))</f>
        <v/>
      </c>
      <c r="P54" s="184" t="str">
        <f t="array" aca="1" ref="P54" ca="1">IF(ROW()-ROW($J$2:$J$57)+1&gt;ROWS($I$2:$I$57)-COUNTBLANK($I$2:$I$57),"",INDIRECT(ADDRESS(SMALL((IF($I$2:$I$57&lt;&gt;"",ROW($I$2:$I$57),ROW()+ROWS($I$2:$I$57))),ROW()-ROW($J$2:$J$57)+1),COLUMN($I$2:$I$57),4)))</f>
        <v/>
      </c>
    </row>
    <row r="55" spans="4:16" x14ac:dyDescent="0.25">
      <c r="D55" s="855"/>
      <c r="E55" s="34" t="str">
        <f>IF(H55="","","2016")</f>
        <v/>
      </c>
      <c r="F55" s="34" t="str">
        <f t="shared" si="11"/>
        <v/>
      </c>
      <c r="G55" s="34" t="str">
        <f t="shared" si="7"/>
        <v/>
      </c>
      <c r="H55" s="173" t="str">
        <f>IF(A5="relevant",IF('Matrix-Colon'!Z26="","",IF(AND(ROUND('Matrix-Colon'!Z26,4)&gt;=Berechnung2!E59,ROUND('Matrix-Colon'!Z26,4)&lt;=Berechnung2!G59),Berechnung2!L59,IF(ROUND('Matrix-Colon'!Z26,4)&gt;Berechnung2!J59,Berechnung2!M59,""))),"")</f>
        <v/>
      </c>
      <c r="I55" s="172" t="str">
        <f>IF(H55="","",VLOOKUP(F55,Berechnung2!$I$15:$J$25,2,FALSE))</f>
        <v/>
      </c>
      <c r="J55" s="237" t="str">
        <f t="shared" si="2"/>
        <v/>
      </c>
      <c r="L55" s="94" t="str">
        <f t="array" aca="1" ref="L55" ca="1">IF(ROW()-ROW($F$2:$F$57)+1&gt;ROWS($E$2:$E$57)-COUNTBLANK($E$2:$E$57),"",INDIRECT(ADDRESS(SMALL((IF($E$2:$E$57&gt;"",ROW($E$2:$E$57),ROW()+ROWS($E$2:$E$57))),ROW()-ROW($F$2:$F$57)+1),COLUMN($E$2:$E$57),4)))</f>
        <v/>
      </c>
      <c r="M55" s="94" t="str">
        <f t="array" aca="1" ref="M55" ca="1">IF(ROW()-ROW($G$2:$G$57)+1&gt;ROWS($F$2:$F$57)-COUNTBLANK($F$2:$F$57),"",INDIRECT(ADDRESS(SMALL((IF($F$2:$F$57&lt;&gt;"",ROW($F$2:$F$57),ROW()+ROWS($F$2:$F$57))),ROW()-ROW($G$2:$G$57)+1),COLUMN($F$2:$F$57),4)))</f>
        <v/>
      </c>
      <c r="N55" s="94" t="str">
        <f t="array" aca="1" ref="N55" ca="1">IF(ROW()-ROW($H$2:$H$57)+1&gt;ROWS($G$2:$G$57)-COUNTBLANK($G$2:$G$57),"",INDIRECT(ADDRESS(SMALL((IF($G$2:$G$57&lt;&gt;"",ROW($G$2:$G$57),ROW()+ROWS($G$2:$G$57))),ROW()-ROW($H$2:$H$57)+1),COLUMN($G$2:$G$57),4)))</f>
        <v/>
      </c>
      <c r="O55" s="184" t="str">
        <f t="array" aca="1" ref="O55" ca="1">IF(ROW()-ROW($I$2:$I$57)+1&gt;ROWS($H$2:$H$57)-COUNTBLANK($H$2:$H$57),"",INDIRECT(ADDRESS(SMALL((IF($H$2:$H$57&lt;&gt;"",ROW($H$2:$H$57),ROW()+ROWS($H$2:$H$57))),ROW()-ROW($I$2:$I$57)+1),COLUMN($H$2:$H$57),4)))</f>
        <v/>
      </c>
      <c r="P55" s="184" t="str">
        <f t="array" aca="1" ref="P55" ca="1">IF(ROW()-ROW($J$2:$J$57)+1&gt;ROWS($I$2:$I$57)-COUNTBLANK($I$2:$I$57),"",INDIRECT(ADDRESS(SMALL((IF($I$2:$I$57&lt;&gt;"",ROW($I$2:$I$57),ROW()+ROWS($I$2:$I$57))),ROW()-ROW($J$2:$J$57)+1),COLUMN($I$2:$I$57),4)))</f>
        <v/>
      </c>
    </row>
    <row r="56" spans="4:16" x14ac:dyDescent="0.25">
      <c r="D56" s="855"/>
      <c r="E56" s="34" t="str">
        <f>IF(H56="","","2017")</f>
        <v/>
      </c>
      <c r="F56" s="34" t="str">
        <f t="shared" si="11"/>
        <v/>
      </c>
      <c r="G56" s="34" t="str">
        <f t="shared" si="7"/>
        <v/>
      </c>
      <c r="H56" s="173" t="str">
        <f>IF(A6="relevant",IF('Matrix-Colon'!Z27="","",IF(AND(ROUND('Matrix-Colon'!Z27,4)&gt;=Berechnung2!E60,ROUND('Matrix-Colon'!Z27,4)&lt;=Berechnung2!G60),Berechnung2!L60,IF(ROUND('Matrix-Colon'!Z27,4)&gt;Berechnung2!J60,Berechnung2!M60,""))),"")</f>
        <v/>
      </c>
      <c r="I56" s="172" t="str">
        <f>IF(H56="","",VLOOKUP(F56,Berechnung2!$I$15:$J$25,2,FALSE))</f>
        <v/>
      </c>
      <c r="J56" s="237" t="str">
        <f t="shared" si="2"/>
        <v/>
      </c>
      <c r="L56" s="94" t="str">
        <f t="array" aca="1" ref="L56" ca="1">IF(ROW()-ROW($F$2:$F$57)+1&gt;ROWS($E$2:$E$57)-COUNTBLANK($E$2:$E$57),"",INDIRECT(ADDRESS(SMALL((IF($E$2:$E$57&gt;"",ROW($E$2:$E$57),ROW()+ROWS($E$2:$E$57))),ROW()-ROW($F$2:$F$57)+1),COLUMN($E$2:$E$57),4)))</f>
        <v/>
      </c>
      <c r="M56" s="94" t="str">
        <f t="array" aca="1" ref="M56" ca="1">IF(ROW()-ROW($G$2:$G$57)+1&gt;ROWS($F$2:$F$57)-COUNTBLANK($F$2:$F$57),"",INDIRECT(ADDRESS(SMALL((IF($F$2:$F$57&lt;&gt;"",ROW($F$2:$F$57),ROW()+ROWS($F$2:$F$57))),ROW()-ROW($G$2:$G$57)+1),COLUMN($F$2:$F$57),4)))</f>
        <v/>
      </c>
      <c r="N56" s="94" t="str">
        <f t="array" aca="1" ref="N56" ca="1">IF(ROW()-ROW($H$2:$H$57)+1&gt;ROWS($G$2:$G$57)-COUNTBLANK($G$2:$G$57),"",INDIRECT(ADDRESS(SMALL((IF($G$2:$G$57&lt;&gt;"",ROW($G$2:$G$57),ROW()+ROWS($G$2:$G$57))),ROW()-ROW($H$2:$H$57)+1),COLUMN($G$2:$G$57),4)))</f>
        <v/>
      </c>
      <c r="O56" s="184" t="str">
        <f t="array" aca="1" ref="O56" ca="1">IF(ROW()-ROW($I$2:$I$57)+1&gt;ROWS($H$2:$H$57)-COUNTBLANK($H$2:$H$57),"",INDIRECT(ADDRESS(SMALL((IF($H$2:$H$57&lt;&gt;"",ROW($H$2:$H$57),ROW()+ROWS($H$2:$H$57))),ROW()-ROW($I$2:$I$57)+1),COLUMN($H$2:$H$57),4)))</f>
        <v/>
      </c>
      <c r="P56" s="184" t="str">
        <f t="array" aca="1" ref="P56" ca="1">IF(ROW()-ROW($J$2:$J$57)+1&gt;ROWS($I$2:$I$57)-COUNTBLANK($I$2:$I$57),"",INDIRECT(ADDRESS(SMALL((IF($I$2:$I$57&lt;&gt;"",ROW($I$2:$I$57),ROW()+ROWS($I$2:$I$57))),ROW()-ROW($J$2:$J$57)+1),COLUMN($I$2:$I$57),4)))</f>
        <v/>
      </c>
    </row>
    <row r="57" spans="4:16" ht="12" thickBot="1" x14ac:dyDescent="0.3">
      <c r="D57" s="142" t="s">
        <v>118</v>
      </c>
      <c r="E57" s="155" t="str">
        <f>IF(H57="","","2018")</f>
        <v/>
      </c>
      <c r="F57" s="155" t="str">
        <f t="shared" si="11"/>
        <v/>
      </c>
      <c r="G57" s="155" t="str">
        <f t="shared" si="7"/>
        <v/>
      </c>
      <c r="H57" s="189"/>
      <c r="I57" s="219" t="str">
        <f>IF(H57="","",VLOOKUP(F57,Berechnung2!$I$15:$J$25,2,FALSE))</f>
        <v/>
      </c>
      <c r="J57" s="220" t="str">
        <f t="shared" si="2"/>
        <v/>
      </c>
      <c r="L57" s="94" t="str">
        <f t="array" aca="1" ref="L57" ca="1">IF(ROW()-ROW($F$2:$F$57)+1&gt;ROWS($E$2:$E$57)-COUNTBLANK($E$2:$E$57),"",INDIRECT(ADDRESS(SMALL((IF($E$2:$E$57&gt;"",ROW($E$2:$E$57),ROW()+ROWS($E$2:$E$57))),ROW()-ROW($F$2:$F$57)+1),COLUMN($E$2:$E$57),4)))</f>
        <v/>
      </c>
      <c r="M57" s="94" t="str">
        <f t="array" aca="1" ref="M57" ca="1">IF(ROW()-ROW($G$2:$G$57)+1&gt;ROWS($F$2:$F$57)-COUNTBLANK($F$2:$F$57),"",INDIRECT(ADDRESS(SMALL((IF($F$2:$F$57&lt;&gt;"",ROW($F$2:$F$57),ROW()+ROWS($F$2:$F$57))),ROW()-ROW($G$2:$G$57)+1),COLUMN($F$2:$F$57),4)))</f>
        <v/>
      </c>
      <c r="N57" s="94" t="str">
        <f t="array" aca="1" ref="N57" ca="1">IF(ROW()-ROW($H$2:$H$57)+1&gt;ROWS($G$2:$G$57)-COUNTBLANK($G$2:$G$57),"",INDIRECT(ADDRESS(SMALL((IF($G$2:$G$57&lt;&gt;"",ROW($G$2:$G$57),ROW()+ROWS($G$2:$G$57))),ROW()-ROW($H$2:$H$57)+1),COLUMN($G$2:$G$57),4)))</f>
        <v/>
      </c>
      <c r="O57" s="184" t="str">
        <f t="array" aca="1" ref="O57" ca="1">IF(ROW()-ROW($I$2:$I$57)+1&gt;ROWS($H$2:$H$57)-COUNTBLANK($H$2:$H$57),"",INDIRECT(ADDRESS(SMALL((IF($H$2:$H$57&lt;&gt;"",ROW($H$2:$H$57),ROW()+ROWS($H$2:$H$57))),ROW()-ROW($I$2:$I$57)+1),COLUMN($H$2:$H$57),4)))</f>
        <v/>
      </c>
      <c r="P57" s="184" t="str">
        <f t="array" aca="1" ref="P57" ca="1">IF(ROW()-ROW($J$2:$J$57)+1&gt;ROWS($I$2:$I$57)-COUNTBLANK($I$2:$I$57),"",INDIRECT(ADDRESS(SMALL((IF($I$2:$I$57&lt;&gt;"",ROW($I$2:$I$57),ROW()+ROWS($I$2:$I$57))),ROW()-ROW($J$2:$J$57)+1),COLUMN($I$2:$I$57),4)))</f>
        <v/>
      </c>
    </row>
    <row r="59" spans="4:16" x14ac:dyDescent="0.25">
      <c r="I59" s="225" t="s">
        <v>288</v>
      </c>
      <c r="J59" s="226">
        <f>IF(SUM(J2:J7)=0,0,SUM(J2:J7))</f>
        <v>0</v>
      </c>
    </row>
    <row r="60" spans="4:16" x14ac:dyDescent="0.25">
      <c r="I60" s="225" t="s">
        <v>287</v>
      </c>
      <c r="J60" s="227">
        <f>IF(SUM(J8:J25)=0,0,SUM(J8:J25))</f>
        <v>0</v>
      </c>
    </row>
    <row r="61" spans="4:16" x14ac:dyDescent="0.25">
      <c r="I61" s="228" t="s">
        <v>280</v>
      </c>
      <c r="J61" s="229">
        <f>IF(SUM(J27:J57)=0,0,SUM(J27:J57))</f>
        <v>0</v>
      </c>
    </row>
    <row r="62" spans="4:16" x14ac:dyDescent="0.25">
      <c r="I62" s="230" t="s">
        <v>154</v>
      </c>
      <c r="J62" s="231">
        <f>IF(J26="",0,J26)</f>
        <v>0</v>
      </c>
    </row>
  </sheetData>
  <mergeCells count="9">
    <mergeCell ref="D47:D50"/>
    <mergeCell ref="D53:D56"/>
    <mergeCell ref="D28:D31"/>
    <mergeCell ref="D3:D6"/>
    <mergeCell ref="D9:D12"/>
    <mergeCell ref="D15:D18"/>
    <mergeCell ref="D21:D24"/>
    <mergeCell ref="D35:D38"/>
    <mergeCell ref="D41:D44"/>
  </mergeCells>
  <phoneticPr fontId="75" type="noConversion"/>
  <conditionalFormatting sqref="B2:B7">
    <cfRule type="expression" dxfId="73" priority="10" stopIfTrue="1">
      <formula>OR($A2="EZ",$A2="nicht relevant")</formula>
    </cfRule>
  </conditionalFormatting>
  <conditionalFormatting sqref="E2:J7">
    <cfRule type="expression" dxfId="72" priority="9" stopIfTrue="1">
      <formula>OR($A2="EZ",$A2="nicht relevant")</formula>
    </cfRule>
  </conditionalFormatting>
  <conditionalFormatting sqref="E8:J13">
    <cfRule type="expression" dxfId="71" priority="8" stopIfTrue="1">
      <formula>OR($A2="EZ",$A2="nicht relevant")</formula>
    </cfRule>
  </conditionalFormatting>
  <conditionalFormatting sqref="E14:J19">
    <cfRule type="expression" dxfId="70" priority="7" stopIfTrue="1">
      <formula>OR($A2="EZ",$A2="nicht relevant")</formula>
    </cfRule>
  </conditionalFormatting>
  <conditionalFormatting sqref="E20:J25">
    <cfRule type="expression" dxfId="69" priority="6" stopIfTrue="1">
      <formula>OR($A2="EZ",$A2="nicht relevant")</formula>
    </cfRule>
  </conditionalFormatting>
  <conditionalFormatting sqref="E27:J32">
    <cfRule type="expression" dxfId="68" priority="5" stopIfTrue="1">
      <formula>OR($A2="EZ",$A2="nicht relevant")</formula>
    </cfRule>
  </conditionalFormatting>
  <conditionalFormatting sqref="E34:J39">
    <cfRule type="expression" dxfId="67" priority="4" stopIfTrue="1">
      <formula>OR($A2="EZ",$A2="nicht relevant")</formula>
    </cfRule>
  </conditionalFormatting>
  <conditionalFormatting sqref="E40:J45">
    <cfRule type="expression" dxfId="66" priority="3" stopIfTrue="1">
      <formula>OR($A2="EZ",$A2="nicht relevant")</formula>
    </cfRule>
  </conditionalFormatting>
  <conditionalFormatting sqref="E46:J51">
    <cfRule type="expression" dxfId="65" priority="2" stopIfTrue="1">
      <formula>OR($A2="EZ",$A2="nicht relevant")</formula>
    </cfRule>
  </conditionalFormatting>
  <conditionalFormatting sqref="E52:J57">
    <cfRule type="expression" dxfId="64" priority="1" stopIfTrue="1">
      <formula>OR($A2="EZ",$A2="nicht relevant")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8"/>
  <dimension ref="A1:N27"/>
  <sheetViews>
    <sheetView showGridLines="0" zoomScaleNormal="100" zoomScaleSheetLayoutView="100" workbookViewId="0">
      <selection activeCell="C19" sqref="C19:G19"/>
    </sheetView>
  </sheetViews>
  <sheetFormatPr defaultColWidth="9" defaultRowHeight="14.25" x14ac:dyDescent="0.2"/>
  <cols>
    <col min="1" max="1" width="14.140625" style="8" customWidth="1"/>
    <col min="2" max="2" width="22.85546875" style="8" customWidth="1"/>
    <col min="3" max="3" width="20.7109375" style="8" customWidth="1"/>
    <col min="4" max="4" width="24.7109375" style="8" customWidth="1"/>
    <col min="5" max="6" width="21.7109375" style="8" customWidth="1"/>
    <col min="7" max="182" width="11.42578125" style="8" customWidth="1"/>
    <col min="183" max="16384" width="9" style="8"/>
  </cols>
  <sheetData>
    <row r="1" spans="1:14" ht="9.9499999999999993" customHeight="1" x14ac:dyDescent="0.2">
      <c r="B1" s="31"/>
      <c r="E1" s="19"/>
    </row>
    <row r="2" spans="1:14" ht="12.95" customHeight="1" x14ac:dyDescent="0.2">
      <c r="A2" s="26" t="s">
        <v>418</v>
      </c>
      <c r="E2" s="19"/>
    </row>
    <row r="3" spans="1:14" ht="16.5" x14ac:dyDescent="0.25">
      <c r="A3" s="22" t="s">
        <v>358</v>
      </c>
      <c r="E3" s="19"/>
      <c r="F3" s="20"/>
    </row>
    <row r="4" spans="1:14" ht="16.5" x14ac:dyDescent="0.25">
      <c r="A4" s="22"/>
      <c r="J4" s="23"/>
    </row>
    <row r="5" spans="1:14" ht="15" customHeight="1" x14ac:dyDescent="0.2">
      <c r="D5" s="15"/>
      <c r="E5" s="15"/>
      <c r="F5" s="15"/>
      <c r="G5" s="15"/>
      <c r="H5" s="15"/>
      <c r="I5" s="15"/>
      <c r="J5" s="23"/>
    </row>
    <row r="6" spans="1:14" s="26" customFormat="1" ht="15" customHeight="1" x14ac:dyDescent="0.25">
      <c r="B6" s="29" t="s">
        <v>332</v>
      </c>
      <c r="C6" s="752" t="str">
        <f>IF('Basic data'!B8=0,"",'Basic data'!B8)</f>
        <v/>
      </c>
      <c r="D6" s="753"/>
      <c r="E6" s="753"/>
      <c r="F6" s="754"/>
      <c r="G6" s="15"/>
      <c r="H6" s="15"/>
      <c r="J6" s="23"/>
      <c r="K6" s="23"/>
      <c r="L6" s="21"/>
      <c r="M6" s="23"/>
      <c r="N6" s="23"/>
    </row>
    <row r="7" spans="1:14" s="26" customFormat="1" ht="6.95" customHeight="1" x14ac:dyDescent="0.2">
      <c r="B7" s="10"/>
      <c r="C7" s="15"/>
      <c r="D7" s="15"/>
      <c r="E7" s="15"/>
      <c r="F7" s="15"/>
      <c r="G7" s="15"/>
      <c r="H7" s="15"/>
      <c r="J7" s="23"/>
      <c r="K7" s="23"/>
      <c r="L7" s="21"/>
      <c r="M7" s="23"/>
      <c r="N7" s="23"/>
    </row>
    <row r="8" spans="1:14" s="26" customFormat="1" ht="15" customHeight="1" x14ac:dyDescent="0.2">
      <c r="B8" s="29" t="s">
        <v>281</v>
      </c>
      <c r="C8" s="38" t="str">
        <f>IF('Basic data'!B6=0,"",'Basic data'!B6)</f>
        <v/>
      </c>
      <c r="D8" s="23"/>
      <c r="E8" s="9" t="s">
        <v>279</v>
      </c>
      <c r="F8" s="37" t="str">
        <f>IF('Basic data'!G12=0,"",'Basic data'!G12)</f>
        <v/>
      </c>
      <c r="H8" s="8"/>
      <c r="J8" s="23"/>
      <c r="K8" s="23"/>
      <c r="L8" s="21"/>
      <c r="M8" s="23"/>
      <c r="N8" s="23"/>
    </row>
    <row r="9" spans="1:14" s="26" customFormat="1" ht="8.25" customHeight="1" x14ac:dyDescent="0.2">
      <c r="B9" s="28"/>
      <c r="C9" s="8"/>
      <c r="E9" s="8"/>
      <c r="I9" s="17"/>
      <c r="J9" s="24"/>
      <c r="K9" s="24"/>
      <c r="L9" s="24"/>
      <c r="M9" s="24"/>
      <c r="N9" s="24"/>
    </row>
    <row r="10" spans="1:14" ht="6.75" customHeight="1" x14ac:dyDescent="0.2">
      <c r="I10" s="18"/>
      <c r="J10" s="33"/>
      <c r="K10" s="33"/>
      <c r="L10" s="33"/>
      <c r="M10" s="33"/>
      <c r="N10" s="33"/>
    </row>
    <row r="11" spans="1:14" ht="15" x14ac:dyDescent="0.25">
      <c r="A11" s="32" t="s">
        <v>291</v>
      </c>
    </row>
    <row r="12" spans="1:14" ht="13.5" customHeight="1" x14ac:dyDescent="0.2">
      <c r="B12" s="73" t="str">
        <f>IF(OR(B13="",B13="Matrix kann eingereicht werden"),"In Ordnung",IF(B13="die inkorrekten und unvollständigen Einträge beheben","Nicht in Ordnung"))</f>
        <v>In Ordnung</v>
      </c>
      <c r="C12" s="58" t="s">
        <v>280</v>
      </c>
      <c r="D12" s="39" t="s">
        <v>154</v>
      </c>
      <c r="E12" s="44" t="s">
        <v>287</v>
      </c>
      <c r="F12" s="45" t="s">
        <v>362</v>
      </c>
    </row>
    <row r="13" spans="1:14" ht="18.75" customHeight="1" x14ac:dyDescent="0.2">
      <c r="B13" s="258" t="str">
        <f>Berechnung2!B6</f>
        <v/>
      </c>
      <c r="C13" s="64">
        <f>Berechnung2!C6</f>
        <v>0</v>
      </c>
      <c r="D13" s="65">
        <f>Berechnung2!D6</f>
        <v>0</v>
      </c>
      <c r="E13" s="85">
        <f>Berechnung2!E6</f>
        <v>0</v>
      </c>
      <c r="F13" s="86">
        <f>Berechnung2!F6</f>
        <v>0</v>
      </c>
    </row>
    <row r="14" spans="1:14" s="26" customFormat="1" ht="9.75" customHeight="1" x14ac:dyDescent="0.2">
      <c r="B14" s="16"/>
      <c r="C14" s="16"/>
    </row>
    <row r="15" spans="1:14" s="26" customFormat="1" ht="13.5" customHeight="1" x14ac:dyDescent="0.2">
      <c r="A15" s="47" t="str">
        <f>IF(SUM(C13:F13)&gt;0,IF(A19&gt;"","","FEHLER - Bearbeitungshinweise müssen beachtet werden!!! Siehe Tabellenblatt Matrix ab Zeile 45"),"")</f>
        <v/>
      </c>
      <c r="C15" s="16"/>
    </row>
    <row r="16" spans="1:14" s="26" customFormat="1" ht="6" customHeight="1" x14ac:dyDescent="0.2">
      <c r="B16" s="16"/>
      <c r="C16" s="16"/>
    </row>
    <row r="17" spans="1:7" ht="14.25" customHeight="1" x14ac:dyDescent="0.2">
      <c r="A17" s="861" t="s">
        <v>313</v>
      </c>
      <c r="B17" s="863" t="s">
        <v>240</v>
      </c>
      <c r="C17" s="864" t="s">
        <v>50</v>
      </c>
      <c r="D17" s="865"/>
      <c r="E17" s="865"/>
      <c r="F17" s="865"/>
      <c r="G17" s="866"/>
    </row>
    <row r="18" spans="1:7" ht="10.5" customHeight="1" x14ac:dyDescent="0.2">
      <c r="A18" s="862"/>
      <c r="B18" s="862"/>
      <c r="C18" s="865"/>
      <c r="D18" s="865"/>
      <c r="E18" s="865"/>
      <c r="F18" s="865"/>
      <c r="G18" s="866"/>
    </row>
    <row r="19" spans="1:7" ht="66" customHeight="1" x14ac:dyDescent="0.25">
      <c r="A19" s="34" t="str">
        <f>IF(ISERROR(Berechnung2!G15),"",Berechnung2!G15)</f>
        <v/>
      </c>
      <c r="B19" s="34" t="str">
        <f>IF(ISERROR(Berechnung2!H15),"",Berechnung2!H15)</f>
        <v/>
      </c>
      <c r="C19" s="858"/>
      <c r="D19" s="859"/>
      <c r="E19" s="859"/>
      <c r="F19" s="859"/>
      <c r="G19" s="867"/>
    </row>
    <row r="20" spans="1:7" ht="66" customHeight="1" x14ac:dyDescent="0.25">
      <c r="A20" s="34" t="str">
        <f>IF(ISERROR(Berechnung2!G16),"",Berechnung2!G16)</f>
        <v/>
      </c>
      <c r="B20" s="34" t="str">
        <f>IF(ISERROR(Berechnung2!H16),"",Berechnung2!H16)</f>
        <v/>
      </c>
      <c r="C20" s="858"/>
      <c r="D20" s="859"/>
      <c r="E20" s="859"/>
      <c r="F20" s="859"/>
      <c r="G20" s="860"/>
    </row>
    <row r="21" spans="1:7" ht="66" customHeight="1" x14ac:dyDescent="0.25">
      <c r="A21" s="34" t="str">
        <f>IF(ISERROR(Berechnung2!G17),"",Berechnung2!G17)</f>
        <v/>
      </c>
      <c r="B21" s="34" t="str">
        <f>IF(ISERROR(Berechnung2!H17),"",Berechnung2!H17)</f>
        <v/>
      </c>
      <c r="C21" s="858"/>
      <c r="D21" s="859"/>
      <c r="E21" s="859"/>
      <c r="F21" s="859"/>
      <c r="G21" s="860"/>
    </row>
    <row r="22" spans="1:7" ht="66" customHeight="1" x14ac:dyDescent="0.25">
      <c r="A22" s="34" t="str">
        <f>IF(ISERROR(Berechnung2!G18),"",Berechnung2!G18)</f>
        <v/>
      </c>
      <c r="B22" s="34" t="str">
        <f>IF(ISERROR(Berechnung2!H18),"",Berechnung2!H18)</f>
        <v/>
      </c>
      <c r="C22" s="858"/>
      <c r="D22" s="859"/>
      <c r="E22" s="859"/>
      <c r="F22" s="859"/>
      <c r="G22" s="860"/>
    </row>
    <row r="23" spans="1:7" ht="66" customHeight="1" x14ac:dyDescent="0.25">
      <c r="A23" s="34" t="str">
        <f>IF(ISERROR(Berechnung2!G19),"",Berechnung2!G19)</f>
        <v/>
      </c>
      <c r="B23" s="34" t="str">
        <f>IF(ISERROR(Berechnung2!H19),"",Berechnung2!H19)</f>
        <v/>
      </c>
      <c r="C23" s="858"/>
      <c r="D23" s="859"/>
      <c r="E23" s="859"/>
      <c r="F23" s="859"/>
      <c r="G23" s="860"/>
    </row>
    <row r="24" spans="1:7" ht="66" customHeight="1" x14ac:dyDescent="0.25">
      <c r="A24" s="34" t="str">
        <f>IF(ISERROR(Berechnung2!G20),"",Berechnung2!G20)</f>
        <v/>
      </c>
      <c r="B24" s="34" t="str">
        <f>IF(ISERROR(Berechnung2!H20),"",Berechnung2!H20)</f>
        <v/>
      </c>
      <c r="C24" s="858"/>
      <c r="D24" s="859"/>
      <c r="E24" s="859"/>
      <c r="F24" s="859"/>
      <c r="G24" s="860"/>
    </row>
    <row r="25" spans="1:7" ht="66" customHeight="1" x14ac:dyDescent="0.25">
      <c r="A25" s="34" t="str">
        <f>IF(ISERROR(Berechnung2!G21),"",Berechnung2!G21)</f>
        <v/>
      </c>
      <c r="B25" s="34" t="str">
        <f>IF(ISERROR(Berechnung2!H21),"",Berechnung2!H21)</f>
        <v/>
      </c>
      <c r="C25" s="858"/>
      <c r="D25" s="859"/>
      <c r="E25" s="859"/>
      <c r="F25" s="859"/>
      <c r="G25" s="860"/>
    </row>
    <row r="26" spans="1:7" ht="66" customHeight="1" x14ac:dyDescent="0.25">
      <c r="A26" s="34" t="str">
        <f>IF(ISERROR(Berechnung2!G22),"",Berechnung2!G22)</f>
        <v/>
      </c>
      <c r="B26" s="34" t="str">
        <f>IF(ISERROR(Berechnung2!H22),"",Berechnung2!H22)</f>
        <v/>
      </c>
      <c r="C26" s="858"/>
      <c r="D26" s="859"/>
      <c r="E26" s="859"/>
      <c r="F26" s="859"/>
      <c r="G26" s="860"/>
    </row>
    <row r="27" spans="1:7" ht="66" customHeight="1" x14ac:dyDescent="0.25">
      <c r="A27" s="34" t="str">
        <f>IF(ISERROR(Berechnung2!G23),"",Berechnung2!G23)</f>
        <v/>
      </c>
      <c r="B27" s="34" t="str">
        <f>IF(ISERROR(Berechnung2!H23),"",Berechnung2!H23)</f>
        <v/>
      </c>
      <c r="C27" s="858"/>
      <c r="D27" s="859"/>
      <c r="E27" s="859"/>
      <c r="F27" s="859"/>
      <c r="G27" s="860"/>
    </row>
  </sheetData>
  <sheetProtection selectLockedCells="1"/>
  <mergeCells count="13">
    <mergeCell ref="C6:F6"/>
    <mergeCell ref="A17:A18"/>
    <mergeCell ref="B17:B18"/>
    <mergeCell ref="C17:G18"/>
    <mergeCell ref="C19:G19"/>
    <mergeCell ref="C27:G27"/>
    <mergeCell ref="C20:G20"/>
    <mergeCell ref="C21:G21"/>
    <mergeCell ref="C22:G22"/>
    <mergeCell ref="C23:G23"/>
    <mergeCell ref="C24:G24"/>
    <mergeCell ref="C25:G25"/>
    <mergeCell ref="C26:G26"/>
  </mergeCells>
  <phoneticPr fontId="75" type="noConversion"/>
  <conditionalFormatting sqref="B12">
    <cfRule type="expression" dxfId="63" priority="2" stopIfTrue="1">
      <formula>$B$12="Nicht in Ordnung"</formula>
    </cfRule>
  </conditionalFormatting>
  <conditionalFormatting sqref="B13">
    <cfRule type="expression" dxfId="62" priority="1" stopIfTrue="1">
      <formula>$B$13="die inkorrekten und unvollständigen Einträge beheben"</formula>
    </cfRule>
  </conditionalFormatting>
  <conditionalFormatting sqref="B19:B27">
    <cfRule type="expression" dxfId="61" priority="25" stopIfTrue="1">
      <formula>SEARCH("Unvollständig",$B19,1)</formula>
    </cfRule>
    <cfRule type="expression" dxfId="60" priority="26" stopIfTrue="1">
      <formula>SEARCH($D$12,$B19,1)</formula>
    </cfRule>
    <cfRule type="expression" dxfId="59" priority="27" stopIfTrue="1">
      <formula>SEARCH($C$12,$B19,1)</formula>
    </cfRule>
    <cfRule type="expression" dxfId="58" priority="28" stopIfTrue="1">
      <formula>SEARCH($E$12,$B19,1)</formula>
    </cfRule>
  </conditionalFormatting>
  <conditionalFormatting sqref="C19:C27">
    <cfRule type="notContainsBlanks" dxfId="57" priority="7" stopIfTrue="1">
      <formula>LEN(TRIM(C19))&gt;0</formula>
    </cfRule>
    <cfRule type="expression" dxfId="56" priority="8" stopIfTrue="1">
      <formula>A19&lt;&gt;""</formula>
    </cfRule>
  </conditionalFormatting>
  <dataValidations count="1">
    <dataValidation type="textLength" allowBlank="1" showErrorMessage="1" errorTitle="Zeichenlänge" error="Minimal 30 Zeichen und max. 450 Zeichen." sqref="C19:G19 C20:G20 C21:G21 C22:G22 C23:G23 C24:G27" xr:uid="{00000000-0002-0000-0E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AO119"/>
  <sheetViews>
    <sheetView showGridLines="0" showRuler="0" zoomScaleNormal="100" zoomScaleSheetLayoutView="100" workbookViewId="0">
      <selection activeCell="D23" sqref="D23"/>
    </sheetView>
  </sheetViews>
  <sheetFormatPr defaultColWidth="9" defaultRowHeight="14.25" x14ac:dyDescent="0.2"/>
  <cols>
    <col min="1" max="1" width="12" style="8" customWidth="1"/>
    <col min="2" max="2" width="4.7109375" style="8" customWidth="1"/>
    <col min="3" max="7" width="5.7109375" style="8" customWidth="1"/>
    <col min="8" max="8" width="0.42578125" style="8" customWidth="1"/>
    <col min="9" max="9" width="4.7109375" style="8" customWidth="1"/>
    <col min="10" max="12" width="5.28515625" style="8" customWidth="1"/>
    <col min="13" max="13" width="7.7109375" style="8" customWidth="1"/>
    <col min="14" max="14" width="0.42578125" style="8" customWidth="1"/>
    <col min="15" max="15" width="5.7109375" style="8" customWidth="1"/>
    <col min="16" max="16" width="6.7109375" style="8" hidden="1" customWidth="1"/>
    <col min="17" max="23" width="5.28515625" style="8" customWidth="1"/>
    <col min="24" max="24" width="0.5703125" style="8" customWidth="1"/>
    <col min="25" max="25" width="7.42578125" style="8" customWidth="1"/>
    <col min="26" max="26" width="7.42578125" style="18" customWidth="1"/>
    <col min="27" max="211" width="11.42578125" style="8" customWidth="1"/>
    <col min="212" max="16384" width="9" style="8"/>
  </cols>
  <sheetData>
    <row r="1" spans="1:41" ht="9.9499999999999993" customHeight="1" x14ac:dyDescent="0.2">
      <c r="C1" s="31"/>
      <c r="J1" s="19"/>
      <c r="K1" s="19"/>
      <c r="L1" s="19"/>
      <c r="M1" s="19"/>
      <c r="N1" s="19"/>
      <c r="O1" s="19"/>
      <c r="P1" s="19"/>
      <c r="Q1" s="19"/>
      <c r="R1" s="19"/>
    </row>
    <row r="2" spans="1:41" ht="12.95" customHeight="1" x14ac:dyDescent="0.2">
      <c r="A2" s="17" t="str">
        <f>'Basic data'!A2</f>
        <v>Annex CR Version P1.1  (Audit year 2026 / Indicator year 2025)</v>
      </c>
      <c r="G2" s="41"/>
      <c r="J2" s="19"/>
      <c r="K2" s="19"/>
      <c r="L2" s="19"/>
      <c r="M2" s="19"/>
      <c r="N2" s="19"/>
      <c r="O2" s="19"/>
      <c r="P2" s="19"/>
      <c r="Q2" s="19"/>
      <c r="R2" s="19"/>
    </row>
    <row r="3" spans="1:41" ht="16.5" x14ac:dyDescent="0.25">
      <c r="A3" s="22" t="s">
        <v>357</v>
      </c>
      <c r="J3" s="19"/>
      <c r="K3" s="19"/>
      <c r="L3" s="19"/>
      <c r="M3" s="19"/>
      <c r="N3" s="19"/>
      <c r="O3" s="19"/>
      <c r="P3" s="19"/>
      <c r="R3" s="20"/>
      <c r="S3" s="20"/>
      <c r="T3" s="20"/>
      <c r="U3" s="20"/>
    </row>
    <row r="4" spans="1:41" x14ac:dyDescent="0.2">
      <c r="A4" s="48" t="s">
        <v>342</v>
      </c>
      <c r="J4" s="19"/>
      <c r="K4" s="19"/>
      <c r="L4" s="19"/>
      <c r="M4" s="19"/>
      <c r="N4" s="19"/>
      <c r="O4" s="19"/>
      <c r="P4" s="19"/>
      <c r="R4" s="20"/>
      <c r="S4" s="20"/>
      <c r="T4" s="20"/>
      <c r="U4" s="20"/>
      <c r="AK4" s="42"/>
      <c r="AL4" s="42"/>
      <c r="AM4" s="42"/>
      <c r="AN4" s="42"/>
    </row>
    <row r="5" spans="1:41" ht="15" customHeight="1" x14ac:dyDescent="0.2">
      <c r="O5" s="19"/>
      <c r="P5" s="19"/>
      <c r="AK5" s="42"/>
      <c r="AL5" s="42"/>
      <c r="AM5" s="42"/>
      <c r="AN5" s="42"/>
    </row>
    <row r="6" spans="1:41" s="26" customFormat="1" ht="15" customHeight="1" x14ac:dyDescent="0.25">
      <c r="B6" s="29" t="s">
        <v>332</v>
      </c>
      <c r="D6" s="8"/>
      <c r="F6" s="752" t="str">
        <f>IF('Basic data'!B8=0,"",'Basic data'!B8)</f>
        <v/>
      </c>
      <c r="G6" s="817"/>
      <c r="H6" s="818"/>
      <c r="I6" s="818"/>
      <c r="J6" s="818"/>
      <c r="K6" s="818"/>
      <c r="L6" s="818"/>
      <c r="M6" s="818"/>
      <c r="N6" s="818"/>
      <c r="O6" s="753"/>
      <c r="P6" s="753"/>
      <c r="Q6" s="753"/>
      <c r="R6" s="753"/>
      <c r="S6" s="753"/>
      <c r="T6" s="753"/>
      <c r="U6" s="753"/>
      <c r="V6" s="753"/>
      <c r="W6" s="754"/>
      <c r="Z6" s="17"/>
      <c r="AK6" s="42"/>
      <c r="AL6" s="42"/>
      <c r="AM6" s="42"/>
      <c r="AN6" s="42"/>
    </row>
    <row r="7" spans="1:41" s="26" customFormat="1" ht="6.95" customHeight="1" x14ac:dyDescent="0.2">
      <c r="B7" s="10"/>
      <c r="C7" s="25"/>
      <c r="D7" s="8"/>
      <c r="E7" s="8"/>
      <c r="F7" s="8"/>
      <c r="G7" s="8"/>
      <c r="H7" s="23"/>
      <c r="I7" s="24"/>
      <c r="J7" s="24"/>
      <c r="K7" s="24"/>
      <c r="AK7" s="42"/>
      <c r="AL7" s="42"/>
      <c r="AM7" s="42"/>
      <c r="AN7" s="42"/>
    </row>
    <row r="8" spans="1:41" s="26" customFormat="1" ht="15" customHeight="1" x14ac:dyDescent="0.25">
      <c r="B8" s="27" t="s">
        <v>281</v>
      </c>
      <c r="C8" s="28"/>
      <c r="D8" s="8"/>
      <c r="F8" s="819" t="str">
        <f>IF('Basic data'!B6=0,"",'Basic data'!B6)</f>
        <v/>
      </c>
      <c r="G8" s="820"/>
      <c r="H8" s="753"/>
      <c r="I8" s="753"/>
      <c r="J8" s="754"/>
      <c r="Q8" s="9" t="s">
        <v>279</v>
      </c>
      <c r="T8" s="821" t="str">
        <f>IF('Basic data'!G12=0,"",'Basic data'!G12)</f>
        <v/>
      </c>
      <c r="U8" s="822"/>
      <c r="V8" s="822"/>
      <c r="W8" s="754"/>
      <c r="AK8" s="42"/>
      <c r="AL8" s="42"/>
      <c r="AM8" s="42"/>
      <c r="AN8" s="42"/>
    </row>
    <row r="9" spans="1:41" s="26" customFormat="1" ht="8.25" customHeight="1" x14ac:dyDescent="0.2">
      <c r="B9" s="27"/>
      <c r="C9" s="28"/>
      <c r="D9" s="8"/>
      <c r="F9" s="8"/>
      <c r="G9" s="8"/>
      <c r="H9" s="30"/>
      <c r="J9" s="24"/>
      <c r="K9" s="24"/>
      <c r="L9" s="8"/>
      <c r="M9" s="8"/>
      <c r="Z9" s="17"/>
      <c r="AK9" s="42"/>
      <c r="AL9" s="42"/>
      <c r="AM9" s="42"/>
      <c r="AN9" s="42"/>
    </row>
    <row r="10" spans="1:41" s="26" customFormat="1" ht="8.25" customHeight="1" x14ac:dyDescent="0.2">
      <c r="B10" s="27"/>
      <c r="C10" s="28"/>
      <c r="D10" s="8"/>
      <c r="F10" s="8"/>
      <c r="G10" s="8"/>
      <c r="H10" s="30"/>
      <c r="J10" s="24"/>
      <c r="K10" s="24"/>
      <c r="L10" s="8"/>
      <c r="M10" s="8"/>
      <c r="Z10" s="17"/>
      <c r="AK10" s="42"/>
      <c r="AL10" s="42"/>
      <c r="AM10" s="42"/>
      <c r="AN10" s="42"/>
    </row>
    <row r="11" spans="1:41" ht="6" customHeight="1" x14ac:dyDescent="0.2">
      <c r="A11" s="831"/>
      <c r="B11" s="831"/>
      <c r="C11" s="831"/>
      <c r="D11" s="831"/>
      <c r="E11" s="831"/>
      <c r="F11" s="831"/>
      <c r="G11" s="831"/>
      <c r="H11" s="831"/>
      <c r="I11" s="831"/>
      <c r="J11" s="831"/>
      <c r="K11" s="831"/>
      <c r="L11" s="831"/>
      <c r="M11" s="831"/>
      <c r="N11" s="831"/>
      <c r="O11" s="831"/>
      <c r="P11" s="831"/>
      <c r="Q11" s="831"/>
      <c r="R11" s="831"/>
      <c r="S11" s="831"/>
      <c r="T11" s="831"/>
      <c r="U11" s="831"/>
      <c r="V11" s="831"/>
      <c r="W11" s="831"/>
      <c r="X11" s="831"/>
      <c r="Y11" s="831"/>
      <c r="Z11" s="831"/>
      <c r="AH11" s="42"/>
      <c r="AI11" s="42"/>
      <c r="AJ11" s="42"/>
      <c r="AK11" s="42"/>
      <c r="AL11" s="42"/>
      <c r="AM11" s="42"/>
    </row>
    <row r="12" spans="1:41" ht="15" x14ac:dyDescent="0.25">
      <c r="A12" s="32" t="s">
        <v>291</v>
      </c>
    </row>
    <row r="13" spans="1:41" ht="11.25" customHeight="1" x14ac:dyDescent="0.25">
      <c r="B13" s="823" t="str">
        <f>IF(OR(B14="",B14="Matrix kann eingereicht werden"),"In Ordnung",IF(B14="die inkorrekten und unvollständigen Einträge beheben","Nicht in Ordnung"))</f>
        <v>In Ordnung</v>
      </c>
      <c r="C13" s="823"/>
      <c r="D13" s="824"/>
      <c r="E13" s="824"/>
      <c r="F13" s="824"/>
      <c r="G13" s="825" t="s">
        <v>280</v>
      </c>
      <c r="H13" s="826"/>
      <c r="I13" s="826"/>
      <c r="J13" s="826"/>
      <c r="K13" s="826"/>
      <c r="L13" s="827" t="s">
        <v>154</v>
      </c>
      <c r="M13" s="828"/>
      <c r="N13" s="828"/>
      <c r="O13" s="828"/>
      <c r="P13" s="828"/>
      <c r="Q13" s="828"/>
      <c r="R13" s="828"/>
      <c r="S13" s="829" t="s">
        <v>287</v>
      </c>
      <c r="T13" s="830"/>
      <c r="U13" s="830"/>
      <c r="V13" s="830"/>
      <c r="W13" s="829" t="s">
        <v>362</v>
      </c>
      <c r="X13" s="826"/>
      <c r="Y13" s="826"/>
      <c r="Z13" s="826"/>
    </row>
    <row r="14" spans="1:41" ht="20.25" customHeight="1" x14ac:dyDescent="0.25">
      <c r="B14" s="838" t="str">
        <f>Berechnung4!B6</f>
        <v/>
      </c>
      <c r="C14" s="838"/>
      <c r="D14" s="839"/>
      <c r="E14" s="839"/>
      <c r="F14" s="839"/>
      <c r="G14" s="840">
        <f>Berechnung4!C6</f>
        <v>0</v>
      </c>
      <c r="H14" s="841"/>
      <c r="I14" s="841"/>
      <c r="J14" s="841"/>
      <c r="K14" s="841"/>
      <c r="L14" s="842">
        <f>Berechnung4!D6</f>
        <v>0</v>
      </c>
      <c r="M14" s="843"/>
      <c r="N14" s="843"/>
      <c r="O14" s="843"/>
      <c r="P14" s="843"/>
      <c r="Q14" s="843"/>
      <c r="R14" s="843"/>
      <c r="S14" s="844">
        <f>Berechnung4!E6</f>
        <v>0</v>
      </c>
      <c r="T14" s="845"/>
      <c r="U14" s="845"/>
      <c r="V14" s="845"/>
      <c r="W14" s="844">
        <f>Berechnung4!F6</f>
        <v>0</v>
      </c>
      <c r="X14" s="841"/>
      <c r="Y14" s="841"/>
      <c r="Z14" s="841"/>
    </row>
    <row r="15" spans="1:41" s="26" customFormat="1" ht="5.25" customHeight="1" x14ac:dyDescent="0.2">
      <c r="B15" s="10"/>
      <c r="C15" s="16"/>
      <c r="D15" s="16"/>
      <c r="E15" s="16"/>
      <c r="F15" s="16"/>
      <c r="G15" s="16"/>
      <c r="Z15" s="17"/>
      <c r="AL15" s="42"/>
      <c r="AM15" s="42"/>
      <c r="AN15" s="42"/>
      <c r="AO15" s="42"/>
    </row>
    <row r="16" spans="1:41" s="26" customFormat="1" ht="6" customHeight="1" x14ac:dyDescent="0.2">
      <c r="B16" s="10"/>
      <c r="C16" s="16"/>
      <c r="D16" s="16"/>
      <c r="E16" s="16"/>
      <c r="F16" s="16"/>
      <c r="G16" s="16"/>
      <c r="Z16" s="17"/>
      <c r="AL16" s="42"/>
      <c r="AM16" s="42"/>
      <c r="AN16" s="42"/>
      <c r="AO16" s="42"/>
    </row>
    <row r="17" spans="1:41" s="26" customFormat="1" ht="4.5" customHeight="1" x14ac:dyDescent="0.2">
      <c r="B17" s="10"/>
      <c r="C17" s="16"/>
      <c r="D17" s="16"/>
      <c r="E17" s="16"/>
      <c r="F17" s="16"/>
      <c r="G17" s="16"/>
      <c r="Z17" s="17"/>
      <c r="AL17" s="42"/>
      <c r="AM17" s="42"/>
      <c r="AN17" s="42"/>
      <c r="AO17" s="42"/>
    </row>
    <row r="18" spans="1:41" s="26" customFormat="1" ht="6" customHeight="1" thickBot="1" x14ac:dyDescent="0.25">
      <c r="B18" s="10"/>
      <c r="C18" s="16"/>
      <c r="D18" s="16"/>
      <c r="E18" s="16"/>
      <c r="F18" s="16"/>
      <c r="G18" s="16"/>
      <c r="Z18" s="17"/>
      <c r="AL18" s="42"/>
      <c r="AM18" s="42"/>
      <c r="AN18" s="42"/>
      <c r="AO18" s="42"/>
    </row>
    <row r="19" spans="1:41" ht="24" customHeight="1" thickTop="1" thickBot="1" x14ac:dyDescent="0.3">
      <c r="A19" s="49"/>
      <c r="B19" s="50"/>
      <c r="C19" s="832" t="s">
        <v>343</v>
      </c>
      <c r="D19" s="833"/>
      <c r="E19" s="833"/>
      <c r="F19" s="833"/>
      <c r="G19" s="833"/>
      <c r="H19" s="298"/>
      <c r="I19" s="834" t="s">
        <v>285</v>
      </c>
      <c r="J19" s="835"/>
      <c r="K19" s="835"/>
      <c r="L19" s="835"/>
      <c r="M19" s="835"/>
      <c r="N19" s="835"/>
      <c r="O19" s="835"/>
      <c r="P19" s="835"/>
      <c r="Q19" s="835"/>
      <c r="R19" s="835"/>
      <c r="S19" s="835"/>
      <c r="T19" s="835"/>
      <c r="U19" s="835"/>
      <c r="V19" s="835"/>
      <c r="W19" s="836"/>
      <c r="X19" s="297"/>
      <c r="Y19" s="834" t="s">
        <v>408</v>
      </c>
      <c r="Z19" s="837"/>
      <c r="AI19" s="42"/>
      <c r="AJ19" s="42"/>
      <c r="AK19" s="42"/>
      <c r="AL19" s="42"/>
      <c r="AM19" s="42"/>
      <c r="AN19" s="42"/>
    </row>
    <row r="20" spans="1:41" ht="15" thickBot="1" x14ac:dyDescent="0.25">
      <c r="A20" s="51" t="s">
        <v>327</v>
      </c>
      <c r="B20" s="51" t="s">
        <v>146</v>
      </c>
      <c r="C20" s="295" t="s">
        <v>155</v>
      </c>
      <c r="D20" s="1" t="s">
        <v>156</v>
      </c>
      <c r="E20" s="1" t="s">
        <v>157</v>
      </c>
      <c r="F20" s="1" t="s">
        <v>158</v>
      </c>
      <c r="G20" s="1" t="s">
        <v>159</v>
      </c>
      <c r="H20" s="296"/>
      <c r="I20" s="295" t="s">
        <v>160</v>
      </c>
      <c r="J20" s="322" t="s">
        <v>283</v>
      </c>
      <c r="K20" s="322" t="s">
        <v>344</v>
      </c>
      <c r="L20" s="322" t="s">
        <v>284</v>
      </c>
      <c r="M20" s="322" t="s">
        <v>345</v>
      </c>
      <c r="N20" s="311"/>
      <c r="O20" s="295" t="s">
        <v>161</v>
      </c>
      <c r="P20" s="322" t="s">
        <v>162</v>
      </c>
      <c r="Q20" s="322" t="s">
        <v>163</v>
      </c>
      <c r="R20" s="322" t="s">
        <v>242</v>
      </c>
      <c r="S20" s="322" t="s">
        <v>346</v>
      </c>
      <c r="T20" s="322" t="s">
        <v>164</v>
      </c>
      <c r="U20" s="322" t="s">
        <v>165</v>
      </c>
      <c r="V20" s="322" t="s">
        <v>166</v>
      </c>
      <c r="W20" s="322" t="s">
        <v>167</v>
      </c>
      <c r="X20" s="311"/>
      <c r="Y20" s="295" t="s">
        <v>168</v>
      </c>
      <c r="Z20" s="323" t="s">
        <v>169</v>
      </c>
      <c r="AI20" s="42"/>
      <c r="AJ20" s="42"/>
      <c r="AK20" s="42"/>
      <c r="AL20" s="42"/>
      <c r="AM20" s="42"/>
      <c r="AN20" s="42"/>
    </row>
    <row r="21" spans="1:41" ht="128.25" customHeight="1" thickBot="1" x14ac:dyDescent="0.25">
      <c r="A21" s="815" t="s">
        <v>237</v>
      </c>
      <c r="B21" s="815" t="s">
        <v>364</v>
      </c>
      <c r="C21" s="805" t="s">
        <v>347</v>
      </c>
      <c r="D21" s="805" t="s">
        <v>399</v>
      </c>
      <c r="E21" s="805" t="s">
        <v>400</v>
      </c>
      <c r="F21" s="805" t="s">
        <v>401</v>
      </c>
      <c r="G21" s="805" t="s">
        <v>402</v>
      </c>
      <c r="H21" s="296"/>
      <c r="I21" s="876" t="s">
        <v>403</v>
      </c>
      <c r="J21" s="807" t="s">
        <v>404</v>
      </c>
      <c r="K21" s="807" t="s">
        <v>405</v>
      </c>
      <c r="L21" s="807" t="s">
        <v>406</v>
      </c>
      <c r="M21" s="803" t="s">
        <v>348</v>
      </c>
      <c r="N21" s="300"/>
      <c r="O21" s="801" t="s">
        <v>18</v>
      </c>
      <c r="P21" s="809" t="s">
        <v>22</v>
      </c>
      <c r="Q21" s="811" t="s">
        <v>407</v>
      </c>
      <c r="R21" s="314" t="s">
        <v>349</v>
      </c>
      <c r="S21" s="314" t="s">
        <v>350</v>
      </c>
      <c r="T21" s="314" t="s">
        <v>351</v>
      </c>
      <c r="U21" s="801" t="s">
        <v>170</v>
      </c>
      <c r="V21" s="812" t="s">
        <v>15</v>
      </c>
      <c r="W21" s="801" t="s">
        <v>45</v>
      </c>
      <c r="X21" s="300"/>
      <c r="Y21" s="799" t="s">
        <v>171</v>
      </c>
      <c r="Z21" s="796" t="s">
        <v>150</v>
      </c>
      <c r="AI21" s="42"/>
      <c r="AJ21" s="42"/>
      <c r="AK21" s="42"/>
      <c r="AL21" s="42"/>
      <c r="AM21" s="42"/>
      <c r="AN21" s="42"/>
    </row>
    <row r="22" spans="1:41" ht="33" customHeight="1" thickBot="1" x14ac:dyDescent="0.25">
      <c r="A22" s="816"/>
      <c r="B22" s="816"/>
      <c r="C22" s="814"/>
      <c r="D22" s="814"/>
      <c r="E22" s="814"/>
      <c r="F22" s="814"/>
      <c r="G22" s="814"/>
      <c r="H22" s="296"/>
      <c r="I22" s="877"/>
      <c r="J22" s="808"/>
      <c r="K22" s="808"/>
      <c r="L22" s="808"/>
      <c r="M22" s="804"/>
      <c r="N22" s="300"/>
      <c r="O22" s="802"/>
      <c r="P22" s="810"/>
      <c r="Q22" s="806"/>
      <c r="R22" s="798" t="s">
        <v>172</v>
      </c>
      <c r="S22" s="798"/>
      <c r="T22" s="798"/>
      <c r="U22" s="802"/>
      <c r="V22" s="813"/>
      <c r="W22" s="802"/>
      <c r="X22" s="300"/>
      <c r="Y22" s="800"/>
      <c r="Z22" s="797"/>
      <c r="AI22" s="42"/>
      <c r="AJ22" s="42"/>
      <c r="AK22" s="42"/>
      <c r="AL22" s="42"/>
      <c r="AM22" s="42"/>
      <c r="AN22" s="42"/>
    </row>
    <row r="23" spans="1:41" ht="20.100000000000001" customHeight="1" thickBot="1" x14ac:dyDescent="0.25">
      <c r="A23" s="69" t="str">
        <f>IF(Datenquelle!$F$3&gt;5,IF(Datenquelle!$F$3=6,"EZ",IF(Datenquelle!$F$3&gt;6,"relevant","?")),"nicht relevant")</f>
        <v>nicht relevant</v>
      </c>
      <c r="B23" s="68">
        <v>2013</v>
      </c>
      <c r="C23" s="312">
        <f t="shared" ref="C23:C28" si="0">SUM(D23:G23)</f>
        <v>0</v>
      </c>
      <c r="D23" s="74"/>
      <c r="E23" s="74"/>
      <c r="F23" s="74"/>
      <c r="G23" s="74"/>
      <c r="H23" s="296"/>
      <c r="I23" s="61" t="str">
        <f>IF(SUM(J23:L23)=0,"",SUM(J23:L23))</f>
        <v/>
      </c>
      <c r="J23" s="74"/>
      <c r="K23" s="74"/>
      <c r="L23" s="74"/>
      <c r="M23" s="301" t="str">
        <f>IF(I23="","",IF(I23&gt;0,SUM(J23:K23) /I23,0))</f>
        <v/>
      </c>
      <c r="N23" s="300"/>
      <c r="O23" s="61" t="str">
        <f>IF(COUNTA(Q23:W23)&lt;7,"",SUM(J23+K23-Q23-V23-W23-U23))</f>
        <v/>
      </c>
      <c r="P23" s="52" t="str">
        <f>IF(AND(COUNTA(J23:K23)&gt;0,O23&lt;&gt;"",SUM(J23:K23)&gt;0),O23 /(J23+K23),"")</f>
        <v/>
      </c>
      <c r="Q23" s="74"/>
      <c r="R23" s="74"/>
      <c r="S23" s="74"/>
      <c r="T23" s="74"/>
      <c r="U23" s="74"/>
      <c r="V23" s="74"/>
      <c r="W23" s="74"/>
      <c r="X23" s="313"/>
      <c r="Y23" s="115"/>
      <c r="Z23" s="116"/>
      <c r="AI23" s="42"/>
      <c r="AJ23" s="42"/>
      <c r="AK23" s="42"/>
      <c r="AL23" s="42"/>
      <c r="AM23" s="42"/>
      <c r="AN23" s="42"/>
    </row>
    <row r="24" spans="1:41" s="16" customFormat="1" ht="20.100000000000001" customHeight="1" thickBot="1" x14ac:dyDescent="0.25">
      <c r="A24" s="70" t="str">
        <f>IF(Datenquelle!$F$3&gt;4,IF(Datenquelle!$F$3=5,"EZ",IF(Datenquelle!$F$3&gt;5,"relevant","?")),"nicht relevant")</f>
        <v>nicht relevant</v>
      </c>
      <c r="B24" s="66">
        <v>2014</v>
      </c>
      <c r="C24" s="312">
        <f t="shared" si="0"/>
        <v>0</v>
      </c>
      <c r="D24" s="74"/>
      <c r="E24" s="74"/>
      <c r="F24" s="74"/>
      <c r="G24" s="74"/>
      <c r="H24" s="296"/>
      <c r="I24" s="61" t="str">
        <f>IF(SUM(J24:L24)=0,"",SUM(J24:L24))</f>
        <v/>
      </c>
      <c r="J24" s="74"/>
      <c r="K24" s="74"/>
      <c r="L24" s="74"/>
      <c r="M24" s="301" t="str">
        <f>IF(I24="","",IF(I24&gt;0,SUM(J24:K24) /I24,0))</f>
        <v/>
      </c>
      <c r="N24" s="300"/>
      <c r="O24" s="61" t="str">
        <f>IF(COUNTA(Q24:W24)&lt;7,"",SUM(J24+K24-Q24-V24-W24-U24))</f>
        <v/>
      </c>
      <c r="P24" s="52" t="str">
        <f>IF(AND(COUNTA(J24:K24)&gt;0,O24&lt;&gt;"",SUM(J24:K24)&gt;0),O24 /(J24+K24),"")</f>
        <v/>
      </c>
      <c r="Q24" s="74"/>
      <c r="R24" s="74"/>
      <c r="S24" s="74"/>
      <c r="T24" s="74"/>
      <c r="U24" s="74"/>
      <c r="V24" s="74"/>
      <c r="W24" s="74"/>
      <c r="X24" s="313"/>
      <c r="Y24" s="115"/>
      <c r="Z24" s="116"/>
      <c r="AI24" s="42"/>
      <c r="AJ24" s="42"/>
      <c r="AK24" s="42"/>
      <c r="AL24" s="42"/>
      <c r="AM24" s="42"/>
      <c r="AN24" s="42"/>
    </row>
    <row r="25" spans="1:41" s="16" customFormat="1" ht="20.100000000000001" customHeight="1" thickBot="1" x14ac:dyDescent="0.25">
      <c r="A25" s="70" t="str">
        <f>IF(Datenquelle!$F$3&gt;3,IF(Datenquelle!$F$3=4,"EZ",IF(Datenquelle!$F$3&gt;4,"relevant","?")),"nicht relevant")</f>
        <v>nicht relevant</v>
      </c>
      <c r="B25" s="66">
        <v>2015</v>
      </c>
      <c r="C25" s="312">
        <f t="shared" si="0"/>
        <v>0</v>
      </c>
      <c r="D25" s="74"/>
      <c r="E25" s="74"/>
      <c r="F25" s="74"/>
      <c r="G25" s="74"/>
      <c r="H25" s="296"/>
      <c r="I25" s="61" t="str">
        <f>IF(SUM(J25:L25)=0,"",SUM(J25:L25))</f>
        <v/>
      </c>
      <c r="J25" s="74"/>
      <c r="K25" s="74"/>
      <c r="L25" s="74"/>
      <c r="M25" s="301" t="str">
        <f>IF(I25="","",IF(I25&gt;0,SUM(J25:K25) /I25,0))</f>
        <v/>
      </c>
      <c r="N25" s="300"/>
      <c r="O25" s="61" t="str">
        <f>IF(COUNTA(Q25:W25)&lt;7,"",SUM(J25+K25-Q25-V25-W25-U25))</f>
        <v/>
      </c>
      <c r="P25" s="52" t="str">
        <f>IF(AND(COUNTA(J25:K25)&gt;0,O25&lt;&gt;"",SUM(J25:K25)&gt;0),O25 /(J25+K25),"")</f>
        <v/>
      </c>
      <c r="Q25" s="74"/>
      <c r="R25" s="74"/>
      <c r="S25" s="74"/>
      <c r="T25" s="74"/>
      <c r="U25" s="74"/>
      <c r="V25" s="74"/>
      <c r="W25" s="74"/>
      <c r="X25" s="313"/>
      <c r="Y25" s="115"/>
      <c r="Z25" s="116"/>
      <c r="AI25" s="42"/>
      <c r="AJ25" s="42"/>
      <c r="AK25" s="42"/>
      <c r="AL25" s="42"/>
      <c r="AM25" s="42"/>
      <c r="AN25" s="42"/>
    </row>
    <row r="26" spans="1:41" s="16" customFormat="1" ht="20.100000000000001" customHeight="1" thickBot="1" x14ac:dyDescent="0.25">
      <c r="A26" s="70" t="str">
        <f>IF(Datenquelle!$F$3&gt;2,IF(Datenquelle!$F$3=3,"EZ",IF(Datenquelle!$F$3&gt;3,"relevant","?")),"nicht relevant")</f>
        <v>nicht relevant</v>
      </c>
      <c r="B26" s="66">
        <v>2016</v>
      </c>
      <c r="C26" s="312">
        <f t="shared" si="0"/>
        <v>0</v>
      </c>
      <c r="D26" s="74"/>
      <c r="E26" s="74"/>
      <c r="F26" s="74"/>
      <c r="G26" s="74"/>
      <c r="H26" s="296"/>
      <c r="I26" s="61" t="str">
        <f>IF(SUM(J26:L26)=0,"",SUM(J26:L26))</f>
        <v/>
      </c>
      <c r="J26" s="74"/>
      <c r="K26" s="74"/>
      <c r="L26" s="74"/>
      <c r="M26" s="301" t="str">
        <f>IF(I26="","",IF(I26&gt;0,SUM(J26:K26) /I26,0))</f>
        <v/>
      </c>
      <c r="N26" s="300"/>
      <c r="O26" s="61" t="str">
        <f>IF(COUNTA(Q26:W26)&lt;7,"",SUM(J26+K26-Q26-V26-W26-U26))</f>
        <v/>
      </c>
      <c r="P26" s="52" t="str">
        <f>IF(AND(COUNTA(J26:K26)&gt;0,O26&lt;&gt;"",SUM(J26:K26)&gt;0),O26 /(J26+K26),"")</f>
        <v/>
      </c>
      <c r="Q26" s="74"/>
      <c r="R26" s="74"/>
      <c r="S26" s="74"/>
      <c r="T26" s="74"/>
      <c r="U26" s="74"/>
      <c r="V26" s="74"/>
      <c r="W26" s="74"/>
      <c r="X26" s="313"/>
      <c r="Y26" s="115"/>
      <c r="Z26" s="116"/>
      <c r="AI26" s="42"/>
      <c r="AJ26" s="42"/>
      <c r="AK26" s="42"/>
      <c r="AL26" s="42"/>
      <c r="AM26" s="42"/>
      <c r="AN26" s="42"/>
    </row>
    <row r="27" spans="1:41" s="16" customFormat="1" ht="20.100000000000001" customHeight="1" thickBot="1" x14ac:dyDescent="0.25">
      <c r="A27" s="71" t="str">
        <f>IF(Datenquelle!$F$3&gt;1,IF(Datenquelle!$F$3=2,"EZ",IF(Datenquelle!$F$3&gt;2,"relevant","?")),"nicht relevant")</f>
        <v>nicht relevant</v>
      </c>
      <c r="B27" s="67" t="s">
        <v>425</v>
      </c>
      <c r="C27" s="60">
        <f t="shared" si="0"/>
        <v>0</v>
      </c>
      <c r="D27" s="75"/>
      <c r="E27" s="75"/>
      <c r="F27" s="75"/>
      <c r="G27" s="75"/>
      <c r="H27" s="296"/>
      <c r="I27" s="793"/>
      <c r="J27" s="793"/>
      <c r="K27" s="793"/>
      <c r="L27" s="793"/>
      <c r="M27" s="793"/>
      <c r="N27" s="300"/>
      <c r="O27" s="793"/>
      <c r="P27" s="793" t="str">
        <f>IF(AND(COUNTA(J27:K27)&gt;0,O27&lt;&gt;"",SUM(J27:K27)&gt;0),O27 /(J27+K27),"")</f>
        <v/>
      </c>
      <c r="Q27" s="793"/>
      <c r="R27" s="793"/>
      <c r="S27" s="793"/>
      <c r="T27" s="793"/>
      <c r="U27" s="793"/>
      <c r="V27" s="793"/>
      <c r="W27" s="793"/>
      <c r="X27" s="313"/>
      <c r="Y27" s="794"/>
      <c r="Z27" s="795"/>
      <c r="AI27" s="42"/>
      <c r="AJ27" s="42"/>
      <c r="AK27" s="42"/>
      <c r="AL27" s="42"/>
      <c r="AM27" s="42"/>
      <c r="AN27" s="42"/>
    </row>
    <row r="28" spans="1:41" s="16" customFormat="1" ht="20.100000000000001" customHeight="1" thickTop="1" thickBot="1" x14ac:dyDescent="0.25">
      <c r="A28" s="77" t="str">
        <f>IF(Datenquelle!$F$3&gt;0,IF(Datenquelle!$F$3=1,"EZ",IF(Datenquelle!$F$3&gt;1,"relevant","?")),"nicht relevant")</f>
        <v>nicht relevant</v>
      </c>
      <c r="B28" s="78" t="s">
        <v>424</v>
      </c>
      <c r="C28" s="79">
        <f t="shared" si="0"/>
        <v>0</v>
      </c>
      <c r="D28" s="80"/>
      <c r="E28" s="80"/>
      <c r="F28" s="80"/>
      <c r="G28" s="80"/>
      <c r="H28" s="81"/>
      <c r="I28" s="793"/>
      <c r="J28" s="793"/>
      <c r="K28" s="793"/>
      <c r="L28" s="793"/>
      <c r="M28" s="793"/>
      <c r="N28" s="62"/>
      <c r="O28" s="793"/>
      <c r="P28" s="793"/>
      <c r="Q28" s="793"/>
      <c r="R28" s="793"/>
      <c r="S28" s="793"/>
      <c r="T28" s="793"/>
      <c r="U28" s="793"/>
      <c r="V28" s="793"/>
      <c r="W28" s="793"/>
      <c r="X28" s="62"/>
      <c r="Y28" s="794"/>
      <c r="Z28" s="795"/>
      <c r="AI28" s="42"/>
      <c r="AJ28" s="42"/>
      <c r="AK28" s="42"/>
      <c r="AL28" s="42"/>
      <c r="AM28" s="42"/>
      <c r="AN28" s="42"/>
    </row>
    <row r="29" spans="1:41" ht="3" customHeight="1" thickTop="1" x14ac:dyDescent="0.25">
      <c r="A29"/>
      <c r="B29"/>
      <c r="C29"/>
      <c r="D29"/>
      <c r="E29"/>
      <c r="F29"/>
      <c r="G29"/>
      <c r="H29"/>
      <c r="I29"/>
      <c r="J29"/>
      <c r="K29"/>
      <c r="L29"/>
      <c r="M29"/>
      <c r="N29"/>
      <c r="O29"/>
      <c r="P29"/>
      <c r="Q29"/>
      <c r="R29"/>
      <c r="S29"/>
      <c r="T29"/>
      <c r="U29"/>
      <c r="V29"/>
      <c r="W29"/>
      <c r="X29"/>
      <c r="Y29"/>
      <c r="Z29"/>
      <c r="AI29" s="42"/>
      <c r="AJ29" s="42"/>
      <c r="AK29" s="42"/>
      <c r="AL29" s="42"/>
      <c r="AM29" s="42"/>
      <c r="AN29" s="42"/>
    </row>
    <row r="30" spans="1:41" ht="15" customHeight="1" x14ac:dyDescent="0.25">
      <c r="A30"/>
      <c r="B30"/>
      <c r="C30"/>
      <c r="D30"/>
      <c r="E30"/>
      <c r="F30" s="4" t="s">
        <v>392</v>
      </c>
      <c r="G30" s="82"/>
      <c r="H30"/>
      <c r="I30"/>
      <c r="J30"/>
      <c r="K30"/>
      <c r="L30"/>
      <c r="M30" s="304" t="str">
        <f>IF(A26="EZ","-----",IF(A26= "Nicht relevant","-----",IF(COUNTBLANK(M24:M26)=3,"",SUMIF(A24:A26,"relevant",M24:M26) /COUNTIF(A24:A26,"relevant"))))</f>
        <v>-----</v>
      </c>
      <c r="N30"/>
      <c r="O30"/>
      <c r="P30"/>
      <c r="Q30"/>
      <c r="R30"/>
      <c r="S30"/>
      <c r="T30"/>
      <c r="U30"/>
      <c r="V30"/>
      <c r="W30"/>
      <c r="X30"/>
      <c r="Y30"/>
      <c r="AI30" s="42"/>
      <c r="AJ30" s="42"/>
      <c r="AK30" s="42"/>
      <c r="AL30" s="42"/>
      <c r="AM30" s="42"/>
      <c r="AN30" s="42"/>
    </row>
    <row r="31" spans="1:41" ht="11.25" customHeight="1" x14ac:dyDescent="0.2">
      <c r="A31" s="53"/>
      <c r="B31" s="21"/>
      <c r="C31" s="21"/>
      <c r="D31" s="21"/>
      <c r="E31" s="21"/>
      <c r="F31" s="21"/>
      <c r="G31" s="21"/>
      <c r="H31" s="21"/>
      <c r="I31" s="21"/>
      <c r="J31" s="21"/>
      <c r="K31" s="21"/>
      <c r="L31" s="21"/>
      <c r="M31" s="21"/>
      <c r="N31" s="21"/>
      <c r="O31" s="21"/>
      <c r="P31" s="54"/>
      <c r="Q31" s="54"/>
      <c r="R31" s="21"/>
      <c r="S31" s="21"/>
      <c r="T31" s="21"/>
      <c r="U31" s="21"/>
      <c r="V31" s="21"/>
      <c r="W31" s="21"/>
      <c r="X31" s="21"/>
      <c r="AI31" s="42"/>
      <c r="AJ31" s="42"/>
      <c r="AK31" s="42"/>
      <c r="AL31" s="42"/>
      <c r="AM31" s="42"/>
      <c r="AN31" s="42"/>
    </row>
    <row r="32" spans="1:41" s="11" customFormat="1" ht="14.1" customHeight="1" x14ac:dyDescent="0.2">
      <c r="A32" s="846" t="s">
        <v>409</v>
      </c>
      <c r="B32" s="846"/>
      <c r="C32" s="846"/>
      <c r="D32" s="846"/>
      <c r="E32" s="846"/>
      <c r="F32" s="846"/>
      <c r="G32" s="846"/>
      <c r="H32" s="846"/>
      <c r="I32" s="846"/>
      <c r="J32" s="846"/>
      <c r="K32" s="846"/>
      <c r="L32" s="846"/>
      <c r="M32" s="846"/>
      <c r="N32" s="846"/>
      <c r="O32" s="846"/>
      <c r="P32" s="846"/>
      <c r="Q32" s="846"/>
      <c r="R32" s="846"/>
      <c r="S32" s="846"/>
      <c r="T32" s="846"/>
      <c r="U32" s="846"/>
      <c r="V32" s="846"/>
      <c r="W32" s="846"/>
      <c r="X32" s="846"/>
      <c r="Y32" s="846"/>
      <c r="Z32" s="846"/>
    </row>
    <row r="33" spans="1:27" s="11" customFormat="1" ht="14.1" customHeight="1" x14ac:dyDescent="0.2">
      <c r="A33" s="846" t="s">
        <v>410</v>
      </c>
      <c r="B33" s="846"/>
      <c r="C33" s="846"/>
      <c r="D33" s="846"/>
      <c r="E33" s="846"/>
      <c r="F33" s="846"/>
      <c r="G33" s="846"/>
      <c r="H33" s="846"/>
      <c r="I33" s="846"/>
      <c r="J33" s="846"/>
      <c r="K33" s="846"/>
      <c r="L33" s="846"/>
      <c r="M33" s="846"/>
      <c r="N33" s="846"/>
      <c r="O33" s="846"/>
      <c r="P33" s="846"/>
      <c r="Q33" s="846"/>
      <c r="R33" s="846"/>
      <c r="S33" s="846"/>
      <c r="T33" s="846"/>
      <c r="U33" s="846"/>
      <c r="V33" s="846"/>
      <c r="W33" s="846"/>
      <c r="X33" s="846"/>
      <c r="Y33" s="846"/>
      <c r="Z33" s="846"/>
    </row>
    <row r="34" spans="1:27" s="11" customFormat="1" ht="23.25" customHeight="1" x14ac:dyDescent="0.2">
      <c r="A34" s="847" t="s">
        <v>411</v>
      </c>
      <c r="B34" s="847"/>
      <c r="C34" s="847"/>
      <c r="D34" s="847"/>
      <c r="E34" s="847"/>
      <c r="F34" s="847"/>
      <c r="G34" s="847"/>
      <c r="H34" s="847"/>
      <c r="I34" s="847"/>
      <c r="J34" s="847"/>
      <c r="K34" s="847"/>
      <c r="L34" s="847"/>
      <c r="M34" s="847"/>
      <c r="N34" s="847"/>
      <c r="O34" s="847"/>
      <c r="P34" s="847"/>
      <c r="Q34" s="847"/>
      <c r="R34" s="847"/>
      <c r="S34" s="847"/>
      <c r="T34" s="847"/>
      <c r="U34" s="847"/>
      <c r="V34" s="847"/>
      <c r="W34" s="847"/>
      <c r="X34" s="847"/>
      <c r="Y34" s="847"/>
      <c r="Z34" s="847"/>
    </row>
    <row r="35" spans="1:27" s="11" customFormat="1" ht="21.75" customHeight="1" x14ac:dyDescent="0.2">
      <c r="A35" s="847" t="s">
        <v>429</v>
      </c>
      <c r="B35" s="847"/>
      <c r="C35" s="847"/>
      <c r="D35" s="847"/>
      <c r="E35" s="847"/>
      <c r="F35" s="847"/>
      <c r="G35" s="847"/>
      <c r="H35" s="847"/>
      <c r="I35" s="847"/>
      <c r="J35" s="847"/>
      <c r="K35" s="847"/>
      <c r="L35" s="847"/>
      <c r="M35" s="847"/>
      <c r="N35" s="847"/>
      <c r="O35" s="847"/>
      <c r="P35" s="847"/>
      <c r="Q35" s="847"/>
      <c r="R35" s="847"/>
      <c r="S35" s="847"/>
      <c r="T35" s="847"/>
      <c r="U35" s="847"/>
      <c r="V35" s="847"/>
      <c r="W35" s="847"/>
      <c r="X35" s="847"/>
      <c r="Y35" s="847"/>
      <c r="Z35" s="847"/>
      <c r="AA35" s="372"/>
    </row>
    <row r="36" spans="1:27" s="11" customFormat="1" ht="14.1" customHeight="1" x14ac:dyDescent="0.2">
      <c r="A36" s="846" t="s">
        <v>412</v>
      </c>
      <c r="B36" s="846"/>
      <c r="C36" s="846"/>
      <c r="D36" s="846"/>
      <c r="E36" s="846"/>
      <c r="F36" s="846"/>
      <c r="G36" s="846"/>
      <c r="H36" s="846"/>
      <c r="I36" s="846"/>
      <c r="J36" s="846"/>
      <c r="K36" s="846"/>
      <c r="L36" s="846"/>
      <c r="M36" s="846"/>
      <c r="N36" s="846"/>
      <c r="O36" s="846"/>
      <c r="P36" s="846"/>
      <c r="Q36" s="846"/>
      <c r="R36" s="846"/>
      <c r="S36" s="846"/>
      <c r="T36" s="846"/>
      <c r="U36" s="846"/>
      <c r="V36" s="846"/>
      <c r="W36" s="846"/>
      <c r="X36" s="846"/>
      <c r="Y36" s="846"/>
      <c r="Z36" s="846"/>
    </row>
    <row r="37" spans="1:27" s="11" customFormat="1" ht="14.1" customHeight="1" x14ac:dyDescent="0.2">
      <c r="A37" s="846" t="s">
        <v>413</v>
      </c>
      <c r="B37" s="846"/>
      <c r="C37" s="846"/>
      <c r="D37" s="846"/>
      <c r="E37" s="846"/>
      <c r="F37" s="846"/>
      <c r="G37" s="846"/>
      <c r="H37" s="846"/>
      <c r="I37" s="846"/>
      <c r="J37" s="846"/>
      <c r="K37" s="846"/>
      <c r="L37" s="846"/>
      <c r="M37" s="846"/>
      <c r="N37" s="846"/>
      <c r="O37" s="846"/>
      <c r="P37" s="846"/>
      <c r="Q37" s="846"/>
      <c r="R37" s="846"/>
      <c r="S37" s="846"/>
      <c r="T37" s="846"/>
      <c r="U37" s="846"/>
      <c r="V37" s="846"/>
      <c r="W37" s="846"/>
      <c r="X37" s="846"/>
      <c r="Y37" s="846"/>
      <c r="Z37" s="846"/>
    </row>
    <row r="38" spans="1:27" s="11" customFormat="1" ht="14.1" customHeight="1" x14ac:dyDescent="0.2">
      <c r="A38" s="846" t="s">
        <v>414</v>
      </c>
      <c r="B38" s="846"/>
      <c r="C38" s="846"/>
      <c r="D38" s="846"/>
      <c r="E38" s="846"/>
      <c r="F38" s="846"/>
      <c r="G38" s="846"/>
      <c r="H38" s="846"/>
      <c r="I38" s="846"/>
      <c r="J38" s="846"/>
      <c r="K38" s="846"/>
      <c r="L38" s="846"/>
      <c r="M38" s="846"/>
      <c r="N38" s="846"/>
      <c r="O38" s="846"/>
      <c r="P38" s="846"/>
      <c r="Q38" s="846"/>
      <c r="R38" s="846"/>
      <c r="S38" s="846"/>
      <c r="T38" s="846"/>
      <c r="U38" s="846"/>
      <c r="V38" s="846"/>
      <c r="W38" s="846"/>
      <c r="X38" s="846"/>
      <c r="Y38" s="846"/>
      <c r="Z38" s="846"/>
    </row>
    <row r="39" spans="1:27" s="11" customFormat="1" ht="24" customHeight="1" x14ac:dyDescent="0.2">
      <c r="A39" s="847" t="s">
        <v>415</v>
      </c>
      <c r="B39" s="847"/>
      <c r="C39" s="847"/>
      <c r="D39" s="847"/>
      <c r="E39" s="847"/>
      <c r="F39" s="847"/>
      <c r="G39" s="847"/>
      <c r="H39" s="847"/>
      <c r="I39" s="847"/>
      <c r="J39" s="847"/>
      <c r="K39" s="847"/>
      <c r="L39" s="847"/>
      <c r="M39" s="847"/>
      <c r="N39" s="847"/>
      <c r="O39" s="847"/>
      <c r="P39" s="847"/>
      <c r="Q39" s="847"/>
      <c r="R39" s="847"/>
      <c r="S39" s="847"/>
      <c r="T39" s="847"/>
      <c r="U39" s="847"/>
      <c r="V39" s="847"/>
      <c r="W39" s="847"/>
      <c r="X39" s="847"/>
      <c r="Y39" s="847"/>
      <c r="Z39" s="847"/>
    </row>
    <row r="40" spans="1:27" s="11" customFormat="1" ht="14.1" customHeight="1" x14ac:dyDescent="0.2">
      <c r="A40" s="846" t="s">
        <v>366</v>
      </c>
      <c r="B40" s="846"/>
      <c r="C40" s="846"/>
      <c r="D40" s="846"/>
      <c r="E40" s="846"/>
      <c r="F40" s="846"/>
      <c r="G40" s="846"/>
      <c r="H40" s="846"/>
      <c r="I40" s="846"/>
      <c r="J40" s="846"/>
      <c r="K40" s="846"/>
      <c r="L40" s="846"/>
      <c r="M40" s="846"/>
      <c r="N40" s="846"/>
      <c r="O40" s="846"/>
      <c r="P40" s="846"/>
      <c r="Q40" s="846"/>
      <c r="R40" s="846"/>
      <c r="S40" s="846"/>
      <c r="T40" s="846"/>
      <c r="U40" s="846"/>
      <c r="V40" s="846"/>
      <c r="W40" s="846"/>
      <c r="X40" s="846"/>
      <c r="Y40" s="846"/>
      <c r="Z40" s="846"/>
    </row>
    <row r="41" spans="1:27" s="11" customFormat="1" ht="24.75" customHeight="1" x14ac:dyDescent="0.2">
      <c r="A41" s="848" t="s">
        <v>416</v>
      </c>
      <c r="B41" s="848"/>
      <c r="C41" s="848"/>
      <c r="D41" s="848"/>
      <c r="E41" s="848"/>
      <c r="F41" s="848"/>
      <c r="G41" s="848"/>
      <c r="H41" s="848"/>
      <c r="I41" s="848"/>
      <c r="J41" s="848"/>
      <c r="K41" s="848"/>
      <c r="L41" s="848"/>
      <c r="M41" s="848"/>
      <c r="N41" s="848"/>
      <c r="O41" s="848"/>
      <c r="P41" s="848"/>
      <c r="Q41" s="848"/>
      <c r="R41" s="848"/>
      <c r="S41" s="848"/>
      <c r="T41" s="848"/>
      <c r="U41" s="848"/>
      <c r="V41" s="848"/>
      <c r="W41" s="848"/>
      <c r="X41" s="848"/>
      <c r="Y41" s="848"/>
      <c r="Z41" s="848"/>
      <c r="AA41" s="371"/>
    </row>
    <row r="42" spans="1:27" s="11" customFormat="1" ht="15.75" customHeight="1" x14ac:dyDescent="0.2">
      <c r="A42" s="35"/>
      <c r="Z42" s="4"/>
    </row>
    <row r="43" spans="1:27" s="11" customFormat="1" ht="14.1" customHeight="1" x14ac:dyDescent="0.2">
      <c r="A43" s="72" t="s">
        <v>278</v>
      </c>
      <c r="Z43" s="4"/>
    </row>
    <row r="44" spans="1:27" s="11" customFormat="1" ht="14.1" customHeight="1" x14ac:dyDescent="0.2">
      <c r="A44" s="35" t="s">
        <v>352</v>
      </c>
      <c r="Z44" s="4"/>
    </row>
    <row r="45" spans="1:27" s="35" customFormat="1" ht="14.1" customHeight="1" x14ac:dyDescent="0.25">
      <c r="A45" s="35" t="s">
        <v>353</v>
      </c>
    </row>
    <row r="46" spans="1:27" s="11" customFormat="1" ht="14.1" customHeight="1" x14ac:dyDescent="0.2">
      <c r="A46" s="87" t="s">
        <v>333</v>
      </c>
      <c r="B46" s="35" t="s">
        <v>430</v>
      </c>
      <c r="Z46" s="4"/>
    </row>
    <row r="47" spans="1:27" s="11" customFormat="1" ht="14.1" customHeight="1" x14ac:dyDescent="0.2">
      <c r="A47" s="87" t="s">
        <v>334</v>
      </c>
      <c r="B47" s="35" t="s">
        <v>381</v>
      </c>
      <c r="Z47" s="4"/>
    </row>
    <row r="48" spans="1:27" s="11" customFormat="1" ht="14.1" customHeight="1" x14ac:dyDescent="0.2">
      <c r="A48" s="87" t="s">
        <v>335</v>
      </c>
      <c r="B48" s="35" t="s">
        <v>367</v>
      </c>
      <c r="E48" s="88"/>
      <c r="Z48" s="4"/>
    </row>
    <row r="49" spans="1:36" s="11" customFormat="1" ht="14.1" customHeight="1" x14ac:dyDescent="0.2">
      <c r="A49" s="87" t="s">
        <v>336</v>
      </c>
      <c r="B49" s="35" t="s">
        <v>145</v>
      </c>
      <c r="Z49" s="4"/>
    </row>
    <row r="50" spans="1:36" s="11" customFormat="1" ht="14.1" customHeight="1" x14ac:dyDescent="0.2">
      <c r="A50" s="89" t="s">
        <v>337</v>
      </c>
      <c r="B50" s="35" t="s">
        <v>147</v>
      </c>
      <c r="Z50" s="4"/>
    </row>
    <row r="51" spans="1:36" s="11" customFormat="1" ht="14.1" customHeight="1" x14ac:dyDescent="0.2">
      <c r="A51" s="87" t="s">
        <v>340</v>
      </c>
      <c r="B51" s="35" t="s">
        <v>42</v>
      </c>
      <c r="Z51" s="4"/>
    </row>
    <row r="52" spans="1:36" s="11" customFormat="1" ht="18.75" customHeight="1" x14ac:dyDescent="0.2">
      <c r="A52" s="35"/>
      <c r="Z52" s="4"/>
    </row>
    <row r="53" spans="1:36" s="11" customFormat="1" ht="14.1" customHeight="1" x14ac:dyDescent="0.2">
      <c r="A53" s="72" t="s">
        <v>322</v>
      </c>
    </row>
    <row r="54" spans="1:36" s="11" customFormat="1" ht="14.1" customHeight="1" x14ac:dyDescent="0.2">
      <c r="A54" s="35" t="s">
        <v>323</v>
      </c>
    </row>
    <row r="55" spans="1:36" s="11" customFormat="1" ht="14.1" customHeight="1" x14ac:dyDescent="0.2">
      <c r="A55" s="35" t="s">
        <v>324</v>
      </c>
    </row>
    <row r="56" spans="1:36" s="11" customFormat="1" ht="14.1" customHeight="1" x14ac:dyDescent="0.2">
      <c r="A56" s="35" t="s">
        <v>43</v>
      </c>
      <c r="AE56" s="35"/>
      <c r="AF56" s="35"/>
      <c r="AG56" s="35"/>
      <c r="AH56" s="35"/>
      <c r="AI56" s="35"/>
      <c r="AJ56" s="35"/>
    </row>
    <row r="57" spans="1:36" s="11" customFormat="1" ht="14.1" customHeight="1" x14ac:dyDescent="0.2">
      <c r="A57" s="35"/>
    </row>
    <row r="58" spans="1:36" s="11" customFormat="1" ht="14.1" customHeight="1" x14ac:dyDescent="0.2">
      <c r="A58" s="90" t="s">
        <v>277</v>
      </c>
    </row>
    <row r="59" spans="1:36" s="11" customFormat="1" ht="21" customHeight="1" x14ac:dyDescent="0.2">
      <c r="A59" s="91" t="s">
        <v>49</v>
      </c>
      <c r="B59" s="790" t="s">
        <v>148</v>
      </c>
      <c r="C59" s="874"/>
      <c r="D59" s="875"/>
      <c r="E59" s="790" t="s">
        <v>240</v>
      </c>
      <c r="F59" s="874"/>
      <c r="G59" s="875"/>
      <c r="H59" s="871" t="s">
        <v>328</v>
      </c>
      <c r="I59" s="872"/>
      <c r="J59" s="872"/>
      <c r="K59" s="872"/>
      <c r="L59" s="872"/>
      <c r="M59" s="872"/>
      <c r="N59" s="872"/>
      <c r="O59" s="872"/>
      <c r="P59" s="872"/>
      <c r="Q59" s="872"/>
      <c r="R59" s="872"/>
      <c r="S59" s="872"/>
      <c r="T59" s="872"/>
      <c r="U59" s="872"/>
      <c r="V59" s="872"/>
      <c r="W59" s="872"/>
      <c r="X59" s="872"/>
      <c r="Y59" s="872"/>
      <c r="Z59" s="873"/>
    </row>
    <row r="60" spans="1:36" s="11" customFormat="1" ht="14.1" customHeight="1" x14ac:dyDescent="0.2">
      <c r="A60" s="94" t="s">
        <v>295</v>
      </c>
      <c r="B60" s="763" t="s">
        <v>144</v>
      </c>
      <c r="C60" s="768"/>
      <c r="D60" s="769"/>
      <c r="E60" s="786"/>
      <c r="F60" s="787"/>
      <c r="G60" s="788"/>
      <c r="H60" s="83"/>
      <c r="I60" s="95" t="s">
        <v>152</v>
      </c>
      <c r="J60" s="96"/>
      <c r="K60" s="96"/>
      <c r="L60" s="96"/>
      <c r="M60" s="96"/>
      <c r="N60" s="96"/>
      <c r="O60" s="96"/>
      <c r="P60" s="92"/>
      <c r="Q60" s="92"/>
      <c r="R60" s="92"/>
      <c r="S60" s="92"/>
      <c r="T60" s="92"/>
      <c r="U60" s="92"/>
      <c r="V60" s="92"/>
      <c r="W60" s="92"/>
      <c r="X60" s="92"/>
      <c r="Y60" s="92"/>
      <c r="Z60" s="93"/>
    </row>
    <row r="61" spans="1:36" s="11" customFormat="1" ht="14.1" customHeight="1" x14ac:dyDescent="0.2">
      <c r="A61" s="94" t="s">
        <v>295</v>
      </c>
      <c r="B61" s="763" t="s">
        <v>329</v>
      </c>
      <c r="C61" s="768"/>
      <c r="D61" s="769"/>
      <c r="E61" s="781"/>
      <c r="F61" s="782"/>
      <c r="G61" s="783"/>
      <c r="H61" s="83"/>
      <c r="I61" s="97" t="s">
        <v>33</v>
      </c>
      <c r="J61" s="98"/>
      <c r="K61" s="98"/>
      <c r="L61" s="98"/>
      <c r="M61" s="98"/>
      <c r="N61" s="98"/>
      <c r="O61" s="98"/>
      <c r="P61" s="99"/>
      <c r="Q61" s="99"/>
      <c r="R61" s="99"/>
      <c r="S61" s="99"/>
      <c r="T61" s="99"/>
      <c r="U61" s="99"/>
      <c r="V61" s="99"/>
      <c r="W61" s="99"/>
      <c r="X61" s="99"/>
      <c r="Y61" s="99"/>
      <c r="Z61" s="100"/>
    </row>
    <row r="62" spans="1:36" s="11" customFormat="1" ht="14.1" customHeight="1" x14ac:dyDescent="0.2">
      <c r="A62" s="94" t="s">
        <v>327</v>
      </c>
      <c r="B62" s="763" t="s">
        <v>149</v>
      </c>
      <c r="C62" s="768"/>
      <c r="D62" s="769"/>
      <c r="E62" s="868" t="s">
        <v>362</v>
      </c>
      <c r="F62" s="869"/>
      <c r="G62" s="870"/>
      <c r="H62" s="83"/>
      <c r="I62" s="97" t="s">
        <v>34</v>
      </c>
      <c r="J62" s="97"/>
      <c r="K62" s="97"/>
      <c r="L62" s="97"/>
      <c r="M62" s="97"/>
      <c r="N62" s="97"/>
      <c r="O62" s="97"/>
      <c r="P62" s="84"/>
      <c r="Q62" s="84"/>
      <c r="R62" s="84"/>
      <c r="S62" s="84"/>
      <c r="T62" s="84"/>
      <c r="U62" s="84"/>
      <c r="V62" s="84"/>
      <c r="W62" s="84"/>
      <c r="X62" s="84"/>
      <c r="Y62" s="84"/>
      <c r="Z62" s="101"/>
    </row>
    <row r="63" spans="1:36" s="11" customFormat="1" ht="14.1" customHeight="1" x14ac:dyDescent="0.2">
      <c r="A63" s="94" t="s">
        <v>160</v>
      </c>
      <c r="B63" s="763" t="s">
        <v>354</v>
      </c>
      <c r="C63" s="768"/>
      <c r="D63" s="769"/>
      <c r="E63" s="868" t="s">
        <v>287</v>
      </c>
      <c r="F63" s="869"/>
      <c r="G63" s="870"/>
      <c r="H63" s="83"/>
      <c r="I63" s="97" t="s">
        <v>365</v>
      </c>
      <c r="J63" s="97"/>
      <c r="K63" s="97"/>
      <c r="L63" s="97"/>
      <c r="M63" s="97"/>
      <c r="N63" s="97"/>
      <c r="O63" s="97"/>
      <c r="P63" s="84"/>
      <c r="Q63" s="84"/>
      <c r="R63" s="84"/>
      <c r="S63" s="84"/>
      <c r="T63" s="84"/>
      <c r="U63" s="84"/>
      <c r="V63" s="84"/>
      <c r="W63" s="84"/>
      <c r="X63" s="84"/>
      <c r="Y63" s="84"/>
      <c r="Z63" s="101"/>
    </row>
    <row r="64" spans="1:36" s="11" customFormat="1" ht="14.1" customHeight="1" x14ac:dyDescent="0.2">
      <c r="A64" s="94" t="s">
        <v>161</v>
      </c>
      <c r="B64" s="763" t="s">
        <v>19</v>
      </c>
      <c r="C64" s="768"/>
      <c r="D64" s="769"/>
      <c r="E64" s="868" t="s">
        <v>287</v>
      </c>
      <c r="F64" s="869"/>
      <c r="G64" s="870"/>
      <c r="H64" s="83"/>
      <c r="I64" s="97" t="s">
        <v>20</v>
      </c>
      <c r="J64" s="97"/>
      <c r="K64" s="97"/>
      <c r="L64" s="97"/>
      <c r="M64" s="97"/>
      <c r="N64" s="97"/>
      <c r="O64" s="97"/>
      <c r="P64" s="84"/>
      <c r="Q64" s="84"/>
      <c r="R64" s="84"/>
      <c r="S64" s="84"/>
      <c r="T64" s="84"/>
      <c r="U64" s="84"/>
      <c r="V64" s="84"/>
      <c r="W64" s="84"/>
      <c r="X64" s="84"/>
      <c r="Y64" s="84"/>
      <c r="Z64" s="101"/>
    </row>
    <row r="65" spans="1:26" s="11" customFormat="1" ht="14.1" customHeight="1" x14ac:dyDescent="0.2">
      <c r="A65" s="94" t="s">
        <v>355</v>
      </c>
      <c r="B65" s="763" t="s">
        <v>46</v>
      </c>
      <c r="C65" s="768"/>
      <c r="D65" s="769"/>
      <c r="E65" s="868" t="s">
        <v>287</v>
      </c>
      <c r="F65" s="869"/>
      <c r="G65" s="870"/>
      <c r="H65" s="83"/>
      <c r="I65" s="97" t="s">
        <v>23</v>
      </c>
      <c r="J65" s="97"/>
      <c r="K65" s="97"/>
      <c r="L65" s="97"/>
      <c r="M65" s="97"/>
      <c r="N65" s="97"/>
      <c r="O65" s="97"/>
      <c r="P65" s="84"/>
      <c r="Q65" s="84"/>
      <c r="R65" s="84"/>
      <c r="S65" s="84"/>
      <c r="T65" s="84"/>
      <c r="U65" s="84"/>
      <c r="V65" s="84"/>
      <c r="W65" s="84"/>
      <c r="X65" s="84"/>
      <c r="Y65" s="84"/>
      <c r="Z65" s="101"/>
    </row>
    <row r="66" spans="1:26" s="11" customFormat="1" ht="14.1" customHeight="1" x14ac:dyDescent="0.2">
      <c r="A66" s="94" t="s">
        <v>394</v>
      </c>
      <c r="B66" s="763" t="s">
        <v>395</v>
      </c>
      <c r="C66" s="768"/>
      <c r="D66" s="769"/>
      <c r="E66" s="878" t="s">
        <v>154</v>
      </c>
      <c r="F66" s="879"/>
      <c r="G66" s="880"/>
      <c r="H66" s="83"/>
      <c r="I66" s="97" t="s">
        <v>386</v>
      </c>
      <c r="J66" s="97"/>
      <c r="K66" s="97"/>
      <c r="L66" s="97"/>
      <c r="M66" s="97"/>
      <c r="N66" s="97"/>
      <c r="O66" s="97"/>
      <c r="P66" s="84"/>
      <c r="Q66" s="84"/>
      <c r="R66" s="84"/>
      <c r="S66" s="84"/>
      <c r="T66" s="84"/>
      <c r="U66" s="84"/>
      <c r="V66" s="84"/>
      <c r="W66" s="84"/>
      <c r="X66" s="84"/>
      <c r="Y66" s="84"/>
      <c r="Z66" s="101"/>
    </row>
    <row r="67" spans="1:26" s="11" customFormat="1" ht="14.1" customHeight="1" x14ac:dyDescent="0.2">
      <c r="A67" s="94" t="s">
        <v>155</v>
      </c>
      <c r="B67" s="763" t="s">
        <v>62</v>
      </c>
      <c r="C67" s="768"/>
      <c r="D67" s="769"/>
      <c r="E67" s="770" t="s">
        <v>280</v>
      </c>
      <c r="F67" s="771"/>
      <c r="G67" s="772"/>
      <c r="H67" s="83"/>
      <c r="I67" s="97" t="s">
        <v>347</v>
      </c>
      <c r="J67" s="97"/>
      <c r="K67" s="97"/>
      <c r="L67" s="97"/>
      <c r="M67" s="97"/>
      <c r="N67" s="97"/>
      <c r="O67" s="97"/>
      <c r="P67" s="84"/>
      <c r="Q67" s="84"/>
      <c r="R67" s="84"/>
      <c r="S67" s="84"/>
      <c r="T67" s="84"/>
      <c r="U67" s="84"/>
      <c r="V67" s="84"/>
      <c r="W67" s="84"/>
      <c r="X67" s="84"/>
      <c r="Y67" s="84"/>
      <c r="Z67" s="101"/>
    </row>
    <row r="68" spans="1:26" s="11" customFormat="1" ht="14.1" customHeight="1" x14ac:dyDescent="0.2">
      <c r="A68" s="94" t="s">
        <v>345</v>
      </c>
      <c r="B68" s="763" t="s">
        <v>32</v>
      </c>
      <c r="C68" s="768"/>
      <c r="D68" s="769"/>
      <c r="E68" s="770" t="s">
        <v>280</v>
      </c>
      <c r="F68" s="771"/>
      <c r="G68" s="772"/>
      <c r="H68" s="83"/>
      <c r="I68" s="97" t="s">
        <v>24</v>
      </c>
      <c r="J68" s="97"/>
      <c r="K68" s="97"/>
      <c r="L68" s="97"/>
      <c r="M68" s="97"/>
      <c r="N68" s="97"/>
      <c r="O68" s="97"/>
      <c r="P68" s="84"/>
      <c r="Q68" s="84"/>
      <c r="R68" s="84"/>
      <c r="S68" s="84"/>
      <c r="T68" s="84"/>
      <c r="U68" s="84"/>
      <c r="V68" s="84"/>
      <c r="W68" s="84"/>
      <c r="X68" s="84"/>
      <c r="Y68" s="84"/>
      <c r="Z68" s="101"/>
    </row>
    <row r="69" spans="1:26" s="11" customFormat="1" ht="14.1" customHeight="1" x14ac:dyDescent="0.2">
      <c r="A69" s="94" t="s">
        <v>394</v>
      </c>
      <c r="B69" s="763" t="s">
        <v>396</v>
      </c>
      <c r="C69" s="768"/>
      <c r="D69" s="769"/>
      <c r="E69" s="770" t="s">
        <v>280</v>
      </c>
      <c r="F69" s="771"/>
      <c r="G69" s="772"/>
      <c r="H69" s="83"/>
      <c r="I69" s="97" t="s">
        <v>385</v>
      </c>
      <c r="J69" s="97"/>
      <c r="K69" s="97"/>
      <c r="L69" s="97"/>
      <c r="M69" s="97"/>
      <c r="N69" s="97"/>
      <c r="O69" s="97"/>
      <c r="P69" s="84"/>
      <c r="Q69" s="84"/>
      <c r="R69" s="84"/>
      <c r="S69" s="84"/>
      <c r="T69" s="84"/>
      <c r="U69" s="84"/>
      <c r="V69" s="84"/>
      <c r="W69" s="84"/>
      <c r="X69" s="84"/>
      <c r="Y69" s="84"/>
      <c r="Z69" s="101"/>
    </row>
    <row r="70" spans="1:26" s="11" customFormat="1" ht="14.1" hidden="1" customHeight="1" x14ac:dyDescent="0.2">
      <c r="A70" s="94" t="s">
        <v>162</v>
      </c>
      <c r="B70" s="763" t="s">
        <v>11</v>
      </c>
      <c r="C70" s="768"/>
      <c r="D70" s="769"/>
      <c r="E70" s="770" t="s">
        <v>280</v>
      </c>
      <c r="F70" s="771"/>
      <c r="G70" s="772"/>
      <c r="H70" s="83"/>
      <c r="I70" s="97" t="s">
        <v>8</v>
      </c>
      <c r="J70" s="97"/>
      <c r="K70" s="97"/>
      <c r="L70" s="97"/>
      <c r="M70" s="97"/>
      <c r="N70" s="97"/>
      <c r="O70" s="97"/>
      <c r="P70" s="84"/>
      <c r="Q70" s="84"/>
      <c r="R70" s="84"/>
      <c r="S70" s="84"/>
      <c r="T70" s="84"/>
      <c r="U70" s="84"/>
      <c r="V70" s="84"/>
      <c r="W70" s="84"/>
      <c r="X70" s="84"/>
      <c r="Y70" s="84"/>
      <c r="Z70" s="101"/>
    </row>
    <row r="71" spans="1:26" s="11" customFormat="1" ht="14.1" customHeight="1" x14ac:dyDescent="0.2">
      <c r="A71" s="94" t="s">
        <v>35</v>
      </c>
      <c r="B71" s="763" t="s">
        <v>55</v>
      </c>
      <c r="C71" s="768"/>
      <c r="D71" s="769"/>
      <c r="E71" s="770" t="s">
        <v>280</v>
      </c>
      <c r="F71" s="771"/>
      <c r="G71" s="772"/>
      <c r="H71" s="83"/>
      <c r="I71" s="102" t="s">
        <v>330</v>
      </c>
      <c r="J71" s="97"/>
      <c r="K71" s="97"/>
      <c r="L71" s="97"/>
      <c r="M71" s="97"/>
      <c r="N71" s="97"/>
      <c r="O71" s="260" t="s">
        <v>131</v>
      </c>
      <c r="P71" s="84"/>
      <c r="Q71" s="264">
        <f>B23</f>
        <v>2013</v>
      </c>
      <c r="R71" s="84"/>
      <c r="S71" s="102"/>
      <c r="T71" s="84"/>
      <c r="U71" s="84"/>
      <c r="V71" s="84"/>
      <c r="W71" s="84"/>
      <c r="X71" s="84"/>
      <c r="Y71" s="84"/>
      <c r="Z71" s="101"/>
    </row>
    <row r="72" spans="1:26" s="11" customFormat="1" ht="14.1" customHeight="1" x14ac:dyDescent="0.2">
      <c r="A72" s="94" t="s">
        <v>36</v>
      </c>
      <c r="B72" s="763" t="s">
        <v>54</v>
      </c>
      <c r="C72" s="768"/>
      <c r="D72" s="769"/>
      <c r="E72" s="770" t="s">
        <v>280</v>
      </c>
      <c r="F72" s="771"/>
      <c r="G72" s="772"/>
      <c r="H72" s="83"/>
      <c r="I72" s="102" t="s">
        <v>330</v>
      </c>
      <c r="J72" s="97"/>
      <c r="K72" s="97"/>
      <c r="L72" s="97"/>
      <c r="M72" s="97"/>
      <c r="N72" s="97"/>
      <c r="O72" s="260" t="s">
        <v>131</v>
      </c>
      <c r="P72" s="84"/>
      <c r="Q72" s="264">
        <f>B24</f>
        <v>2014</v>
      </c>
      <c r="R72" s="84"/>
      <c r="S72" s="102"/>
      <c r="T72" s="84"/>
      <c r="U72" s="84"/>
      <c r="V72" s="84"/>
      <c r="W72" s="84"/>
      <c r="X72" s="84"/>
      <c r="Y72" s="84"/>
      <c r="Z72" s="101"/>
    </row>
    <row r="73" spans="1:26" s="11" customFormat="1" ht="14.1" customHeight="1" x14ac:dyDescent="0.2">
      <c r="A73" s="94" t="s">
        <v>16</v>
      </c>
      <c r="B73" s="763" t="s">
        <v>56</v>
      </c>
      <c r="C73" s="768"/>
      <c r="D73" s="769"/>
      <c r="E73" s="770" t="s">
        <v>280</v>
      </c>
      <c r="F73" s="771"/>
      <c r="G73" s="772"/>
      <c r="H73" s="83"/>
      <c r="I73" s="102" t="s">
        <v>330</v>
      </c>
      <c r="J73" s="97"/>
      <c r="K73" s="97"/>
      <c r="L73" s="97"/>
      <c r="M73" s="97"/>
      <c r="N73" s="97"/>
      <c r="O73" s="260" t="s">
        <v>131</v>
      </c>
      <c r="P73" s="84"/>
      <c r="Q73" s="264">
        <f>B25</f>
        <v>2015</v>
      </c>
      <c r="R73" s="84"/>
      <c r="S73" s="102"/>
      <c r="T73" s="84"/>
      <c r="U73" s="84"/>
      <c r="V73" s="84"/>
      <c r="W73" s="84"/>
      <c r="X73" s="84"/>
      <c r="Y73" s="84"/>
      <c r="Z73" s="101"/>
    </row>
    <row r="74" spans="1:26" s="11" customFormat="1" ht="14.1" customHeight="1" x14ac:dyDescent="0.2">
      <c r="A74" s="94" t="s">
        <v>397</v>
      </c>
      <c r="B74" s="763" t="s">
        <v>57</v>
      </c>
      <c r="C74" s="768"/>
      <c r="D74" s="769"/>
      <c r="E74" s="770" t="s">
        <v>280</v>
      </c>
      <c r="F74" s="771"/>
      <c r="G74" s="772"/>
      <c r="H74" s="83"/>
      <c r="I74" s="102" t="s">
        <v>330</v>
      </c>
      <c r="J74" s="97"/>
      <c r="K74" s="97"/>
      <c r="L74" s="97"/>
      <c r="M74" s="97"/>
      <c r="N74" s="97"/>
      <c r="O74" s="260" t="s">
        <v>131</v>
      </c>
      <c r="P74" s="84"/>
      <c r="Q74" s="264">
        <f>B26</f>
        <v>2016</v>
      </c>
      <c r="R74" s="84"/>
      <c r="S74" s="102"/>
      <c r="T74" s="84"/>
      <c r="U74" s="84"/>
      <c r="V74" s="84"/>
      <c r="W74" s="84"/>
      <c r="X74" s="84"/>
      <c r="Y74" s="84"/>
      <c r="Z74" s="101"/>
    </row>
    <row r="75" spans="1:26" s="11" customFormat="1" ht="14.1" customHeight="1" x14ac:dyDescent="0.2">
      <c r="A75" s="94" t="s">
        <v>37</v>
      </c>
      <c r="B75" s="763" t="s">
        <v>54</v>
      </c>
      <c r="C75" s="768"/>
      <c r="D75" s="769"/>
      <c r="E75" s="770" t="s">
        <v>280</v>
      </c>
      <c r="F75" s="771"/>
      <c r="G75" s="772"/>
      <c r="H75" s="83"/>
      <c r="I75" s="102" t="s">
        <v>331</v>
      </c>
      <c r="J75" s="97"/>
      <c r="K75" s="97"/>
      <c r="L75" s="97"/>
      <c r="M75" s="97"/>
      <c r="N75" s="97"/>
      <c r="O75" s="260" t="s">
        <v>131</v>
      </c>
      <c r="P75" s="84"/>
      <c r="Q75" s="264">
        <f>B23</f>
        <v>2013</v>
      </c>
      <c r="R75" s="84"/>
      <c r="S75" s="102"/>
      <c r="T75" s="84"/>
      <c r="U75" s="84"/>
      <c r="V75" s="84"/>
      <c r="W75" s="84"/>
      <c r="X75" s="84"/>
      <c r="Y75" s="84"/>
      <c r="Z75" s="101"/>
    </row>
    <row r="76" spans="1:26" s="11" customFormat="1" ht="14.1" customHeight="1" x14ac:dyDescent="0.2">
      <c r="A76" s="94" t="s">
        <v>38</v>
      </c>
      <c r="B76" s="763" t="s">
        <v>53</v>
      </c>
      <c r="C76" s="768"/>
      <c r="D76" s="769"/>
      <c r="E76" s="770" t="s">
        <v>280</v>
      </c>
      <c r="F76" s="771"/>
      <c r="G76" s="772"/>
      <c r="H76" s="83"/>
      <c r="I76" s="102" t="s">
        <v>331</v>
      </c>
      <c r="J76" s="97"/>
      <c r="K76" s="97"/>
      <c r="L76" s="97"/>
      <c r="M76" s="97"/>
      <c r="N76" s="97"/>
      <c r="O76" s="260" t="s">
        <v>131</v>
      </c>
      <c r="P76" s="84"/>
      <c r="Q76" s="264">
        <f>B24</f>
        <v>2014</v>
      </c>
      <c r="R76" s="84"/>
      <c r="S76" s="102"/>
      <c r="T76" s="84"/>
      <c r="U76" s="84"/>
      <c r="V76" s="84"/>
      <c r="W76" s="84"/>
      <c r="X76" s="84"/>
      <c r="Y76" s="84"/>
      <c r="Z76" s="101"/>
    </row>
    <row r="77" spans="1:26" s="11" customFormat="1" ht="14.1" customHeight="1" x14ac:dyDescent="0.2">
      <c r="A77" s="94" t="s">
        <v>17</v>
      </c>
      <c r="B77" s="763" t="s">
        <v>52</v>
      </c>
      <c r="C77" s="768"/>
      <c r="D77" s="769"/>
      <c r="E77" s="770" t="s">
        <v>280</v>
      </c>
      <c r="F77" s="771"/>
      <c r="G77" s="772"/>
      <c r="H77" s="83"/>
      <c r="I77" s="102" t="s">
        <v>331</v>
      </c>
      <c r="J77" s="97"/>
      <c r="K77" s="97"/>
      <c r="L77" s="97"/>
      <c r="M77" s="97"/>
      <c r="N77" s="97"/>
      <c r="O77" s="260" t="s">
        <v>131</v>
      </c>
      <c r="P77" s="84"/>
      <c r="Q77" s="264">
        <f>B25</f>
        <v>2015</v>
      </c>
      <c r="R77" s="84"/>
      <c r="S77" s="102"/>
      <c r="T77" s="84"/>
      <c r="U77" s="84"/>
      <c r="V77" s="84"/>
      <c r="W77" s="84"/>
      <c r="X77" s="84"/>
      <c r="Y77" s="84"/>
      <c r="Z77" s="101"/>
    </row>
    <row r="78" spans="1:26" s="11" customFormat="1" ht="14.1" customHeight="1" x14ac:dyDescent="0.2">
      <c r="A78" s="94" t="s">
        <v>398</v>
      </c>
      <c r="B78" s="763" t="s">
        <v>51</v>
      </c>
      <c r="C78" s="768"/>
      <c r="D78" s="769"/>
      <c r="E78" s="770" t="s">
        <v>280</v>
      </c>
      <c r="F78" s="771"/>
      <c r="G78" s="772"/>
      <c r="H78" s="83"/>
      <c r="I78" s="102" t="s">
        <v>331</v>
      </c>
      <c r="J78" s="97"/>
      <c r="K78" s="97"/>
      <c r="L78" s="97"/>
      <c r="M78" s="97"/>
      <c r="N78" s="97"/>
      <c r="O78" s="260" t="s">
        <v>131</v>
      </c>
      <c r="P78" s="84"/>
      <c r="Q78" s="264">
        <f>B26</f>
        <v>2016</v>
      </c>
      <c r="R78" s="84"/>
      <c r="S78" s="102"/>
      <c r="T78" s="84"/>
      <c r="U78" s="84"/>
      <c r="V78" s="84"/>
      <c r="W78" s="84"/>
      <c r="X78" s="84"/>
      <c r="Y78" s="84"/>
      <c r="Z78" s="101"/>
    </row>
    <row r="79" spans="1:26" s="11" customFormat="1" ht="11.25" x14ac:dyDescent="0.2">
      <c r="Z79" s="4"/>
    </row>
    <row r="82" spans="1:26" ht="17.25" hidden="1" customHeight="1" x14ac:dyDescent="0.2">
      <c r="B82" s="42" t="str">
        <f>Berechnung4!B29</f>
        <v>Matrix</v>
      </c>
      <c r="C82" s="42"/>
      <c r="D82" s="42"/>
      <c r="E82" s="43"/>
      <c r="F82" s="43"/>
      <c r="G82" s="43"/>
      <c r="H82" s="43"/>
      <c r="I82" s="43"/>
      <c r="J82" s="43"/>
      <c r="K82" s="43"/>
      <c r="L82" s="43"/>
      <c r="M82" s="43"/>
      <c r="N82" s="43"/>
      <c r="O82" s="42"/>
      <c r="P82" s="42"/>
    </row>
    <row r="83" spans="1:26" hidden="1" x14ac:dyDescent="0.2">
      <c r="A83" s="42" t="str">
        <f>Berechnung4!B30</f>
        <v>ART</v>
      </c>
      <c r="C83" s="42">
        <f>Berechnung4!C30</f>
        <v>0</v>
      </c>
      <c r="D83" s="42">
        <f>Berechnung4!D30</f>
        <v>0</v>
      </c>
      <c r="E83" s="43">
        <f>Berechnung4!E30</f>
        <v>0</v>
      </c>
      <c r="F83" s="43" t="str">
        <f>Berechnung4!F30</f>
        <v>Werte</v>
      </c>
      <c r="G83" s="43">
        <f>Berechnung4!G30</f>
        <v>0</v>
      </c>
      <c r="H83" s="43">
        <f>Berechnung4!H30</f>
        <v>0</v>
      </c>
      <c r="I83" s="43">
        <f>Berechnung4!I30</f>
        <v>0</v>
      </c>
      <c r="J83" s="43">
        <f>Berechnung4!J30</f>
        <v>0</v>
      </c>
      <c r="K83" s="43">
        <f>Berechnung4!K30</f>
        <v>0</v>
      </c>
      <c r="L83" s="43" t="str">
        <f>Berechnung4!L30</f>
        <v>Texte Matrix Datenquali</v>
      </c>
      <c r="M83" s="43">
        <f>Berechnung4!M30</f>
        <v>0</v>
      </c>
      <c r="N83" s="43" t="str">
        <f>Berechnung4!N30</f>
        <v>Fehlermeldungen Matrix</v>
      </c>
      <c r="O83" s="42"/>
      <c r="P83" s="42"/>
    </row>
    <row r="84" spans="1:26" hidden="1" x14ac:dyDescent="0.2">
      <c r="A84" s="42">
        <f>Berechnung4!B31</f>
        <v>0</v>
      </c>
      <c r="C84" s="42">
        <f>Berechnung4!C31</f>
        <v>0</v>
      </c>
      <c r="D84" s="42">
        <f>Berechnung4!D31</f>
        <v>0</v>
      </c>
      <c r="E84" s="55">
        <f>Berechnung4!E31</f>
        <v>0</v>
      </c>
      <c r="F84" s="55">
        <f>Berechnung4!F31</f>
        <v>0</v>
      </c>
      <c r="G84" s="55">
        <f>Berechnung4!G31</f>
        <v>0</v>
      </c>
      <c r="H84" s="55">
        <f>Berechnung4!H31</f>
        <v>0</v>
      </c>
      <c r="I84" s="55">
        <f>Berechnung4!I31</f>
        <v>0</v>
      </c>
      <c r="J84" s="55">
        <f>Berechnung4!J31</f>
        <v>0</v>
      </c>
      <c r="K84" s="43">
        <f>Berechnung4!K31</f>
        <v>0</v>
      </c>
      <c r="L84" s="43">
        <f>Berechnung4!L31</f>
        <v>0</v>
      </c>
      <c r="M84" s="43">
        <f>Berechnung4!M31</f>
        <v>0</v>
      </c>
      <c r="N84" s="43" t="str">
        <f>Berechnung4!N31</f>
        <v>Ganze Zahl zwischen 0 und 5000 eingeben</v>
      </c>
      <c r="O84" s="42"/>
      <c r="P84" s="42"/>
    </row>
    <row r="85" spans="1:26" hidden="1" x14ac:dyDescent="0.2">
      <c r="A85" s="42" t="str">
        <f>Berechnung4!B32</f>
        <v>relevante Nachsorgejahre nicht/unvollständig bearbeitet</v>
      </c>
      <c r="C85" s="42">
        <f>Berechnung4!C32</f>
        <v>0</v>
      </c>
      <c r="D85" s="42" t="str">
        <f>Berechnung4!D32</f>
        <v>unvollständig</v>
      </c>
      <c r="E85" s="55">
        <f>Berechnung4!E32</f>
        <v>0</v>
      </c>
      <c r="F85" s="55">
        <f>Berechnung4!F32</f>
        <v>0</v>
      </c>
      <c r="G85" s="55">
        <f>Berechnung4!G32</f>
        <v>0</v>
      </c>
      <c r="H85" s="55">
        <f>Berechnung4!H32</f>
        <v>0</v>
      </c>
      <c r="I85" s="55">
        <f>Berechnung4!I32</f>
        <v>0</v>
      </c>
      <c r="J85" s="55">
        <f>Berechnung4!J32</f>
        <v>0</v>
      </c>
      <c r="K85" s="43">
        <f>Berechnung4!K32</f>
        <v>0</v>
      </c>
      <c r="L85" s="43" t="str">
        <f>Berechnung4!L32</f>
        <v>relevante Nachsorgejahre nicht/unvollständig bearbeitet</v>
      </c>
      <c r="M85" s="43">
        <f>Berechnung4!M32</f>
        <v>0</v>
      </c>
      <c r="N85" s="43">
        <f>Berechnung4!N32</f>
        <v>0</v>
      </c>
      <c r="O85" s="42"/>
      <c r="P85" s="42"/>
    </row>
    <row r="86" spans="1:26" ht="14.25" hidden="1" customHeight="1" x14ac:dyDescent="0.2">
      <c r="A86" s="42" t="str">
        <f>Berechnung4!B33</f>
        <v>Relative Quote tumorfrei</v>
      </c>
      <c r="C86" s="42">
        <f>Berechnung4!C33</f>
        <v>0</v>
      </c>
      <c r="D86" s="42" t="str">
        <f>Berechnung4!D33</f>
        <v>plausi</v>
      </c>
      <c r="E86" s="55" t="str">
        <f>Berechnung4!E33</f>
        <v>nicht geprüft</v>
      </c>
      <c r="F86" s="55">
        <f>Berechnung4!F33</f>
        <v>-1</v>
      </c>
      <c r="G86" s="55">
        <f>Berechnung4!G33</f>
        <v>-1</v>
      </c>
      <c r="H86" s="55">
        <f>Berechnung4!H33</f>
        <v>-1</v>
      </c>
      <c r="I86" s="55">
        <f>Berechnung4!I33</f>
        <v>-1</v>
      </c>
      <c r="J86" s="55">
        <f>Berechnung4!J33</f>
        <v>-1</v>
      </c>
      <c r="K86" s="43">
        <f>Berechnung4!K33</f>
        <v>0</v>
      </c>
      <c r="L86" s="43" t="str">
        <f>Berechnung4!L33</f>
        <v>auffällig niedrige Quote tumorfreier Patienten</v>
      </c>
      <c r="M86" s="43">
        <f>Berechnung4!M33</f>
        <v>0</v>
      </c>
      <c r="N86" s="43">
        <f>Berechnung4!N33</f>
        <v>0</v>
      </c>
      <c r="O86" s="42"/>
      <c r="P86" s="42"/>
      <c r="Z86" s="8"/>
    </row>
    <row r="87" spans="1:26" ht="14.25" hidden="1" customHeight="1" x14ac:dyDescent="0.2">
      <c r="A87" s="42" t="str">
        <f>Berechnung4!B34</f>
        <v xml:space="preserve">nur Prozentwerte können eingegeben werden </v>
      </c>
      <c r="C87" s="42">
        <f>Berechnung4!C34</f>
        <v>0</v>
      </c>
      <c r="D87" s="42" t="str">
        <f>Berechnung4!D34</f>
        <v>inkorrekt</v>
      </c>
      <c r="E87" s="55" t="str">
        <f>Berechnung4!E34</f>
        <v>&gt;</v>
      </c>
      <c r="F87" s="55">
        <f>Berechnung4!F34</f>
        <v>0</v>
      </c>
      <c r="G87" s="55">
        <f>Berechnung4!G34</f>
        <v>0</v>
      </c>
      <c r="H87" s="55">
        <f>Berechnung4!H34</f>
        <v>0</v>
      </c>
      <c r="I87" s="55">
        <f>Berechnung4!I34</f>
        <v>0</v>
      </c>
      <c r="J87" s="55">
        <f>Berechnung4!J34</f>
        <v>1</v>
      </c>
      <c r="K87" s="43">
        <f>Berechnung4!K34</f>
        <v>0</v>
      </c>
      <c r="L87" s="43">
        <f>Berechnung4!L34</f>
        <v>0</v>
      </c>
      <c r="M87" s="43">
        <f>Berechnung4!M34</f>
        <v>0</v>
      </c>
      <c r="N87" s="43">
        <f>Berechnung4!N34</f>
        <v>0</v>
      </c>
      <c r="O87" s="42"/>
      <c r="P87" s="42"/>
      <c r="Z87" s="8"/>
    </row>
    <row r="88" spans="1:26" ht="14.25" hidden="1" customHeight="1" x14ac:dyDescent="0.2">
      <c r="A88" s="42" t="str">
        <f>Berechnung4!B35</f>
        <v>zu geringe Anzahl der Primärfälle</v>
      </c>
      <c r="C88" s="42">
        <f>Berechnung4!C35</f>
        <v>0</v>
      </c>
      <c r="D88" s="42" t="str">
        <f>Berechnung4!D35</f>
        <v>plausi</v>
      </c>
      <c r="E88" s="43" t="str">
        <f>Berechnung4!E35</f>
        <v>&lt;</v>
      </c>
      <c r="F88" s="43">
        <f>Berechnung4!F35</f>
        <v>0</v>
      </c>
      <c r="G88" s="43">
        <f>Berechnung4!G35</f>
        <v>16</v>
      </c>
      <c r="H88" s="43">
        <f>Berechnung4!H35</f>
        <v>0</v>
      </c>
      <c r="I88" s="43">
        <f>Berechnung4!I35</f>
        <v>0</v>
      </c>
      <c r="J88" s="43">
        <f>Berechnung4!J35</f>
        <v>0</v>
      </c>
      <c r="K88" s="43">
        <f>Berechnung4!K35</f>
        <v>0</v>
      </c>
      <c r="L88" s="43" t="str">
        <f>Berechnung4!L35</f>
        <v>zu wenig Primärfälle angegeben</v>
      </c>
      <c r="M88" s="43">
        <f>Berechnung4!M35</f>
        <v>0</v>
      </c>
      <c r="N88" s="43">
        <f>Berechnung4!N35</f>
        <v>0</v>
      </c>
      <c r="O88" s="42"/>
      <c r="P88" s="42"/>
      <c r="Z88" s="8"/>
    </row>
    <row r="89" spans="1:26" ht="14.25" hidden="1" customHeight="1" x14ac:dyDescent="0.2">
      <c r="A89" s="42" t="str">
        <f>Berechnung4!B36</f>
        <v>zu viele Patientinnen im Follow-Up</v>
      </c>
      <c r="C89" s="42">
        <f>Berechnung4!C36</f>
        <v>0</v>
      </c>
      <c r="D89" s="42" t="str">
        <f>Berechnung4!D36</f>
        <v>inkorrekt</v>
      </c>
      <c r="E89" s="56">
        <f>Berechnung4!E36</f>
        <v>0</v>
      </c>
      <c r="F89" s="56">
        <f>Berechnung4!F36</f>
        <v>0</v>
      </c>
      <c r="G89" s="56">
        <f>Berechnung4!G36</f>
        <v>0</v>
      </c>
      <c r="H89" s="56">
        <f>Berechnung4!H36</f>
        <v>0</v>
      </c>
      <c r="I89" s="56">
        <f>Berechnung4!I36</f>
        <v>0</v>
      </c>
      <c r="J89" s="56">
        <f>Berechnung4!J36</f>
        <v>0</v>
      </c>
      <c r="K89" s="43">
        <f>Berechnung4!K36</f>
        <v>0</v>
      </c>
      <c r="L89" s="43" t="str">
        <f>Berechnung4!L36</f>
        <v>zu viele Pat im Follow-Up</v>
      </c>
      <c r="M89" s="43">
        <f>Berechnung4!M36</f>
        <v>0</v>
      </c>
      <c r="N89" s="43" t="str">
        <f>Berechnung4!N36</f>
        <v>Anzahl Pat. Im Follow-Up zu hoch</v>
      </c>
      <c r="O89" s="42"/>
      <c r="P89" s="42"/>
      <c r="Z89" s="8"/>
    </row>
    <row r="90" spans="1:26" ht="14.25" hidden="1" customHeight="1" x14ac:dyDescent="0.2">
      <c r="A90" s="42" t="str">
        <f>Berechnung4!B37</f>
        <v>geringe Follow-Up Quote</v>
      </c>
      <c r="C90" s="42">
        <f>Berechnung4!C37</f>
        <v>0</v>
      </c>
      <c r="D90" s="42" t="str">
        <f>Berechnung4!D37</f>
        <v>plausi</v>
      </c>
      <c r="E90" s="56" t="str">
        <f>Berechnung4!E37</f>
        <v>&lt;</v>
      </c>
      <c r="F90" s="56">
        <f>Berechnung4!F37</f>
        <v>0</v>
      </c>
      <c r="G90" s="56">
        <f>Berechnung4!G37</f>
        <v>0</v>
      </c>
      <c r="H90" s="56">
        <f>Berechnung4!H37</f>
        <v>0</v>
      </c>
      <c r="I90" s="56">
        <f>Berechnung4!I37</f>
        <v>0.69999</v>
      </c>
      <c r="J90" s="56">
        <f>Berechnung4!J37</f>
        <v>0.69999</v>
      </c>
      <c r="K90" s="43">
        <f>Berechnung4!K37</f>
        <v>0</v>
      </c>
      <c r="L90" s="43" t="str">
        <f>Berechnung4!L37</f>
        <v>geringe Follow-Up Quote der Nachsorgejahre</v>
      </c>
      <c r="M90" s="43">
        <f>Berechnung4!M37</f>
        <v>0</v>
      </c>
      <c r="N90" s="43">
        <f>Berechnung4!N37</f>
        <v>0</v>
      </c>
      <c r="O90" s="42"/>
      <c r="P90" s="42"/>
      <c r="Z90" s="8"/>
    </row>
    <row r="91" spans="1:26" ht="14.25" hidden="1" customHeight="1" x14ac:dyDescent="0.2">
      <c r="A91" s="42" t="str">
        <f>Berechnung4!B38</f>
        <v>geringe Follow-Up Quote der letzten 2-4 Jahre</v>
      </c>
      <c r="C91" s="42">
        <f>Berechnung4!C38</f>
        <v>0</v>
      </c>
      <c r="D91" s="42" t="str">
        <f>Berechnung4!D38</f>
        <v>sollvorgabe</v>
      </c>
      <c r="E91" s="56" t="str">
        <f>Berechnung4!E38</f>
        <v>&lt;</v>
      </c>
      <c r="F91" s="56">
        <f>Berechnung4!F38</f>
        <v>0</v>
      </c>
      <c r="G91" s="56">
        <f>Berechnung4!G38</f>
        <v>0</v>
      </c>
      <c r="H91" s="56">
        <f>Berechnung4!H38</f>
        <v>0</v>
      </c>
      <c r="I91" s="56">
        <f>Berechnung4!I38</f>
        <v>0.79998999999999998</v>
      </c>
      <c r="J91" s="56">
        <f>Berechnung4!J38</f>
        <v>0.79998999999999998</v>
      </c>
      <c r="K91" s="43">
        <f>Berechnung4!K38</f>
        <v>0</v>
      </c>
      <c r="L91" s="43" t="str">
        <f>Berechnung4!L38</f>
        <v>durchschnittliche Follow-Up Quote &lt; 80%</v>
      </c>
      <c r="M91" s="43">
        <f>Berechnung4!M38</f>
        <v>0</v>
      </c>
      <c r="N91" s="43">
        <f>Berechnung4!N38</f>
        <v>0</v>
      </c>
      <c r="O91" s="42"/>
      <c r="P91" s="42"/>
      <c r="Z91" s="8"/>
    </row>
    <row r="92" spans="1:26" ht="14.25" hidden="1" customHeight="1" x14ac:dyDescent="0.2">
      <c r="A92" s="42" t="str">
        <f>Berechnung4!B39</f>
        <v>zu hohe Follow-Up Quote der letzten 2-4 Jahre</v>
      </c>
      <c r="C92" s="42">
        <f>Berechnung4!C39</f>
        <v>0</v>
      </c>
      <c r="D92" s="42" t="str">
        <f>Berechnung4!D39</f>
        <v>plausi</v>
      </c>
      <c r="E92" s="56" t="str">
        <f>Berechnung4!E39</f>
        <v>&gt;</v>
      </c>
      <c r="F92" s="56">
        <f>Berechnung4!F39</f>
        <v>0</v>
      </c>
      <c r="G92" s="56">
        <f>Berechnung4!G39</f>
        <v>0</v>
      </c>
      <c r="H92" s="56">
        <f>Berechnung4!H39</f>
        <v>0.99000999999999995</v>
      </c>
      <c r="I92" s="56">
        <f>Berechnung4!I39</f>
        <v>1</v>
      </c>
      <c r="J92" s="56">
        <f>Berechnung4!J39</f>
        <v>0.99000999999999995</v>
      </c>
      <c r="K92" s="43">
        <f>Berechnung4!K39</f>
        <v>0</v>
      </c>
      <c r="L92" s="43" t="str">
        <f>Berechnung4!L39</f>
        <v>durchschnittliche Follow-Up Quote &gt; 99%</v>
      </c>
      <c r="M92" s="43">
        <f>Berechnung4!M39</f>
        <v>0</v>
      </c>
      <c r="N92" s="43">
        <f>Berechnung4!N39</f>
        <v>0</v>
      </c>
      <c r="O92" s="42"/>
      <c r="P92" s="42"/>
      <c r="Z92" s="8"/>
    </row>
    <row r="93" spans="1:26" ht="14.25" hidden="1" customHeight="1" x14ac:dyDescent="0.2">
      <c r="A93" s="42" t="str">
        <f>Berechnung4!B40</f>
        <v xml:space="preserve">Fehler bei Ereignisse </v>
      </c>
      <c r="C93" s="42">
        <f>Berechnung4!C40</f>
        <v>0</v>
      </c>
      <c r="D93" s="42" t="str">
        <f>Berechnung4!D40</f>
        <v>inkorrekt</v>
      </c>
      <c r="E93" s="56">
        <f>Berechnung4!E40</f>
        <v>0</v>
      </c>
      <c r="F93" s="56">
        <f>Berechnung4!F40</f>
        <v>0</v>
      </c>
      <c r="G93" s="56">
        <f>Berechnung4!G40</f>
        <v>0</v>
      </c>
      <c r="H93" s="56">
        <f>Berechnung4!H40</f>
        <v>0</v>
      </c>
      <c r="I93" s="56">
        <f>Berechnung4!I40</f>
        <v>0</v>
      </c>
      <c r="J93" s="56">
        <f>Berechnung4!J40</f>
        <v>0</v>
      </c>
      <c r="K93" s="43">
        <f>Berechnung4!K40</f>
        <v>0</v>
      </c>
      <c r="L93" s="43" t="str">
        <f>Berechnung4!L40</f>
        <v>Werte in Spalte R,S,T dürfen den Wert Spalte Q nicht übersteigen</v>
      </c>
      <c r="M93" s="43">
        <f>Berechnung4!M40</f>
        <v>0</v>
      </c>
      <c r="N93" s="43" t="str">
        <f>Berechnung4!N40</f>
        <v>Eingabe kann nicht größer sein als Ereignisse Spalte Q</v>
      </c>
      <c r="O93" s="42"/>
      <c r="P93" s="42"/>
      <c r="Z93" s="8"/>
    </row>
    <row r="94" spans="1:26" ht="14.25" hidden="1" customHeight="1" x14ac:dyDescent="0.2">
      <c r="A94" s="42">
        <f>Berechnung4!B41</f>
        <v>0</v>
      </c>
      <c r="C94" s="42">
        <f>Berechnung4!C41</f>
        <v>0</v>
      </c>
      <c r="D94" s="42">
        <f>Berechnung4!D41</f>
        <v>0</v>
      </c>
      <c r="E94" s="56">
        <f>Berechnung4!E41</f>
        <v>0</v>
      </c>
      <c r="F94" s="56">
        <f>Berechnung4!F41</f>
        <v>0</v>
      </c>
      <c r="G94" s="56">
        <f>Berechnung4!G41</f>
        <v>0</v>
      </c>
      <c r="H94" s="56">
        <f>Berechnung4!H41</f>
        <v>0</v>
      </c>
      <c r="I94" s="56">
        <f>Berechnung4!I41</f>
        <v>0</v>
      </c>
      <c r="J94" s="56">
        <f>Berechnung4!J41</f>
        <v>0</v>
      </c>
      <c r="K94" s="43">
        <f>Berechnung4!K41</f>
        <v>0</v>
      </c>
      <c r="L94" s="43">
        <f>Berechnung4!L41</f>
        <v>0</v>
      </c>
      <c r="M94" s="43">
        <f>Berechnung4!M41</f>
        <v>0</v>
      </c>
      <c r="N94" s="43">
        <f>Berechnung4!N41</f>
        <v>0</v>
      </c>
      <c r="O94" s="42"/>
      <c r="P94" s="42"/>
      <c r="Z94" s="8"/>
    </row>
    <row r="95" spans="1:26" ht="14.25" hidden="1" customHeight="1" x14ac:dyDescent="0.2">
      <c r="A95" s="42" t="str">
        <f>Berechnung4!B42</f>
        <v>wenn sich Minuswerte berechnen</v>
      </c>
      <c r="C95" s="42">
        <f>Berechnung4!C42</f>
        <v>0</v>
      </c>
      <c r="D95" s="42" t="str">
        <f>Berechnung4!D42</f>
        <v>inkorrekt</v>
      </c>
      <c r="E95" s="56" t="str">
        <f>Berechnung4!E42</f>
        <v>&lt;</v>
      </c>
      <c r="F95" s="56">
        <f>Berechnung4!F42</f>
        <v>0</v>
      </c>
      <c r="G95" s="56">
        <f>Berechnung4!G42</f>
        <v>0</v>
      </c>
      <c r="H95" s="56">
        <f>Berechnung4!H42</f>
        <v>0</v>
      </c>
      <c r="I95" s="56">
        <f>Berechnung4!I42</f>
        <v>0</v>
      </c>
      <c r="J95" s="56">
        <f>Berechnung4!J42</f>
        <v>0</v>
      </c>
      <c r="K95" s="43">
        <f>Berechnung4!K42</f>
        <v>0</v>
      </c>
      <c r="L95" s="43" t="str">
        <f>Berechnung4!L42</f>
        <v>Zahlen in Spalte O dürfen keine negativen Werte annehmen</v>
      </c>
      <c r="M95" s="43">
        <f>Berechnung4!M42</f>
        <v>0</v>
      </c>
      <c r="N95" s="43"/>
      <c r="O95" s="42"/>
      <c r="P95" s="42"/>
      <c r="Z95" s="8"/>
    </row>
    <row r="96" spans="1:26" ht="14.25" hidden="1" customHeight="1" x14ac:dyDescent="0.2">
      <c r="A96" s="42">
        <f>Berechnung4!B43</f>
        <v>0</v>
      </c>
      <c r="C96" s="42">
        <f>Berechnung4!C43</f>
        <v>0</v>
      </c>
      <c r="D96" s="42">
        <f>Berechnung4!D43</f>
        <v>0</v>
      </c>
      <c r="E96" s="56">
        <f>Berechnung4!E43</f>
        <v>0</v>
      </c>
      <c r="F96" s="56">
        <f>Berechnung4!F43</f>
        <v>0</v>
      </c>
      <c r="G96" s="56">
        <f>Berechnung4!G43</f>
        <v>0</v>
      </c>
      <c r="H96" s="56">
        <f>Berechnung4!H43</f>
        <v>0</v>
      </c>
      <c r="I96" s="56">
        <f>Berechnung4!I43</f>
        <v>0</v>
      </c>
      <c r="J96" s="56">
        <f>Berechnung4!J43</f>
        <v>0</v>
      </c>
      <c r="K96" s="43">
        <f>Berechnung4!K43</f>
        <v>0</v>
      </c>
      <c r="L96" s="43">
        <f>Berechnung4!L43</f>
        <v>0</v>
      </c>
      <c r="M96" s="43">
        <f>Berechnung4!M43</f>
        <v>0</v>
      </c>
      <c r="N96" s="43">
        <f>Berechnung4!N43</f>
        <v>0</v>
      </c>
      <c r="O96" s="42"/>
      <c r="P96" s="42"/>
      <c r="Z96" s="8"/>
    </row>
    <row r="97" spans="1:26" ht="14.25" hidden="1" customHeight="1" x14ac:dyDescent="0.2">
      <c r="A97" s="42" t="str">
        <f>Berechnung4!B46</f>
        <v>DFS</v>
      </c>
      <c r="C97" s="42">
        <f>Berechnung4!C46</f>
        <v>0</v>
      </c>
      <c r="D97" s="42">
        <f>Berechnung4!D46</f>
        <v>0</v>
      </c>
      <c r="E97" s="42" t="str">
        <f>Berechnung4!E46</f>
        <v>von</v>
      </c>
      <c r="F97" s="42">
        <f>Berechnung4!F46</f>
        <v>0</v>
      </c>
      <c r="G97" s="57" t="str">
        <f>Berechnung4!G46</f>
        <v>untere Grenze</v>
      </c>
      <c r="H97" s="57">
        <f>Berechnung4!H46</f>
        <v>0</v>
      </c>
      <c r="I97" s="42">
        <f>Berechnung4!I46</f>
        <v>0</v>
      </c>
      <c r="J97" s="57" t="str">
        <f>Berechnung4!J46</f>
        <v>obere Grenze</v>
      </c>
      <c r="K97" s="42">
        <f>Berechnung4!K46</f>
        <v>0</v>
      </c>
      <c r="L97" s="42">
        <f>Berechnung4!L46</f>
        <v>0</v>
      </c>
      <c r="M97" s="42"/>
      <c r="N97" s="42">
        <f>Berechnung4!M46</f>
        <v>0</v>
      </c>
      <c r="O97" s="42"/>
      <c r="P97" s="42"/>
      <c r="Z97" s="8"/>
    </row>
    <row r="98" spans="1:26" ht="14.25" hidden="1" customHeight="1" x14ac:dyDescent="0.2">
      <c r="A98" s="42"/>
      <c r="C98" s="42"/>
      <c r="D98" s="42"/>
      <c r="E98" s="42"/>
      <c r="F98" s="42"/>
      <c r="G98" s="57"/>
      <c r="H98" s="57"/>
      <c r="I98" s="42"/>
      <c r="J98" s="57"/>
      <c r="K98" s="42"/>
      <c r="L98" s="42"/>
      <c r="M98" s="42"/>
      <c r="N98" s="42">
        <f>Berechnung4!M45</f>
        <v>0</v>
      </c>
      <c r="O98" s="42"/>
      <c r="P98" s="42"/>
      <c r="Z98" s="8"/>
    </row>
    <row r="99" spans="1:26" ht="14.25" hidden="1" customHeight="1" x14ac:dyDescent="0.2">
      <c r="A99" s="42"/>
      <c r="C99" s="42"/>
      <c r="D99" s="42"/>
      <c r="E99" s="42"/>
      <c r="F99" s="42"/>
      <c r="G99" s="57"/>
      <c r="H99" s="57"/>
      <c r="I99" s="42"/>
      <c r="J99" s="57"/>
      <c r="K99" s="42"/>
      <c r="L99" s="42"/>
      <c r="M99" s="42"/>
      <c r="N99" s="42" t="e">
        <f>Berechnung4!#REF!</f>
        <v>#REF!</v>
      </c>
      <c r="O99" s="42"/>
      <c r="P99" s="42"/>
      <c r="Z99" s="8"/>
    </row>
    <row r="100" spans="1:26" ht="14.25" hidden="1" customHeight="1" x14ac:dyDescent="0.2">
      <c r="A100" s="42" t="str">
        <f>Berechnung4!B47</f>
        <v>2013,</v>
      </c>
      <c r="C100" s="42">
        <f>Berechnung4!C47</f>
        <v>0</v>
      </c>
      <c r="D100" s="42">
        <f>Berechnung4!D47</f>
        <v>0</v>
      </c>
      <c r="E100" s="42">
        <f>Berechnung4!E47</f>
        <v>0</v>
      </c>
      <c r="F100" s="42">
        <f>Berechnung4!F47</f>
        <v>0.44999</v>
      </c>
      <c r="G100" s="57">
        <f>Berechnung4!G47</f>
        <v>0.44999</v>
      </c>
      <c r="H100" s="57">
        <f>Berechnung4!H47</f>
        <v>0</v>
      </c>
      <c r="I100" s="42">
        <f>Berechnung4!I47</f>
        <v>0.75000999999999995</v>
      </c>
      <c r="J100" s="57">
        <f>Berechnung4!J47</f>
        <v>0.75000999999999995</v>
      </c>
      <c r="K100" s="42">
        <f>Berechnung4!K47</f>
        <v>0</v>
      </c>
      <c r="L100" s="42" t="str">
        <f>Berechnung4!L47</f>
        <v>DFS auffällig niedrig oder hoch</v>
      </c>
      <c r="M100" s="42"/>
      <c r="N100" s="42" t="str">
        <f>Berechnung4!M47</f>
        <v>DFS auffällig niedrig oder hoch</v>
      </c>
      <c r="O100" s="42"/>
      <c r="P100" s="42"/>
      <c r="Z100" s="8"/>
    </row>
    <row r="101" spans="1:26" ht="14.25" hidden="1" customHeight="1" x14ac:dyDescent="0.2">
      <c r="A101" s="42" t="str">
        <f>Berechnung4!B48</f>
        <v xml:space="preserve">2014, </v>
      </c>
      <c r="C101" s="42">
        <f>Berechnung4!C48</f>
        <v>0</v>
      </c>
      <c r="D101" s="42">
        <f>Berechnung4!D48</f>
        <v>0</v>
      </c>
      <c r="E101" s="42">
        <f>Berechnung4!E48</f>
        <v>0</v>
      </c>
      <c r="F101" s="42">
        <f>Berechnung4!F48</f>
        <v>0.49998999999999999</v>
      </c>
      <c r="G101" s="57">
        <f>Berechnung4!G48</f>
        <v>0.49998999999999999</v>
      </c>
      <c r="H101" s="57">
        <f>Berechnung4!H48</f>
        <v>0</v>
      </c>
      <c r="I101" s="42">
        <f>Berechnung4!I48</f>
        <v>0.80001</v>
      </c>
      <c r="J101" s="57">
        <f>Berechnung4!J48</f>
        <v>0.80001</v>
      </c>
      <c r="K101" s="42">
        <f>Berechnung4!K48</f>
        <v>0</v>
      </c>
      <c r="L101" s="42" t="str">
        <f>Berechnung4!L48</f>
        <v>DFS auffällig niedrig oder hoch</v>
      </c>
      <c r="M101" s="42"/>
      <c r="N101" s="42" t="str">
        <f>Berechnung4!M48</f>
        <v>DFS auffällig niedrig oder hoch</v>
      </c>
      <c r="O101" s="42"/>
      <c r="P101" s="42"/>
      <c r="Z101" s="8"/>
    </row>
    <row r="102" spans="1:26" ht="14.25" hidden="1" customHeight="1" x14ac:dyDescent="0.2">
      <c r="A102" s="42" t="str">
        <f>Berechnung4!B49</f>
        <v xml:space="preserve">2015, </v>
      </c>
      <c r="C102" s="42">
        <f>Berechnung4!C49</f>
        <v>0</v>
      </c>
      <c r="D102" s="42">
        <f>Berechnung4!D49</f>
        <v>0</v>
      </c>
      <c r="E102" s="42">
        <f>Berechnung4!E49</f>
        <v>0</v>
      </c>
      <c r="F102" s="42">
        <f>Berechnung4!F49</f>
        <v>0.54998999999999998</v>
      </c>
      <c r="G102" s="57">
        <f>Berechnung4!G49</f>
        <v>0.54998999999999998</v>
      </c>
      <c r="H102" s="57">
        <f>Berechnung4!H49</f>
        <v>0</v>
      </c>
      <c r="I102" s="42">
        <f>Berechnung4!I49</f>
        <v>0.85001000000000004</v>
      </c>
      <c r="J102" s="57">
        <f>Berechnung4!J49</f>
        <v>0.85001000000000004</v>
      </c>
      <c r="K102" s="42">
        <f>Berechnung4!K49</f>
        <v>0</v>
      </c>
      <c r="L102" s="42" t="str">
        <f>Berechnung4!L49</f>
        <v>DFS auffällig niedrig oder hoch</v>
      </c>
      <c r="M102" s="42"/>
      <c r="N102" s="42" t="str">
        <f>Berechnung4!M49</f>
        <v>DFS auffällig niedrig oder hoch</v>
      </c>
      <c r="O102" s="42"/>
      <c r="P102" s="42"/>
      <c r="Z102" s="8"/>
    </row>
    <row r="103" spans="1:26" ht="14.25" hidden="1" customHeight="1" x14ac:dyDescent="0.2">
      <c r="A103" s="42" t="str">
        <f>Berechnung4!B50</f>
        <v xml:space="preserve">2016, </v>
      </c>
      <c r="C103" s="42">
        <f>Berechnung4!C50</f>
        <v>0</v>
      </c>
      <c r="D103" s="42">
        <f>Berechnung4!D50</f>
        <v>0</v>
      </c>
      <c r="E103" s="42">
        <f>Berechnung4!E50</f>
        <v>0</v>
      </c>
      <c r="F103" s="42">
        <f>Berechnung4!F50</f>
        <v>0.59999000000000002</v>
      </c>
      <c r="G103" s="57">
        <f>Berechnung4!G50</f>
        <v>0.59999000000000002</v>
      </c>
      <c r="H103" s="57">
        <f>Berechnung4!H50</f>
        <v>0</v>
      </c>
      <c r="I103" s="42">
        <f>Berechnung4!I50</f>
        <v>0.85001000000000004</v>
      </c>
      <c r="J103" s="57">
        <f>Berechnung4!J50</f>
        <v>0.85001000000000004</v>
      </c>
      <c r="K103" s="42">
        <f>Berechnung4!K50</f>
        <v>0</v>
      </c>
      <c r="L103" s="42" t="str">
        <f>Berechnung4!L50</f>
        <v>DFS auffällig niedrig oder hoch</v>
      </c>
      <c r="M103" s="42"/>
      <c r="N103" s="42" t="str">
        <f>Berechnung4!M50</f>
        <v>DFS auffällig niedrig oder hoch</v>
      </c>
      <c r="O103" s="42"/>
      <c r="P103" s="42"/>
      <c r="Z103" s="8"/>
    </row>
    <row r="104" spans="1:26" ht="14.25" hidden="1" customHeight="1" x14ac:dyDescent="0.2">
      <c r="A104" s="42" t="str">
        <f>Berechnung4!B51</f>
        <v xml:space="preserve">2017, </v>
      </c>
      <c r="C104" s="42">
        <f>Berechnung4!C51</f>
        <v>0</v>
      </c>
      <c r="D104" s="42">
        <f>Berechnung4!D51</f>
        <v>0</v>
      </c>
      <c r="E104" s="42">
        <f>Berechnung4!E51</f>
        <v>0</v>
      </c>
      <c r="F104" s="42">
        <f>Berechnung4!F51</f>
        <v>0.64998999999999996</v>
      </c>
      <c r="G104" s="57">
        <f>Berechnung4!G51</f>
        <v>0.64998999999999996</v>
      </c>
      <c r="H104" s="57">
        <f>Berechnung4!H51</f>
        <v>0</v>
      </c>
      <c r="I104" s="42">
        <f>Berechnung4!I51</f>
        <v>0.90000999999999998</v>
      </c>
      <c r="J104" s="57">
        <f>Berechnung4!J51</f>
        <v>0.90000999999999998</v>
      </c>
      <c r="K104" s="42">
        <f>Berechnung4!K51</f>
        <v>0</v>
      </c>
      <c r="L104" s="42" t="str">
        <f>Berechnung4!L51</f>
        <v>DFS auffällig niedrig oder hoch</v>
      </c>
      <c r="M104" s="42"/>
      <c r="N104" s="42" t="str">
        <f>Berechnung4!M51</f>
        <v>DFS auffällig niedrig oder hoch</v>
      </c>
      <c r="O104" s="42"/>
      <c r="P104" s="42"/>
      <c r="Z104" s="8"/>
    </row>
    <row r="105" spans="1:26" ht="14.25" hidden="1" customHeight="1" x14ac:dyDescent="0.2">
      <c r="A105" s="42">
        <f>Berechnung4!B52</f>
        <v>0</v>
      </c>
      <c r="C105" s="42">
        <f>Berechnung4!D52</f>
        <v>0</v>
      </c>
      <c r="D105" s="42">
        <f>Berechnung4!E52</f>
        <v>0</v>
      </c>
      <c r="E105" s="42">
        <f>Berechnung4!E52</f>
        <v>0</v>
      </c>
      <c r="F105" s="42">
        <f>Berechnung4!F52</f>
        <v>0</v>
      </c>
      <c r="G105" s="42">
        <f>Berechnung4!G52</f>
        <v>0</v>
      </c>
      <c r="H105" s="42">
        <f>Berechnung4!H52</f>
        <v>0</v>
      </c>
      <c r="I105" s="42">
        <f>Berechnung4!I52</f>
        <v>0</v>
      </c>
      <c r="J105" s="57">
        <f>Berechnung4!J52</f>
        <v>0</v>
      </c>
      <c r="K105" s="42">
        <f>Berechnung4!K52</f>
        <v>0</v>
      </c>
      <c r="L105" s="42">
        <f>Berechnung4!L52</f>
        <v>0</v>
      </c>
      <c r="M105" s="42"/>
      <c r="N105" s="42">
        <f>Berechnung4!M52</f>
        <v>0</v>
      </c>
      <c r="O105" s="42"/>
      <c r="P105" s="42"/>
      <c r="Z105" s="8"/>
    </row>
    <row r="106" spans="1:26" ht="14.25" hidden="1" customHeight="1" x14ac:dyDescent="0.2">
      <c r="A106" s="42" t="str">
        <f>Berechnung4!B55</f>
        <v>OAS</v>
      </c>
      <c r="C106" s="42">
        <f>Berechnung4!D55</f>
        <v>0</v>
      </c>
      <c r="D106" s="42">
        <f>Berechnung4!E55</f>
        <v>0</v>
      </c>
      <c r="E106" s="42">
        <f>Berechnung4!E55</f>
        <v>0</v>
      </c>
      <c r="F106" s="42">
        <f>Berechnung4!F55</f>
        <v>0</v>
      </c>
      <c r="G106" s="57" t="str">
        <f>Berechnung4!G55</f>
        <v>untere Grenze</v>
      </c>
      <c r="H106" s="57">
        <f>Berechnung4!H55</f>
        <v>0</v>
      </c>
      <c r="I106" s="42">
        <f>Berechnung4!I55</f>
        <v>0</v>
      </c>
      <c r="J106" s="57" t="str">
        <f>Berechnung4!J55</f>
        <v>obere Grenze</v>
      </c>
      <c r="K106" s="42">
        <f>Berechnung4!K53</f>
        <v>0</v>
      </c>
      <c r="L106" s="42">
        <f>Berechnung4!L53</f>
        <v>0</v>
      </c>
      <c r="M106" s="42"/>
      <c r="N106" s="42">
        <f>Berechnung4!M53</f>
        <v>0</v>
      </c>
      <c r="O106" s="42"/>
      <c r="P106" s="42"/>
      <c r="Z106" s="8"/>
    </row>
    <row r="107" spans="1:26" ht="14.25" hidden="1" customHeight="1" x14ac:dyDescent="0.2">
      <c r="A107" s="42"/>
      <c r="C107" s="42"/>
      <c r="D107" s="42"/>
      <c r="E107" s="42"/>
      <c r="F107" s="42"/>
      <c r="G107" s="57"/>
      <c r="H107" s="57"/>
      <c r="I107" s="42"/>
      <c r="J107" s="57"/>
      <c r="K107" s="42"/>
      <c r="L107" s="42"/>
      <c r="M107" s="42"/>
      <c r="N107" s="42">
        <f>Berechnung4!M54</f>
        <v>0</v>
      </c>
      <c r="O107" s="42"/>
      <c r="P107" s="42"/>
      <c r="Z107" s="8"/>
    </row>
    <row r="108" spans="1:26" ht="14.25" hidden="1" customHeight="1" x14ac:dyDescent="0.2">
      <c r="A108" s="42"/>
      <c r="C108" s="42"/>
      <c r="D108" s="42"/>
      <c r="E108" s="42"/>
      <c r="F108" s="42"/>
      <c r="G108" s="57"/>
      <c r="H108" s="57"/>
      <c r="I108" s="42"/>
      <c r="J108" s="57"/>
      <c r="K108" s="42"/>
      <c r="L108" s="42"/>
      <c r="M108" s="42"/>
      <c r="N108" s="42">
        <f>Berechnung4!M55</f>
        <v>0</v>
      </c>
      <c r="O108" s="42"/>
      <c r="P108" s="42"/>
      <c r="Z108" s="8"/>
    </row>
    <row r="109" spans="1:26" ht="14.25" hidden="1" customHeight="1" x14ac:dyDescent="0.2">
      <c r="A109" s="42" t="str">
        <f>Berechnung4!B56</f>
        <v>2013,</v>
      </c>
      <c r="C109" s="42">
        <f>Berechnung4!C56</f>
        <v>0</v>
      </c>
      <c r="D109" s="42">
        <f>Berechnung4!D56</f>
        <v>0</v>
      </c>
      <c r="E109" s="42">
        <f>Berechnung4!E56</f>
        <v>0</v>
      </c>
      <c r="F109" s="42">
        <f>Berechnung4!F56</f>
        <v>0.49998999999999999</v>
      </c>
      <c r="G109" s="57">
        <f>Berechnung4!G56</f>
        <v>0.49998999999999999</v>
      </c>
      <c r="H109" s="57">
        <f>Berechnung4!H56</f>
        <v>0</v>
      </c>
      <c r="I109" s="42">
        <f>Berechnung4!I56</f>
        <v>0.80001</v>
      </c>
      <c r="J109" s="57">
        <f>Berechnung4!J56</f>
        <v>0.80001</v>
      </c>
      <c r="K109" s="42">
        <f>Berechnung4!K56</f>
        <v>0</v>
      </c>
      <c r="L109" s="42" t="str">
        <f>Berechnung4!L56</f>
        <v>OAS auffällig niedrig oder hoch</v>
      </c>
      <c r="M109" s="42"/>
      <c r="N109" s="42" t="str">
        <f>Berechnung4!M56</f>
        <v>OAS auffällig niedrig oder hoch</v>
      </c>
      <c r="O109" s="42"/>
      <c r="P109" s="42"/>
      <c r="Z109" s="8"/>
    </row>
    <row r="110" spans="1:26" ht="14.25" hidden="1" customHeight="1" x14ac:dyDescent="0.2">
      <c r="A110" s="42" t="str">
        <f>Berechnung4!B57</f>
        <v xml:space="preserve">2014, </v>
      </c>
      <c r="C110" s="42">
        <f>Berechnung4!C57</f>
        <v>0</v>
      </c>
      <c r="D110" s="42">
        <f>Berechnung4!D57</f>
        <v>0</v>
      </c>
      <c r="E110" s="42">
        <f>Berechnung4!E57</f>
        <v>0</v>
      </c>
      <c r="F110" s="42">
        <f>Berechnung4!F57</f>
        <v>0.54998999999999998</v>
      </c>
      <c r="G110" s="57">
        <f>Berechnung4!G57</f>
        <v>0.54998999999999998</v>
      </c>
      <c r="H110" s="57">
        <f>Berechnung4!H57</f>
        <v>0</v>
      </c>
      <c r="I110" s="42">
        <f>Berechnung4!I57</f>
        <v>0.90000999999999998</v>
      </c>
      <c r="J110" s="57">
        <f>Berechnung4!J57</f>
        <v>0.90000999999999998</v>
      </c>
      <c r="K110" s="42">
        <f>Berechnung4!K57</f>
        <v>0</v>
      </c>
      <c r="L110" s="42" t="str">
        <f>Berechnung4!L57</f>
        <v>OAS auffällig niedrig oder hoch</v>
      </c>
      <c r="M110" s="42"/>
      <c r="N110" s="42" t="str">
        <f>Berechnung4!M57</f>
        <v>OAS auffällig niedrig oder hoch</v>
      </c>
      <c r="O110" s="42"/>
      <c r="P110" s="42"/>
      <c r="Z110" s="8"/>
    </row>
    <row r="111" spans="1:26" ht="14.25" hidden="1" customHeight="1" x14ac:dyDescent="0.2">
      <c r="A111" s="42" t="str">
        <f>Berechnung4!B58</f>
        <v xml:space="preserve">2015, </v>
      </c>
      <c r="C111" s="42">
        <f>Berechnung4!C58</f>
        <v>0</v>
      </c>
      <c r="D111" s="42">
        <f>Berechnung4!D58</f>
        <v>0</v>
      </c>
      <c r="E111" s="42">
        <f>Berechnung4!E58</f>
        <v>0</v>
      </c>
      <c r="F111" s="42">
        <f>Berechnung4!F58</f>
        <v>0.59999000000000002</v>
      </c>
      <c r="G111" s="57">
        <f>Berechnung4!G58</f>
        <v>0.59999000000000002</v>
      </c>
      <c r="H111" s="57">
        <f>Berechnung4!H58</f>
        <v>0</v>
      </c>
      <c r="I111" s="42">
        <f>Berechnung4!I58</f>
        <v>0.90000999999999998</v>
      </c>
      <c r="J111" s="57">
        <f>Berechnung4!J58</f>
        <v>0.90000999999999998</v>
      </c>
      <c r="K111" s="42">
        <f>Berechnung4!K58</f>
        <v>0</v>
      </c>
      <c r="L111" s="42" t="str">
        <f>Berechnung4!L58</f>
        <v>OAS auffällig niedrig oder hoch</v>
      </c>
      <c r="M111" s="42"/>
      <c r="N111" s="42" t="str">
        <f>Berechnung4!M58</f>
        <v>OAS auffällig niedrig oder hoch</v>
      </c>
      <c r="O111" s="42"/>
      <c r="P111" s="42"/>
      <c r="Z111" s="8"/>
    </row>
    <row r="112" spans="1:26" ht="14.25" hidden="1" customHeight="1" x14ac:dyDescent="0.2">
      <c r="A112" s="42" t="str">
        <f>Berechnung4!B59</f>
        <v xml:space="preserve">2016, </v>
      </c>
      <c r="C112" s="42">
        <f>Berechnung4!C59</f>
        <v>0</v>
      </c>
      <c r="D112" s="42">
        <f>Berechnung4!D59</f>
        <v>0</v>
      </c>
      <c r="E112" s="42">
        <f>Berechnung4!E59</f>
        <v>0</v>
      </c>
      <c r="F112" s="42">
        <f>Berechnung4!F59</f>
        <v>0.64998999999999996</v>
      </c>
      <c r="G112" s="57">
        <f>Berechnung4!G59</f>
        <v>0.64998999999999996</v>
      </c>
      <c r="H112" s="57">
        <f>Berechnung4!H59</f>
        <v>0</v>
      </c>
      <c r="I112" s="42">
        <f>Berechnung4!I59</f>
        <v>0.95001000000000002</v>
      </c>
      <c r="J112" s="57">
        <f>Berechnung4!J59</f>
        <v>0.95001000000000002</v>
      </c>
      <c r="K112" s="42">
        <f>Berechnung4!K59</f>
        <v>0</v>
      </c>
      <c r="L112" s="42" t="str">
        <f>Berechnung4!L59</f>
        <v>OAS auffällig niedrig oder hoch</v>
      </c>
      <c r="M112" s="42"/>
      <c r="N112" s="42" t="str">
        <f>Berechnung4!M59</f>
        <v>OAS auffällig niedrig oder hoch</v>
      </c>
      <c r="O112" s="42"/>
      <c r="P112" s="42"/>
      <c r="Z112" s="8"/>
    </row>
    <row r="113" spans="1:26" ht="14.25" hidden="1" customHeight="1" x14ac:dyDescent="0.2">
      <c r="A113" s="42" t="str">
        <f>Berechnung4!B60</f>
        <v xml:space="preserve">2017, </v>
      </c>
      <c r="C113" s="42">
        <f>Berechnung4!C60</f>
        <v>0</v>
      </c>
      <c r="D113" s="42">
        <f>Berechnung4!D60</f>
        <v>0</v>
      </c>
      <c r="E113" s="42">
        <f>Berechnung4!E60</f>
        <v>0</v>
      </c>
      <c r="F113" s="42">
        <f>Berechnung4!F60</f>
        <v>0.84999000000000002</v>
      </c>
      <c r="G113" s="57">
        <f>Berechnung4!G60</f>
        <v>0.84999000000000002</v>
      </c>
      <c r="H113" s="57">
        <f>Berechnung4!H60</f>
        <v>0</v>
      </c>
      <c r="I113" s="42">
        <f>Berechnung4!I60</f>
        <v>0.99000999999999995</v>
      </c>
      <c r="J113" s="57">
        <f>Berechnung4!J60</f>
        <v>0.99000999999999995</v>
      </c>
      <c r="K113" s="42">
        <f>Berechnung4!K60</f>
        <v>0</v>
      </c>
      <c r="L113" s="42" t="str">
        <f>Berechnung4!L60</f>
        <v>OAS auffällig niedrig oder hoch</v>
      </c>
      <c r="M113" s="42"/>
      <c r="N113" s="42" t="str">
        <f>Berechnung4!M60</f>
        <v>OAS auffällig niedrig oder hoch</v>
      </c>
      <c r="O113" s="42"/>
      <c r="P113" s="42"/>
      <c r="Z113" s="8"/>
    </row>
    <row r="114" spans="1:26" ht="14.25" hidden="1" customHeight="1" x14ac:dyDescent="0.2">
      <c r="A114" s="42" t="str">
        <f>Berechnung4!B59</f>
        <v xml:space="preserve">2016, </v>
      </c>
      <c r="C114" s="42">
        <f>Berechnung4!C59</f>
        <v>0</v>
      </c>
      <c r="D114" s="42">
        <f>Berechnung4!D59</f>
        <v>0</v>
      </c>
      <c r="E114" s="42">
        <f>Berechnung4!E59</f>
        <v>0</v>
      </c>
      <c r="F114" s="42">
        <f>Berechnung4!F59</f>
        <v>0.64998999999999996</v>
      </c>
      <c r="G114" s="57">
        <f>Berechnung4!G59</f>
        <v>0.64998999999999996</v>
      </c>
      <c r="H114" s="57">
        <f>Berechnung4!H59</f>
        <v>0</v>
      </c>
      <c r="I114" s="42">
        <f>Berechnung4!I59</f>
        <v>0.95001000000000002</v>
      </c>
      <c r="J114" s="57">
        <f>Berechnung4!J59</f>
        <v>0.95001000000000002</v>
      </c>
      <c r="K114" s="42">
        <f>Berechnung4!K59</f>
        <v>0</v>
      </c>
      <c r="L114" s="42" t="str">
        <f>Berechnung4!L59</f>
        <v>OAS auffällig niedrig oder hoch</v>
      </c>
      <c r="M114" s="42"/>
      <c r="N114" s="42" t="str">
        <f>Berechnung4!M59</f>
        <v>OAS auffällig niedrig oder hoch</v>
      </c>
      <c r="O114" s="42"/>
      <c r="P114" s="42"/>
      <c r="Z114" s="8"/>
    </row>
    <row r="115" spans="1:26" ht="14.25" hidden="1" customHeight="1" x14ac:dyDescent="0.2">
      <c r="A115" s="42" t="str">
        <f>Berechnung4!B60</f>
        <v xml:space="preserve">2017, </v>
      </c>
      <c r="C115" s="42">
        <f>Berechnung4!C60</f>
        <v>0</v>
      </c>
      <c r="D115" s="42">
        <f>Berechnung4!D60</f>
        <v>0</v>
      </c>
      <c r="E115" s="42">
        <f>Berechnung4!E60</f>
        <v>0</v>
      </c>
      <c r="F115" s="42">
        <f>Berechnung4!F60</f>
        <v>0.84999000000000002</v>
      </c>
      <c r="G115" s="57">
        <f>Berechnung4!G60</f>
        <v>0.84999000000000002</v>
      </c>
      <c r="H115" s="57">
        <f>Berechnung4!H60</f>
        <v>0</v>
      </c>
      <c r="I115" s="42">
        <f>Berechnung4!I60</f>
        <v>0.99000999999999995</v>
      </c>
      <c r="J115" s="57">
        <f>Berechnung4!J60</f>
        <v>0.99000999999999995</v>
      </c>
      <c r="K115" s="42">
        <f>Berechnung4!K60</f>
        <v>0</v>
      </c>
      <c r="L115" s="42" t="str">
        <f>Berechnung4!L60</f>
        <v>OAS auffällig niedrig oder hoch</v>
      </c>
      <c r="M115" s="42"/>
      <c r="N115" s="42" t="str">
        <f>Berechnung4!M60</f>
        <v>OAS auffällig niedrig oder hoch</v>
      </c>
      <c r="O115" s="42"/>
      <c r="P115" s="42"/>
      <c r="Z115" s="8"/>
    </row>
    <row r="116" spans="1:26" ht="14.25" customHeight="1" x14ac:dyDescent="0.2">
      <c r="Z116" s="8"/>
    </row>
    <row r="117" spans="1:26" ht="14.25" customHeight="1" x14ac:dyDescent="0.2">
      <c r="Z117" s="8"/>
    </row>
    <row r="118" spans="1:26" ht="14.25" customHeight="1" x14ac:dyDescent="0.2">
      <c r="Z118" s="8"/>
    </row>
    <row r="119" spans="1:26" ht="14.25" customHeight="1" x14ac:dyDescent="0.2">
      <c r="Z119" s="8"/>
    </row>
  </sheetData>
  <sheetProtection selectLockedCells="1"/>
  <dataConsolidate/>
  <mergeCells count="95">
    <mergeCell ref="I27:M27"/>
    <mergeCell ref="O27:W27"/>
    <mergeCell ref="Y27:Z27"/>
    <mergeCell ref="I28:M28"/>
    <mergeCell ref="O28:W28"/>
    <mergeCell ref="A41:Z41"/>
    <mergeCell ref="A32:Z32"/>
    <mergeCell ref="A33:Z33"/>
    <mergeCell ref="A36:Z36"/>
    <mergeCell ref="A37:Z37"/>
    <mergeCell ref="A38:Z38"/>
    <mergeCell ref="A40:Z40"/>
    <mergeCell ref="A34:Z34"/>
    <mergeCell ref="A35:Z35"/>
    <mergeCell ref="A39:Z39"/>
    <mergeCell ref="F6:W6"/>
    <mergeCell ref="F8:J8"/>
    <mergeCell ref="T8:W8"/>
    <mergeCell ref="C19:G19"/>
    <mergeCell ref="B13:F13"/>
    <mergeCell ref="G13:K13"/>
    <mergeCell ref="L13:R13"/>
    <mergeCell ref="S13:V13"/>
    <mergeCell ref="W13:Z13"/>
    <mergeCell ref="B14:F14"/>
    <mergeCell ref="A11:Z11"/>
    <mergeCell ref="M21:M22"/>
    <mergeCell ref="Q21:Q22"/>
    <mergeCell ref="Z21:Z22"/>
    <mergeCell ref="Y19:Z19"/>
    <mergeCell ref="W14:Z14"/>
    <mergeCell ref="I19:W19"/>
    <mergeCell ref="U21:U22"/>
    <mergeCell ref="P21:P22"/>
    <mergeCell ref="S14:V14"/>
    <mergeCell ref="L14:R14"/>
    <mergeCell ref="R22:T22"/>
    <mergeCell ref="G14:K14"/>
    <mergeCell ref="G21:G22"/>
    <mergeCell ref="A21:A22"/>
    <mergeCell ref="B21:B22"/>
    <mergeCell ref="C21:C22"/>
    <mergeCell ref="D21:D22"/>
    <mergeCell ref="E21:E22"/>
    <mergeCell ref="F21:F22"/>
    <mergeCell ref="B71:D71"/>
    <mergeCell ref="B69:D69"/>
    <mergeCell ref="W21:W22"/>
    <mergeCell ref="Y21:Y22"/>
    <mergeCell ref="I21:I22"/>
    <mergeCell ref="J21:J22"/>
    <mergeCell ref="K21:K22"/>
    <mergeCell ref="L21:L22"/>
    <mergeCell ref="O21:O22"/>
    <mergeCell ref="V21:V22"/>
    <mergeCell ref="E69:G69"/>
    <mergeCell ref="E66:G66"/>
    <mergeCell ref="Y28:Z28"/>
    <mergeCell ref="E64:G64"/>
    <mergeCell ref="B60:D60"/>
    <mergeCell ref="E67:G67"/>
    <mergeCell ref="H59:Z59"/>
    <mergeCell ref="B59:D59"/>
    <mergeCell ref="E59:G59"/>
    <mergeCell ref="E76:G76"/>
    <mergeCell ref="B73:D73"/>
    <mergeCell ref="B62:D62"/>
    <mergeCell ref="E74:G74"/>
    <mergeCell ref="B74:D74"/>
    <mergeCell ref="B65:D65"/>
    <mergeCell ref="B67:D67"/>
    <mergeCell ref="E73:G73"/>
    <mergeCell ref="B68:D68"/>
    <mergeCell ref="E68:G68"/>
    <mergeCell ref="B72:D72"/>
    <mergeCell ref="E65:G65"/>
    <mergeCell ref="E78:G78"/>
    <mergeCell ref="B77:D77"/>
    <mergeCell ref="E77:G77"/>
    <mergeCell ref="B75:D75"/>
    <mergeCell ref="B76:D76"/>
    <mergeCell ref="B78:D78"/>
    <mergeCell ref="B70:D70"/>
    <mergeCell ref="E70:G70"/>
    <mergeCell ref="E71:G71"/>
    <mergeCell ref="E72:G72"/>
    <mergeCell ref="E75:G75"/>
    <mergeCell ref="E60:G60"/>
    <mergeCell ref="B61:D61"/>
    <mergeCell ref="E61:G61"/>
    <mergeCell ref="B64:D64"/>
    <mergeCell ref="B66:D66"/>
    <mergeCell ref="E62:G62"/>
    <mergeCell ref="B63:D63"/>
    <mergeCell ref="E63:G63"/>
  </mergeCells>
  <phoneticPr fontId="75" type="noConversion"/>
  <conditionalFormatting sqref="B23:B28">
    <cfRule type="expression" dxfId="55" priority="203" stopIfTrue="1">
      <formula>OR(A23="nicht relevant",A23="EZ")</formula>
    </cfRule>
  </conditionalFormatting>
  <conditionalFormatting sqref="B13:F13">
    <cfRule type="expression" dxfId="54" priority="34" stopIfTrue="1">
      <formula>$B$13="Nicht in Ordnung"</formula>
    </cfRule>
  </conditionalFormatting>
  <conditionalFormatting sqref="B14:F14">
    <cfRule type="expression" dxfId="53" priority="33" stopIfTrue="1">
      <formula>$B$14="die inkorrekten und unvollständigen Einträge beheben"</formula>
    </cfRule>
  </conditionalFormatting>
  <conditionalFormatting sqref="C23:C28">
    <cfRule type="cellIs" dxfId="52" priority="528" stopIfTrue="1" operator="lessThan">
      <formula>$G$88</formula>
    </cfRule>
  </conditionalFormatting>
  <conditionalFormatting sqref="C23:G28">
    <cfRule type="expression" dxfId="51" priority="1" stopIfTrue="1">
      <formula>OR($A23="nicht relevant",$A23="EZ")</formula>
    </cfRule>
  </conditionalFormatting>
  <conditionalFormatting sqref="D23:G28">
    <cfRule type="expression" dxfId="50" priority="2" stopIfTrue="1">
      <formula>LEN(TRIM(D23))=0</formula>
    </cfRule>
  </conditionalFormatting>
  <conditionalFormatting sqref="H23:H27 N23:N27 X23:X27">
    <cfRule type="expression" dxfId="49" priority="204" stopIfTrue="1">
      <formula>OR($A23="nicht relevant",$A23="EZ")</formula>
    </cfRule>
  </conditionalFormatting>
  <conditionalFormatting sqref="I23:I26">
    <cfRule type="expression" dxfId="48" priority="208" stopIfTrue="1">
      <formula>LEN(TRIM(I23))=0</formula>
    </cfRule>
    <cfRule type="cellIs" dxfId="47" priority="209" stopIfTrue="1" operator="greaterThan">
      <formula>$C23-$G23</formula>
    </cfRule>
  </conditionalFormatting>
  <conditionalFormatting sqref="I23:M26">
    <cfRule type="expression" dxfId="46" priority="202" stopIfTrue="1">
      <formula>OR($A23="nicht relevant",$A23="EZ")</formula>
    </cfRule>
  </conditionalFormatting>
  <conditionalFormatting sqref="J23:L26">
    <cfRule type="expression" dxfId="45" priority="207" stopIfTrue="1">
      <formula>LEN(TRIM(J23))=0</formula>
    </cfRule>
  </conditionalFormatting>
  <conditionalFormatting sqref="M23:M26">
    <cfRule type="expression" dxfId="44" priority="523" stopIfTrue="1">
      <formula>LEN(TRIM(M23))=0</formula>
    </cfRule>
    <cfRule type="cellIs" dxfId="43" priority="524" stopIfTrue="1" operator="between">
      <formula>$G$90</formula>
      <formula>$I$90</formula>
    </cfRule>
  </conditionalFormatting>
  <conditionalFormatting sqref="M30">
    <cfRule type="cellIs" dxfId="42" priority="300" stopIfTrue="1" operator="between">
      <formula>$G$91</formula>
      <formula>$I$91</formula>
    </cfRule>
    <cfRule type="cellIs" dxfId="41" priority="301" stopIfTrue="1" operator="between">
      <formula>$H$92</formula>
      <formula>$I$92</formula>
    </cfRule>
    <cfRule type="cellIs" dxfId="40" priority="302" stopIfTrue="1" operator="equal">
      <formula>"---"</formula>
    </cfRule>
  </conditionalFormatting>
  <conditionalFormatting sqref="O23:O26">
    <cfRule type="cellIs" dxfId="39" priority="210" stopIfTrue="1" operator="lessThan">
      <formula>0</formula>
    </cfRule>
  </conditionalFormatting>
  <conditionalFormatting sqref="O23:W26">
    <cfRule type="expression" dxfId="38" priority="40" stopIfTrue="1">
      <formula>OR($A23="nicht relevant",$A23="EZ")</formula>
    </cfRule>
  </conditionalFormatting>
  <conditionalFormatting sqref="P23:P26">
    <cfRule type="cellIs" dxfId="37" priority="526" stopIfTrue="1" operator="between">
      <formula>$G$86</formula>
      <formula>$I$86</formula>
    </cfRule>
  </conditionalFormatting>
  <conditionalFormatting sqref="Q23:W26">
    <cfRule type="expression" dxfId="36" priority="41" stopIfTrue="1">
      <formula>LEN(TRIM(Q23))=0</formula>
    </cfRule>
  </conditionalFormatting>
  <conditionalFormatting sqref="R23:T26">
    <cfRule type="cellIs" dxfId="35" priority="44" stopIfTrue="1" operator="greaterThan">
      <formula>$Q23</formula>
    </cfRule>
  </conditionalFormatting>
  <conditionalFormatting sqref="Y23">
    <cfRule type="cellIs" dxfId="34" priority="4" stopIfTrue="1" operator="between">
      <formula>$D$100</formula>
      <formula>$F$100</formula>
    </cfRule>
    <cfRule type="cellIs" dxfId="33" priority="5" stopIfTrue="1" operator="greaterThan">
      <formula>$J100</formula>
    </cfRule>
  </conditionalFormatting>
  <conditionalFormatting sqref="Y24">
    <cfRule type="cellIs" dxfId="32" priority="7" stopIfTrue="1" operator="between">
      <formula>$D$101</formula>
      <formula>$F$101</formula>
    </cfRule>
    <cfRule type="cellIs" dxfId="31" priority="8" stopIfTrue="1" operator="greaterThan">
      <formula>$J$101</formula>
    </cfRule>
  </conditionalFormatting>
  <conditionalFormatting sqref="Y25">
    <cfRule type="cellIs" dxfId="30" priority="10" stopIfTrue="1" operator="between">
      <formula>$D$102</formula>
      <formula>$F$102</formula>
    </cfRule>
    <cfRule type="cellIs" dxfId="29" priority="11" stopIfTrue="1" operator="greaterThan">
      <formula>$J$102</formula>
    </cfRule>
  </conditionalFormatting>
  <conditionalFormatting sqref="Y26">
    <cfRule type="cellIs" dxfId="28" priority="13" stopIfTrue="1" operator="between">
      <formula>$D$103</formula>
      <formula>$F$103</formula>
    </cfRule>
    <cfRule type="cellIs" dxfId="27" priority="14" stopIfTrue="1" operator="greaterThan">
      <formula>$J$103</formula>
    </cfRule>
  </conditionalFormatting>
  <conditionalFormatting sqref="Y23:Z26">
    <cfRule type="expression" dxfId="26" priority="3" stopIfTrue="1">
      <formula>LEN(TRIM(Y23))=0</formula>
    </cfRule>
  </conditionalFormatting>
  <conditionalFormatting sqref="Z23">
    <cfRule type="cellIs" dxfId="25" priority="19" stopIfTrue="1" operator="between">
      <formula>$D$109</formula>
      <formula>$F$109</formula>
    </cfRule>
    <cfRule type="cellIs" dxfId="24" priority="20" stopIfTrue="1" operator="greaterThan">
      <formula>$J$109</formula>
    </cfRule>
  </conditionalFormatting>
  <conditionalFormatting sqref="Z24">
    <cfRule type="cellIs" dxfId="23" priority="22" stopIfTrue="1" operator="between">
      <formula>$D$109</formula>
      <formula>$F$110</formula>
    </cfRule>
    <cfRule type="cellIs" dxfId="22" priority="23" stopIfTrue="1" operator="greaterThan">
      <formula>$J$110</formula>
    </cfRule>
  </conditionalFormatting>
  <conditionalFormatting sqref="Z25">
    <cfRule type="cellIs" dxfId="21" priority="25" stopIfTrue="1" operator="between">
      <formula>$D109</formula>
      <formula>$F111</formula>
    </cfRule>
    <cfRule type="cellIs" dxfId="20" priority="26" stopIfTrue="1" operator="greaterThan">
      <formula>$J111</formula>
    </cfRule>
  </conditionalFormatting>
  <conditionalFormatting sqref="Z26">
    <cfRule type="cellIs" dxfId="19" priority="29" stopIfTrue="1" operator="greaterThan">
      <formula>$J112</formula>
    </cfRule>
    <cfRule type="cellIs" dxfId="18" priority="28" stopIfTrue="1" operator="between">
      <formula>$D109</formula>
      <formula>$F112</formula>
    </cfRule>
  </conditionalFormatting>
  <dataValidations count="13">
    <dataValidation type="whole" showInputMessage="1" showErrorMessage="1" errorTitle="Eingabefehler" error="Anzahl Pat. im Follow-Up zu hoch." sqref="L23:L27" xr:uid="{00000000-0002-0000-0F00-000000000000}">
      <formula1>0</formula1>
      <formula2>C23-G23-J23-K23</formula2>
    </dataValidation>
    <dataValidation type="whole" showInputMessage="1" showErrorMessage="1" errorTitle="Eingabefehler" error="Anzahl Pat. im Follow-Up zu hoch." sqref="K23:K27" xr:uid="{00000000-0002-0000-0F00-000001000000}">
      <formula1>0</formula1>
      <formula2>C23-G23-J23-L23</formula2>
    </dataValidation>
    <dataValidation type="whole" showInputMessage="1" showErrorMessage="1" errorTitle="Eingabefehler" error="Anzahl Pat. im Follow-Up zu hoch." sqref="J23:J27" xr:uid="{00000000-0002-0000-0F00-000002000000}">
      <formula1>0</formula1>
      <formula2>C23-G23-K23-L23</formula2>
    </dataValidation>
    <dataValidation type="whole" allowBlank="1" showInputMessage="1" showErrorMessage="1" errorTitle="Eingabefehler" error="Ganze Zahl zwischen 0 und 5000 eingeben." sqref="D23:G28" xr:uid="{00000000-0002-0000-0F00-000003000000}">
      <formula1>0</formula1>
      <formula2>5000</formula2>
    </dataValidation>
    <dataValidation type="whole" operator="greaterThanOrEqual" allowBlank="1" showInputMessage="1" showErrorMessage="1" errorTitle="Error" error="Minuszahlen..." sqref="C23:C28" xr:uid="{00000000-0002-0000-0F00-000004000000}">
      <formula1>0</formula1>
    </dataValidation>
    <dataValidation type="whole" errorStyle="information" allowBlank="1" showInputMessage="1" showErrorMessage="1" errorTitle="Ausfüllhinweis" error="Nur postive ganze Zahlen verwenden." sqref="H23:H28" xr:uid="{00000000-0002-0000-0F00-000005000000}">
      <formula1>0</formula1>
      <formula2>5000</formula2>
    </dataValidation>
    <dataValidation type="whole" showInputMessage="1" showErrorMessage="1" errorTitle="Eingabefehler" error="Eingabe kann nicht größer sein als Ereignisse Spalte Q._x000a_" sqref="R23:R27" xr:uid="{00000000-0002-0000-0F00-000006000000}">
      <formula1>0</formula1>
      <formula2>$Q23</formula2>
    </dataValidation>
    <dataValidation type="whole" showInputMessage="1" showErrorMessage="1" errorTitle="Eingabefehler" error="Eingabe kann nicht größer sein als Ereignisse Spalte Q." sqref="S23:T27" xr:uid="{00000000-0002-0000-0F00-000007000000}">
      <formula1>0</formula1>
      <formula2>$Q23</formula2>
    </dataValidation>
    <dataValidation type="decimal" allowBlank="1" showInputMessage="1" showErrorMessage="1" errorTitle="Aufüllhinweis" error="Nur Prozentwerte zwischen 0% und 100% können verwendet werden." sqref="Y23:Z27" xr:uid="{00000000-0002-0000-0F00-000008000000}">
      <formula1>0</formula1>
      <formula2>1</formula2>
    </dataValidation>
    <dataValidation type="whole" showInputMessage="1" showErrorMessage="1" errorTitle="Eingabefehler" error="Summe Spalten Q+U+V+W (Patienten mit Ereignisse) darf nicht größer als Summe Spalten J+K (Patientenrückmeldungen) sein." sqref="Q23:Q27" xr:uid="{00000000-0002-0000-0F00-000009000000}">
      <formula1>0</formula1>
      <formula2>SUM($J23:$K23)-$U23-$V23-$W23</formula2>
    </dataValidation>
    <dataValidation type="whole" showInputMessage="1" showErrorMessage="1" errorTitle="Eingabefehler" error="Summe Spalten Q+U+V+W (Patienten mit Ereignisse) darf nicht größer als Summe Spalten J+K (Patientenrückmeldungen) sein." sqref="U23:U27" xr:uid="{00000000-0002-0000-0F00-00000A000000}">
      <formula1>0</formula1>
      <formula2>SUM($J23:$K23)-$Q23-$V23-$W23</formula2>
    </dataValidation>
    <dataValidation type="whole" showInputMessage="1" showErrorMessage="1" errorTitle="Eingabefehler" error="Summe Spalten Q+U+V+W (Patienten mit Ereignisse) darf nicht größer als Summe Spalten J+K (Patientenrückmeldungen) sein." sqref="V23:V27" xr:uid="{00000000-0002-0000-0F00-00000B000000}">
      <formula1>0</formula1>
      <formula2>SUM($J23:$K23)-$U23-$Q23-$W23</formula2>
    </dataValidation>
    <dataValidation type="whole" showInputMessage="1" showErrorMessage="1" errorTitle="Eingabefehler" error="Summe Spalten Q+U+V+W (Patienten mit Ereignisse) darf nicht größer als Summe Spalten J+K (Patientenrückmeldungen) sein." sqref="W23:W27" xr:uid="{00000000-0002-0000-0F00-00000C000000}">
      <formula1>0</formula1>
      <formula2>SUM($J23:$K23)-$U23-$V23-$Q23</formula2>
    </dataValidation>
  </dataValidations>
  <pageMargins left="0.39370078740157483" right="3.937007874015748E-2" top="0.59055118110236227" bottom="0.39370078740157483" header="0.11811023622047245" footer="0.11811023622047245"/>
  <pageSetup paperSize="9" scale="98" orientation="landscape" r:id="rId1"/>
  <headerFooter>
    <oddFooter>&amp;L&amp;"Arial,Standard"&amp;7&amp;F&amp;C&amp;"Arial,Standard"&amp;7 © DKG  Alle Rechte vorbehalten&amp;R&amp;"Arial,Standard"&amp;7&amp;P</oddFooter>
  </headerFooter>
  <rowBreaks count="2" manualBreakCount="2">
    <brk id="31" max="16383" man="1"/>
    <brk id="56" max="16383" man="1"/>
  </rowBreaks>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5"/>
  <dimension ref="A1:AH61"/>
  <sheetViews>
    <sheetView topLeftCell="A21" zoomScaleNormal="100" workbookViewId="0">
      <selection activeCell="B61" sqref="B61"/>
    </sheetView>
  </sheetViews>
  <sheetFormatPr defaultColWidth="9" defaultRowHeight="11.25" x14ac:dyDescent="0.25"/>
  <cols>
    <col min="1" max="1" width="20.7109375" style="35" customWidth="1"/>
    <col min="2" max="2" width="25.140625" style="35" customWidth="1"/>
    <col min="3" max="3" width="27.7109375" style="35" customWidth="1"/>
    <col min="4" max="4" width="23.28515625" style="35" customWidth="1"/>
    <col min="5" max="5" width="29.7109375" style="35" customWidth="1"/>
    <col min="6" max="6" width="31.42578125" style="35" customWidth="1"/>
    <col min="7" max="7" width="25.140625" style="170" customWidth="1"/>
    <col min="8" max="8" width="25.5703125" style="203" customWidth="1"/>
    <col min="9" max="9" width="30.7109375" style="165" customWidth="1"/>
    <col min="10" max="10" width="34.5703125" style="195" customWidth="1"/>
    <col min="11" max="11" width="29.85546875" style="35" customWidth="1"/>
    <col min="12" max="12" width="32.85546875" style="35" customWidth="1"/>
    <col min="13" max="13" width="30.28515625" style="35" customWidth="1"/>
    <col min="14" max="14" width="24.42578125" style="35" customWidth="1"/>
    <col min="15" max="15" width="14.7109375" style="35" customWidth="1"/>
    <col min="16" max="16" width="11.42578125" style="35" customWidth="1"/>
    <col min="17" max="17" width="27.5703125" style="35" customWidth="1"/>
    <col min="18" max="131" width="11.42578125" style="35" customWidth="1"/>
    <col min="132" max="16384" width="9" style="35"/>
  </cols>
  <sheetData>
    <row r="1" spans="1:34" x14ac:dyDescent="0.25">
      <c r="G1" s="35"/>
      <c r="H1" s="195"/>
      <c r="I1" s="35"/>
    </row>
    <row r="2" spans="1:34" ht="12.75" customHeight="1" x14ac:dyDescent="0.25">
      <c r="A2" s="90" t="s">
        <v>291</v>
      </c>
      <c r="G2" s="35"/>
      <c r="H2" s="195"/>
      <c r="I2" s="35"/>
      <c r="AG2" s="170"/>
    </row>
    <row r="3" spans="1:34" ht="14.25" customHeight="1" x14ac:dyDescent="0.25">
      <c r="AG3" s="170"/>
    </row>
    <row r="4" spans="1:34" x14ac:dyDescent="0.25">
      <c r="G4" s="35"/>
      <c r="H4" s="195"/>
      <c r="I4" s="35"/>
      <c r="AG4" s="170"/>
    </row>
    <row r="5" spans="1:34" ht="15" customHeight="1" x14ac:dyDescent="0.25">
      <c r="B5" s="161" t="s">
        <v>286</v>
      </c>
      <c r="C5" s="129" t="s">
        <v>280</v>
      </c>
      <c r="D5" s="162" t="s">
        <v>154</v>
      </c>
      <c r="E5" s="163" t="s">
        <v>287</v>
      </c>
      <c r="F5" s="164" t="s">
        <v>288</v>
      </c>
      <c r="G5" s="35"/>
      <c r="H5" s="195"/>
      <c r="I5" s="35"/>
      <c r="AF5" s="159"/>
    </row>
    <row r="6" spans="1:34" x14ac:dyDescent="0.25">
      <c r="B6" s="240" t="str">
        <f>IF(AND(E6=0,F6=0,Berechnung5!A7="relevant"),B8,IF(OR(Berechnung5!A7="nicht relevant",Berechnung5!A7="EZ"),"",B9))</f>
        <v/>
      </c>
      <c r="C6" s="166">
        <f>Berechnung5!J61</f>
        <v>0</v>
      </c>
      <c r="D6" s="167">
        <f>Berechnung5!J62</f>
        <v>0</v>
      </c>
      <c r="E6" s="168">
        <f>Berechnung5!J60</f>
        <v>0</v>
      </c>
      <c r="F6" s="169">
        <f>Berechnung5!J59</f>
        <v>0</v>
      </c>
      <c r="G6" s="35"/>
      <c r="H6" s="195"/>
      <c r="I6" s="35"/>
    </row>
    <row r="7" spans="1:34" x14ac:dyDescent="0.25">
      <c r="G7" s="35"/>
      <c r="H7" s="195"/>
      <c r="I7" s="35"/>
    </row>
    <row r="8" spans="1:34" x14ac:dyDescent="0.25">
      <c r="A8" s="90" t="s">
        <v>141</v>
      </c>
      <c r="B8" s="35" t="s">
        <v>338</v>
      </c>
      <c r="G8" s="35"/>
      <c r="H8" s="195"/>
      <c r="I8" s="35"/>
    </row>
    <row r="9" spans="1:34" x14ac:dyDescent="0.25">
      <c r="B9" s="35" t="s">
        <v>151</v>
      </c>
      <c r="G9" s="35"/>
      <c r="H9" s="195"/>
      <c r="I9" s="35"/>
    </row>
    <row r="10" spans="1:34" x14ac:dyDescent="0.25">
      <c r="G10" s="35"/>
      <c r="H10" s="195"/>
      <c r="I10" s="35"/>
    </row>
    <row r="11" spans="1:34" x14ac:dyDescent="0.25">
      <c r="A11" s="165"/>
      <c r="B11" s="90" t="s">
        <v>312</v>
      </c>
      <c r="G11" s="35"/>
      <c r="H11" s="195"/>
      <c r="I11" s="35"/>
    </row>
    <row r="12" spans="1:34" x14ac:dyDescent="0.25">
      <c r="A12" s="165"/>
      <c r="G12" s="35"/>
      <c r="H12" s="195"/>
      <c r="I12" s="35"/>
    </row>
    <row r="13" spans="1:34" x14ac:dyDescent="0.25">
      <c r="A13" s="165"/>
      <c r="B13" s="849" t="s">
        <v>297</v>
      </c>
      <c r="C13" s="851" t="s">
        <v>314</v>
      </c>
      <c r="D13" s="789" t="s">
        <v>296</v>
      </c>
      <c r="E13" s="853" t="s">
        <v>119</v>
      </c>
      <c r="G13" s="35"/>
      <c r="H13" s="195"/>
      <c r="I13" s="35"/>
    </row>
    <row r="14" spans="1:34" x14ac:dyDescent="0.25">
      <c r="A14" s="165"/>
      <c r="B14" s="850"/>
      <c r="C14" s="852"/>
      <c r="D14" s="789"/>
      <c r="E14" s="854"/>
      <c r="G14" s="35"/>
      <c r="H14" s="195"/>
      <c r="I14" s="120" t="s">
        <v>119</v>
      </c>
      <c r="J14" s="91" t="s">
        <v>120</v>
      </c>
    </row>
    <row r="15" spans="1:34" ht="38.1" customHeight="1" x14ac:dyDescent="0.25">
      <c r="A15" s="159" t="s">
        <v>311</v>
      </c>
      <c r="B15" s="157" t="str">
        <f>CONCATENATE(IF(Berechnung5!$H$2=Berechnung4!$L$32,Berechnung5!$B$2,""),IF(Berechnung5!$H$3=Berechnung4!$L$32,Berechnung5!$B$3,""),IF(Berechnung5!$H$4=Berechnung4!$L$32,Berechnung5!$B$4,""),IF(Berechnung5!$H$5=Berechnung4!$L$32,Berechnung5!$B$5,""),IF(Berechnung5!$H$6=Berechnung4!$L$32,Berechnung5!$B$6,""),IF(Berechnung5!$H$7=Berechnung4!$L$32,Berechnung5!$B$7,""))</f>
        <v/>
      </c>
      <c r="C15" s="34">
        <f>IF(LEN(B15)&gt;0,"X",0)</f>
        <v>0</v>
      </c>
      <c r="D15" s="34" t="str">
        <f>IF(COUNTIF(Berechnung5!$H$2:$H$7,Berechnung4!$L$32)&gt;0,CONCATENATE(Berechnung4!$F$5,"                                     ",Berechnung4!$L$32),"")</f>
        <v/>
      </c>
      <c r="E15" s="34" t="str">
        <f>IF(COUNTIF(Berechnung5!$H$2:$H$7,Berechnung4!$L$32)&gt;0,"a","")</f>
        <v/>
      </c>
      <c r="G15" s="125" t="e">
        <f t="array" ref="G15">INDEX(B:B,SMALL(IF($C$15:$C$25="X",ROW($15:$25)),1))</f>
        <v>#NUM!</v>
      </c>
      <c r="H15" s="234" t="e">
        <f t="array" ref="H15">INDEX(D:D,SMALL(IF($C$15:$C$25="X",ROW($15:$25)),1))</f>
        <v>#NUM!</v>
      </c>
      <c r="I15" s="94" t="e">
        <f t="array" ref="I15">INDEX(E:E,SMALL(IF($C$15:$C$25="X",ROW($15:$25)),1))</f>
        <v>#NUM!</v>
      </c>
      <c r="J15" s="34" t="e">
        <f>IF(AND('Data deficit_Matrix-Rectum'!C19="",I15&lt;&gt;""),"Anmerkung OnkoZert : Keine Erläuterung vorhanden",'Data deficit_Matrix-Rectum'!C19)</f>
        <v>#NUM!</v>
      </c>
    </row>
    <row r="16" spans="1:34" ht="38.1" customHeight="1" x14ac:dyDescent="0.25">
      <c r="A16" s="159" t="s">
        <v>316</v>
      </c>
      <c r="B16" s="157" t="str">
        <f>CONCATENATE(IF(Berechnung5!$H$8=Berechnung4!$L$36,Berechnung5!$B$2,""),IF(Berechnung5!$H$9=Berechnung4!$L$36,Berechnung5!$B$3,""),IF(Berechnung5!$H$10=Berechnung4!$L$36,Berechnung5!$B$4,""),IF(Berechnung5!$H$11=Berechnung4!$L$36,Berechnung5!$B$5,""),IF(Berechnung5!$H$12=Berechnung4!$L$36,Berechnung5!$B$6,""),IF(Berechnung5!$H$13=Berechnung4!$L$36,Berechnung5!$B$7,""))</f>
        <v/>
      </c>
      <c r="C16" s="34">
        <f>IF(LEN(B16)&gt;0,"X",0)</f>
        <v>0</v>
      </c>
      <c r="D16" s="34" t="str">
        <f>IF(COUNTIF(Berechnung5!$H$8:$H$12,Berechnung4!$L$36)&gt;0,CONCATENATE(Berechnung4!$E$5,"                                     ",Berechnung4!$L$36),"")</f>
        <v/>
      </c>
      <c r="E16" s="34" t="str">
        <f>IF(COUNTIF(Berechnung5!$H$8:$H$12,Berechnung4!$L$36)&gt;0,"b","")</f>
        <v/>
      </c>
      <c r="G16" s="125" t="e">
        <f t="array" ref="G16">INDEX(B:B,SMALL(IF($C$15:$C$25="X",ROW($15:$25)),2))</f>
        <v>#NUM!</v>
      </c>
      <c r="H16" s="234" t="e">
        <f t="array" ref="H16">INDEX(D:D,SMALL(IF($C$15:$C$25="X",ROW($15:$25)),2))</f>
        <v>#NUM!</v>
      </c>
      <c r="I16" s="94" t="e">
        <f t="array" ref="I16">INDEX(E:E,SMALL(IF($C$15:$C$25="X",ROW($15:$25)),2))</f>
        <v>#NUM!</v>
      </c>
      <c r="J16" s="34" t="e">
        <f>IF(AND('Data deficit_Matrix-Rectum'!C20="",I16&lt;&gt;""),"Anmerkung OnkoZert : Keine Erläuterung vorhanden",'Data deficit_Matrix-Rectum'!C20)</f>
        <v>#NUM!</v>
      </c>
      <c r="AH16" s="171"/>
    </row>
    <row r="17" spans="1:34" ht="38.1" customHeight="1" x14ac:dyDescent="0.25">
      <c r="A17" s="159" t="s">
        <v>317</v>
      </c>
      <c r="B17" s="157" t="str">
        <f>CONCATENATE(IF(Berechnung5!$H$14=Berechnung4!$L$42,Berechnung5!$B$2,""),IF(Berechnung5!$H$15=Berechnung4!$L$42,Berechnung5!$B$3,""),IF(Berechnung5!$H$16=Berechnung4!$L$42,Berechnung5!$B$4,""),IF(Berechnung5!$H$17=Berechnung4!$L$42,Berechnung5!$B$5,""),IF(Berechnung5!$H$18=Berechnung4!$L$42,Berechnung5!$B$6,""),IF(Berechnung5!$H$19=Berechnung4!$L$42,Berechnung5!$B$7,""))</f>
        <v/>
      </c>
      <c r="C17" s="34">
        <f>IF(LEN(B17)&gt;0,"X",0)</f>
        <v>0</v>
      </c>
      <c r="D17" s="34" t="str">
        <f>IF(COUNTIF(Berechnung5!$H$14:$H$18,Berechnung4!$L$42)&gt;0,CONCATENATE(Berechnung4!$E$5,"                                     ",Berechnung4!$L$42),"")</f>
        <v/>
      </c>
      <c r="E17" s="34" t="str">
        <f>IF(COUNTIF(Berechnung5!$H$14:$H$18,Berechnung4!$L$42)&gt;0,"c","")</f>
        <v/>
      </c>
      <c r="G17" s="125" t="e">
        <f t="array" ref="G17">INDEX(B:B,SMALL(IF($C$15:$C$25="X",ROW($15:$25)),3))</f>
        <v>#NUM!</v>
      </c>
      <c r="H17" s="234" t="e">
        <f t="array" ref="H17">INDEX(D:D,SMALL(IF($C$15:$C$25="X",ROW($15:$25)),3))</f>
        <v>#NUM!</v>
      </c>
      <c r="I17" s="94" t="e">
        <f t="array" ref="I17">INDEX(E:E,SMALL(IF($C$15:$C$25="X",ROW($15:$25)),3))</f>
        <v>#NUM!</v>
      </c>
      <c r="J17" s="34" t="e">
        <f>IF(AND('Data deficit_Matrix-Rectum'!C21="",I17&lt;&gt;""),"Anmerkung OnkoZert : Keine Erläuterung vorhanden",'Data deficit_Matrix-Rectum'!C21)</f>
        <v>#NUM!</v>
      </c>
    </row>
    <row r="18" spans="1:34" ht="38.1" customHeight="1" x14ac:dyDescent="0.25">
      <c r="A18" s="159" t="s">
        <v>315</v>
      </c>
      <c r="B18" s="157" t="str">
        <f>CONCATENATE(IF(Berechnung5!$H$20=Berechnung4!$L$40,Berechnung5!$B$2,""),IF(Berechnung5!$H$21=Berechnung4!$L$40,Berechnung5!$B$3,""),IF(Berechnung5!$H$22=Berechnung4!$L$40,Berechnung5!$B$4,""),IF(Berechnung5!$H$23=Berechnung4!$L$40,Berechnung5!$B$5,""),IF(Berechnung5!$H$24=Berechnung4!$L$40,Berechnung5!$B$6,""),IF(Berechnung5!$H$25=Berechnung4!$L$40,Berechnung5!$B$7,""))</f>
        <v/>
      </c>
      <c r="C18" s="34">
        <f>IF(LEN(B18)&gt;0,"X",0)</f>
        <v>0</v>
      </c>
      <c r="D18" s="34" t="str">
        <f>IF(COUNTIF(Berechnung5!$H$20:$H$24,Berechnung4!$L$40)&gt;0,CONCATENATE(Berechnung4!$E$5,"                                     ",Berechnung4!$L$40),"")</f>
        <v/>
      </c>
      <c r="E18" s="34" t="str">
        <f>IF(COUNTIF(Berechnung5!$H$20:$H$24,Berechnung4!$L$40)&gt;0,"d","")</f>
        <v/>
      </c>
      <c r="G18" s="125" t="e">
        <f t="array" ref="G18">INDEX(B:B,SMALL(IF($C$15:$C$25="X",ROW($15:$25)),4))</f>
        <v>#NUM!</v>
      </c>
      <c r="H18" s="234" t="e">
        <f t="array" ref="H18">INDEX(D:D,SMALL(IF($C$15:$C$25="X",ROW($15:$25)),4))</f>
        <v>#NUM!</v>
      </c>
      <c r="I18" s="94" t="e">
        <f t="array" ref="I18">INDEX(E:E,SMALL(IF($C$15:$C$25="X",ROW($15:$25)),4))</f>
        <v>#NUM!</v>
      </c>
      <c r="J18" s="34" t="e">
        <f>IF(AND('Data deficit_Matrix-Rectum'!C22="",I18&lt;&gt;""),"Anmerkung OnkoZert : Keine Erläuterung vorhanden",'Data deficit_Matrix-Rectum'!C22)</f>
        <v>#NUM!</v>
      </c>
      <c r="AH18" s="170"/>
    </row>
    <row r="19" spans="1:34" ht="38.1" customHeight="1" x14ac:dyDescent="0.25">
      <c r="A19" s="159" t="s">
        <v>153</v>
      </c>
      <c r="B19" s="34" t="s">
        <v>387</v>
      </c>
      <c r="C19" s="34">
        <f>IF(LEN(D19)&gt;0,"X",0)</f>
        <v>0</v>
      </c>
      <c r="D19" s="34" t="str">
        <f>IF(COUNTIF(Berechnung5!$H$26,Berechnung4!$L$38)&gt;0,CONCATENATE(Berechnung4!$D$5,"                                     ",Berechnung4!$L$38),"")</f>
        <v/>
      </c>
      <c r="E19" s="34" t="str">
        <f>IF(COUNTIF(Berechnung5!$H$26,Berechnung4!$L$38)&gt;0,"e","")</f>
        <v/>
      </c>
      <c r="G19" s="125" t="e">
        <f t="array" ref="G19">INDEX(B:B,SMALL(IF($C$15:$C$25="X",ROW($15:$25)),5))</f>
        <v>#NUM!</v>
      </c>
      <c r="H19" s="234" t="e">
        <f t="array" ref="H19">INDEX(D:D,SMALL(IF($C$15:$C$25="X",ROW($15:$25)),5))</f>
        <v>#NUM!</v>
      </c>
      <c r="I19" s="94" t="e">
        <f t="array" ref="I19">INDEX(E:E,SMALL(IF($C$15:$C$25="X",ROW($15:$25)),5))</f>
        <v>#NUM!</v>
      </c>
      <c r="J19" s="34" t="e">
        <f>IF(AND('Data deficit_Matrix-Rectum'!C23="",I19&lt;&gt;""),"Anmerkung OnkoZert : Keine Erläuterung vorhanden",'Data deficit_Matrix-Rectum'!C23)</f>
        <v>#NUM!</v>
      </c>
    </row>
    <row r="20" spans="1:34" ht="38.1" customHeight="1" x14ac:dyDescent="0.25">
      <c r="A20" s="159" t="s">
        <v>318</v>
      </c>
      <c r="B20" s="157" t="str">
        <f>CONCATENATE(IF(Berechnung5!$H$27=Berechnung4!$L$35,Berechnung5!$B$2,""),IF(Berechnung5!$H$28=Berechnung4!$L$35,Berechnung5!$B$3,""),IF(Berechnung5!$H$29=Berechnung4!$L$35,Berechnung5!$B$4,""),IF(Berechnung5!$H$30=Berechnung4!$L$35,Berechnung5!$B$5,""),IF(Berechnung5!$H$31=Berechnung4!$L$35,Berechnung5!$B$6,""),IF(Berechnung5!$H$32=Berechnung4!$L$35,Berechnung5!$B$7,""))</f>
        <v/>
      </c>
      <c r="C20" s="34">
        <f>IF(LEN(B20)&gt;0,"X",0)</f>
        <v>0</v>
      </c>
      <c r="D20" s="34" t="str">
        <f>IF(COUNTIF(Berechnung5!$H$27:$H$32,Berechnung4!$L$35)&gt;0,CONCATENATE(Berechnung4!$C$5,"                                     ",Berechnung4!$L$35),"")</f>
        <v/>
      </c>
      <c r="E20" s="34" t="str">
        <f>IF(COUNTIF(Berechnung5!$H$27:$H$32,Berechnung4!$L$35)&gt;0,"f","")</f>
        <v/>
      </c>
      <c r="G20" s="125" t="e">
        <f t="array" ref="G20">INDEX(B:B,SMALL(IF($C$15:$C$25="X",ROW($15:$25)),6))</f>
        <v>#NUM!</v>
      </c>
      <c r="H20" s="234" t="e">
        <f t="array" ref="H20">INDEX(D:D,SMALL(IF($C$15:$C$25="X",ROW($15:$25)),6))</f>
        <v>#NUM!</v>
      </c>
      <c r="I20" s="94" t="e">
        <f t="array" ref="I20">INDEX(E:E,SMALL(IF($C$15:$C$25="X",ROW($15:$25)),6))</f>
        <v>#NUM!</v>
      </c>
      <c r="J20" s="34" t="e">
        <f>IF(AND('Data deficit_Matrix-Rectum'!C24="",I20&lt;&gt;""),"Anmerkung OnkoZert : Keine Erläuterung vorhanden",'Data deficit_Matrix-Rectum'!C24)</f>
        <v>#NUM!</v>
      </c>
    </row>
    <row r="21" spans="1:34" ht="38.1" customHeight="1" x14ac:dyDescent="0.25">
      <c r="A21" s="159"/>
      <c r="B21" s="34" t="s">
        <v>387</v>
      </c>
      <c r="C21" s="34">
        <f>IF(LEN(D21)&gt;0,"X",0)</f>
        <v>0</v>
      </c>
      <c r="D21" s="34" t="str">
        <f>IF(COUNTIF(Berechnung5!$H$33,Berechnung4!$L$39),CONCATENATE(Berechnung4!$C$5,"                                     ",Berechnung4!$L$39),"")</f>
        <v/>
      </c>
      <c r="E21" s="34" t="str">
        <f>IF(COUNTIF(Berechnung5!$H$33,Berechnung4!$L$39)&gt;0,"g","")</f>
        <v/>
      </c>
      <c r="G21" s="125" t="e">
        <f t="array" ref="G21">INDEX(B:B,SMALL(IF($C$15:$C$25="X",ROW($15:$25)),7))</f>
        <v>#NUM!</v>
      </c>
      <c r="H21" s="234" t="e">
        <f t="array" ref="H21">INDEX(D:D,SMALL(IF($C$15:$C$25="X",ROW($15:$25)),7))</f>
        <v>#NUM!</v>
      </c>
      <c r="I21" s="94" t="e">
        <f t="array" ref="I21">INDEX(E:E,SMALL(IF($C$15:$C$25="X",ROW($15:$25)),7))</f>
        <v>#NUM!</v>
      </c>
      <c r="J21" s="34" t="e">
        <f>IF(AND('Data deficit_Matrix-Rectum'!C25="",I21&lt;&gt;""),"Anmerkung OnkoZert : Keine Erläuterung vorhanden",'Data deficit_Matrix-Rectum'!C25)</f>
        <v>#NUM!</v>
      </c>
    </row>
    <row r="22" spans="1:34" ht="38.1" customHeight="1" x14ac:dyDescent="0.25">
      <c r="A22" s="159" t="s">
        <v>319</v>
      </c>
      <c r="B22" s="157" t="str">
        <f>CONCATENATE(IF(Berechnung5!$H$34=Berechnung4!$L$37,Berechnung5!$B$2,""),IF(Berechnung5!$H$35=Berechnung4!$L$37,Berechnung5!$B$3,""),IF(Berechnung5!$H$36=Berechnung4!$L$37,Berechnung5!$B$4,""),IF(Berechnung5!$H$37=Berechnung4!$L$37,Berechnung5!$B$5,""),IF(Berechnung5!$H$38=Berechnung4!$L$37,Berechnung5!$B$6,""),IF(Berechnung5!$H$39=Berechnung4!$L$37,Berechnung5!$B$7,""))</f>
        <v/>
      </c>
      <c r="C22" s="34">
        <f>IF(LEN(B22)&gt;0,"X",0)</f>
        <v>0</v>
      </c>
      <c r="D22" s="34" t="str">
        <f>IF(COUNTIF(Berechnung5!H34:H38,Berechnung4!$L$37)&gt;0,CONCATENATE(Berechnung4!$C$5,"                                     ",Berechnung4!$L$37),"")</f>
        <v/>
      </c>
      <c r="E22" s="34" t="str">
        <f>IF(COUNTIF(Berechnung5!H34:H38,Berechnung4!$L$37)&gt;0,"h","")</f>
        <v/>
      </c>
      <c r="G22" s="125" t="e">
        <f t="array" ref="G22">INDEX(B:B,SMALL(IF($C$15:$C$25="X",ROW($15:$25)),8))</f>
        <v>#NUM!</v>
      </c>
      <c r="H22" s="234" t="e">
        <f t="array" ref="H22">INDEX(D:D,SMALL(IF($C$15:$C$25="X",ROW($15:$25)),8))</f>
        <v>#NUM!</v>
      </c>
      <c r="I22" s="94" t="e">
        <f t="array" ref="I22">INDEX(E:E,SMALL(IF($C$15:$C$25="X",ROW($15:$25)),8))</f>
        <v>#NUM!</v>
      </c>
      <c r="J22" s="34" t="e">
        <f>IF(AND('Data deficit_Matrix-Rectum'!C26="",I22&lt;&gt;""),"Anmerkung OnkoZert : Keine Erläuterung vorhanden",'Data deficit_Matrix-Rectum'!C26)</f>
        <v>#NUM!</v>
      </c>
    </row>
    <row r="23" spans="1:34" ht="38.1" customHeight="1" x14ac:dyDescent="0.25">
      <c r="A23" s="159" t="s">
        <v>320</v>
      </c>
      <c r="B23" s="157" t="str">
        <f>CONCATENATE(IF(Berechnung5!$H$40=Berechnung4!$L$33,Berechnung5!$B$2,""),IF(Berechnung5!$H$41=Berechnung4!$L$33,Berechnung5!$B$3,""),IF(Berechnung5!$H$42=Berechnung4!$L$33,Berechnung5!$B$4,""),IF(Berechnung5!$H$43=Berechnung4!$L$33,Berechnung5!$B$5,""),IF(Berechnung5!$H$44=Berechnung4!$L$33,Berechnung5!$B$6,""),IF(Berechnung5!$H$45=Berechnung4!$L$33,Berechnung5!$B$7,""))</f>
        <v/>
      </c>
      <c r="C23" s="34">
        <f>IF(LEN(B23)&gt;0,"X",0)</f>
        <v>0</v>
      </c>
      <c r="D23" s="34" t="str">
        <f>IF(COUNTIF(Berechnung5!$H$40:$H$44,Berechnung4!$L$33)&gt;0,CONCATENATE(Berechnung4!$C$5,"                                     ",Berechnung4!$L$33),"")</f>
        <v/>
      </c>
      <c r="E23" s="34" t="str">
        <f>IF(COUNTIF(Berechnung5!$H$40:$H$44,Berechnung4!$L$33)&gt;0,"i","")</f>
        <v/>
      </c>
      <c r="G23" s="125" t="e">
        <f t="array" ref="G23">INDEX(B:B,SMALL(IF($C$15:$C$25="X",ROW($15:$25)),9))</f>
        <v>#NUM!</v>
      </c>
      <c r="H23" s="234" t="e">
        <f t="array" ref="H23">INDEX(D:D,SMALL(IF($C$15:$C$25="X",ROW($15:$25)),9))</f>
        <v>#NUM!</v>
      </c>
      <c r="I23" s="94" t="e">
        <f t="array" ref="I23">INDEX(E:E,SMALL(IF($C$15:$C$25="X",ROW($15:$25)),9))</f>
        <v>#NUM!</v>
      </c>
      <c r="J23" s="34" t="e">
        <f>IF(AND('Data deficit_Matrix-Rectum'!C27="",I23&lt;&gt;""),"Anmerkung OnkoZert : Keine Erläuterung vorhanden",'Data deficit_Matrix-Rectum'!C27)</f>
        <v>#NUM!</v>
      </c>
    </row>
    <row r="24" spans="1:34" ht="38.1" customHeight="1" x14ac:dyDescent="0.25">
      <c r="A24" s="159" t="s">
        <v>289</v>
      </c>
      <c r="B24" s="34" t="str">
        <f>CONCATENATE(IF(Berechnung5!$H$46=Berechnung4!$L$47,Berechnung5!$B$2,""),IF(Berechnung5!$H$47=Berechnung4!$L$47,Berechnung5!$B$3,""),IF(Berechnung5!$H$48=Berechnung4!$L$47,Berechnung5!$B$4,""),IF(Berechnung5!$H$49=Berechnung4!$L$47,Berechnung5!$B$5,""),IF(Berechnung5!$H$50=Berechnung4!$L$47,Berechnung5!$B$6,""),IF(Berechnung5!$H$51=Berechnung4!$L$47,Berechnung5!$B$7,""))</f>
        <v/>
      </c>
      <c r="C24" s="34">
        <f>IF(LEN(B24)&gt;0,"X",0)</f>
        <v>0</v>
      </c>
      <c r="D24" s="34" t="str">
        <f>IF(COUNTIF(Berechnung5!$H$46:$H$50,Berechnung4!$L$47)&gt;0,CONCATENATE(Berechnung4!$C$5,"                  ",Berechnung4!$L$47),"")</f>
        <v/>
      </c>
      <c r="E24" s="34" t="str">
        <f>IF(COUNTIF(Berechnung5!$H$46:$H$50,Berechnung4!$L$47)&gt;0,"j","")</f>
        <v/>
      </c>
      <c r="G24" s="125" t="e">
        <f t="array" ref="G24">INDEX(B:B,SMALL(IF($C$15:$C$25="X",ROW($15:$25)),10))</f>
        <v>#NUM!</v>
      </c>
      <c r="H24" s="234" t="e">
        <f t="array" ref="H24">INDEX(D:D,SMALL(IF($C$15:$C$25="X",ROW($15:$25)),10))</f>
        <v>#NUM!</v>
      </c>
      <c r="I24" s="94" t="e">
        <f t="array" ref="I24">INDEX(E:E,SMALL(IF($C$15:$C$25="X",ROW($15:$25)),10))</f>
        <v>#NUM!</v>
      </c>
      <c r="J24" s="34" t="e">
        <f>IF(AND('Data deficit_Matrix-Rectum'!C28="",I24&lt;&gt;""),"Anmerkung OnkoZert : Keine Erläuterung vorhanden",'Data deficit_Matrix-Rectum'!C28)</f>
        <v>#NUM!</v>
      </c>
    </row>
    <row r="25" spans="1:34" ht="38.1" customHeight="1" x14ac:dyDescent="0.25">
      <c r="A25" s="159" t="s">
        <v>239</v>
      </c>
      <c r="B25" s="34" t="str">
        <f>CONCATENATE(IF(Berechnung5!H52=Berechnung4!$L$56,Berechnung5!$B$2,""),IF(Berechnung5!$H$53=Berechnung4!$L$56,Berechnung5!$B$3,""),IF(Berechnung5!$H$54=Berechnung4!$L$56,Berechnung5!$B$4,""),IF(Berechnung5!$H$55=Berechnung4!$L$56,Berechnung5!$B$5,""),IF(Berechnung5!$H$56=Berechnung4!$L$56,Berechnung5!$B$6,""),IF(Berechnung5!$H$57=Berechnung4!$L$56,Berechnung5!$B$7,""))</f>
        <v/>
      </c>
      <c r="C25" s="34">
        <f>IF(LEN(B25)&gt;0,"X",0)</f>
        <v>0</v>
      </c>
      <c r="D25" s="34" t="str">
        <f>IF(COUNTIF(Berechnung5!$H$52:$H$56,Berechnung4!$L$56)&gt;0,CONCATENATE(Berechnung4!$C$5,"                 ",Berechnung4!$L$56),"")</f>
        <v/>
      </c>
      <c r="E25" s="34" t="str">
        <f>IF(COUNTIF(Berechnung5!$H$52:$H$56,Berechnung4!$L$56)&gt;0,"k","")</f>
        <v/>
      </c>
      <c r="G25" s="125" t="e">
        <f t="array" ref="G25">INDEX(B:B,SMALL(IF($C$15:$C$25="X",ROW($15:$25)),11))</f>
        <v>#NUM!</v>
      </c>
      <c r="H25" s="234" t="e">
        <f t="array" ref="H25">INDEX(D:D,SMALL(IF($C$15:$C$25="X",ROW($15:$25)),11))</f>
        <v>#NUM!</v>
      </c>
      <c r="I25" s="94" t="e">
        <f t="array" ref="I25">INDEX(E:E,SMALL(IF($C$15:$C$25="X",ROW($15:$25)),11))</f>
        <v>#NUM!</v>
      </c>
      <c r="J25" s="34" t="e">
        <f>IF(AND('Data deficit_Matrix-Rectum'!C29="",I25&lt;&gt;""),"Anmerkung OnkoZert : Keine Erläuterung vorhanden",'Data deficit_Matrix-Rectum'!C29)</f>
        <v>#NUM!</v>
      </c>
    </row>
    <row r="26" spans="1:34" x14ac:dyDescent="0.25">
      <c r="A26" s="165"/>
      <c r="F26" s="124"/>
      <c r="G26" s="124"/>
      <c r="H26" s="195"/>
      <c r="I26" s="35"/>
    </row>
    <row r="27" spans="1:34" x14ac:dyDescent="0.25">
      <c r="G27" s="35"/>
      <c r="H27" s="195"/>
    </row>
    <row r="29" spans="1:34" s="134" customFormat="1" x14ac:dyDescent="0.25">
      <c r="B29" s="90" t="s">
        <v>295</v>
      </c>
      <c r="H29" s="196"/>
      <c r="J29" s="196"/>
    </row>
    <row r="30" spans="1:34" x14ac:dyDescent="0.25">
      <c r="A30" s="134"/>
      <c r="B30" s="141" t="s">
        <v>307</v>
      </c>
      <c r="C30" s="140"/>
      <c r="D30" s="140"/>
      <c r="E30" s="103"/>
      <c r="F30" s="126" t="s">
        <v>305</v>
      </c>
      <c r="G30" s="120"/>
      <c r="H30" s="91"/>
      <c r="I30" s="120"/>
      <c r="J30" s="197"/>
      <c r="K30" s="139"/>
      <c r="L30" s="141" t="s">
        <v>142</v>
      </c>
      <c r="M30" s="140"/>
      <c r="N30" s="141" t="s">
        <v>143</v>
      </c>
      <c r="O30" s="139"/>
      <c r="P30" s="134"/>
    </row>
    <row r="31" spans="1:34" x14ac:dyDescent="0.25">
      <c r="A31" s="134"/>
      <c r="B31" s="141"/>
      <c r="C31" s="140"/>
      <c r="D31" s="140"/>
      <c r="E31" s="103"/>
      <c r="F31" s="126"/>
      <c r="G31" s="120"/>
      <c r="H31" s="91"/>
      <c r="I31" s="120"/>
      <c r="J31" s="197"/>
      <c r="K31" s="139"/>
      <c r="M31" s="140"/>
      <c r="N31" s="138" t="s">
        <v>28</v>
      </c>
      <c r="O31" s="139"/>
      <c r="P31" s="134"/>
    </row>
    <row r="32" spans="1:34" x14ac:dyDescent="0.25">
      <c r="B32" s="137" t="s">
        <v>29</v>
      </c>
      <c r="C32" s="136"/>
      <c r="D32" s="236" t="s">
        <v>311</v>
      </c>
      <c r="E32" s="111"/>
      <c r="F32" s="127"/>
      <c r="G32" s="217"/>
      <c r="H32" s="201"/>
      <c r="I32" s="217"/>
      <c r="J32" s="198"/>
      <c r="K32" s="111"/>
      <c r="L32" s="97" t="s">
        <v>29</v>
      </c>
      <c r="M32" s="97"/>
      <c r="N32" s="138"/>
      <c r="O32" s="133"/>
      <c r="P32" s="134"/>
    </row>
    <row r="33" spans="1:16" x14ac:dyDescent="0.25">
      <c r="B33" s="319" t="s">
        <v>294</v>
      </c>
      <c r="C33" s="320"/>
      <c r="D33" s="272" t="s">
        <v>308</v>
      </c>
      <c r="E33" s="316" t="s">
        <v>31</v>
      </c>
      <c r="F33" s="109">
        <v>-1</v>
      </c>
      <c r="G33" s="112">
        <v>-1</v>
      </c>
      <c r="H33" s="208">
        <v>-1</v>
      </c>
      <c r="I33" s="317">
        <v>-1</v>
      </c>
      <c r="J33" s="199">
        <v>-1</v>
      </c>
      <c r="K33" s="316"/>
      <c r="L33" s="97" t="s">
        <v>325</v>
      </c>
      <c r="M33" s="97"/>
      <c r="N33" s="138"/>
      <c r="O33" s="133"/>
      <c r="P33" s="134"/>
    </row>
    <row r="34" spans="1:16" x14ac:dyDescent="0.25">
      <c r="B34" s="137" t="s">
        <v>298</v>
      </c>
      <c r="C34" s="136"/>
      <c r="D34" s="236" t="s">
        <v>290</v>
      </c>
      <c r="E34" s="111" t="s">
        <v>292</v>
      </c>
      <c r="F34" s="127">
        <v>0</v>
      </c>
      <c r="G34" s="113">
        <v>0</v>
      </c>
      <c r="H34" s="209"/>
      <c r="I34" s="217"/>
      <c r="J34" s="198">
        <v>1</v>
      </c>
      <c r="K34" s="111"/>
      <c r="L34" s="97"/>
      <c r="M34" s="97"/>
      <c r="N34" s="138"/>
      <c r="O34" s="133"/>
      <c r="P34" s="134"/>
    </row>
    <row r="35" spans="1:16" x14ac:dyDescent="0.25">
      <c r="B35" s="137" t="s">
        <v>299</v>
      </c>
      <c r="C35" s="136"/>
      <c r="D35" s="236" t="s">
        <v>308</v>
      </c>
      <c r="E35" s="111" t="s">
        <v>293</v>
      </c>
      <c r="F35" s="217"/>
      <c r="G35" s="217">
        <v>16</v>
      </c>
      <c r="H35" s="201"/>
      <c r="I35" s="217"/>
      <c r="J35" s="198"/>
      <c r="K35" s="111"/>
      <c r="L35" s="97" t="s">
        <v>326</v>
      </c>
      <c r="M35" s="97"/>
      <c r="N35" s="138"/>
      <c r="O35" s="133"/>
      <c r="P35" s="134"/>
    </row>
    <row r="36" spans="1:16" x14ac:dyDescent="0.25">
      <c r="B36" s="137" t="s">
        <v>300</v>
      </c>
      <c r="C36" s="136"/>
      <c r="D36" s="236" t="s">
        <v>290</v>
      </c>
      <c r="E36" s="111"/>
      <c r="F36" s="217"/>
      <c r="G36" s="217"/>
      <c r="H36" s="201"/>
      <c r="I36" s="217"/>
      <c r="J36" s="198"/>
      <c r="K36" s="111"/>
      <c r="L36" s="97" t="s">
        <v>360</v>
      </c>
      <c r="M36" s="97"/>
      <c r="N36" s="138" t="s">
        <v>27</v>
      </c>
      <c r="O36" s="133"/>
      <c r="P36" s="134"/>
    </row>
    <row r="37" spans="1:16" x14ac:dyDescent="0.25">
      <c r="B37" s="137" t="s">
        <v>39</v>
      </c>
      <c r="C37" s="136"/>
      <c r="D37" s="236" t="s">
        <v>308</v>
      </c>
      <c r="E37" s="111" t="s">
        <v>293</v>
      </c>
      <c r="F37" s="127">
        <v>0</v>
      </c>
      <c r="G37" s="113">
        <v>0</v>
      </c>
      <c r="H37" s="209"/>
      <c r="I37" s="315">
        <v>0.69999</v>
      </c>
      <c r="J37" s="198">
        <v>0.69999</v>
      </c>
      <c r="K37" s="111"/>
      <c r="L37" s="97" t="s">
        <v>25</v>
      </c>
      <c r="M37" s="97"/>
      <c r="N37" s="138"/>
      <c r="O37" s="133"/>
      <c r="P37" s="134"/>
    </row>
    <row r="38" spans="1:16" x14ac:dyDescent="0.25">
      <c r="B38" s="138" t="s">
        <v>388</v>
      </c>
      <c r="C38" s="136"/>
      <c r="D38" s="236" t="s">
        <v>309</v>
      </c>
      <c r="E38" s="111" t="s">
        <v>293</v>
      </c>
      <c r="F38" s="127">
        <v>0</v>
      </c>
      <c r="G38" s="113">
        <v>0</v>
      </c>
      <c r="H38" s="209"/>
      <c r="I38" s="315">
        <v>0.79998999999999998</v>
      </c>
      <c r="J38" s="200">
        <v>0.79998999999999998</v>
      </c>
      <c r="K38" s="111"/>
      <c r="L38" s="97" t="s">
        <v>40</v>
      </c>
      <c r="M38" s="97"/>
      <c r="N38" s="138"/>
      <c r="O38" s="133"/>
      <c r="P38" s="134"/>
    </row>
    <row r="39" spans="1:16" x14ac:dyDescent="0.25">
      <c r="B39" s="138" t="s">
        <v>389</v>
      </c>
      <c r="C39" s="136"/>
      <c r="D39" s="236" t="s">
        <v>308</v>
      </c>
      <c r="E39" s="111" t="s">
        <v>292</v>
      </c>
      <c r="F39" s="217"/>
      <c r="G39" s="127">
        <v>0</v>
      </c>
      <c r="H39" s="380">
        <v>0.99000999999999995</v>
      </c>
      <c r="I39" s="160">
        <v>1</v>
      </c>
      <c r="J39" s="198">
        <v>0.99000999999999995</v>
      </c>
      <c r="K39" s="111"/>
      <c r="L39" s="97" t="s">
        <v>41</v>
      </c>
      <c r="M39" s="97"/>
      <c r="N39" s="138"/>
      <c r="O39" s="133"/>
      <c r="P39" s="134"/>
    </row>
    <row r="40" spans="1:16" x14ac:dyDescent="0.25">
      <c r="B40" s="137" t="s">
        <v>301</v>
      </c>
      <c r="C40" s="136"/>
      <c r="D40" s="236" t="s">
        <v>290</v>
      </c>
      <c r="E40" s="111"/>
      <c r="F40" s="217"/>
      <c r="G40" s="217"/>
      <c r="H40" s="201"/>
      <c r="I40" s="217"/>
      <c r="J40" s="198"/>
      <c r="K40" s="111"/>
      <c r="L40" s="97" t="s">
        <v>361</v>
      </c>
      <c r="M40" s="97"/>
      <c r="N40" s="138" t="s">
        <v>26</v>
      </c>
      <c r="O40" s="133"/>
      <c r="P40" s="134"/>
    </row>
    <row r="41" spans="1:16" x14ac:dyDescent="0.25">
      <c r="B41" s="137"/>
      <c r="C41" s="136"/>
      <c r="D41" s="236"/>
      <c r="E41" s="111"/>
      <c r="F41" s="217"/>
      <c r="G41" s="217"/>
      <c r="H41" s="201"/>
      <c r="I41" s="217"/>
      <c r="J41" s="198"/>
      <c r="K41" s="111"/>
      <c r="L41" s="97"/>
      <c r="M41" s="97"/>
      <c r="N41" s="138"/>
      <c r="O41" s="133"/>
      <c r="P41" s="134"/>
    </row>
    <row r="42" spans="1:16" x14ac:dyDescent="0.25">
      <c r="B42" s="137" t="s">
        <v>302</v>
      </c>
      <c r="C42" s="136"/>
      <c r="D42" s="236" t="s">
        <v>290</v>
      </c>
      <c r="E42" s="111" t="s">
        <v>293</v>
      </c>
      <c r="F42" s="217"/>
      <c r="G42" s="303">
        <v>0</v>
      </c>
      <c r="H42" s="201"/>
      <c r="I42" s="217"/>
      <c r="J42" s="198"/>
      <c r="K42" s="111"/>
      <c r="L42" s="97" t="s">
        <v>30</v>
      </c>
      <c r="M42" s="97"/>
      <c r="N42" s="138" t="s">
        <v>47</v>
      </c>
      <c r="O42" s="133"/>
      <c r="P42" s="134"/>
    </row>
    <row r="43" spans="1:16" x14ac:dyDescent="0.25">
      <c r="A43" s="134"/>
      <c r="B43" s="135"/>
      <c r="C43" s="134"/>
      <c r="D43" s="134"/>
      <c r="E43" s="114"/>
      <c r="F43" s="114"/>
      <c r="G43" s="114"/>
      <c r="H43" s="207"/>
      <c r="I43" s="114"/>
      <c r="J43" s="207"/>
      <c r="K43" s="134"/>
      <c r="N43" s="138"/>
      <c r="O43" s="133"/>
      <c r="P43" s="134"/>
    </row>
    <row r="44" spans="1:16" x14ac:dyDescent="0.25">
      <c r="A44" s="134"/>
      <c r="B44" s="137"/>
      <c r="C44" s="136"/>
      <c r="D44" s="133"/>
      <c r="E44" s="217"/>
      <c r="F44" s="217"/>
      <c r="G44" s="217"/>
      <c r="H44" s="201"/>
      <c r="I44" s="217"/>
      <c r="J44" s="201"/>
      <c r="K44" s="133"/>
      <c r="L44" s="97"/>
      <c r="M44" s="97"/>
      <c r="N44" s="138" t="s">
        <v>48</v>
      </c>
      <c r="O44" s="139"/>
      <c r="P44" s="134"/>
    </row>
    <row r="45" spans="1:16" x14ac:dyDescent="0.25">
      <c r="A45" s="134"/>
      <c r="B45" s="137"/>
      <c r="C45" s="113"/>
      <c r="D45" s="128"/>
      <c r="E45" s="128"/>
      <c r="F45" s="315"/>
      <c r="G45" s="160"/>
      <c r="H45" s="206"/>
      <c r="I45" s="315"/>
      <c r="J45" s="202"/>
      <c r="K45" s="133"/>
      <c r="L45" s="97"/>
      <c r="M45" s="97"/>
      <c r="N45" s="138"/>
      <c r="O45" s="133"/>
      <c r="P45" s="134"/>
    </row>
    <row r="46" spans="1:16" x14ac:dyDescent="0.25">
      <c r="A46" s="134"/>
      <c r="B46" s="137" t="s">
        <v>289</v>
      </c>
      <c r="C46" s="113"/>
      <c r="D46" s="128"/>
      <c r="E46" s="128" t="s">
        <v>306</v>
      </c>
      <c r="F46" s="315"/>
      <c r="G46" s="160" t="s">
        <v>303</v>
      </c>
      <c r="H46" s="206"/>
      <c r="I46" s="315"/>
      <c r="J46" s="202" t="s">
        <v>304</v>
      </c>
      <c r="K46" s="133"/>
      <c r="L46" s="97"/>
      <c r="M46" s="97"/>
      <c r="N46" s="138"/>
      <c r="O46" s="133"/>
      <c r="P46" s="134"/>
    </row>
    <row r="47" spans="1:16" x14ac:dyDescent="0.25">
      <c r="A47" s="134"/>
      <c r="B47" s="147" t="s">
        <v>427</v>
      </c>
      <c r="C47" s="113"/>
      <c r="D47" s="128"/>
      <c r="E47" s="128">
        <v>0</v>
      </c>
      <c r="F47" s="315">
        <v>0.44999</v>
      </c>
      <c r="G47" s="315">
        <v>0.44999</v>
      </c>
      <c r="H47" s="206"/>
      <c r="I47" s="315">
        <v>0.75000999999999995</v>
      </c>
      <c r="J47" s="381">
        <v>0.75000999999999995</v>
      </c>
      <c r="K47" s="133"/>
      <c r="L47" s="97" t="s">
        <v>330</v>
      </c>
      <c r="M47" s="97" t="s">
        <v>330</v>
      </c>
      <c r="N47" s="138"/>
      <c r="O47" s="133"/>
      <c r="P47" s="134"/>
    </row>
    <row r="48" spans="1:16" x14ac:dyDescent="0.25">
      <c r="A48" s="134"/>
      <c r="B48" s="147" t="s">
        <v>378</v>
      </c>
      <c r="C48" s="113"/>
      <c r="D48" s="128"/>
      <c r="E48" s="128">
        <v>0</v>
      </c>
      <c r="F48" s="315">
        <v>0.49998999999999999</v>
      </c>
      <c r="G48" s="315">
        <v>0.49998999999999999</v>
      </c>
      <c r="H48" s="206"/>
      <c r="I48" s="315">
        <v>0.80001</v>
      </c>
      <c r="J48" s="381">
        <v>0.80001</v>
      </c>
      <c r="K48" s="133"/>
      <c r="L48" s="97" t="s">
        <v>330</v>
      </c>
      <c r="M48" s="97" t="s">
        <v>330</v>
      </c>
      <c r="N48" s="138"/>
      <c r="O48" s="133"/>
      <c r="P48" s="134"/>
    </row>
    <row r="49" spans="1:16" x14ac:dyDescent="0.25">
      <c r="A49" s="134"/>
      <c r="B49" s="147" t="s">
        <v>384</v>
      </c>
      <c r="C49" s="113"/>
      <c r="D49" s="128"/>
      <c r="E49" s="128">
        <v>0</v>
      </c>
      <c r="F49" s="315">
        <v>0.54998999999999998</v>
      </c>
      <c r="G49" s="315">
        <v>0.54998999999999998</v>
      </c>
      <c r="H49" s="206"/>
      <c r="I49" s="315">
        <v>0.85001000000000004</v>
      </c>
      <c r="J49" s="381">
        <v>0.85001000000000004</v>
      </c>
      <c r="K49" s="133"/>
      <c r="L49" s="97" t="s">
        <v>330</v>
      </c>
      <c r="M49" s="97" t="s">
        <v>330</v>
      </c>
      <c r="N49" s="138"/>
      <c r="O49" s="133"/>
      <c r="P49" s="134"/>
    </row>
    <row r="50" spans="1:16" x14ac:dyDescent="0.25">
      <c r="A50" s="134"/>
      <c r="B50" s="147" t="s">
        <v>391</v>
      </c>
      <c r="C50" s="113"/>
      <c r="D50" s="128"/>
      <c r="E50" s="128">
        <v>0</v>
      </c>
      <c r="F50" s="315">
        <v>0.59999000000000002</v>
      </c>
      <c r="G50" s="315">
        <v>0.59999000000000002</v>
      </c>
      <c r="H50" s="206"/>
      <c r="I50" s="315">
        <v>0.85001000000000004</v>
      </c>
      <c r="J50" s="381">
        <v>0.85001000000000004</v>
      </c>
      <c r="K50" s="133"/>
      <c r="L50" s="97" t="s">
        <v>330</v>
      </c>
      <c r="M50" s="97" t="s">
        <v>330</v>
      </c>
      <c r="N50" s="138"/>
      <c r="O50" s="133"/>
      <c r="P50" s="134"/>
    </row>
    <row r="51" spans="1:16" x14ac:dyDescent="0.25">
      <c r="A51" s="134"/>
      <c r="B51" s="147" t="s">
        <v>417</v>
      </c>
      <c r="C51" s="113"/>
      <c r="D51" s="128"/>
      <c r="E51" s="128">
        <v>0</v>
      </c>
      <c r="F51" s="315">
        <v>0.64998999999999996</v>
      </c>
      <c r="G51" s="315">
        <v>0.64998999999999996</v>
      </c>
      <c r="H51" s="206"/>
      <c r="I51" s="315">
        <v>0.90000999999999998</v>
      </c>
      <c r="J51" s="381">
        <v>0.90000999999999998</v>
      </c>
      <c r="K51" s="133"/>
      <c r="L51" s="97" t="s">
        <v>330</v>
      </c>
      <c r="M51" s="97" t="s">
        <v>330</v>
      </c>
      <c r="N51" s="138"/>
      <c r="O51" s="133"/>
      <c r="P51" s="134"/>
    </row>
    <row r="52" spans="1:16" x14ac:dyDescent="0.25">
      <c r="A52" s="134"/>
      <c r="B52" s="135"/>
      <c r="C52" s="134"/>
      <c r="D52" s="114"/>
      <c r="E52" s="114"/>
      <c r="F52" s="114"/>
      <c r="G52" s="383"/>
      <c r="H52" s="207"/>
      <c r="I52" s="114"/>
      <c r="J52" s="384"/>
      <c r="K52" s="134"/>
      <c r="N52" s="138"/>
      <c r="O52" s="133"/>
      <c r="P52" s="134"/>
    </row>
    <row r="53" spans="1:16" x14ac:dyDescent="0.25">
      <c r="A53" s="134"/>
      <c r="B53" s="137"/>
      <c r="C53" s="136"/>
      <c r="D53" s="217"/>
      <c r="E53" s="217"/>
      <c r="F53" s="217"/>
      <c r="G53" s="315"/>
      <c r="H53" s="201"/>
      <c r="I53" s="217"/>
      <c r="J53" s="198"/>
      <c r="K53" s="133"/>
      <c r="L53" s="97"/>
      <c r="M53" s="97"/>
      <c r="N53" s="138"/>
      <c r="O53" s="133"/>
      <c r="P53" s="134"/>
    </row>
    <row r="54" spans="1:16" x14ac:dyDescent="0.25">
      <c r="A54" s="134"/>
      <c r="B54" s="137"/>
      <c r="C54" s="113"/>
      <c r="D54" s="128"/>
      <c r="E54" s="128"/>
      <c r="F54" s="315"/>
      <c r="G54" s="315"/>
      <c r="H54" s="206"/>
      <c r="I54" s="315"/>
      <c r="J54" s="381"/>
      <c r="K54" s="133"/>
      <c r="L54" s="97"/>
      <c r="M54" s="97"/>
      <c r="N54" s="138"/>
      <c r="O54" s="133"/>
      <c r="P54" s="134"/>
    </row>
    <row r="55" spans="1:16" x14ac:dyDescent="0.25">
      <c r="A55" s="134"/>
      <c r="B55" s="137" t="s">
        <v>239</v>
      </c>
      <c r="C55" s="113"/>
      <c r="D55" s="128"/>
      <c r="E55" s="128"/>
      <c r="F55" s="315"/>
      <c r="G55" s="315" t="s">
        <v>303</v>
      </c>
      <c r="H55" s="206"/>
      <c r="I55" s="315"/>
      <c r="J55" s="381" t="s">
        <v>304</v>
      </c>
      <c r="K55" s="133"/>
      <c r="L55" s="97"/>
      <c r="M55" s="97"/>
      <c r="N55" s="138"/>
      <c r="O55" s="133"/>
      <c r="P55" s="134"/>
    </row>
    <row r="56" spans="1:16" x14ac:dyDescent="0.25">
      <c r="A56" s="134"/>
      <c r="B56" s="147" t="s">
        <v>427</v>
      </c>
      <c r="C56" s="113"/>
      <c r="D56" s="128"/>
      <c r="E56" s="128">
        <v>0</v>
      </c>
      <c r="F56" s="315">
        <v>0.49998999999999999</v>
      </c>
      <c r="G56" s="315">
        <v>0.49998999999999999</v>
      </c>
      <c r="H56" s="206"/>
      <c r="I56" s="315">
        <v>0.80001</v>
      </c>
      <c r="J56" s="381">
        <v>0.80001</v>
      </c>
      <c r="K56" s="133"/>
      <c r="L56" s="97" t="s">
        <v>331</v>
      </c>
      <c r="M56" s="97" t="s">
        <v>331</v>
      </c>
      <c r="N56" s="138"/>
      <c r="O56" s="133"/>
      <c r="P56" s="134"/>
    </row>
    <row r="57" spans="1:16" x14ac:dyDescent="0.25">
      <c r="A57" s="134"/>
      <c r="B57" s="147" t="s">
        <v>378</v>
      </c>
      <c r="C57" s="113"/>
      <c r="D57" s="128"/>
      <c r="E57" s="128">
        <v>0</v>
      </c>
      <c r="F57" s="315">
        <v>0.54998999999999998</v>
      </c>
      <c r="G57" s="315">
        <v>0.54998999999999998</v>
      </c>
      <c r="H57" s="206"/>
      <c r="I57" s="315">
        <v>0.90000999999999998</v>
      </c>
      <c r="J57" s="381">
        <v>0.90000999999999998</v>
      </c>
      <c r="K57" s="133"/>
      <c r="L57" s="97" t="s">
        <v>331</v>
      </c>
      <c r="M57" s="97" t="s">
        <v>331</v>
      </c>
      <c r="N57" s="138"/>
      <c r="O57" s="133"/>
      <c r="P57" s="134"/>
    </row>
    <row r="58" spans="1:16" x14ac:dyDescent="0.25">
      <c r="A58" s="134"/>
      <c r="B58" s="147" t="s">
        <v>384</v>
      </c>
      <c r="C58" s="113"/>
      <c r="D58" s="128"/>
      <c r="E58" s="128">
        <v>0</v>
      </c>
      <c r="F58" s="315">
        <v>0.59999000000000002</v>
      </c>
      <c r="G58" s="315">
        <v>0.59999000000000002</v>
      </c>
      <c r="H58" s="206"/>
      <c r="I58" s="315">
        <v>0.90000999999999998</v>
      </c>
      <c r="J58" s="381">
        <v>0.90000999999999998</v>
      </c>
      <c r="K58" s="133"/>
      <c r="L58" s="97" t="s">
        <v>331</v>
      </c>
      <c r="M58" s="97" t="s">
        <v>331</v>
      </c>
      <c r="N58" s="138"/>
      <c r="O58" s="133"/>
      <c r="P58" s="134"/>
    </row>
    <row r="59" spans="1:16" x14ac:dyDescent="0.25">
      <c r="A59" s="134"/>
      <c r="B59" s="147" t="s">
        <v>391</v>
      </c>
      <c r="C59" s="113"/>
      <c r="D59" s="128"/>
      <c r="E59" s="128">
        <v>0</v>
      </c>
      <c r="F59" s="315">
        <v>0.64998999999999996</v>
      </c>
      <c r="G59" s="315">
        <v>0.64998999999999996</v>
      </c>
      <c r="H59" s="206"/>
      <c r="I59" s="315">
        <v>0.95001000000000002</v>
      </c>
      <c r="J59" s="381">
        <v>0.95001000000000002</v>
      </c>
      <c r="K59" s="133"/>
      <c r="L59" s="97" t="s">
        <v>331</v>
      </c>
      <c r="M59" s="97" t="s">
        <v>331</v>
      </c>
      <c r="N59" s="138"/>
      <c r="O59" s="133"/>
      <c r="P59" s="134"/>
    </row>
    <row r="60" spans="1:16" x14ac:dyDescent="0.25">
      <c r="A60" s="134"/>
      <c r="B60" s="147" t="s">
        <v>417</v>
      </c>
      <c r="C60" s="113"/>
      <c r="D60" s="128"/>
      <c r="E60" s="128">
        <v>0</v>
      </c>
      <c r="F60" s="315">
        <v>0.84999000000000002</v>
      </c>
      <c r="G60" s="315">
        <v>0.84999000000000002</v>
      </c>
      <c r="H60" s="206"/>
      <c r="I60" s="315">
        <v>0.99000999999999995</v>
      </c>
      <c r="J60" s="381">
        <v>0.99000999999999995</v>
      </c>
      <c r="K60" s="133"/>
      <c r="L60" s="97" t="s">
        <v>331</v>
      </c>
      <c r="M60" s="97" t="s">
        <v>331</v>
      </c>
      <c r="N60" s="138"/>
      <c r="O60" s="133"/>
      <c r="P60" s="134"/>
    </row>
    <row r="61" spans="1:16" x14ac:dyDescent="0.25">
      <c r="F61" s="170"/>
      <c r="G61" s="165"/>
      <c r="I61" s="35"/>
    </row>
  </sheetData>
  <mergeCells count="4">
    <mergeCell ref="B13:B14"/>
    <mergeCell ref="C13:C14"/>
    <mergeCell ref="D13:D14"/>
    <mergeCell ref="E13:E14"/>
  </mergeCells>
  <phoneticPr fontId="75" type="noConversion"/>
  <pageMargins left="0.31496062992125984" right="0.11811023622047245" top="0.39370078740157483" bottom="0.3937007874015748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6"/>
  <dimension ref="A1:H12"/>
  <sheetViews>
    <sheetView workbookViewId="0">
      <selection activeCell="G25" sqref="G25"/>
    </sheetView>
  </sheetViews>
  <sheetFormatPr defaultColWidth="9.140625" defaultRowHeight="12.75" x14ac:dyDescent="0.25"/>
  <cols>
    <col min="1" max="1" width="15.42578125" style="177" customWidth="1"/>
    <col min="2" max="2" width="15.5703125" style="177" customWidth="1"/>
    <col min="3" max="4" width="14.42578125" style="177" customWidth="1"/>
    <col min="5" max="5" width="14" style="177" customWidth="1"/>
    <col min="6" max="6" width="17.140625" style="177" customWidth="1"/>
    <col min="7" max="7" width="22.140625" style="177" customWidth="1"/>
    <col min="8" max="8" width="13.7109375" style="177" customWidth="1"/>
    <col min="9" max="16384" width="9.140625" style="177"/>
  </cols>
  <sheetData>
    <row r="1" spans="1:8" ht="66.75" customHeight="1" x14ac:dyDescent="0.25">
      <c r="A1" s="252" t="s">
        <v>761</v>
      </c>
      <c r="B1" s="374" t="s">
        <v>762</v>
      </c>
      <c r="C1" s="374" t="s">
        <v>763</v>
      </c>
      <c r="D1" s="374" t="s">
        <v>764</v>
      </c>
      <c r="E1" s="253" t="s">
        <v>765</v>
      </c>
      <c r="F1" s="253" t="s">
        <v>766</v>
      </c>
      <c r="G1" s="253" t="s">
        <v>767</v>
      </c>
      <c r="H1" s="374" t="s">
        <v>768</v>
      </c>
    </row>
    <row r="2" spans="1:8" ht="15" customHeight="1" x14ac:dyDescent="0.25">
      <c r="A2" s="214" t="s">
        <v>769</v>
      </c>
      <c r="B2" s="180" t="str">
        <f>IF('Basic data'!B28="","",'Basic data'!B28)</f>
        <v/>
      </c>
      <c r="C2" s="180" t="str">
        <f>IF('Basic data'!C28="","",'Basic data'!C28)</f>
        <v/>
      </c>
      <c r="D2" s="180" t="str">
        <f>IF('Basic data'!D28="","",'Basic data'!D28)</f>
        <v/>
      </c>
      <c r="E2" s="180" t="str">
        <f>IF('Basic data'!E28="","",'Basic data'!E28)</f>
        <v/>
      </c>
      <c r="F2" s="180" t="str">
        <f>IF('Basic data'!F28="","",'Basic data'!F28)</f>
        <v/>
      </c>
      <c r="G2" s="180" t="str">
        <f>IF('Basic data'!G28="","",'Basic data'!G28)</f>
        <v/>
      </c>
      <c r="H2" s="180" t="str">
        <f>IF('Basic data'!H28="","",'Basic data'!H28)</f>
        <v/>
      </c>
    </row>
    <row r="3" spans="1:8" ht="15" customHeight="1" x14ac:dyDescent="0.25">
      <c r="A3" s="215" t="s">
        <v>770</v>
      </c>
      <c r="B3" s="180" t="str">
        <f>IF('Basic data'!B29="","",'Basic data'!B29)</f>
        <v/>
      </c>
      <c r="C3" s="180" t="str">
        <f>IF('Basic data'!C29="","",'Basic data'!C29)</f>
        <v/>
      </c>
      <c r="D3" s="385" t="str">
        <f>IF('Basic data'!D29="","",'Basic data'!D29)</f>
        <v/>
      </c>
      <c r="E3" s="180" t="str">
        <f>IF('Basic data'!E29="","",'Basic data'!E29)</f>
        <v/>
      </c>
      <c r="F3" s="180" t="str">
        <f>IF('Basic data'!F29="","",'Basic data'!F29)</f>
        <v/>
      </c>
      <c r="G3" s="385" t="str">
        <f>IF('Basic data'!G29="","",'Basic data'!G29)</f>
        <v/>
      </c>
      <c r="H3" s="180" t="str">
        <f>IF('Basic data'!H29="","",'Basic data'!H29)</f>
        <v/>
      </c>
    </row>
    <row r="4" spans="1:8" x14ac:dyDescent="0.25">
      <c r="A4" s="215" t="s">
        <v>771</v>
      </c>
      <c r="B4" s="180" t="str">
        <f>IF('Basic data'!B30="","",'Basic data'!B30)</f>
        <v/>
      </c>
      <c r="C4" s="180" t="str">
        <f>IF('Basic data'!C30="","",'Basic data'!C30)</f>
        <v/>
      </c>
      <c r="D4" s="180" t="str">
        <f>IF('Basic data'!D30="","",'Basic data'!D30)</f>
        <v/>
      </c>
      <c r="E4" s="180" t="str">
        <f>IF('Basic data'!E30="","",'Basic data'!E30)</f>
        <v/>
      </c>
      <c r="F4" s="180" t="str">
        <f>IF('Basic data'!F30="","",'Basic data'!F30)</f>
        <v/>
      </c>
      <c r="G4" s="180" t="str">
        <f>IF('Basic data'!G30="","",'Basic data'!G30)</f>
        <v/>
      </c>
      <c r="H4" s="180" t="str">
        <f>IF('Basic data'!H30="","",'Basic data'!H30)</f>
        <v/>
      </c>
    </row>
    <row r="5" spans="1:8" x14ac:dyDescent="0.25">
      <c r="B5" s="181"/>
      <c r="C5" s="181"/>
      <c r="D5" s="181"/>
      <c r="E5" s="181"/>
      <c r="F5" s="181"/>
      <c r="G5" s="181"/>
      <c r="H5" s="181"/>
    </row>
    <row r="12" spans="1:8" x14ac:dyDescent="0.25">
      <c r="D12" s="336"/>
    </row>
  </sheetData>
  <phoneticPr fontId="75" type="noConversion"/>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2"/>
  <dimension ref="A1:R62"/>
  <sheetViews>
    <sheetView topLeftCell="A28" zoomScaleNormal="100" workbookViewId="0">
      <selection activeCell="E58" sqref="E58"/>
    </sheetView>
  </sheetViews>
  <sheetFormatPr defaultColWidth="9.140625" defaultRowHeight="15" x14ac:dyDescent="0.25"/>
  <cols>
    <col min="1" max="3" width="9.140625" style="182" customWidth="1"/>
    <col min="4" max="4" width="28.5703125" style="182" customWidth="1"/>
    <col min="5" max="5" width="10.140625" style="182" customWidth="1"/>
    <col min="6" max="6" width="8.85546875" style="182" customWidth="1"/>
    <col min="7" max="7" width="9" style="182" customWidth="1"/>
    <col min="8" max="8" width="24" style="182" customWidth="1"/>
    <col min="9" max="9" width="20.28515625" style="182" customWidth="1"/>
    <col min="10" max="10" width="8" style="76" customWidth="1"/>
    <col min="11" max="11" width="20.28515625" style="182" customWidth="1"/>
    <col min="12" max="12" width="15.85546875" style="182" customWidth="1"/>
    <col min="13" max="13" width="12.85546875" style="182" customWidth="1"/>
    <col min="14" max="14" width="19" style="182" customWidth="1"/>
    <col min="15" max="15" width="54.5703125" style="182" customWidth="1"/>
    <col min="16" max="16" width="55.28515625" style="182" customWidth="1"/>
    <col min="17" max="16384" width="9.140625" style="182"/>
  </cols>
  <sheetData>
    <row r="1" spans="1:18" s="35" customFormat="1" ht="23.25" thickBot="1" x14ac:dyDescent="0.3">
      <c r="A1" s="134"/>
      <c r="B1" s="134"/>
      <c r="C1" s="188"/>
      <c r="D1" s="235"/>
      <c r="E1" s="134"/>
      <c r="F1" s="134"/>
      <c r="G1" s="134"/>
      <c r="J1" s="159"/>
      <c r="L1" s="224" t="s">
        <v>313</v>
      </c>
      <c r="M1" s="224" t="s">
        <v>119</v>
      </c>
      <c r="N1" s="224" t="s">
        <v>121</v>
      </c>
      <c r="O1" s="224" t="s">
        <v>240</v>
      </c>
      <c r="P1" s="224" t="s">
        <v>50</v>
      </c>
    </row>
    <row r="2" spans="1:18" s="35" customFormat="1" ht="11.25" x14ac:dyDescent="0.25">
      <c r="A2" s="172" t="str">
        <f>IF(Datenquelle!$F$3&gt;5,IF(Datenquelle!$F$3=6,"EZ",IF(Datenquelle!$F$3&gt;6,"relevant","?")),"nicht relevant")</f>
        <v>nicht relevant</v>
      </c>
      <c r="B2" s="147" t="s">
        <v>132</v>
      </c>
      <c r="C2" s="146"/>
      <c r="D2" s="145" t="s">
        <v>288</v>
      </c>
      <c r="E2" s="156" t="str">
        <f>IF(H2="","","2013")</f>
        <v/>
      </c>
      <c r="F2" s="156" t="str">
        <f t="shared" ref="F2:F7" si="0">IF(H2="","","a")</f>
        <v/>
      </c>
      <c r="G2" s="156" t="str">
        <f>IF(H2="","","1")</f>
        <v/>
      </c>
      <c r="H2" s="186" t="str">
        <f>IF(A2="relevant",IF(COUNTIF('Matrix-Rectum'!C23:W23,"")&gt;2,Berechnung4!$L$32,""),"")</f>
        <v/>
      </c>
      <c r="I2" s="239" t="str">
        <f>IF(H2="","",VLOOKUP(F2,Berechnung4!$I$15:$J$25,2,FALSE))</f>
        <v/>
      </c>
      <c r="J2" s="238" t="str">
        <f>IF(H2&lt;&gt;"",1,"")</f>
        <v/>
      </c>
      <c r="L2" s="94" t="str">
        <f t="array" aca="1" ref="L2" ca="1">IF(ROW()-ROW($F$2:$F$57)+1&gt;ROWS($E$2:$E$57)-COUNTBLANK($E$2:$E$57),"",INDIRECT(ADDRESS(SMALL((IF($E$2:$E$57&gt;"",ROW($E$2:$E$57),ROW()+ROWS($E$2:$E$57))),ROW()-ROW($F$2:$F$57)+1),COLUMN($E$2:$E$57),4)))</f>
        <v/>
      </c>
      <c r="M2" s="94" t="str">
        <f t="array" aca="1" ref="M2" ca="1">IF(ROW()-ROW($G$2:$G$57)+1&gt;ROWS($F$2:$F$57)-COUNTBLANK($F$2:$F$57),"",INDIRECT(ADDRESS(SMALL((IF($F$2:$F$57&lt;&gt;"",ROW($F$2:$F$57),ROW()+ROWS($F$2:$F$57))),ROW()-ROW($G$2:$G$57)+1),COLUMN($F$2:$F$57),4)))</f>
        <v/>
      </c>
      <c r="N2" s="94" t="str">
        <f t="array" aca="1" ref="N2" ca="1">IF(ROW()-ROW($H$2:$H$57)+1&gt;ROWS($G$2:$G$57)-COUNTBLANK($G$2:$G$57),"",INDIRECT(ADDRESS(SMALL((IF($G$2:$G$57&lt;&gt;"",ROW($G$2:$G$57),ROW()+ROWS($G$2:$G$57))),ROW()-ROW($H$2:$H$57)+1),COLUMN($G$2:$G$57),4)))</f>
        <v/>
      </c>
      <c r="O2" s="184" t="str">
        <f t="array" aca="1" ref="O2" ca="1">IF(ROW()-ROW($I$2:$I$57)+1&gt;ROWS($H$2:$H$57)-COUNTBLANK($H$2:$H$57),"",INDIRECT(ADDRESS(SMALL((IF($H$2:$H$57&lt;&gt;"",ROW($H$2:$H$57),ROW()+ROWS($H$2:$H$57))),ROW()-ROW($I$2:$I$57)+1),COLUMN($H$2:$H$57),4)))</f>
        <v/>
      </c>
      <c r="P2" s="184" t="str">
        <f t="array" aca="1" ref="P2" ca="1">IF(ROW()-ROW($J$2:$J$57)+1&gt;ROWS($I$2:$I$57)-COUNTBLANK($I$2:$I$57),"",INDIRECT(ADDRESS(SMALL((IF($I$2:$I$57&lt;&gt;"",ROW($I$2:$I$57),ROW()+ROWS($I$2:$I$57))),ROW()-ROW($J$2:$J$57)+1),COLUMN($I$2:$I$57),4)))</f>
        <v/>
      </c>
    </row>
    <row r="3" spans="1:18" s="35" customFormat="1" ht="11.25" x14ac:dyDescent="0.25">
      <c r="A3" s="172" t="str">
        <f>IF(Datenquelle!$F$3&gt;4,IF(Datenquelle!$F$3=5,"EZ",IF(Datenquelle!$F$3&gt;5,"relevant","?")),"nicht relevant")</f>
        <v>nicht relevant</v>
      </c>
      <c r="B3" s="147" t="s">
        <v>378</v>
      </c>
      <c r="C3" s="146"/>
      <c r="D3" s="856" t="s">
        <v>29</v>
      </c>
      <c r="E3" s="34" t="str">
        <f>IF(H3="","","2014")</f>
        <v/>
      </c>
      <c r="F3" s="34" t="str">
        <f t="shared" si="0"/>
        <v/>
      </c>
      <c r="G3" s="34" t="str">
        <f t="shared" ref="G3:G25" si="1">IF(H3="","","1")</f>
        <v/>
      </c>
      <c r="H3" s="173" t="str">
        <f>IF(A3="relevant",IF(COUNTIF('Matrix-Rectum'!C24:W24,"")&gt;2,Berechnung4!$L$32,""),"")</f>
        <v/>
      </c>
      <c r="I3" s="172" t="str">
        <f>IF(H3="","",VLOOKUP(F3,Berechnung4!$I$15:$J$25,2,FALSE))</f>
        <v/>
      </c>
      <c r="J3" s="237" t="str">
        <f t="shared" ref="J3:J56" si="2">IF(H3&lt;&gt;"",1,"")</f>
        <v/>
      </c>
      <c r="L3" s="94" t="str">
        <f t="array" aca="1" ref="L3" ca="1">IF(ROW()-ROW($F$2:$F$57)+1&gt;ROWS($E$2:$E$57)-COUNTBLANK($E$2:$E$57),"",INDIRECT(ADDRESS(SMALL((IF($E$2:$E$57&gt;"",ROW($E$2:$E$57),ROW()+ROWS($E$2:$E$57))),ROW()-ROW($F$2:$F$57)+1),COLUMN($E$2:$E$57),4)))</f>
        <v/>
      </c>
      <c r="M3" s="94" t="str">
        <f t="array" aca="1" ref="M3" ca="1">IF(ROW()-ROW($G$2:$G$57)+1&gt;ROWS($F$2:$F$57)-COUNTBLANK($F$2:$F$57),"",INDIRECT(ADDRESS(SMALL((IF($F$2:$F$57&lt;&gt;"",ROW($F$2:$F$57),ROW()+ROWS($F$2:$F$57))),ROW()-ROW($G$2:$G$57)+1),COLUMN($F$2:$F$57),4)))</f>
        <v/>
      </c>
      <c r="N3" s="94" t="str">
        <f t="array" aca="1" ref="N3" ca="1">IF(ROW()-ROW($H$2:$H$57)+1&gt;ROWS($G$2:$G$57)-COUNTBLANK($G$2:$G$57),"",INDIRECT(ADDRESS(SMALL((IF($G$2:$G$57&lt;&gt;"",ROW($G$2:$G$57),ROW()+ROWS($G$2:$G$57))),ROW()-ROW($H$2:$H$57)+1),COLUMN($G$2:$G$57),4)))</f>
        <v/>
      </c>
      <c r="O3" s="184" t="str">
        <f t="array" aca="1" ref="O3" ca="1">IF(ROW()-ROW($I$2:$I$57)+1&gt;ROWS($H$2:$H$57)-COUNTBLANK($H$2:$H$57),"",INDIRECT(ADDRESS(SMALL((IF($H$2:$H$57&lt;&gt;"",ROW($H$2:$H$57),ROW()+ROWS($H$2:$H$57))),ROW()-ROW($I$2:$I$57)+1),COLUMN($H$2:$H$57),4)))</f>
        <v/>
      </c>
      <c r="P3" s="184" t="str">
        <f t="array" aca="1" ref="P3" ca="1">IF(ROW()-ROW($J$2:$J$57)+1&gt;ROWS($I$2:$I$57)-COUNTBLANK($I$2:$I$57),"",INDIRECT(ADDRESS(SMALL((IF($I$2:$I$57&lt;&gt;"",ROW($I$2:$I$57),ROW()+ROWS($I$2:$I$57))),ROW()-ROW($J$2:$J$57)+1),COLUMN($I$2:$I$57),4)))</f>
        <v/>
      </c>
    </row>
    <row r="4" spans="1:18" s="35" customFormat="1" ht="11.25" x14ac:dyDescent="0.25">
      <c r="A4" s="172" t="str">
        <f>IF(Datenquelle!$F$3&gt;3,IF(Datenquelle!$F$3=4,"EZ",IF(Datenquelle!$F$3&gt;4,"relevant","?")),"nicht relevant")</f>
        <v>nicht relevant</v>
      </c>
      <c r="B4" s="147" t="s">
        <v>384</v>
      </c>
      <c r="C4" s="146"/>
      <c r="D4" s="856"/>
      <c r="E4" s="34" t="str">
        <f>IF(H4="","","2015")</f>
        <v/>
      </c>
      <c r="F4" s="34" t="str">
        <f t="shared" si="0"/>
        <v/>
      </c>
      <c r="G4" s="34" t="str">
        <f t="shared" si="1"/>
        <v/>
      </c>
      <c r="H4" s="173" t="str">
        <f>IF(A4="relevant",IF(COUNTIF('Matrix-Rectum'!C25:W25,"")&gt;2,Berechnung4!$L$32,""),"")</f>
        <v/>
      </c>
      <c r="I4" s="172" t="str">
        <f>IF(H4="","",VLOOKUP(F4,Berechnung4!$I$15:$J$25,2,FALSE))</f>
        <v/>
      </c>
      <c r="J4" s="237" t="str">
        <f t="shared" si="2"/>
        <v/>
      </c>
      <c r="L4" s="94" t="str">
        <f t="array" aca="1" ref="L4" ca="1">IF(ROW()-ROW($F$2:$F$57)+1&gt;ROWS($E$2:$E$57)-COUNTBLANK($E$2:$E$57),"",INDIRECT(ADDRESS(SMALL((IF($E$2:$E$57&gt;"",ROW($E$2:$E$57),ROW()+ROWS($E$2:$E$57))),ROW()-ROW($F$2:$F$57)+1),COLUMN($E$2:$E$57),4)))</f>
        <v/>
      </c>
      <c r="M4" s="94" t="str">
        <f t="array" aca="1" ref="M4" ca="1">IF(ROW()-ROW($G$2:$G$57)+1&gt;ROWS($F$2:$F$57)-COUNTBLANK($F$2:$F$57),"",INDIRECT(ADDRESS(SMALL((IF($F$2:$F$57&lt;&gt;"",ROW($F$2:$F$57),ROW()+ROWS($F$2:$F$57))),ROW()-ROW($G$2:$G$57)+1),COLUMN($F$2:$F$57),4)))</f>
        <v/>
      </c>
      <c r="N4" s="94" t="str">
        <f t="array" aca="1" ref="N4" ca="1">IF(ROW()-ROW($H$2:$H$57)+1&gt;ROWS($G$2:$G$57)-COUNTBLANK($G$2:$G$57),"",INDIRECT(ADDRESS(SMALL((IF($G$2:$G$57&lt;&gt;"",ROW($G$2:$G$57),ROW()+ROWS($G$2:$G$57))),ROW()-ROW($H$2:$H$57)+1),COLUMN($G$2:$G$57),4)))</f>
        <v/>
      </c>
      <c r="O4" s="184" t="str">
        <f t="array" aca="1" ref="O4" ca="1">IF(ROW()-ROW($I$2:$I$57)+1&gt;ROWS($H$2:$H$57)-COUNTBLANK($H$2:$H$57),"",INDIRECT(ADDRESS(SMALL((IF($H$2:$H$57&lt;&gt;"",ROW($H$2:$H$57),ROW()+ROWS($H$2:$H$57))),ROW()-ROW($I$2:$I$57)+1),COLUMN($H$2:$H$57),4)))</f>
        <v/>
      </c>
      <c r="P4" s="184" t="str">
        <f t="array" aca="1" ref="P4" ca="1">IF(ROW()-ROW($J$2:$J$57)+1&gt;ROWS($I$2:$I$57)-COUNTBLANK($I$2:$I$57),"",INDIRECT(ADDRESS(SMALL((IF($I$2:$I$57&lt;&gt;"",ROW($I$2:$I$57),ROW()+ROWS($I$2:$I$57))),ROW()-ROW($J$2:$J$57)+1),COLUMN($I$2:$I$57),4)))</f>
        <v/>
      </c>
    </row>
    <row r="5" spans="1:18" s="35" customFormat="1" ht="11.25" x14ac:dyDescent="0.25">
      <c r="A5" s="172" t="str">
        <f>IF(Datenquelle!$F$3&gt;2,IF(Datenquelle!$F$3=3,"EZ",IF(Datenquelle!$F$3&gt;3,"relevant","?")),"nicht relevant")</f>
        <v>nicht relevant</v>
      </c>
      <c r="B5" s="147" t="s">
        <v>391</v>
      </c>
      <c r="C5" s="146"/>
      <c r="D5" s="856"/>
      <c r="E5" s="34" t="str">
        <f>IF(H5="","","2016")</f>
        <v/>
      </c>
      <c r="F5" s="34" t="str">
        <f t="shared" si="0"/>
        <v/>
      </c>
      <c r="G5" s="34" t="str">
        <f t="shared" si="1"/>
        <v/>
      </c>
      <c r="H5" s="173" t="str">
        <f>IF(A5="relevant",IF(COUNTIF('Matrix-Rectum'!C26:W26,"")&gt;2,Berechnung4!$L$32,""),"")</f>
        <v/>
      </c>
      <c r="I5" s="172" t="str">
        <f>IF(H5="","",VLOOKUP(F5,Berechnung4!$I$15:$J$25,2,FALSE))</f>
        <v/>
      </c>
      <c r="J5" s="237" t="str">
        <f t="shared" si="2"/>
        <v/>
      </c>
      <c r="L5" s="94" t="str">
        <f t="array" aca="1" ref="L5" ca="1">IF(ROW()-ROW($F$2:$F$57)+1&gt;ROWS($E$2:$E$57)-COUNTBLANK($E$2:$E$57),"",INDIRECT(ADDRESS(SMALL((IF($E$2:$E$57&gt;"",ROW($E$2:$E$57),ROW()+ROWS($E$2:$E$57))),ROW()-ROW($F$2:$F$57)+1),COLUMN($E$2:$E$57),4)))</f>
        <v/>
      </c>
      <c r="M5" s="94" t="str">
        <f t="array" aca="1" ref="M5" ca="1">IF(ROW()-ROW($G$2:$G$57)+1&gt;ROWS($F$2:$F$57)-COUNTBLANK($F$2:$F$57),"",INDIRECT(ADDRESS(SMALL((IF($F$2:$F$57&lt;&gt;"",ROW($F$2:$F$57),ROW()+ROWS($F$2:$F$57))),ROW()-ROW($G$2:$G$57)+1),COLUMN($F$2:$F$57),4)))</f>
        <v/>
      </c>
      <c r="N5" s="94" t="str">
        <f t="array" aca="1" ref="N5" ca="1">IF(ROW()-ROW($H$2:$H$57)+1&gt;ROWS($G$2:$G$57)-COUNTBLANK($G$2:$G$57),"",INDIRECT(ADDRESS(SMALL((IF($G$2:$G$57&lt;&gt;"",ROW($G$2:$G$57),ROW()+ROWS($G$2:$G$57))),ROW()-ROW($H$2:$H$57)+1),COLUMN($G$2:$G$57),4)))</f>
        <v/>
      </c>
      <c r="O5" s="184" t="str">
        <f t="array" aca="1" ref="O5" ca="1">IF(ROW()-ROW($I$2:$I$57)+1&gt;ROWS($H$2:$H$57)-COUNTBLANK($H$2:$H$57),"",INDIRECT(ADDRESS(SMALL((IF($H$2:$H$57&lt;&gt;"",ROW($H$2:$H$57),ROW()+ROWS($H$2:$H$57))),ROW()-ROW($I$2:$I$57)+1),COLUMN($H$2:$H$57),4)))</f>
        <v/>
      </c>
      <c r="P5" s="184" t="str">
        <f t="array" aca="1" ref="P5" ca="1">IF(ROW()-ROW($J$2:$J$57)+1&gt;ROWS($I$2:$I$57)-COUNTBLANK($I$2:$I$57),"",INDIRECT(ADDRESS(SMALL((IF($I$2:$I$57&lt;&gt;"",ROW($I$2:$I$57),ROW()+ROWS($I$2:$I$57))),ROW()-ROW($J$2:$J$57)+1),COLUMN($I$2:$I$57),4)))</f>
        <v/>
      </c>
    </row>
    <row r="6" spans="1:18" s="35" customFormat="1" ht="11.25" x14ac:dyDescent="0.25">
      <c r="A6" s="172" t="str">
        <f>IF(Datenquelle!$F$3&gt;1,IF(Datenquelle!$F$3=2,"EZ",IF(Datenquelle!$F$3&gt;2,"relevant","?")),"nicht relevant")</f>
        <v>nicht relevant</v>
      </c>
      <c r="B6" s="147" t="s">
        <v>417</v>
      </c>
      <c r="C6" s="146"/>
      <c r="D6" s="856"/>
      <c r="E6" s="34" t="str">
        <f>IF(H6="","","2017")</f>
        <v/>
      </c>
      <c r="F6" s="34" t="str">
        <f t="shared" si="0"/>
        <v/>
      </c>
      <c r="G6" s="34" t="str">
        <f t="shared" si="1"/>
        <v/>
      </c>
      <c r="H6" s="173" t="str">
        <f>IF(A6="relevant",IF(COUNTIF('Matrix-Rectum'!C27:G27,"")&gt;0,Berechnung4!$L$32,""),"")</f>
        <v/>
      </c>
      <c r="I6" s="172" t="str">
        <f>IF(H6="","",VLOOKUP(F6,Berechnung4!$I$15:$J$25,2,FALSE))</f>
        <v/>
      </c>
      <c r="J6" s="237" t="str">
        <f t="shared" si="2"/>
        <v/>
      </c>
      <c r="L6" s="94" t="str">
        <f t="array" aca="1" ref="L6" ca="1">IF(ROW()-ROW($F$2:$F$57)+1&gt;ROWS($E$2:$E$57)-COUNTBLANK($E$2:$E$57),"",INDIRECT(ADDRESS(SMALL((IF($E$2:$E$57&gt;"",ROW($E$2:$E$57),ROW()+ROWS($E$2:$E$57))),ROW()-ROW($F$2:$F$57)+1),COLUMN($E$2:$E$57),4)))</f>
        <v/>
      </c>
      <c r="M6" s="94" t="str">
        <f t="array" aca="1" ref="M6" ca="1">IF(ROW()-ROW($G$2:$G$57)+1&gt;ROWS($F$2:$F$57)-COUNTBLANK($F$2:$F$57),"",INDIRECT(ADDRESS(SMALL((IF($F$2:$F$57&lt;&gt;"",ROW($F$2:$F$57),ROW()+ROWS($F$2:$F$57))),ROW()-ROW($G$2:$G$57)+1),COLUMN($F$2:$F$57),4)))</f>
        <v/>
      </c>
      <c r="N6" s="94" t="str">
        <f t="array" aca="1" ref="N6" ca="1">IF(ROW()-ROW($H$2:$H$57)+1&gt;ROWS($G$2:$G$57)-COUNTBLANK($G$2:$G$57),"",INDIRECT(ADDRESS(SMALL((IF($G$2:$G$57&lt;&gt;"",ROW($G$2:$G$57),ROW()+ROWS($G$2:$G$57))),ROW()-ROW($H$2:$H$57)+1),COLUMN($G$2:$G$57),4)))</f>
        <v/>
      </c>
      <c r="O6" s="184" t="str">
        <f t="array" aca="1" ref="O6" ca="1">IF(ROW()-ROW($I$2:$I$57)+1&gt;ROWS($H$2:$H$57)-COUNTBLANK($H$2:$H$57),"",INDIRECT(ADDRESS(SMALL((IF($H$2:$H$57&lt;&gt;"",ROW($H$2:$H$57),ROW()+ROWS($H$2:$H$57))),ROW()-ROW($I$2:$I$57)+1),COLUMN($H$2:$H$57),4)))</f>
        <v/>
      </c>
      <c r="P6" s="184" t="str">
        <f t="array" aca="1" ref="P6" ca="1">IF(ROW()-ROW($J$2:$J$57)+1&gt;ROWS($I$2:$I$57)-COUNTBLANK($I$2:$I$57),"",INDIRECT(ADDRESS(SMALL((IF($I$2:$I$57&lt;&gt;"",ROW($I$2:$I$57),ROW()+ROWS($I$2:$I$57))),ROW()-ROW($J$2:$J$57)+1),COLUMN($I$2:$I$57),4)))</f>
        <v/>
      </c>
    </row>
    <row r="7" spans="1:18" s="35" customFormat="1" ht="12" thickBot="1" x14ac:dyDescent="0.3">
      <c r="A7" s="172" t="str">
        <f>IF(Datenquelle!$F$3&gt;0,IF(Datenquelle!$F$3=1,"EZ",IF(Datenquelle!$F$3&gt;1,"relevant","?")),"nicht relevant")</f>
        <v>nicht relevant</v>
      </c>
      <c r="B7" s="147" t="s">
        <v>426</v>
      </c>
      <c r="C7" s="146"/>
      <c r="D7" s="144" t="s">
        <v>108</v>
      </c>
      <c r="E7" s="155" t="str">
        <f>IF(H7="","","2018")</f>
        <v/>
      </c>
      <c r="F7" s="155" t="str">
        <f t="shared" si="0"/>
        <v/>
      </c>
      <c r="G7" s="155" t="str">
        <f t="shared" si="1"/>
        <v/>
      </c>
      <c r="H7" s="185" t="str">
        <f>IF(A7="relevant",IF(COUNTIF('Matrix-Rectum'!C28:G28,"")&gt;0,Berechnung4!$L$32,""),"")</f>
        <v/>
      </c>
      <c r="I7" s="219" t="str">
        <f>IF(H7="","",VLOOKUP(F7,Berechnung4!$I$15:$J$25,2,FALSE))</f>
        <v/>
      </c>
      <c r="J7" s="220" t="str">
        <f t="shared" si="2"/>
        <v/>
      </c>
      <c r="L7" s="94" t="str">
        <f t="array" aca="1" ref="L7" ca="1">IF(ROW()-ROW($F$2:$F$57)+1&gt;ROWS($E$2:$E$57)-COUNTBLANK($E$2:$E$57),"",INDIRECT(ADDRESS(SMALL((IF($E$2:$E$57&gt;"",ROW($E$2:$E$57),ROW()+ROWS($E$2:$E$57))),ROW()-ROW($F$2:$F$57)+1),COLUMN($E$2:$E$57),4)))</f>
        <v/>
      </c>
      <c r="M7" s="94" t="str">
        <f t="array" aca="1" ref="M7" ca="1">IF(ROW()-ROW($G$2:$G$57)+1&gt;ROWS($F$2:$F$57)-COUNTBLANK($F$2:$F$57),"",INDIRECT(ADDRESS(SMALL((IF($F$2:$F$57&lt;&gt;"",ROW($F$2:$F$57),ROW()+ROWS($F$2:$F$57))),ROW()-ROW($G$2:$G$57)+1),COLUMN($F$2:$F$57),4)))</f>
        <v/>
      </c>
      <c r="N7" s="94" t="str">
        <f t="array" aca="1" ref="N7" ca="1">IF(ROW()-ROW($H$2:$H$57)+1&gt;ROWS($G$2:$G$57)-COUNTBLANK($G$2:$G$57),"",INDIRECT(ADDRESS(SMALL((IF($G$2:$G$57&lt;&gt;"",ROW($G$2:$G$57),ROW()+ROWS($G$2:$G$57))),ROW()-ROW($H$2:$H$57)+1),COLUMN($G$2:$G$57),4)))</f>
        <v/>
      </c>
      <c r="O7" s="184" t="str">
        <f t="array" aca="1" ref="O7" ca="1">IF(ROW()-ROW($I$2:$I$57)+1&gt;ROWS($H$2:$H$57)-COUNTBLANK($H$2:$H$57),"",INDIRECT(ADDRESS(SMALL((IF($H$2:$H$57&lt;&gt;"",ROW($H$2:$H$57),ROW()+ROWS($H$2:$H$57))),ROW()-ROW($I$2:$I$57)+1),COLUMN($H$2:$H$57),4)))</f>
        <v/>
      </c>
      <c r="P7" s="184" t="str">
        <f t="array" aca="1" ref="P7" ca="1">IF(ROW()-ROW($J$2:$J$57)+1&gt;ROWS($I$2:$I$57)-COUNTBLANK($I$2:$I$57),"",INDIRECT(ADDRESS(SMALL((IF($I$2:$I$57&lt;&gt;"",ROW($I$2:$I$57),ROW()+ROWS($I$2:$I$57))),ROW()-ROW($J$2:$J$57)+1),COLUMN($I$2:$I$57),4)))</f>
        <v/>
      </c>
      <c r="Q7" s="134"/>
      <c r="R7" s="134"/>
    </row>
    <row r="8" spans="1:18" s="35" customFormat="1" ht="11.25" x14ac:dyDescent="0.25">
      <c r="D8" s="145" t="s">
        <v>287</v>
      </c>
      <c r="E8" s="156" t="str">
        <f>IF(H8="","","2013")</f>
        <v/>
      </c>
      <c r="F8" s="156" t="str">
        <f t="shared" ref="F8:F13" si="3">IF(H8="","","b")</f>
        <v/>
      </c>
      <c r="G8" s="156" t="str">
        <f t="shared" si="1"/>
        <v/>
      </c>
      <c r="H8" s="186" t="str">
        <f>IF(A2="relevant",IF('Matrix-Rectum'!I23="","",IF('Matrix-Rectum'!I23&gt;('Matrix-Rectum'!C23-'Matrix-Rectum'!G23),Berechnung4!$L$36,"")),"")</f>
        <v/>
      </c>
      <c r="I8" s="239" t="str">
        <f>IF(H8="","",VLOOKUP(F8,Berechnung4!$I$15:$J$25,2,FALSE))</f>
        <v/>
      </c>
      <c r="J8" s="238" t="str">
        <f t="shared" si="2"/>
        <v/>
      </c>
      <c r="L8" s="94" t="str">
        <f t="array" aca="1" ref="L8" ca="1">IF(ROW()-ROW($F$2:$F$57)+1&gt;ROWS($E$2:$E$57)-COUNTBLANK($E$2:$E$57),"",INDIRECT(ADDRESS(SMALL((IF($E$2:$E$57&gt;"",ROW($E$2:$E$57),ROW()+ROWS($E$2:$E$57))),ROW()-ROW($F$2:$F$57)+1),COLUMN($E$2:$E$57),4)))</f>
        <v/>
      </c>
      <c r="M8" s="94" t="str">
        <f t="array" aca="1" ref="M8" ca="1">IF(ROW()-ROW($G$2:$G$57)+1&gt;ROWS($F$2:$F$57)-COUNTBLANK($F$2:$F$57),"",INDIRECT(ADDRESS(SMALL((IF($F$2:$F$57&lt;&gt;"",ROW($F$2:$F$57),ROW()+ROWS($F$2:$F$57))),ROW()-ROW($G$2:$G$57)+1),COLUMN($F$2:$F$57),4)))</f>
        <v/>
      </c>
      <c r="N8" s="94" t="str">
        <f t="array" aca="1" ref="N8" ca="1">IF(ROW()-ROW($H$2:$H$57)+1&gt;ROWS($G$2:$G$57)-COUNTBLANK($G$2:$G$57),"",INDIRECT(ADDRESS(SMALL((IF($G$2:$G$57&lt;&gt;"",ROW($G$2:$G$57),ROW()+ROWS($G$2:$G$57))),ROW()-ROW($H$2:$H$57)+1),COLUMN($G$2:$G$57),4)))</f>
        <v/>
      </c>
      <c r="O8" s="184" t="str">
        <f t="array" aca="1" ref="O8" ca="1">IF(ROW()-ROW($I$2:$I$57)+1&gt;ROWS($H$2:$H$57)-COUNTBLANK($H$2:$H$57),"",INDIRECT(ADDRESS(SMALL((IF($H$2:$H$57&lt;&gt;"",ROW($H$2:$H$57),ROW()+ROWS($H$2:$H$57))),ROW()-ROW($I$2:$I$57)+1),COLUMN($H$2:$H$57),4)))</f>
        <v/>
      </c>
      <c r="P8" s="184" t="str">
        <f t="array" aca="1" ref="P8" ca="1">IF(ROW()-ROW($J$2:$J$57)+1&gt;ROWS($I$2:$I$57)-COUNTBLANK($I$2:$I$57),"",INDIRECT(ADDRESS(SMALL((IF($I$2:$I$57&lt;&gt;"",ROW($I$2:$I$57),ROW()+ROWS($I$2:$I$57))),ROW()-ROW($J$2:$J$57)+1),COLUMN($I$2:$I$57),4)))</f>
        <v/>
      </c>
    </row>
    <row r="9" spans="1:18" s="35" customFormat="1" ht="11.25" x14ac:dyDescent="0.25">
      <c r="D9" s="856" t="s">
        <v>360</v>
      </c>
      <c r="E9" s="34" t="str">
        <f>IF(H9="","","2014")</f>
        <v/>
      </c>
      <c r="F9" s="34" t="str">
        <f t="shared" si="3"/>
        <v/>
      </c>
      <c r="G9" s="34" t="str">
        <f t="shared" si="1"/>
        <v/>
      </c>
      <c r="H9" s="173" t="str">
        <f>IF(A3="relevant",IF('Matrix-Rectum'!I24="","",IF('Matrix-Rectum'!I24&gt;('Matrix-Rectum'!C24-'Matrix-Rectum'!G24),Berechnung4!$L$36,"")),"")</f>
        <v/>
      </c>
      <c r="I9" s="172" t="str">
        <f>IF(H9="","",VLOOKUP(F9,Berechnung4!$I$15:$J$25,2,FALSE))</f>
        <v/>
      </c>
      <c r="J9" s="237" t="str">
        <f t="shared" si="2"/>
        <v/>
      </c>
      <c r="L9" s="94" t="str">
        <f t="array" aca="1" ref="L9" ca="1">IF(ROW()-ROW($F$2:$F$57)+1&gt;ROWS($E$2:$E$57)-COUNTBLANK($E$2:$E$57),"",INDIRECT(ADDRESS(SMALL((IF($E$2:$E$57&gt;"",ROW($E$2:$E$57),ROW()+ROWS($E$2:$E$57))),ROW()-ROW($F$2:$F$57)+1),COLUMN($E$2:$E$57),4)))</f>
        <v/>
      </c>
      <c r="M9" s="94" t="str">
        <f t="array" aca="1" ref="M9" ca="1">IF(ROW()-ROW($G$2:$G$57)+1&gt;ROWS($F$2:$F$57)-COUNTBLANK($F$2:$F$57),"",INDIRECT(ADDRESS(SMALL((IF($F$2:$F$57&lt;&gt;"",ROW($F$2:$F$57),ROW()+ROWS($F$2:$F$57))),ROW()-ROW($G$2:$G$57)+1),COLUMN($F$2:$F$57),4)))</f>
        <v/>
      </c>
      <c r="N9" s="94" t="str">
        <f t="array" aca="1" ref="N9" ca="1">IF(ROW()-ROW($H$2:$H$57)+1&gt;ROWS($G$2:$G$57)-COUNTBLANK($G$2:$G$57),"",INDIRECT(ADDRESS(SMALL((IF($G$2:$G$57&lt;&gt;"",ROW($G$2:$G$57),ROW()+ROWS($G$2:$G$57))),ROW()-ROW($H$2:$H$57)+1),COLUMN($G$2:$G$57),4)))</f>
        <v/>
      </c>
      <c r="O9" s="184" t="str">
        <f t="array" aca="1" ref="O9" ca="1">IF(ROW()-ROW($I$2:$I$57)+1&gt;ROWS($H$2:$H$57)-COUNTBLANK($H$2:$H$57),"",INDIRECT(ADDRESS(SMALL((IF($H$2:$H$57&lt;&gt;"",ROW($H$2:$H$57),ROW()+ROWS($H$2:$H$57))),ROW()-ROW($I$2:$I$57)+1),COLUMN($H$2:$H$57),4)))</f>
        <v/>
      </c>
      <c r="P9" s="184" t="str">
        <f t="array" aca="1" ref="P9" ca="1">IF(ROW()-ROW($J$2:$J$57)+1&gt;ROWS($I$2:$I$57)-COUNTBLANK($I$2:$I$57),"",INDIRECT(ADDRESS(SMALL((IF($I$2:$I$57&lt;&gt;"",ROW($I$2:$I$57),ROW()+ROWS($I$2:$I$57))),ROW()-ROW($J$2:$J$57)+1),COLUMN($I$2:$I$57),4)))</f>
        <v/>
      </c>
    </row>
    <row r="10" spans="1:18" s="35" customFormat="1" ht="11.25" x14ac:dyDescent="0.25">
      <c r="D10" s="856"/>
      <c r="E10" s="34" t="str">
        <f>IF(H10="","","2015")</f>
        <v/>
      </c>
      <c r="F10" s="34" t="str">
        <f t="shared" si="3"/>
        <v/>
      </c>
      <c r="G10" s="34" t="str">
        <f t="shared" si="1"/>
        <v/>
      </c>
      <c r="H10" s="173" t="str">
        <f>IF(A4="relevant",IF('Matrix-Rectum'!I25="","",IF('Matrix-Rectum'!I25&gt;('Matrix-Rectum'!C25-'Matrix-Rectum'!G25),Berechnung4!$L$36,"")),"")</f>
        <v/>
      </c>
      <c r="I10" s="172" t="str">
        <f>IF(H10="","",VLOOKUP(F10,Berechnung4!$I$15:$J$25,2,FALSE))</f>
        <v/>
      </c>
      <c r="J10" s="237" t="str">
        <f t="shared" si="2"/>
        <v/>
      </c>
      <c r="L10" s="94" t="str">
        <f t="array" aca="1" ref="L10" ca="1">IF(ROW()-ROW($F$2:$F$57)+1&gt;ROWS($E$2:$E$57)-COUNTBLANK($E$2:$E$57),"",INDIRECT(ADDRESS(SMALL((IF($E$2:$E$57&gt;"",ROW($E$2:$E$57),ROW()+ROWS($E$2:$E$57))),ROW()-ROW($F$2:$F$57)+1),COLUMN($E$2:$E$57),4)))</f>
        <v/>
      </c>
      <c r="M10" s="94" t="str">
        <f t="array" aca="1" ref="M10" ca="1">IF(ROW()-ROW($G$2:$G$57)+1&gt;ROWS($F$2:$F$57)-COUNTBLANK($F$2:$F$57),"",INDIRECT(ADDRESS(SMALL((IF($F$2:$F$57&lt;&gt;"",ROW($F$2:$F$57),ROW()+ROWS($F$2:$F$57))),ROW()-ROW($G$2:$G$57)+1),COLUMN($F$2:$F$57),4)))</f>
        <v/>
      </c>
      <c r="N10" s="94" t="str">
        <f t="array" aca="1" ref="N10" ca="1">IF(ROW()-ROW($H$2:$H$57)+1&gt;ROWS($G$2:$G$57)-COUNTBLANK($G$2:$G$57),"",INDIRECT(ADDRESS(SMALL((IF($G$2:$G$57&lt;&gt;"",ROW($G$2:$G$57),ROW()+ROWS($G$2:$G$57))),ROW()-ROW($H$2:$H$57)+1),COLUMN($G$2:$G$57),4)))</f>
        <v/>
      </c>
      <c r="O10" s="184" t="str">
        <f t="array" aca="1" ref="O10" ca="1">IF(ROW()-ROW($I$2:$I$57)+1&gt;ROWS($H$2:$H$57)-COUNTBLANK($H$2:$H$57),"",INDIRECT(ADDRESS(SMALL((IF($H$2:$H$57&lt;&gt;"",ROW($H$2:$H$57),ROW()+ROWS($H$2:$H$57))),ROW()-ROW($I$2:$I$57)+1),COLUMN($H$2:$H$57),4)))</f>
        <v/>
      </c>
      <c r="P10" s="184" t="str">
        <f t="array" aca="1" ref="P10" ca="1">IF(ROW()-ROW($J$2:$J$57)+1&gt;ROWS($I$2:$I$57)-COUNTBLANK($I$2:$I$57),"",INDIRECT(ADDRESS(SMALL((IF($I$2:$I$57&lt;&gt;"",ROW($I$2:$I$57),ROW()+ROWS($I$2:$I$57))),ROW()-ROW($J$2:$J$57)+1),COLUMN($I$2:$I$57),4)))</f>
        <v/>
      </c>
    </row>
    <row r="11" spans="1:18" s="35" customFormat="1" ht="11.25" x14ac:dyDescent="0.25">
      <c r="D11" s="856"/>
      <c r="E11" s="34" t="str">
        <f>IF(H11="","","2016")</f>
        <v/>
      </c>
      <c r="F11" s="34" t="str">
        <f t="shared" si="3"/>
        <v/>
      </c>
      <c r="G11" s="34" t="str">
        <f t="shared" si="1"/>
        <v/>
      </c>
      <c r="H11" s="173" t="str">
        <f>IF(A5="relevant",IF('Matrix-Rectum'!I26="","",IF('Matrix-Rectum'!I26&gt;('Matrix-Rectum'!C26-'Matrix-Rectum'!G26),Berechnung4!$L$36,"")),"")</f>
        <v/>
      </c>
      <c r="I11" s="172" t="str">
        <f>IF(H11="","",VLOOKUP(F11,Berechnung4!$I$15:$J$25,2,FALSE))</f>
        <v/>
      </c>
      <c r="J11" s="237" t="str">
        <f t="shared" si="2"/>
        <v/>
      </c>
      <c r="L11" s="94" t="str">
        <f t="array" aca="1" ref="L11" ca="1">IF(ROW()-ROW($F$2:$F$57)+1&gt;ROWS($E$2:$E$57)-COUNTBLANK($E$2:$E$57),"",INDIRECT(ADDRESS(SMALL((IF($E$2:$E$57&gt;"",ROW($E$2:$E$57),ROW()+ROWS($E$2:$E$57))),ROW()-ROW($F$2:$F$57)+1),COLUMN($E$2:$E$57),4)))</f>
        <v/>
      </c>
      <c r="M11" s="94" t="str">
        <f t="array" aca="1" ref="M11" ca="1">IF(ROW()-ROW($G$2:$G$57)+1&gt;ROWS($F$2:$F$57)-COUNTBLANK($F$2:$F$57),"",INDIRECT(ADDRESS(SMALL((IF($F$2:$F$57&lt;&gt;"",ROW($F$2:$F$57),ROW()+ROWS($F$2:$F$57))),ROW()-ROW($G$2:$G$57)+1),COLUMN($F$2:$F$57),4)))</f>
        <v/>
      </c>
      <c r="N11" s="94" t="str">
        <f t="array" aca="1" ref="N11" ca="1">IF(ROW()-ROW($H$2:$H$57)+1&gt;ROWS($G$2:$G$57)-COUNTBLANK($G$2:$G$57),"",INDIRECT(ADDRESS(SMALL((IF($G$2:$G$57&lt;&gt;"",ROW($G$2:$G$57),ROW()+ROWS($G$2:$G$57))),ROW()-ROW($H$2:$H$57)+1),COLUMN($G$2:$G$57),4)))</f>
        <v/>
      </c>
      <c r="O11" s="184" t="str">
        <f t="array" aca="1" ref="O11" ca="1">IF(ROW()-ROW($I$2:$I$57)+1&gt;ROWS($H$2:$H$57)-COUNTBLANK($H$2:$H$57),"",INDIRECT(ADDRESS(SMALL((IF($H$2:$H$57&lt;&gt;"",ROW($H$2:$H$57),ROW()+ROWS($H$2:$H$57))),ROW()-ROW($I$2:$I$57)+1),COLUMN($H$2:$H$57),4)))</f>
        <v/>
      </c>
      <c r="P11" s="184" t="str">
        <f t="array" aca="1" ref="P11" ca="1">IF(ROW()-ROW($J$2:$J$57)+1&gt;ROWS($I$2:$I$57)-COUNTBLANK($I$2:$I$57),"",INDIRECT(ADDRESS(SMALL((IF($I$2:$I$57&lt;&gt;"",ROW($I$2:$I$57),ROW()+ROWS($I$2:$I$57))),ROW()-ROW($J$2:$J$57)+1),COLUMN($I$2:$I$57),4)))</f>
        <v/>
      </c>
    </row>
    <row r="12" spans="1:18" s="35" customFormat="1" ht="11.25" x14ac:dyDescent="0.25">
      <c r="D12" s="856"/>
      <c r="E12" s="34" t="str">
        <f>IF(H12="","","2017")</f>
        <v/>
      </c>
      <c r="F12" s="34" t="str">
        <f t="shared" si="3"/>
        <v/>
      </c>
      <c r="G12" s="34" t="str">
        <f t="shared" si="1"/>
        <v/>
      </c>
      <c r="H12" s="173" t="str">
        <f>IF(A6="relevant",IF('Matrix-Rectum'!I27="","",IF('Matrix-Rectum'!I27&gt;('Matrix-Rectum'!C27-'Matrix-Rectum'!G27),Berechnung4!$L$36,"")),"")</f>
        <v/>
      </c>
      <c r="I12" s="172" t="str">
        <f>IF(H12="","",VLOOKUP(F12,Berechnung4!$I$15:$J$25,2,FALSE))</f>
        <v/>
      </c>
      <c r="J12" s="237" t="str">
        <f t="shared" si="2"/>
        <v/>
      </c>
      <c r="L12" s="94" t="str">
        <f t="array" aca="1" ref="L12" ca="1">IF(ROW()-ROW($F$2:$F$57)+1&gt;ROWS($E$2:$E$57)-COUNTBLANK($E$2:$E$57),"",INDIRECT(ADDRESS(SMALL((IF($E$2:$E$57&gt;"",ROW($E$2:$E$57),ROW()+ROWS($E$2:$E$57))),ROW()-ROW($F$2:$F$57)+1),COLUMN($E$2:$E$57),4)))</f>
        <v/>
      </c>
      <c r="M12" s="94" t="str">
        <f t="array" aca="1" ref="M12" ca="1">IF(ROW()-ROW($G$2:$G$57)+1&gt;ROWS($F$2:$F$57)-COUNTBLANK($F$2:$F$57),"",INDIRECT(ADDRESS(SMALL((IF($F$2:$F$57&lt;&gt;"",ROW($F$2:$F$57),ROW()+ROWS($F$2:$F$57))),ROW()-ROW($G$2:$G$57)+1),COLUMN($F$2:$F$57),4)))</f>
        <v/>
      </c>
      <c r="N12" s="94" t="str">
        <f t="array" aca="1" ref="N12" ca="1">IF(ROW()-ROW($H$2:$H$57)+1&gt;ROWS($G$2:$G$57)-COUNTBLANK($G$2:$G$57),"",INDIRECT(ADDRESS(SMALL((IF($G$2:$G$57&lt;&gt;"",ROW($G$2:$G$57),ROW()+ROWS($G$2:$G$57))),ROW()-ROW($H$2:$H$57)+1),COLUMN($G$2:$G$57),4)))</f>
        <v/>
      </c>
      <c r="O12" s="184" t="str">
        <f t="array" aca="1" ref="O12" ca="1">IF(ROW()-ROW($I$2:$I$57)+1&gt;ROWS($H$2:$H$57)-COUNTBLANK($H$2:$H$57),"",INDIRECT(ADDRESS(SMALL((IF($H$2:$H$57&lt;&gt;"",ROW($H$2:$H$57),ROW()+ROWS($H$2:$H$57))),ROW()-ROW($I$2:$I$57)+1),COLUMN($H$2:$H$57),4)))</f>
        <v/>
      </c>
      <c r="P12" s="184" t="str">
        <f t="array" aca="1" ref="P12" ca="1">IF(ROW()-ROW($J$2:$J$57)+1&gt;ROWS($I$2:$I$57)-COUNTBLANK($I$2:$I$57),"",INDIRECT(ADDRESS(SMALL((IF($I$2:$I$57&lt;&gt;"",ROW($I$2:$I$57),ROW()+ROWS($I$2:$I$57))),ROW()-ROW($J$2:$J$57)+1),COLUMN($I$2:$I$57),4)))</f>
        <v/>
      </c>
    </row>
    <row r="13" spans="1:18" s="35" customFormat="1" ht="12" thickBot="1" x14ac:dyDescent="0.3">
      <c r="D13" s="144" t="s">
        <v>109</v>
      </c>
      <c r="E13" s="155" t="str">
        <f>IF(H13="","","2018")</f>
        <v/>
      </c>
      <c r="F13" s="155" t="str">
        <f t="shared" si="3"/>
        <v/>
      </c>
      <c r="G13" s="155" t="str">
        <f t="shared" si="1"/>
        <v/>
      </c>
      <c r="H13" s="185" t="s">
        <v>310</v>
      </c>
      <c r="I13" s="219" t="str">
        <f>IF(H13="","",VLOOKUP(F13,Berechnung4!$I$15:$J$25,2,FALSE))</f>
        <v/>
      </c>
      <c r="J13" s="220" t="str">
        <f t="shared" si="2"/>
        <v/>
      </c>
      <c r="L13" s="94" t="str">
        <f t="array" aca="1" ref="L13" ca="1">IF(ROW()-ROW($F$2:$F$57)+1&gt;ROWS($E$2:$E$57)-COUNTBLANK($E$2:$E$57),"",INDIRECT(ADDRESS(SMALL((IF($E$2:$E$57&gt;"",ROW($E$2:$E$57),ROW()+ROWS($E$2:$E$57))),ROW()-ROW($F$2:$F$57)+1),COLUMN($E$2:$E$57),4)))</f>
        <v/>
      </c>
      <c r="M13" s="94" t="str">
        <f t="array" aca="1" ref="M13" ca="1">IF(ROW()-ROW($G$2:$G$57)+1&gt;ROWS($F$2:$F$57)-COUNTBLANK($F$2:$F$57),"",INDIRECT(ADDRESS(SMALL((IF($F$2:$F$57&lt;&gt;"",ROW($F$2:$F$57),ROW()+ROWS($F$2:$F$57))),ROW()-ROW($G$2:$G$57)+1),COLUMN($F$2:$F$57),4)))</f>
        <v/>
      </c>
      <c r="N13" s="94" t="str">
        <f t="array" aca="1" ref="N13" ca="1">IF(ROW()-ROW($H$2:$H$57)+1&gt;ROWS($G$2:$G$57)-COUNTBLANK($G$2:$G$57),"",INDIRECT(ADDRESS(SMALL((IF($G$2:$G$57&lt;&gt;"",ROW($G$2:$G$57),ROW()+ROWS($G$2:$G$57))),ROW()-ROW($H$2:$H$57)+1),COLUMN($G$2:$G$57),4)))</f>
        <v/>
      </c>
      <c r="O13" s="184" t="str">
        <f t="array" aca="1" ref="O13" ca="1">IF(ROW()-ROW($I$2:$I$57)+1&gt;ROWS($H$2:$H$57)-COUNTBLANK($H$2:$H$57),"",INDIRECT(ADDRESS(SMALL((IF($H$2:$H$57&lt;&gt;"",ROW($H$2:$H$57),ROW()+ROWS($H$2:$H$57))),ROW()-ROW($I$2:$I$57)+1),COLUMN($H$2:$H$57),4)))</f>
        <v/>
      </c>
      <c r="P13" s="184" t="str">
        <f t="array" aca="1" ref="P13" ca="1">IF(ROW()-ROW($J$2:$J$57)+1&gt;ROWS($I$2:$I$57)-COUNTBLANK($I$2:$I$57),"",INDIRECT(ADDRESS(SMALL((IF($I$2:$I$57&lt;&gt;"",ROW($I$2:$I$57),ROW()+ROWS($I$2:$I$57))),ROW()-ROW($J$2:$J$57)+1),COLUMN($I$2:$I$57),4)))</f>
        <v/>
      </c>
    </row>
    <row r="14" spans="1:18" x14ac:dyDescent="0.25">
      <c r="D14" s="145" t="s">
        <v>287</v>
      </c>
      <c r="E14" s="156" t="str">
        <f>IF(H14="","","2013")</f>
        <v/>
      </c>
      <c r="F14" s="156" t="str">
        <f t="shared" ref="F14:F19" si="4">IF(H14="","","c")</f>
        <v/>
      </c>
      <c r="G14" s="156" t="str">
        <f t="shared" si="1"/>
        <v/>
      </c>
      <c r="H14" s="186" t="str">
        <f>IF(A2="relevant",IF('Matrix-Rectum'!O23&lt;Berechnung4!$G$42,Berechnung4!$L$42,""),"")</f>
        <v/>
      </c>
      <c r="I14" s="239" t="str">
        <f>IF(H14="","",VLOOKUP(F14,Berechnung4!$I$15:$J$25,2,FALSE))</f>
        <v/>
      </c>
      <c r="J14" s="238" t="str">
        <f t="shared" si="2"/>
        <v/>
      </c>
      <c r="L14" s="94" t="str">
        <f t="array" aca="1" ref="L14" ca="1">IF(ROW()-ROW($F$2:$F$57)+1&gt;ROWS($E$2:$E$57)-COUNTBLANK($E$2:$E$57),"",INDIRECT(ADDRESS(SMALL((IF($E$2:$E$57&gt;"",ROW($E$2:$E$57),ROW()+ROWS($E$2:$E$57))),ROW()-ROW($F$2:$F$57)+1),COLUMN($E$2:$E$57),4)))</f>
        <v/>
      </c>
      <c r="M14" s="94" t="str">
        <f t="array" aca="1" ref="M14" ca="1">IF(ROW()-ROW($G$2:$G$57)+1&gt;ROWS($F$2:$F$57)-COUNTBLANK($F$2:$F$57),"",INDIRECT(ADDRESS(SMALL((IF($F$2:$F$57&lt;&gt;"",ROW($F$2:$F$57),ROW()+ROWS($F$2:$F$57))),ROW()-ROW($G$2:$G$57)+1),COLUMN($F$2:$F$57),4)))</f>
        <v/>
      </c>
      <c r="N14" s="94" t="str">
        <f t="array" aca="1" ref="N14" ca="1">IF(ROW()-ROW($H$2:$H$57)+1&gt;ROWS($G$2:$G$57)-COUNTBLANK($G$2:$G$57),"",INDIRECT(ADDRESS(SMALL((IF($G$2:$G$57&lt;&gt;"",ROW($G$2:$G$57),ROW()+ROWS($G$2:$G$57))),ROW()-ROW($H$2:$H$57)+1),COLUMN($G$2:$G$57),4)))</f>
        <v/>
      </c>
      <c r="O14" s="184" t="str">
        <f t="array" aca="1" ref="O14" ca="1">IF(ROW()-ROW($I$2:$I$57)+1&gt;ROWS($H$2:$H$57)-COUNTBLANK($H$2:$H$57),"",INDIRECT(ADDRESS(SMALL((IF($H$2:$H$57&lt;&gt;"",ROW($H$2:$H$57),ROW()+ROWS($H$2:$H$57))),ROW()-ROW($I$2:$I$57)+1),COLUMN($H$2:$H$57),4)))</f>
        <v/>
      </c>
      <c r="P14" s="184" t="str">
        <f t="array" aca="1" ref="P14" ca="1">IF(ROW()-ROW($J$2:$J$57)+1&gt;ROWS($I$2:$I$57)-COUNTBLANK($I$2:$I$57),"",INDIRECT(ADDRESS(SMALL((IF($I$2:$I$57&lt;&gt;"",ROW($I$2:$I$57),ROW()+ROWS($I$2:$I$57))),ROW()-ROW($J$2:$J$57)+1),COLUMN($I$2:$I$57),4)))</f>
        <v/>
      </c>
    </row>
    <row r="15" spans="1:18" x14ac:dyDescent="0.25">
      <c r="D15" s="856" t="s">
        <v>30</v>
      </c>
      <c r="E15" s="34" t="str">
        <f>IF(H15="","","2014")</f>
        <v/>
      </c>
      <c r="F15" s="34" t="str">
        <f t="shared" si="4"/>
        <v/>
      </c>
      <c r="G15" s="34" t="str">
        <f t="shared" si="1"/>
        <v/>
      </c>
      <c r="H15" s="173" t="str">
        <f>IF(A3="relevant",IF('Matrix-Rectum'!O24&lt;Berechnung4!$G$42,Berechnung4!$L$42,""),"")</f>
        <v/>
      </c>
      <c r="I15" s="172" t="str">
        <f>IF(H15="","",VLOOKUP(F15,Berechnung4!$I$15:$J$25,2,FALSE))</f>
        <v/>
      </c>
      <c r="J15" s="237" t="str">
        <f t="shared" si="2"/>
        <v/>
      </c>
      <c r="L15" s="94" t="str">
        <f t="array" aca="1" ref="L15" ca="1">IF(ROW()-ROW($F$2:$F$57)+1&gt;ROWS($E$2:$E$57)-COUNTBLANK($E$2:$E$57),"",INDIRECT(ADDRESS(SMALL((IF($E$2:$E$57&gt;"",ROW($E$2:$E$57),ROW()+ROWS($E$2:$E$57))),ROW()-ROW($F$2:$F$57)+1),COLUMN($E$2:$E$57),4)))</f>
        <v/>
      </c>
      <c r="M15" s="94" t="str">
        <f t="array" aca="1" ref="M15" ca="1">IF(ROW()-ROW($G$2:$G$57)+1&gt;ROWS($F$2:$F$57)-COUNTBLANK($F$2:$F$57),"",INDIRECT(ADDRESS(SMALL((IF($F$2:$F$57&lt;&gt;"",ROW($F$2:$F$57),ROW()+ROWS($F$2:$F$57))),ROW()-ROW($G$2:$G$57)+1),COLUMN($F$2:$F$57),4)))</f>
        <v/>
      </c>
      <c r="N15" s="94" t="str">
        <f t="array" aca="1" ref="N15" ca="1">IF(ROW()-ROW($H$2:$H$57)+1&gt;ROWS($G$2:$G$57)-COUNTBLANK($G$2:$G$57),"",INDIRECT(ADDRESS(SMALL((IF($G$2:$G$57&lt;&gt;"",ROW($G$2:$G$57),ROW()+ROWS($G$2:$G$57))),ROW()-ROW($H$2:$H$57)+1),COLUMN($G$2:$G$57),4)))</f>
        <v/>
      </c>
      <c r="O15" s="184" t="str">
        <f t="array" aca="1" ref="O15" ca="1">IF(ROW()-ROW($I$2:$I$57)+1&gt;ROWS($H$2:$H$57)-COUNTBLANK($H$2:$H$57),"",INDIRECT(ADDRESS(SMALL((IF($H$2:$H$57&lt;&gt;"",ROW($H$2:$H$57),ROW()+ROWS($H$2:$H$57))),ROW()-ROW($I$2:$I$57)+1),COLUMN($H$2:$H$57),4)))</f>
        <v/>
      </c>
      <c r="P15" s="184" t="str">
        <f t="array" aca="1" ref="P15" ca="1">IF(ROW()-ROW($J$2:$J$57)+1&gt;ROWS($I$2:$I$57)-COUNTBLANK($I$2:$I$57),"",INDIRECT(ADDRESS(SMALL((IF($I$2:$I$57&lt;&gt;"",ROW($I$2:$I$57),ROW()+ROWS($I$2:$I$57))),ROW()-ROW($J$2:$J$57)+1),COLUMN($I$2:$I$57),4)))</f>
        <v/>
      </c>
    </row>
    <row r="16" spans="1:18" x14ac:dyDescent="0.25">
      <c r="D16" s="856"/>
      <c r="E16" s="34" t="str">
        <f>IF(H16="","","2015")</f>
        <v/>
      </c>
      <c r="F16" s="34" t="str">
        <f t="shared" si="4"/>
        <v/>
      </c>
      <c r="G16" s="34" t="str">
        <f t="shared" si="1"/>
        <v/>
      </c>
      <c r="H16" s="173" t="str">
        <f>IF(A4="relevant",IF('Matrix-Rectum'!O25&lt;Berechnung4!$G$42,Berechnung4!$L$42,""),"")</f>
        <v/>
      </c>
      <c r="I16" s="172" t="str">
        <f>IF(H16="","",VLOOKUP(F16,Berechnung4!$I$15:$J$25,2,FALSE))</f>
        <v/>
      </c>
      <c r="J16" s="237" t="str">
        <f t="shared" si="2"/>
        <v/>
      </c>
      <c r="L16" s="94" t="str">
        <f t="array" aca="1" ref="L16" ca="1">IF(ROW()-ROW($F$2:$F$57)+1&gt;ROWS($E$2:$E$57)-COUNTBLANK($E$2:$E$57),"",INDIRECT(ADDRESS(SMALL((IF($E$2:$E$57&gt;"",ROW($E$2:$E$57),ROW()+ROWS($E$2:$E$57))),ROW()-ROW($F$2:$F$57)+1),COLUMN($E$2:$E$57),4)))</f>
        <v/>
      </c>
      <c r="M16" s="94" t="str">
        <f t="array" aca="1" ref="M16" ca="1">IF(ROW()-ROW($G$2:$G$57)+1&gt;ROWS($F$2:$F$57)-COUNTBLANK($F$2:$F$57),"",INDIRECT(ADDRESS(SMALL((IF($F$2:$F$57&lt;&gt;"",ROW($F$2:$F$57),ROW()+ROWS($F$2:$F$57))),ROW()-ROW($G$2:$G$57)+1),COLUMN($F$2:$F$57),4)))</f>
        <v/>
      </c>
      <c r="N16" s="94" t="str">
        <f t="array" aca="1" ref="N16" ca="1">IF(ROW()-ROW($H$2:$H$57)+1&gt;ROWS($G$2:$G$57)-COUNTBLANK($G$2:$G$57),"",INDIRECT(ADDRESS(SMALL((IF($G$2:$G$57&lt;&gt;"",ROW($G$2:$G$57),ROW()+ROWS($G$2:$G$57))),ROW()-ROW($H$2:$H$57)+1),COLUMN($G$2:$G$57),4)))</f>
        <v/>
      </c>
      <c r="O16" s="184" t="str">
        <f t="array" aca="1" ref="O16" ca="1">IF(ROW()-ROW($I$2:$I$57)+1&gt;ROWS($H$2:$H$57)-COUNTBLANK($H$2:$H$57),"",INDIRECT(ADDRESS(SMALL((IF($H$2:$H$57&lt;&gt;"",ROW($H$2:$H$57),ROW()+ROWS($H$2:$H$57))),ROW()-ROW($I$2:$I$57)+1),COLUMN($H$2:$H$57),4)))</f>
        <v/>
      </c>
      <c r="P16" s="184" t="str">
        <f t="array" aca="1" ref="P16" ca="1">IF(ROW()-ROW($J$2:$J$57)+1&gt;ROWS($I$2:$I$57)-COUNTBLANK($I$2:$I$57),"",INDIRECT(ADDRESS(SMALL((IF($I$2:$I$57&lt;&gt;"",ROW($I$2:$I$57),ROW()+ROWS($I$2:$I$57))),ROW()-ROW($J$2:$J$57)+1),COLUMN($I$2:$I$57),4)))</f>
        <v/>
      </c>
    </row>
    <row r="17" spans="4:16" x14ac:dyDescent="0.25">
      <c r="D17" s="856"/>
      <c r="E17" s="34" t="str">
        <f>IF(H17="","","2016")</f>
        <v/>
      </c>
      <c r="F17" s="34" t="str">
        <f t="shared" si="4"/>
        <v/>
      </c>
      <c r="G17" s="34" t="str">
        <f t="shared" si="1"/>
        <v/>
      </c>
      <c r="H17" s="173" t="str">
        <f>IF(A5="relevant",IF('Matrix-Rectum'!O26&lt;Berechnung4!$G$42,Berechnung4!$L$42,""),"")</f>
        <v/>
      </c>
      <c r="I17" s="172" t="str">
        <f>IF(H17="","",VLOOKUP(F17,Berechnung4!$I$15:$J$25,2,FALSE))</f>
        <v/>
      </c>
      <c r="J17" s="237" t="str">
        <f t="shared" si="2"/>
        <v/>
      </c>
      <c r="L17" s="94" t="str">
        <f t="array" aca="1" ref="L17" ca="1">IF(ROW()-ROW($F$2:$F$57)+1&gt;ROWS($E$2:$E$57)-COUNTBLANK($E$2:$E$57),"",INDIRECT(ADDRESS(SMALL((IF($E$2:$E$57&gt;"",ROW($E$2:$E$57),ROW()+ROWS($E$2:$E$57))),ROW()-ROW($F$2:$F$57)+1),COLUMN($E$2:$E$57),4)))</f>
        <v/>
      </c>
      <c r="M17" s="94" t="str">
        <f t="array" aca="1" ref="M17" ca="1">IF(ROW()-ROW($G$2:$G$57)+1&gt;ROWS($F$2:$F$57)-COUNTBLANK($F$2:$F$57),"",INDIRECT(ADDRESS(SMALL((IF($F$2:$F$57&lt;&gt;"",ROW($F$2:$F$57),ROW()+ROWS($F$2:$F$57))),ROW()-ROW($G$2:$G$57)+1),COLUMN($F$2:$F$57),4)))</f>
        <v/>
      </c>
      <c r="N17" s="94" t="str">
        <f t="array" aca="1" ref="N17" ca="1">IF(ROW()-ROW($H$2:$H$57)+1&gt;ROWS($G$2:$G$57)-COUNTBLANK($G$2:$G$57),"",INDIRECT(ADDRESS(SMALL((IF($G$2:$G$57&lt;&gt;"",ROW($G$2:$G$57),ROW()+ROWS($G$2:$G$57))),ROW()-ROW($H$2:$H$57)+1),COLUMN($G$2:$G$57),4)))</f>
        <v/>
      </c>
      <c r="O17" s="184" t="str">
        <f t="array" aca="1" ref="O17" ca="1">IF(ROW()-ROW($I$2:$I$57)+1&gt;ROWS($H$2:$H$57)-COUNTBLANK($H$2:$H$57),"",INDIRECT(ADDRESS(SMALL((IF($H$2:$H$57&lt;&gt;"",ROW($H$2:$H$57),ROW()+ROWS($H$2:$H$57))),ROW()-ROW($I$2:$I$57)+1),COLUMN($H$2:$H$57),4)))</f>
        <v/>
      </c>
      <c r="P17" s="184" t="str">
        <f t="array" aca="1" ref="P17" ca="1">IF(ROW()-ROW($J$2:$J$57)+1&gt;ROWS($I$2:$I$57)-COUNTBLANK($I$2:$I$57),"",INDIRECT(ADDRESS(SMALL((IF($I$2:$I$57&lt;&gt;"",ROW($I$2:$I$57),ROW()+ROWS($I$2:$I$57))),ROW()-ROW($J$2:$J$57)+1),COLUMN($I$2:$I$57),4)))</f>
        <v/>
      </c>
    </row>
    <row r="18" spans="4:16" x14ac:dyDescent="0.25">
      <c r="D18" s="856"/>
      <c r="E18" s="34" t="str">
        <f>IF(H18="","","2017")</f>
        <v/>
      </c>
      <c r="F18" s="34" t="str">
        <f t="shared" si="4"/>
        <v/>
      </c>
      <c r="G18" s="34" t="str">
        <f t="shared" si="1"/>
        <v/>
      </c>
      <c r="H18" s="173" t="str">
        <f>IF(A6="relevant",IF('Matrix-Rectum'!O27&lt;Berechnung4!$G$42,Berechnung4!$L$42,""),"")</f>
        <v/>
      </c>
      <c r="I18" s="172" t="str">
        <f>IF(H18="","",VLOOKUP(F18,Berechnung4!$I$15:$J$25,2,FALSE))</f>
        <v/>
      </c>
      <c r="J18" s="237" t="str">
        <f t="shared" si="2"/>
        <v/>
      </c>
      <c r="L18" s="94" t="str">
        <f t="array" aca="1" ref="L18" ca="1">IF(ROW()-ROW($F$2:$F$57)+1&gt;ROWS($E$2:$E$57)-COUNTBLANK($E$2:$E$57),"",INDIRECT(ADDRESS(SMALL((IF($E$2:$E$57&gt;"",ROW($E$2:$E$57),ROW()+ROWS($E$2:$E$57))),ROW()-ROW($F$2:$F$57)+1),COLUMN($E$2:$E$57),4)))</f>
        <v/>
      </c>
      <c r="M18" s="94" t="str">
        <f t="array" aca="1" ref="M18" ca="1">IF(ROW()-ROW($G$2:$G$57)+1&gt;ROWS($F$2:$F$57)-COUNTBLANK($F$2:$F$57),"",INDIRECT(ADDRESS(SMALL((IF($F$2:$F$57&lt;&gt;"",ROW($F$2:$F$57),ROW()+ROWS($F$2:$F$57))),ROW()-ROW($G$2:$G$57)+1),COLUMN($F$2:$F$57),4)))</f>
        <v/>
      </c>
      <c r="N18" s="94" t="str">
        <f t="array" aca="1" ref="N18" ca="1">IF(ROW()-ROW($H$2:$H$57)+1&gt;ROWS($G$2:$G$57)-COUNTBLANK($G$2:$G$57),"",INDIRECT(ADDRESS(SMALL((IF($G$2:$G$57&lt;&gt;"",ROW($G$2:$G$57),ROW()+ROWS($G$2:$G$57))),ROW()-ROW($H$2:$H$57)+1),COLUMN($G$2:$G$57),4)))</f>
        <v/>
      </c>
      <c r="O18" s="184" t="str">
        <f t="array" aca="1" ref="O18" ca="1">IF(ROW()-ROW($I$2:$I$57)+1&gt;ROWS($H$2:$H$57)-COUNTBLANK($H$2:$H$57),"",INDIRECT(ADDRESS(SMALL((IF($H$2:$H$57&lt;&gt;"",ROW($H$2:$H$57),ROW()+ROWS($H$2:$H$57))),ROW()-ROW($I$2:$I$57)+1),COLUMN($H$2:$H$57),4)))</f>
        <v/>
      </c>
      <c r="P18" s="184" t="str">
        <f t="array" aca="1" ref="P18" ca="1">IF(ROW()-ROW($J$2:$J$57)+1&gt;ROWS($I$2:$I$57)-COUNTBLANK($I$2:$I$57),"",INDIRECT(ADDRESS(SMALL((IF($I$2:$I$57&lt;&gt;"",ROW($I$2:$I$57),ROW()+ROWS($I$2:$I$57))),ROW()-ROW($J$2:$J$57)+1),COLUMN($I$2:$I$57),4)))</f>
        <v/>
      </c>
    </row>
    <row r="19" spans="4:16" ht="15.75" thickBot="1" x14ac:dyDescent="0.3">
      <c r="D19" s="174" t="s">
        <v>110</v>
      </c>
      <c r="E19" s="244" t="str">
        <f>IF(H19="","","2018")</f>
        <v/>
      </c>
      <c r="F19" s="244" t="str">
        <f t="shared" si="4"/>
        <v/>
      </c>
      <c r="G19" s="244" t="str">
        <f t="shared" si="1"/>
        <v/>
      </c>
      <c r="H19" s="242"/>
      <c r="I19" s="245" t="str">
        <f>IF(H19="","",VLOOKUP(F19,Berechnung4!$I$15:$J$25,2,FALSE))</f>
        <v/>
      </c>
      <c r="J19" s="246" t="str">
        <f t="shared" si="2"/>
        <v/>
      </c>
      <c r="L19" s="94" t="str">
        <f t="array" aca="1" ref="L19" ca="1">IF(ROW()-ROW($F$2:$F$57)+1&gt;ROWS($E$2:$E$57)-COUNTBLANK($E$2:$E$57),"",INDIRECT(ADDRESS(SMALL((IF($E$2:$E$57&gt;"",ROW($E$2:$E$57),ROW()+ROWS($E$2:$E$57))),ROW()-ROW($F$2:$F$57)+1),COLUMN($E$2:$E$57),4)))</f>
        <v/>
      </c>
      <c r="M19" s="94" t="str">
        <f t="array" aca="1" ref="M19" ca="1">IF(ROW()-ROW($G$2:$G$57)+1&gt;ROWS($F$2:$F$57)-COUNTBLANK($F$2:$F$57),"",INDIRECT(ADDRESS(SMALL((IF($F$2:$F$57&lt;&gt;"",ROW($F$2:$F$57),ROW()+ROWS($F$2:$F$57))),ROW()-ROW($G$2:$G$57)+1),COLUMN($F$2:$F$57),4)))</f>
        <v/>
      </c>
      <c r="N19" s="94" t="str">
        <f t="array" aca="1" ref="N19" ca="1">IF(ROW()-ROW($H$2:$H$57)+1&gt;ROWS($G$2:$G$57)-COUNTBLANK($G$2:$G$57),"",INDIRECT(ADDRESS(SMALL((IF($G$2:$G$57&lt;&gt;"",ROW($G$2:$G$57),ROW()+ROWS($G$2:$G$57))),ROW()-ROW($H$2:$H$57)+1),COLUMN($G$2:$G$57),4)))</f>
        <v/>
      </c>
      <c r="O19" s="184" t="str">
        <f t="array" aca="1" ref="O19" ca="1">IF(ROW()-ROW($I$2:$I$57)+1&gt;ROWS($H$2:$H$57)-COUNTBLANK($H$2:$H$57),"",INDIRECT(ADDRESS(SMALL((IF($H$2:$H$57&lt;&gt;"",ROW($H$2:$H$57),ROW()+ROWS($H$2:$H$57))),ROW()-ROW($I$2:$I$57)+1),COLUMN($H$2:$H$57),4)))</f>
        <v/>
      </c>
      <c r="P19" s="184" t="str">
        <f t="array" aca="1" ref="P19" ca="1">IF(ROW()-ROW($J$2:$J$57)+1&gt;ROWS($I$2:$I$57)-COUNTBLANK($I$2:$I$57),"",INDIRECT(ADDRESS(SMALL((IF($I$2:$I$57&lt;&gt;"",ROW($I$2:$I$57),ROW()+ROWS($I$2:$I$57))),ROW()-ROW($J$2:$J$57)+1),COLUMN($I$2:$I$57),4)))</f>
        <v/>
      </c>
    </row>
    <row r="20" spans="4:16" x14ac:dyDescent="0.25">
      <c r="D20" s="145" t="s">
        <v>287</v>
      </c>
      <c r="E20" s="156" t="str">
        <f>IF(H20="","","2013")</f>
        <v/>
      </c>
      <c r="F20" s="156" t="str">
        <f t="shared" ref="F20:F25" si="5">IF(H20="","","d")</f>
        <v/>
      </c>
      <c r="G20" s="156" t="str">
        <f t="shared" si="1"/>
        <v/>
      </c>
      <c r="H20" s="186" t="str">
        <f>IF(A2="relevant",IF(AND('Matrix-Rectum'!Q23="",'Matrix-Rectum'!R23="",'Matrix-Rectum'!S23="",'Matrix-Rectum'!T23=""),"",IF('Matrix-Rectum'!Q23&lt;MAX('Matrix-Rectum'!R23:T23),Berechnung2!$L$40,"")),"")</f>
        <v/>
      </c>
      <c r="I20" s="239" t="str">
        <f>IF(H20="","",VLOOKUP(F20,Berechnung4!$I$15:$J$25,2,FALSE))</f>
        <v/>
      </c>
      <c r="J20" s="238" t="str">
        <f t="shared" si="2"/>
        <v/>
      </c>
      <c r="L20" s="94" t="str">
        <f t="array" aca="1" ref="L20" ca="1">IF(ROW()-ROW($F$2:$F$57)+1&gt;ROWS($E$2:$E$57)-COUNTBLANK($E$2:$E$57),"",INDIRECT(ADDRESS(SMALL((IF($E$2:$E$57&gt;"",ROW($E$2:$E$57),ROW()+ROWS($E$2:$E$57))),ROW()-ROW($F$2:$F$57)+1),COLUMN($E$2:$E$57),4)))</f>
        <v/>
      </c>
      <c r="M20" s="94" t="str">
        <f t="array" aca="1" ref="M20" ca="1">IF(ROW()-ROW($G$2:$G$57)+1&gt;ROWS($F$2:$F$57)-COUNTBLANK($F$2:$F$57),"",INDIRECT(ADDRESS(SMALL((IF($F$2:$F$57&lt;&gt;"",ROW($F$2:$F$57),ROW()+ROWS($F$2:$F$57))),ROW()-ROW($G$2:$G$57)+1),COLUMN($F$2:$F$57),4)))</f>
        <v/>
      </c>
      <c r="N20" s="94" t="str">
        <f t="array" aca="1" ref="N20" ca="1">IF(ROW()-ROW($H$2:$H$57)+1&gt;ROWS($G$2:$G$57)-COUNTBLANK($G$2:$G$57),"",INDIRECT(ADDRESS(SMALL((IF($G$2:$G$57&lt;&gt;"",ROW($G$2:$G$57),ROW()+ROWS($G$2:$G$57))),ROW()-ROW($H$2:$H$57)+1),COLUMN($G$2:$G$57),4)))</f>
        <v/>
      </c>
      <c r="O20" s="184" t="str">
        <f t="array" aca="1" ref="O20" ca="1">IF(ROW()-ROW($I$2:$I$57)+1&gt;ROWS($H$2:$H$57)-COUNTBLANK($H$2:$H$57),"",INDIRECT(ADDRESS(SMALL((IF($H$2:$H$57&lt;&gt;"",ROW($H$2:$H$57),ROW()+ROWS($H$2:$H$57))),ROW()-ROW($I$2:$I$57)+1),COLUMN($H$2:$H$57),4)))</f>
        <v/>
      </c>
      <c r="P20" s="184" t="str">
        <f t="array" aca="1" ref="P20" ca="1">IF(ROW()-ROW($J$2:$J$57)+1&gt;ROWS($I$2:$I$57)-COUNTBLANK($I$2:$I$57),"",INDIRECT(ADDRESS(SMALL((IF($I$2:$I$57&lt;&gt;"",ROW($I$2:$I$57),ROW()+ROWS($I$2:$I$57))),ROW()-ROW($J$2:$J$57)+1),COLUMN($I$2:$I$57),4)))</f>
        <v/>
      </c>
    </row>
    <row r="21" spans="4:16" x14ac:dyDescent="0.25">
      <c r="D21" s="856" t="s">
        <v>361</v>
      </c>
      <c r="E21" s="34" t="str">
        <f>IF(H21="","","2014")</f>
        <v/>
      </c>
      <c r="F21" s="34" t="str">
        <f t="shared" si="5"/>
        <v/>
      </c>
      <c r="G21" s="34" t="str">
        <f t="shared" si="1"/>
        <v/>
      </c>
      <c r="H21" s="173" t="str">
        <f>IF(A3="relevant",IF(AND('Matrix-Rectum'!Q24="",'Matrix-Rectum'!R24="",'Matrix-Rectum'!S24="",'Matrix-Rectum'!T24=""),"",IF('Matrix-Rectum'!Q24&lt;MAX('Matrix-Rectum'!R24:T24),Berechnung2!$L$40,"")),"")</f>
        <v/>
      </c>
      <c r="I21" s="172" t="str">
        <f>IF(H21="","",VLOOKUP(F21,Berechnung4!$I$15:$J$25,2,FALSE))</f>
        <v/>
      </c>
      <c r="J21" s="237" t="str">
        <f t="shared" si="2"/>
        <v/>
      </c>
      <c r="L21" s="94" t="str">
        <f t="array" aca="1" ref="L21" ca="1">IF(ROW()-ROW($F$2:$F$57)+1&gt;ROWS($E$2:$E$57)-COUNTBLANK($E$2:$E$57),"",INDIRECT(ADDRESS(SMALL((IF($E$2:$E$57&gt;"",ROW($E$2:$E$57),ROW()+ROWS($E$2:$E$57))),ROW()-ROW($F$2:$F$57)+1),COLUMN($E$2:$E$57),4)))</f>
        <v/>
      </c>
      <c r="M21" s="94" t="str">
        <f t="array" aca="1" ref="M21" ca="1">IF(ROW()-ROW($G$2:$G$57)+1&gt;ROWS($F$2:$F$57)-COUNTBLANK($F$2:$F$57),"",INDIRECT(ADDRESS(SMALL((IF($F$2:$F$57&lt;&gt;"",ROW($F$2:$F$57),ROW()+ROWS($F$2:$F$57))),ROW()-ROW($G$2:$G$57)+1),COLUMN($F$2:$F$57),4)))</f>
        <v/>
      </c>
      <c r="N21" s="94" t="str">
        <f t="array" aca="1" ref="N21" ca="1">IF(ROW()-ROW($H$2:$H$57)+1&gt;ROWS($G$2:$G$57)-COUNTBLANK($G$2:$G$57),"",INDIRECT(ADDRESS(SMALL((IF($G$2:$G$57&lt;&gt;"",ROW($G$2:$G$57),ROW()+ROWS($G$2:$G$57))),ROW()-ROW($H$2:$H$57)+1),COLUMN($G$2:$G$57),4)))</f>
        <v/>
      </c>
      <c r="O21" s="184" t="str">
        <f t="array" aca="1" ref="O21" ca="1">IF(ROW()-ROW($I$2:$I$57)+1&gt;ROWS($H$2:$H$57)-COUNTBLANK($H$2:$H$57),"",INDIRECT(ADDRESS(SMALL((IF($H$2:$H$57&lt;&gt;"",ROW($H$2:$H$57),ROW()+ROWS($H$2:$H$57))),ROW()-ROW($I$2:$I$57)+1),COLUMN($H$2:$H$57),4)))</f>
        <v/>
      </c>
      <c r="P21" s="184" t="str">
        <f t="array" aca="1" ref="P21" ca="1">IF(ROW()-ROW($J$2:$J$57)+1&gt;ROWS($I$2:$I$57)-COUNTBLANK($I$2:$I$57),"",INDIRECT(ADDRESS(SMALL((IF($I$2:$I$57&lt;&gt;"",ROW($I$2:$I$57),ROW()+ROWS($I$2:$I$57))),ROW()-ROW($J$2:$J$57)+1),COLUMN($I$2:$I$57),4)))</f>
        <v/>
      </c>
    </row>
    <row r="22" spans="4:16" x14ac:dyDescent="0.25">
      <c r="D22" s="856"/>
      <c r="E22" s="34" t="str">
        <f>IF(H22="","","2015")</f>
        <v/>
      </c>
      <c r="F22" s="34" t="str">
        <f t="shared" si="5"/>
        <v/>
      </c>
      <c r="G22" s="34" t="str">
        <f t="shared" si="1"/>
        <v/>
      </c>
      <c r="H22" s="173" t="str">
        <f>IF(A4="relevant",IF(AND('Matrix-Rectum'!Q25="",'Matrix-Rectum'!R25="",'Matrix-Rectum'!S25="",'Matrix-Rectum'!T25=""),"",IF('Matrix-Rectum'!Q25&lt;MAX('Matrix-Rectum'!R25:T25),Berechnung2!$L$40,"")),"")</f>
        <v/>
      </c>
      <c r="I22" s="172" t="str">
        <f>IF(H22="","",VLOOKUP(F22,Berechnung4!$I$15:$J$25,2,FALSE))</f>
        <v/>
      </c>
      <c r="J22" s="237" t="str">
        <f t="shared" si="2"/>
        <v/>
      </c>
      <c r="L22" s="94" t="str">
        <f t="array" aca="1" ref="L22" ca="1">IF(ROW()-ROW($F$2:$F$57)+1&gt;ROWS($E$2:$E$57)-COUNTBLANK($E$2:$E$57),"",INDIRECT(ADDRESS(SMALL((IF($E$2:$E$57&gt;"",ROW($E$2:$E$57),ROW()+ROWS($E$2:$E$57))),ROW()-ROW($F$2:$F$57)+1),COLUMN($E$2:$E$57),4)))</f>
        <v/>
      </c>
      <c r="M22" s="94" t="str">
        <f t="array" aca="1" ref="M22" ca="1">IF(ROW()-ROW($G$2:$G$57)+1&gt;ROWS($F$2:$F$57)-COUNTBLANK($F$2:$F$57),"",INDIRECT(ADDRESS(SMALL((IF($F$2:$F$57&lt;&gt;"",ROW($F$2:$F$57),ROW()+ROWS($F$2:$F$57))),ROW()-ROW($G$2:$G$57)+1),COLUMN($F$2:$F$57),4)))</f>
        <v/>
      </c>
      <c r="N22" s="94" t="str">
        <f t="array" aca="1" ref="N22" ca="1">IF(ROW()-ROW($H$2:$H$57)+1&gt;ROWS($G$2:$G$57)-COUNTBLANK($G$2:$G$57),"",INDIRECT(ADDRESS(SMALL((IF($G$2:$G$57&lt;&gt;"",ROW($G$2:$G$57),ROW()+ROWS($G$2:$G$57))),ROW()-ROW($H$2:$H$57)+1),COLUMN($G$2:$G$57),4)))</f>
        <v/>
      </c>
      <c r="O22" s="184" t="str">
        <f t="array" aca="1" ref="O22" ca="1">IF(ROW()-ROW($I$2:$I$57)+1&gt;ROWS($H$2:$H$57)-COUNTBLANK($H$2:$H$57),"",INDIRECT(ADDRESS(SMALL((IF($H$2:$H$57&lt;&gt;"",ROW($H$2:$H$57),ROW()+ROWS($H$2:$H$57))),ROW()-ROW($I$2:$I$57)+1),COLUMN($H$2:$H$57),4)))</f>
        <v/>
      </c>
      <c r="P22" s="184" t="str">
        <f t="array" aca="1" ref="P22" ca="1">IF(ROW()-ROW($J$2:$J$57)+1&gt;ROWS($I$2:$I$57)-COUNTBLANK($I$2:$I$57),"",INDIRECT(ADDRESS(SMALL((IF($I$2:$I$57&lt;&gt;"",ROW($I$2:$I$57),ROW()+ROWS($I$2:$I$57))),ROW()-ROW($J$2:$J$57)+1),COLUMN($I$2:$I$57),4)))</f>
        <v/>
      </c>
    </row>
    <row r="23" spans="4:16" x14ac:dyDescent="0.25">
      <c r="D23" s="856"/>
      <c r="E23" s="34" t="str">
        <f>IF(H23="","","2016")</f>
        <v/>
      </c>
      <c r="F23" s="34" t="str">
        <f t="shared" si="5"/>
        <v/>
      </c>
      <c r="G23" s="34" t="str">
        <f t="shared" si="1"/>
        <v/>
      </c>
      <c r="H23" s="173" t="str">
        <f>IF(A5="relevant",IF(AND('Matrix-Rectum'!Q26="",'Matrix-Rectum'!R26="",'Matrix-Rectum'!S26="",'Matrix-Rectum'!T26=""),"",IF('Matrix-Rectum'!Q26&lt;MAX('Matrix-Rectum'!R26:T26),Berechnung2!$L$40,"")),"")</f>
        <v/>
      </c>
      <c r="I23" s="172" t="str">
        <f>IF(H23="","",VLOOKUP(F23,Berechnung4!$I$15:$J$25,2,FALSE))</f>
        <v/>
      </c>
      <c r="J23" s="237" t="str">
        <f t="shared" si="2"/>
        <v/>
      </c>
      <c r="L23" s="94" t="str">
        <f t="array" aca="1" ref="L23" ca="1">IF(ROW()-ROW($F$2:$F$57)+1&gt;ROWS($E$2:$E$57)-COUNTBLANK($E$2:$E$57),"",INDIRECT(ADDRESS(SMALL((IF($E$2:$E$57&gt;"",ROW($E$2:$E$57),ROW()+ROWS($E$2:$E$57))),ROW()-ROW($F$2:$F$57)+1),COLUMN($E$2:$E$57),4)))</f>
        <v/>
      </c>
      <c r="M23" s="94" t="str">
        <f t="array" aca="1" ref="M23" ca="1">IF(ROW()-ROW($G$2:$G$57)+1&gt;ROWS($F$2:$F$57)-COUNTBLANK($F$2:$F$57),"",INDIRECT(ADDRESS(SMALL((IF($F$2:$F$57&lt;&gt;"",ROW($F$2:$F$57),ROW()+ROWS($F$2:$F$57))),ROW()-ROW($G$2:$G$57)+1),COLUMN($F$2:$F$57),4)))</f>
        <v/>
      </c>
      <c r="N23" s="94" t="str">
        <f t="array" aca="1" ref="N23" ca="1">IF(ROW()-ROW($H$2:$H$57)+1&gt;ROWS($G$2:$G$57)-COUNTBLANK($G$2:$G$57),"",INDIRECT(ADDRESS(SMALL((IF($G$2:$G$57&lt;&gt;"",ROW($G$2:$G$57),ROW()+ROWS($G$2:$G$57))),ROW()-ROW($H$2:$H$57)+1),COLUMN($G$2:$G$57),4)))</f>
        <v/>
      </c>
      <c r="O23" s="184" t="str">
        <f t="array" aca="1" ref="O23" ca="1">IF(ROW()-ROW($I$2:$I$57)+1&gt;ROWS($H$2:$H$57)-COUNTBLANK($H$2:$H$57),"",INDIRECT(ADDRESS(SMALL((IF($H$2:$H$57&lt;&gt;"",ROW($H$2:$H$57),ROW()+ROWS($H$2:$H$57))),ROW()-ROW($I$2:$I$57)+1),COLUMN($H$2:$H$57),4)))</f>
        <v/>
      </c>
      <c r="P23" s="184" t="str">
        <f t="array" aca="1" ref="P23" ca="1">IF(ROW()-ROW($J$2:$J$57)+1&gt;ROWS($I$2:$I$57)-COUNTBLANK($I$2:$I$57),"",INDIRECT(ADDRESS(SMALL((IF($I$2:$I$57&lt;&gt;"",ROW($I$2:$I$57),ROW()+ROWS($I$2:$I$57))),ROW()-ROW($J$2:$J$57)+1),COLUMN($I$2:$I$57),4)))</f>
        <v/>
      </c>
    </row>
    <row r="24" spans="4:16" x14ac:dyDescent="0.25">
      <c r="D24" s="856"/>
      <c r="E24" s="34" t="str">
        <f>IF(H24="","","2017")</f>
        <v/>
      </c>
      <c r="F24" s="34" t="str">
        <f t="shared" si="5"/>
        <v/>
      </c>
      <c r="G24" s="34" t="str">
        <f t="shared" si="1"/>
        <v/>
      </c>
      <c r="H24" s="173" t="str">
        <f>IF(A6="relevant",IF(AND('Matrix-Rectum'!Q27="",'Matrix-Rectum'!R27="",'Matrix-Rectum'!S27="",'Matrix-Rectum'!T27=""),"",IF('Matrix-Rectum'!Q27&lt;MAX('Matrix-Rectum'!R27:T27),Berechnung2!$L$40,"")),"")</f>
        <v/>
      </c>
      <c r="I24" s="172" t="str">
        <f>IF(H24="","",VLOOKUP(F24,Berechnung4!$I$15:$J$25,2,FALSE))</f>
        <v/>
      </c>
      <c r="J24" s="237" t="str">
        <f t="shared" si="2"/>
        <v/>
      </c>
      <c r="L24" s="94" t="str">
        <f t="array" aca="1" ref="L24" ca="1">IF(ROW()-ROW($F$2:$F$57)+1&gt;ROWS($E$2:$E$57)-COUNTBLANK($E$2:$E$57),"",INDIRECT(ADDRESS(SMALL((IF($E$2:$E$57&gt;"",ROW($E$2:$E$57),ROW()+ROWS($E$2:$E$57))),ROW()-ROW($F$2:$F$57)+1),COLUMN($E$2:$E$57),4)))</f>
        <v/>
      </c>
      <c r="M24" s="94" t="str">
        <f t="array" aca="1" ref="M24" ca="1">IF(ROW()-ROW($G$2:$G$57)+1&gt;ROWS($F$2:$F$57)-COUNTBLANK($F$2:$F$57),"",INDIRECT(ADDRESS(SMALL((IF($F$2:$F$57&lt;&gt;"",ROW($F$2:$F$57),ROW()+ROWS($F$2:$F$57))),ROW()-ROW($G$2:$G$57)+1),COLUMN($F$2:$F$57),4)))</f>
        <v/>
      </c>
      <c r="N24" s="94" t="str">
        <f t="array" aca="1" ref="N24" ca="1">IF(ROW()-ROW($H$2:$H$57)+1&gt;ROWS($G$2:$G$57)-COUNTBLANK($G$2:$G$57),"",INDIRECT(ADDRESS(SMALL((IF($G$2:$G$57&lt;&gt;"",ROW($G$2:$G$57),ROW()+ROWS($G$2:$G$57))),ROW()-ROW($H$2:$H$57)+1),COLUMN($G$2:$G$57),4)))</f>
        <v/>
      </c>
      <c r="O24" s="184" t="str">
        <f t="array" aca="1" ref="O24" ca="1">IF(ROW()-ROW($I$2:$I$57)+1&gt;ROWS($H$2:$H$57)-COUNTBLANK($H$2:$H$57),"",INDIRECT(ADDRESS(SMALL((IF($H$2:$H$57&lt;&gt;"",ROW($H$2:$H$57),ROW()+ROWS($H$2:$H$57))),ROW()-ROW($I$2:$I$57)+1),COLUMN($H$2:$H$57),4)))</f>
        <v/>
      </c>
      <c r="P24" s="184" t="str">
        <f t="array" aca="1" ref="P24" ca="1">IF(ROW()-ROW($J$2:$J$57)+1&gt;ROWS($I$2:$I$57)-COUNTBLANK($I$2:$I$57),"",INDIRECT(ADDRESS(SMALL((IF($I$2:$I$57&lt;&gt;"",ROW($I$2:$I$57),ROW()+ROWS($I$2:$I$57))),ROW()-ROW($J$2:$J$57)+1),COLUMN($I$2:$I$57),4)))</f>
        <v/>
      </c>
    </row>
    <row r="25" spans="4:16" ht="15.75" thickBot="1" x14ac:dyDescent="0.3">
      <c r="D25" s="144" t="s">
        <v>112</v>
      </c>
      <c r="E25" s="155" t="str">
        <f>IF(H25="","","2018")</f>
        <v/>
      </c>
      <c r="F25" s="155" t="str">
        <f t="shared" si="5"/>
        <v/>
      </c>
      <c r="G25" s="155" t="str">
        <f t="shared" si="1"/>
        <v/>
      </c>
      <c r="H25" s="185" t="str">
        <f>IF(A7="relevant",IF(AND('Matrix-Rectum'!Q28="",'Matrix-Rectum'!R28="",'Matrix-Rectum'!S28="",'Matrix-Rectum'!T28=""),"",IF('Matrix-Rectum'!Q28&lt;MAX('Matrix-Rectum'!R28:T28),Berechnung2!$L$40,"")),"")</f>
        <v/>
      </c>
      <c r="I25" s="219" t="str">
        <f>IF(H25="","",VLOOKUP(F25,Berechnung4!$I$15:$J$25,2,FALSE))</f>
        <v/>
      </c>
      <c r="J25" s="220" t="str">
        <f t="shared" si="2"/>
        <v/>
      </c>
      <c r="L25" s="94" t="str">
        <f t="array" aca="1" ref="L25" ca="1">IF(ROW()-ROW($F$2:$F$57)+1&gt;ROWS($E$2:$E$57)-COUNTBLANK($E$2:$E$57),"",INDIRECT(ADDRESS(SMALL((IF($E$2:$E$57&gt;"",ROW($E$2:$E$57),ROW()+ROWS($E$2:$E$57))),ROW()-ROW($F$2:$F$57)+1),COLUMN($E$2:$E$57),4)))</f>
        <v/>
      </c>
      <c r="M25" s="94" t="str">
        <f t="array" aca="1" ref="M25" ca="1">IF(ROW()-ROW($G$2:$G$57)+1&gt;ROWS($F$2:$F$57)-COUNTBLANK($F$2:$F$57),"",INDIRECT(ADDRESS(SMALL((IF($F$2:$F$57&lt;&gt;"",ROW($F$2:$F$57),ROW()+ROWS($F$2:$F$57))),ROW()-ROW($G$2:$G$57)+1),COLUMN($F$2:$F$57),4)))</f>
        <v/>
      </c>
      <c r="N25" s="94" t="str">
        <f t="array" aca="1" ref="N25" ca="1">IF(ROW()-ROW($H$2:$H$57)+1&gt;ROWS($G$2:$G$57)-COUNTBLANK($G$2:$G$57),"",INDIRECT(ADDRESS(SMALL((IF($G$2:$G$57&lt;&gt;"",ROW($G$2:$G$57),ROW()+ROWS($G$2:$G$57))),ROW()-ROW($H$2:$H$57)+1),COLUMN($G$2:$G$57),4)))</f>
        <v/>
      </c>
      <c r="O25" s="184" t="str">
        <f t="array" aca="1" ref="O25" ca="1">IF(ROW()-ROW($I$2:$I$57)+1&gt;ROWS($H$2:$H$57)-COUNTBLANK($H$2:$H$57),"",INDIRECT(ADDRESS(SMALL((IF($H$2:$H$57&lt;&gt;"",ROW($H$2:$H$57),ROW()+ROWS($H$2:$H$57))),ROW()-ROW($I$2:$I$57)+1),COLUMN($H$2:$H$57),4)))</f>
        <v/>
      </c>
      <c r="P25" s="184" t="str">
        <f t="array" aca="1" ref="P25" ca="1">IF(ROW()-ROW($J$2:$J$57)+1&gt;ROWS($I$2:$I$57)-COUNTBLANK($I$2:$I$57),"",INDIRECT(ADDRESS(SMALL((IF($I$2:$I$57&lt;&gt;"",ROW($I$2:$I$57),ROW()+ROWS($I$2:$I$57))),ROW()-ROW($J$2:$J$57)+1),COLUMN($I$2:$I$57),4)))</f>
        <v/>
      </c>
    </row>
    <row r="26" spans="4:16" ht="34.5" thickBot="1" x14ac:dyDescent="0.3">
      <c r="D26" s="247" t="s">
        <v>111</v>
      </c>
      <c r="E26" s="248" t="str">
        <f>IF(H26="","","2-4 Jahre")</f>
        <v/>
      </c>
      <c r="F26" s="248" t="str">
        <f>IF(H26="","","e")</f>
        <v/>
      </c>
      <c r="G26" s="248" t="str">
        <f>IF(H26="","","5")</f>
        <v/>
      </c>
      <c r="H26" s="251" t="str">
        <f>IF(OR('Matrix-Rectum'!$M$30="-----",'Matrix-Rectum'!$M$30=""),"",IF(AND(ROUND('Matrix-Rectum'!M30,4)&gt;=Berechnung4!G38,ROUND('Matrix-Rectum'!M30,4)&lt;Berechnung4!J38),Berechnung4!L38,""))</f>
        <v/>
      </c>
      <c r="I26" s="249" t="str">
        <f>IF(H26="","",VLOOKUP(F26,Berechnung4!$I$15:$J$25,2,FALSE))</f>
        <v/>
      </c>
      <c r="J26" s="250" t="str">
        <f t="shared" si="2"/>
        <v/>
      </c>
      <c r="L26" s="94" t="str">
        <f t="array" aca="1" ref="L26" ca="1">IF(ROW()-ROW($F$2:$F$57)+1&gt;ROWS($E$2:$E$57)-COUNTBLANK($E$2:$E$57),"",INDIRECT(ADDRESS(SMALL((IF($E$2:$E$57&gt;"",ROW($E$2:$E$57),ROW()+ROWS($E$2:$E$57))),ROW()-ROW($F$2:$F$57)+1),COLUMN($E$2:$E$57),4)))</f>
        <v/>
      </c>
      <c r="M26" s="94" t="str">
        <f t="array" aca="1" ref="M26" ca="1">IF(ROW()-ROW($G$2:$G$57)+1&gt;ROWS($F$2:$F$57)-COUNTBLANK($F$2:$F$57),"",INDIRECT(ADDRESS(SMALL((IF($F$2:$F$57&lt;&gt;"",ROW($F$2:$F$57),ROW()+ROWS($F$2:$F$57))),ROW()-ROW($G$2:$G$57)+1),COLUMN($F$2:$F$57),4)))</f>
        <v/>
      </c>
      <c r="N26" s="94" t="str">
        <f t="array" aca="1" ref="N26" ca="1">IF(ROW()-ROW($H$2:$H$57)+1&gt;ROWS($G$2:$G$57)-COUNTBLANK($G$2:$G$57),"",INDIRECT(ADDRESS(SMALL((IF($G$2:$G$57&lt;&gt;"",ROW($G$2:$G$57),ROW()+ROWS($G$2:$G$57))),ROW()-ROW($H$2:$H$57)+1),COLUMN($G$2:$G$57),4)))</f>
        <v/>
      </c>
      <c r="O26" s="184" t="str">
        <f t="array" aca="1" ref="O26" ca="1">IF(ROW()-ROW($I$2:$I$57)+1&gt;ROWS($H$2:$H$57)-COUNTBLANK($H$2:$H$57),"",INDIRECT(ADDRESS(SMALL((IF($H$2:$H$57&lt;&gt;"",ROW($H$2:$H$57),ROW()+ROWS($H$2:$H$57))),ROW()-ROW($I$2:$I$57)+1),COLUMN($H$2:$H$57),4)))</f>
        <v/>
      </c>
      <c r="P26" s="184" t="str">
        <f t="array" aca="1" ref="P26" ca="1">IF(ROW()-ROW($J$2:$J$57)+1&gt;ROWS($I$2:$I$57)-COUNTBLANK($I$2:$I$57),"",INDIRECT(ADDRESS(SMALL((IF($I$2:$I$57&lt;&gt;"",ROW($I$2:$I$57),ROW()+ROWS($I$2:$I$57))),ROW()-ROW($J$2:$J$57)+1),COLUMN($I$2:$I$57),4)))</f>
        <v/>
      </c>
    </row>
    <row r="27" spans="4:16" x14ac:dyDescent="0.25">
      <c r="D27" s="143" t="s">
        <v>280</v>
      </c>
      <c r="E27" s="156" t="str">
        <f>IF(H27="","","2013")</f>
        <v/>
      </c>
      <c r="F27" s="156" t="str">
        <f t="shared" ref="F27:F32" si="6">IF(H27="","","f")</f>
        <v/>
      </c>
      <c r="G27" s="156" t="str">
        <f>IF(H27="","","6")</f>
        <v/>
      </c>
      <c r="H27" s="186" t="str">
        <f>IF(A2="relevant",IF('Matrix-Rectum'!C23="","",IF('Matrix-Rectum'!C23&lt;Berechnung4!$G$35,Berechnung4!$L$35,"")),"")</f>
        <v/>
      </c>
      <c r="I27" s="239" t="str">
        <f>IF(H27="","",VLOOKUP(F27,Berechnung4!$I$15:$J$25,2,FALSE))</f>
        <v/>
      </c>
      <c r="J27" s="238" t="str">
        <f t="shared" si="2"/>
        <v/>
      </c>
      <c r="L27" s="94" t="str">
        <f t="array" aca="1" ref="L27" ca="1">IF(ROW()-ROW($F$2:$F$57)+1&gt;ROWS($E$2:$E$57)-COUNTBLANK($E$2:$E$57),"",INDIRECT(ADDRESS(SMALL((IF($E$2:$E$57&gt;"",ROW($E$2:$E$57),ROW()+ROWS($E$2:$E$57))),ROW()-ROW($F$2:$F$57)+1),COLUMN($E$2:$E$57),4)))</f>
        <v/>
      </c>
      <c r="M27" s="94" t="str">
        <f t="array" aca="1" ref="M27" ca="1">IF(ROW()-ROW($G$2:$G$57)+1&gt;ROWS($F$2:$F$57)-COUNTBLANK($F$2:$F$57),"",INDIRECT(ADDRESS(SMALL((IF($F$2:$F$57&lt;&gt;"",ROW($F$2:$F$57),ROW()+ROWS($F$2:$F$57))),ROW()-ROW($G$2:$G$57)+1),COLUMN($F$2:$F$57),4)))</f>
        <v/>
      </c>
      <c r="N27" s="94" t="str">
        <f t="array" aca="1" ref="N27" ca="1">IF(ROW()-ROW($H$2:$H$57)+1&gt;ROWS($G$2:$G$57)-COUNTBLANK($G$2:$G$57),"",INDIRECT(ADDRESS(SMALL((IF($G$2:$G$57&lt;&gt;"",ROW($G$2:$G$57),ROW()+ROWS($G$2:$G$57))),ROW()-ROW($H$2:$H$57)+1),COLUMN($G$2:$G$57),4)))</f>
        <v/>
      </c>
      <c r="O27" s="184" t="str">
        <f t="array" aca="1" ref="O27" ca="1">IF(ROW()-ROW($I$2:$I$57)+1&gt;ROWS($H$2:$H$57)-COUNTBLANK($H$2:$H$57),"",INDIRECT(ADDRESS(SMALL((IF($H$2:$H$57&lt;&gt;"",ROW($H$2:$H$57),ROW()+ROWS($H$2:$H$57))),ROW()-ROW($I$2:$I$57)+1),COLUMN($H$2:$H$57),4)))</f>
        <v/>
      </c>
      <c r="P27" s="184" t="str">
        <f t="array" aca="1" ref="P27" ca="1">IF(ROW()-ROW($J$2:$J$57)+1&gt;ROWS($I$2:$I$57)-COUNTBLANK($I$2:$I$57),"",INDIRECT(ADDRESS(SMALL((IF($I$2:$I$57&lt;&gt;"",ROW($I$2:$I$57),ROW()+ROWS($I$2:$I$57))),ROW()-ROW($J$2:$J$57)+1),COLUMN($I$2:$I$57),4)))</f>
        <v/>
      </c>
    </row>
    <row r="28" spans="4:16" x14ac:dyDescent="0.25">
      <c r="D28" s="855" t="s">
        <v>326</v>
      </c>
      <c r="E28" s="34" t="str">
        <f>IF(H28="","","2014")</f>
        <v/>
      </c>
      <c r="F28" s="34" t="str">
        <f t="shared" si="6"/>
        <v/>
      </c>
      <c r="G28" s="34" t="str">
        <f t="shared" ref="G28:G57" si="7">IF(H28="","","6")</f>
        <v/>
      </c>
      <c r="H28" s="173" t="str">
        <f>IF(A3="relevant",IF('Matrix-Rectum'!C24="","",IF('Matrix-Rectum'!C24&lt;Berechnung4!$G$35,Berechnung4!$L$35,"")),"")</f>
        <v/>
      </c>
      <c r="I28" s="172" t="str">
        <f>IF(H28="","",VLOOKUP(F28,Berechnung4!$I$15:$J$25,2,FALSE))</f>
        <v/>
      </c>
      <c r="J28" s="237" t="str">
        <f t="shared" si="2"/>
        <v/>
      </c>
      <c r="L28" s="94" t="str">
        <f t="array" aca="1" ref="L28" ca="1">IF(ROW()-ROW($F$2:$F$57)+1&gt;ROWS($E$2:$E$57)-COUNTBLANK($E$2:$E$57),"",INDIRECT(ADDRESS(SMALL((IF($E$2:$E$57&gt;"",ROW($E$2:$E$57),ROW()+ROWS($E$2:$E$57))),ROW()-ROW($F$2:$F$57)+1),COLUMN($E$2:$E$57),4)))</f>
        <v/>
      </c>
      <c r="M28" s="94" t="str">
        <f t="array" aca="1" ref="M28" ca="1">IF(ROW()-ROW($G$2:$G$57)+1&gt;ROWS($F$2:$F$57)-COUNTBLANK($F$2:$F$57),"",INDIRECT(ADDRESS(SMALL((IF($F$2:$F$57&lt;&gt;"",ROW($F$2:$F$57),ROW()+ROWS($F$2:$F$57))),ROW()-ROW($G$2:$G$57)+1),COLUMN($F$2:$F$57),4)))</f>
        <v/>
      </c>
      <c r="N28" s="94" t="str">
        <f t="array" aca="1" ref="N28" ca="1">IF(ROW()-ROW($H$2:$H$57)+1&gt;ROWS($G$2:$G$57)-COUNTBLANK($G$2:$G$57),"",INDIRECT(ADDRESS(SMALL((IF($G$2:$G$57&lt;&gt;"",ROW($G$2:$G$57),ROW()+ROWS($G$2:$G$57))),ROW()-ROW($H$2:$H$57)+1),COLUMN($G$2:$G$57),4)))</f>
        <v/>
      </c>
      <c r="O28" s="184" t="str">
        <f t="array" aca="1" ref="O28" ca="1">IF(ROW()-ROW($I$2:$I$57)+1&gt;ROWS($H$2:$H$57)-COUNTBLANK($H$2:$H$57),"",INDIRECT(ADDRESS(SMALL((IF($H$2:$H$57&lt;&gt;"",ROW($H$2:$H$57),ROW()+ROWS($H$2:$H$57))),ROW()-ROW($I$2:$I$57)+1),COLUMN($H$2:$H$57),4)))</f>
        <v/>
      </c>
      <c r="P28" s="184" t="str">
        <f t="array" aca="1" ref="P28" ca="1">IF(ROW()-ROW($J$2:$J$57)+1&gt;ROWS($I$2:$I$57)-COUNTBLANK($I$2:$I$57),"",INDIRECT(ADDRESS(SMALL((IF($I$2:$I$57&lt;&gt;"",ROW($I$2:$I$57),ROW()+ROWS($I$2:$I$57))),ROW()-ROW($J$2:$J$57)+1),COLUMN($I$2:$I$57),4)))</f>
        <v/>
      </c>
    </row>
    <row r="29" spans="4:16" x14ac:dyDescent="0.25">
      <c r="D29" s="855"/>
      <c r="E29" s="34" t="str">
        <f>IF(H29="","","2015")</f>
        <v/>
      </c>
      <c r="F29" s="34" t="str">
        <f t="shared" si="6"/>
        <v/>
      </c>
      <c r="G29" s="34" t="str">
        <f t="shared" si="7"/>
        <v/>
      </c>
      <c r="H29" s="173" t="str">
        <f>IF(A4="relevant",IF('Matrix-Rectum'!C25="","",IF('Matrix-Rectum'!C25&lt;Berechnung4!$G$35,Berechnung4!$L$35,"")),"")</f>
        <v/>
      </c>
      <c r="I29" s="172" t="str">
        <f>IF(H29="","",VLOOKUP(F29,Berechnung4!$I$15:$J$25,2,FALSE))</f>
        <v/>
      </c>
      <c r="J29" s="237" t="str">
        <f t="shared" si="2"/>
        <v/>
      </c>
      <c r="L29" s="94" t="str">
        <f t="array" aca="1" ref="L29" ca="1">IF(ROW()-ROW($F$2:$F$57)+1&gt;ROWS($E$2:$E$57)-COUNTBLANK($E$2:$E$57),"",INDIRECT(ADDRESS(SMALL((IF($E$2:$E$57&gt;"",ROW($E$2:$E$57),ROW()+ROWS($E$2:$E$57))),ROW()-ROW($F$2:$F$57)+1),COLUMN($E$2:$E$57),4)))</f>
        <v/>
      </c>
      <c r="M29" s="94" t="str">
        <f t="array" aca="1" ref="M29" ca="1">IF(ROW()-ROW($G$2:$G$57)+1&gt;ROWS($F$2:$F$57)-COUNTBLANK($F$2:$F$57),"",INDIRECT(ADDRESS(SMALL((IF($F$2:$F$57&lt;&gt;"",ROW($F$2:$F$57),ROW()+ROWS($F$2:$F$57))),ROW()-ROW($G$2:$G$57)+1),COLUMN($F$2:$F$57),4)))</f>
        <v/>
      </c>
      <c r="N29" s="94" t="str">
        <f t="array" aca="1" ref="N29" ca="1">IF(ROW()-ROW($H$2:$H$57)+1&gt;ROWS($G$2:$G$57)-COUNTBLANK($G$2:$G$57),"",INDIRECT(ADDRESS(SMALL((IF($G$2:$G$57&lt;&gt;"",ROW($G$2:$G$57),ROW()+ROWS($G$2:$G$57))),ROW()-ROW($H$2:$H$57)+1),COLUMN($G$2:$G$57),4)))</f>
        <v/>
      </c>
      <c r="O29" s="184" t="str">
        <f t="array" aca="1" ref="O29" ca="1">IF(ROW()-ROW($I$2:$I$57)+1&gt;ROWS($H$2:$H$57)-COUNTBLANK($H$2:$H$57),"",INDIRECT(ADDRESS(SMALL((IF($H$2:$H$57&lt;&gt;"",ROW($H$2:$H$57),ROW()+ROWS($H$2:$H$57))),ROW()-ROW($I$2:$I$57)+1),COLUMN($H$2:$H$57),4)))</f>
        <v/>
      </c>
      <c r="P29" s="184" t="str">
        <f t="array" aca="1" ref="P29" ca="1">IF(ROW()-ROW($J$2:$J$57)+1&gt;ROWS($I$2:$I$57)-COUNTBLANK($I$2:$I$57),"",INDIRECT(ADDRESS(SMALL((IF($I$2:$I$57&lt;&gt;"",ROW($I$2:$I$57),ROW()+ROWS($I$2:$I$57))),ROW()-ROW($J$2:$J$57)+1),COLUMN($I$2:$I$57),4)))</f>
        <v/>
      </c>
    </row>
    <row r="30" spans="4:16" x14ac:dyDescent="0.25">
      <c r="D30" s="855"/>
      <c r="E30" s="34" t="str">
        <f>IF(H30="","","2016")</f>
        <v/>
      </c>
      <c r="F30" s="34" t="str">
        <f t="shared" si="6"/>
        <v/>
      </c>
      <c r="G30" s="34" t="str">
        <f t="shared" si="7"/>
        <v/>
      </c>
      <c r="H30" s="173" t="str">
        <f>IF(A5="relevant",IF('Matrix-Rectum'!C26="","",IF('Matrix-Rectum'!C26&lt;Berechnung4!$G$35,Berechnung4!$L$35,"")),"")</f>
        <v/>
      </c>
      <c r="I30" s="172" t="str">
        <f>IF(H30="","",VLOOKUP(F30,Berechnung4!$I$15:$J$25,2,FALSE))</f>
        <v/>
      </c>
      <c r="J30" s="237" t="str">
        <f t="shared" si="2"/>
        <v/>
      </c>
      <c r="L30" s="94" t="str">
        <f t="array" aca="1" ref="L30" ca="1">IF(ROW()-ROW($F$2:$F$57)+1&gt;ROWS($E$2:$E$57)-COUNTBLANK($E$2:$E$57),"",INDIRECT(ADDRESS(SMALL((IF($E$2:$E$57&gt;"",ROW($E$2:$E$57),ROW()+ROWS($E$2:$E$57))),ROW()-ROW($F$2:$F$57)+1),COLUMN($E$2:$E$57),4)))</f>
        <v/>
      </c>
      <c r="M30" s="94" t="str">
        <f t="array" aca="1" ref="M30" ca="1">IF(ROW()-ROW($G$2:$G$57)+1&gt;ROWS($F$2:$F$57)-COUNTBLANK($F$2:$F$57),"",INDIRECT(ADDRESS(SMALL((IF($F$2:$F$57&lt;&gt;"",ROW($F$2:$F$57),ROW()+ROWS($F$2:$F$57))),ROW()-ROW($G$2:$G$57)+1),COLUMN($F$2:$F$57),4)))</f>
        <v/>
      </c>
      <c r="N30" s="94" t="str">
        <f t="array" aca="1" ref="N30" ca="1">IF(ROW()-ROW($H$2:$H$57)+1&gt;ROWS($G$2:$G$57)-COUNTBLANK($G$2:$G$57),"",INDIRECT(ADDRESS(SMALL((IF($G$2:$G$57&lt;&gt;"",ROW($G$2:$G$57),ROW()+ROWS($G$2:$G$57))),ROW()-ROW($H$2:$H$57)+1),COLUMN($G$2:$G$57),4)))</f>
        <v/>
      </c>
      <c r="O30" s="184" t="str">
        <f t="array" aca="1" ref="O30" ca="1">IF(ROW()-ROW($I$2:$I$57)+1&gt;ROWS($H$2:$H$57)-COUNTBLANK($H$2:$H$57),"",INDIRECT(ADDRESS(SMALL((IF($H$2:$H$57&lt;&gt;"",ROW($H$2:$H$57),ROW()+ROWS($H$2:$H$57))),ROW()-ROW($I$2:$I$57)+1),COLUMN($H$2:$H$57),4)))</f>
        <v/>
      </c>
      <c r="P30" s="184" t="str">
        <f t="array" aca="1" ref="P30" ca="1">IF(ROW()-ROW($J$2:$J$57)+1&gt;ROWS($I$2:$I$57)-COUNTBLANK($I$2:$I$57),"",INDIRECT(ADDRESS(SMALL((IF($I$2:$I$57&lt;&gt;"",ROW($I$2:$I$57),ROW()+ROWS($I$2:$I$57))),ROW()-ROW($J$2:$J$57)+1),COLUMN($I$2:$I$57),4)))</f>
        <v/>
      </c>
    </row>
    <row r="31" spans="4:16" x14ac:dyDescent="0.25">
      <c r="D31" s="855"/>
      <c r="E31" s="34" t="str">
        <f>IF(H31="","","2017")</f>
        <v/>
      </c>
      <c r="F31" s="34" t="str">
        <f t="shared" si="6"/>
        <v/>
      </c>
      <c r="G31" s="34" t="str">
        <f t="shared" si="7"/>
        <v/>
      </c>
      <c r="H31" s="173" t="str">
        <f>IF(A6="relevant",IF('Matrix-Rectum'!C27="","",IF('Matrix-Rectum'!C27&lt;Berechnung4!$G$35,Berechnung4!$L$35,"")),"")</f>
        <v/>
      </c>
      <c r="I31" s="172" t="str">
        <f>IF(H31="","",VLOOKUP(F31,Berechnung4!$I$15:$J$25,2,FALSE))</f>
        <v/>
      </c>
      <c r="J31" s="237" t="str">
        <f t="shared" si="2"/>
        <v/>
      </c>
      <c r="L31" s="94" t="str">
        <f t="array" aca="1" ref="L31" ca="1">IF(ROW()-ROW($F$2:$F$57)+1&gt;ROWS($E$2:$E$57)-COUNTBLANK($E$2:$E$57),"",INDIRECT(ADDRESS(SMALL((IF($E$2:$E$57&gt;"",ROW($E$2:$E$57),ROW()+ROWS($E$2:$E$57))),ROW()-ROW($F$2:$F$57)+1),COLUMN($E$2:$E$57),4)))</f>
        <v/>
      </c>
      <c r="M31" s="94" t="str">
        <f t="array" aca="1" ref="M31" ca="1">IF(ROW()-ROW($G$2:$G$57)+1&gt;ROWS($F$2:$F$57)-COUNTBLANK($F$2:$F$57),"",INDIRECT(ADDRESS(SMALL((IF($F$2:$F$57&lt;&gt;"",ROW($F$2:$F$57),ROW()+ROWS($F$2:$F$57))),ROW()-ROW($G$2:$G$57)+1),COLUMN($F$2:$F$57),4)))</f>
        <v/>
      </c>
      <c r="N31" s="94" t="str">
        <f t="array" aca="1" ref="N31" ca="1">IF(ROW()-ROW($H$2:$H$57)+1&gt;ROWS($G$2:$G$57)-COUNTBLANK($G$2:$G$57),"",INDIRECT(ADDRESS(SMALL((IF($G$2:$G$57&lt;&gt;"",ROW($G$2:$G$57),ROW()+ROWS($G$2:$G$57))),ROW()-ROW($H$2:$H$57)+1),COLUMN($G$2:$G$57),4)))</f>
        <v/>
      </c>
      <c r="O31" s="184" t="str">
        <f t="array" aca="1" ref="O31" ca="1">IF(ROW()-ROW($I$2:$I$57)+1&gt;ROWS($H$2:$H$57)-COUNTBLANK($H$2:$H$57),"",INDIRECT(ADDRESS(SMALL((IF($H$2:$H$57&lt;&gt;"",ROW($H$2:$H$57),ROW()+ROWS($H$2:$H$57))),ROW()-ROW($I$2:$I$57)+1),COLUMN($H$2:$H$57),4)))</f>
        <v/>
      </c>
      <c r="P31" s="184" t="str">
        <f t="array" aca="1" ref="P31" ca="1">IF(ROW()-ROW($J$2:$J$57)+1&gt;ROWS($I$2:$I$57)-COUNTBLANK($I$2:$I$57),"",INDIRECT(ADDRESS(SMALL((IF($I$2:$I$57&lt;&gt;"",ROW($I$2:$I$57),ROW()+ROWS($I$2:$I$57))),ROW()-ROW($J$2:$J$57)+1),COLUMN($I$2:$I$57),4)))</f>
        <v/>
      </c>
    </row>
    <row r="32" spans="4:16" ht="15.75" thickBot="1" x14ac:dyDescent="0.3">
      <c r="D32" s="142" t="s">
        <v>113</v>
      </c>
      <c r="E32" s="155" t="str">
        <f>IF(H32="","","2018")</f>
        <v/>
      </c>
      <c r="F32" s="155" t="str">
        <f t="shared" si="6"/>
        <v/>
      </c>
      <c r="G32" s="155" t="str">
        <f t="shared" si="7"/>
        <v/>
      </c>
      <c r="H32" s="185" t="str">
        <f>IF(A7="relevant",IF('Matrix-Rectum'!C28="","",IF('Matrix-Rectum'!C28&lt;Berechnung4!$G$35,Berechnung4!$L$35,"")),"")</f>
        <v/>
      </c>
      <c r="I32" s="219" t="str">
        <f>IF(H32="","",VLOOKUP(F32,Berechnung4!$I$15:$J$25,2,FALSE))</f>
        <v/>
      </c>
      <c r="J32" s="220" t="str">
        <f t="shared" si="2"/>
        <v/>
      </c>
      <c r="L32" s="94" t="str">
        <f t="array" aca="1" ref="L32" ca="1">IF(ROW()-ROW($F$2:$F$57)+1&gt;ROWS($E$2:$E$57)-COUNTBLANK($E$2:$E$57),"",INDIRECT(ADDRESS(SMALL((IF($E$2:$E$57&gt;"",ROW($E$2:$E$57),ROW()+ROWS($E$2:$E$57))),ROW()-ROW($F$2:$F$57)+1),COLUMN($E$2:$E$57),4)))</f>
        <v/>
      </c>
      <c r="M32" s="94" t="str">
        <f t="array" aca="1" ref="M32" ca="1">IF(ROW()-ROW($G$2:$G$57)+1&gt;ROWS($F$2:$F$57)-COUNTBLANK($F$2:$F$57),"",INDIRECT(ADDRESS(SMALL((IF($F$2:$F$57&lt;&gt;"",ROW($F$2:$F$57),ROW()+ROWS($F$2:$F$57))),ROW()-ROW($G$2:$G$57)+1),COLUMN($F$2:$F$57),4)))</f>
        <v/>
      </c>
      <c r="N32" s="94" t="str">
        <f t="array" aca="1" ref="N32" ca="1">IF(ROW()-ROW($H$2:$H$57)+1&gt;ROWS($G$2:$G$57)-COUNTBLANK($G$2:$G$57),"",INDIRECT(ADDRESS(SMALL((IF($G$2:$G$57&lt;&gt;"",ROW($G$2:$G$57),ROW()+ROWS($G$2:$G$57))),ROW()-ROW($H$2:$H$57)+1),COLUMN($G$2:$G$57),4)))</f>
        <v/>
      </c>
      <c r="O32" s="184" t="str">
        <f t="array" aca="1" ref="O32" ca="1">IF(ROW()-ROW($I$2:$I$57)+1&gt;ROWS($H$2:$H$57)-COUNTBLANK($H$2:$H$57),"",INDIRECT(ADDRESS(SMALL((IF($H$2:$H$57&lt;&gt;"",ROW($H$2:$H$57),ROW()+ROWS($H$2:$H$57))),ROW()-ROW($I$2:$I$57)+1),COLUMN($H$2:$H$57),4)))</f>
        <v/>
      </c>
      <c r="P32" s="184" t="str">
        <f t="array" aca="1" ref="P32" ca="1">IF(ROW()-ROW($J$2:$J$57)+1&gt;ROWS($I$2:$I$57)-COUNTBLANK($I$2:$I$57),"",INDIRECT(ADDRESS(SMALL((IF($I$2:$I$57&lt;&gt;"",ROW($I$2:$I$57),ROW()+ROWS($I$2:$I$57))),ROW()-ROW($J$2:$J$57)+1),COLUMN($I$2:$I$57),4)))</f>
        <v/>
      </c>
    </row>
    <row r="33" spans="4:16" ht="23.25" thickBot="1" x14ac:dyDescent="0.3">
      <c r="D33" s="153" t="s">
        <v>114</v>
      </c>
      <c r="E33" s="154" t="str">
        <f>IF(H33="","","2-4 Jahre")</f>
        <v/>
      </c>
      <c r="F33" s="154" t="str">
        <f>IF(H33="","","g")</f>
        <v/>
      </c>
      <c r="G33" s="154" t="str">
        <f t="shared" si="7"/>
        <v/>
      </c>
      <c r="H33" s="190" t="str">
        <f>IF(OR('Matrix-Rectum'!M30="-----",'Matrix-Rectum'!M30=""),"",IF(ROUND('Matrix-Rectum'!M30,4)&gt;Berechnung4!J39,Berechnung4!L39,""))</f>
        <v/>
      </c>
      <c r="I33" s="222" t="str">
        <f>IF(H33="","",VLOOKUP(F33,Berechnung4!$I$15:$J$25,2,FALSE))</f>
        <v/>
      </c>
      <c r="J33" s="223" t="str">
        <f t="shared" si="2"/>
        <v/>
      </c>
      <c r="L33" s="94" t="str">
        <f t="array" aca="1" ref="L33" ca="1">IF(ROW()-ROW($F$2:$F$57)+1&gt;ROWS($E$2:$E$57)-COUNTBLANK($E$2:$E$57),"",INDIRECT(ADDRESS(SMALL((IF($E$2:$E$57&gt;"",ROW($E$2:$E$57),ROW()+ROWS($E$2:$E$57))),ROW()-ROW($F$2:$F$57)+1),COLUMN($E$2:$E$57),4)))</f>
        <v/>
      </c>
      <c r="M33" s="94" t="str">
        <f t="array" aca="1" ref="M33" ca="1">IF(ROW()-ROW($G$2:$G$57)+1&gt;ROWS($F$2:$F$57)-COUNTBLANK($F$2:$F$57),"",INDIRECT(ADDRESS(SMALL((IF($F$2:$F$57&lt;&gt;"",ROW($F$2:$F$57),ROW()+ROWS($F$2:$F$57))),ROW()-ROW($G$2:$G$57)+1),COLUMN($F$2:$F$57),4)))</f>
        <v/>
      </c>
      <c r="N33" s="94" t="str">
        <f t="array" aca="1" ref="N33" ca="1">IF(ROW()-ROW($H$2:$H$57)+1&gt;ROWS($G$2:$G$57)-COUNTBLANK($G$2:$G$57),"",INDIRECT(ADDRESS(SMALL((IF($G$2:$G$57&lt;&gt;"",ROW($G$2:$G$57),ROW()+ROWS($G$2:$G$57))),ROW()-ROW($H$2:$H$57)+1),COLUMN($G$2:$G$57),4)))</f>
        <v/>
      </c>
      <c r="O33" s="184" t="str">
        <f t="array" aca="1" ref="O33" ca="1">IF(ROW()-ROW($I$2:$I$57)+1&gt;ROWS($H$2:$H$57)-COUNTBLANK($H$2:$H$57),"",INDIRECT(ADDRESS(SMALL((IF($H$2:$H$57&lt;&gt;"",ROW($H$2:$H$57),ROW()+ROWS($H$2:$H$57))),ROW()-ROW($I$2:$I$57)+1),COLUMN($H$2:$H$57),4)))</f>
        <v/>
      </c>
      <c r="P33" s="184" t="str">
        <f t="array" aca="1" ref="P33" ca="1">IF(ROW()-ROW($J$2:$J$57)+1&gt;ROWS($I$2:$I$57)-COUNTBLANK($I$2:$I$57),"",INDIRECT(ADDRESS(SMALL((IF($I$2:$I$57&lt;&gt;"",ROW($I$2:$I$57),ROW()+ROWS($I$2:$I$57))),ROW()-ROW($J$2:$J$57)+1),COLUMN($I$2:$I$57),4)))</f>
        <v/>
      </c>
    </row>
    <row r="34" spans="4:16" x14ac:dyDescent="0.25">
      <c r="D34" s="143" t="s">
        <v>280</v>
      </c>
      <c r="E34" s="156" t="str">
        <f>IF(H34="","","2013")</f>
        <v/>
      </c>
      <c r="F34" s="156" t="str">
        <f t="shared" ref="F34:F39" si="8">IF(H34="","","h")</f>
        <v/>
      </c>
      <c r="G34" s="156" t="str">
        <f t="shared" si="7"/>
        <v/>
      </c>
      <c r="H34" s="186" t="str">
        <f>IF(A2="relevant",IF('Matrix-Rectum'!M23="","",IF(ROUND('Matrix-Rectum'!M23,4)&lt;Berechnung4!$J$37,Berechnung4!$L$37,"")),"")</f>
        <v/>
      </c>
      <c r="I34" s="239" t="str">
        <f>IF(H34="","",VLOOKUP(F34,Berechnung4!$I$15:$J$25,2,FALSE))</f>
        <v/>
      </c>
      <c r="J34" s="238" t="str">
        <f t="shared" si="2"/>
        <v/>
      </c>
      <c r="L34" s="94" t="str">
        <f t="array" aca="1" ref="L34" ca="1">IF(ROW()-ROW($F$2:$F$57)+1&gt;ROWS($E$2:$E$57)-COUNTBLANK($E$2:$E$57),"",INDIRECT(ADDRESS(SMALL((IF($E$2:$E$57&gt;"",ROW($E$2:$E$57),ROW()+ROWS($E$2:$E$57))),ROW()-ROW($F$2:$F$57)+1),COLUMN($E$2:$E$57),4)))</f>
        <v/>
      </c>
      <c r="M34" s="94" t="str">
        <f t="array" aca="1" ref="M34" ca="1">IF(ROW()-ROW($G$2:$G$57)+1&gt;ROWS($F$2:$F$57)-COUNTBLANK($F$2:$F$57),"",INDIRECT(ADDRESS(SMALL((IF($F$2:$F$57&lt;&gt;"",ROW($F$2:$F$57),ROW()+ROWS($F$2:$F$57))),ROW()-ROW($G$2:$G$57)+1),COLUMN($F$2:$F$57),4)))</f>
        <v/>
      </c>
      <c r="N34" s="94" t="str">
        <f t="array" aca="1" ref="N34" ca="1">IF(ROW()-ROW($H$2:$H$57)+1&gt;ROWS($G$2:$G$57)-COUNTBLANK($G$2:$G$57),"",INDIRECT(ADDRESS(SMALL((IF($G$2:$G$57&lt;&gt;"",ROW($G$2:$G$57),ROW()+ROWS($G$2:$G$57))),ROW()-ROW($H$2:$H$57)+1),COLUMN($G$2:$G$57),4)))</f>
        <v/>
      </c>
      <c r="O34" s="184" t="str">
        <f t="array" aca="1" ref="O34" ca="1">IF(ROW()-ROW($I$2:$I$57)+1&gt;ROWS($H$2:$H$57)-COUNTBLANK($H$2:$H$57),"",INDIRECT(ADDRESS(SMALL((IF($H$2:$H$57&lt;&gt;"",ROW($H$2:$H$57),ROW()+ROWS($H$2:$H$57))),ROW()-ROW($I$2:$I$57)+1),COLUMN($H$2:$H$57),4)))</f>
        <v/>
      </c>
      <c r="P34" s="184" t="str">
        <f t="array" aca="1" ref="P34" ca="1">IF(ROW()-ROW($J$2:$J$57)+1&gt;ROWS($I$2:$I$57)-COUNTBLANK($I$2:$I$57),"",INDIRECT(ADDRESS(SMALL((IF($I$2:$I$57&lt;&gt;"",ROW($I$2:$I$57),ROW()+ROWS($I$2:$I$57))),ROW()-ROW($J$2:$J$57)+1),COLUMN($I$2:$I$57),4)))</f>
        <v/>
      </c>
    </row>
    <row r="35" spans="4:16" x14ac:dyDescent="0.25">
      <c r="D35" s="857" t="s">
        <v>25</v>
      </c>
      <c r="E35" s="34" t="str">
        <f>IF(H35="","","2014")</f>
        <v/>
      </c>
      <c r="F35" s="34" t="str">
        <f t="shared" si="8"/>
        <v/>
      </c>
      <c r="G35" s="34" t="str">
        <f t="shared" si="7"/>
        <v/>
      </c>
      <c r="H35" s="173" t="str">
        <f>IF(A3="relevant",IF('Matrix-Rectum'!M24="","",IF(ROUND('Matrix-Rectum'!M24,4)&lt;Berechnung4!$J$37,Berechnung4!$L$37,"")),"")</f>
        <v/>
      </c>
      <c r="I35" s="172" t="str">
        <f>IF(H35="","",VLOOKUP(F35,Berechnung4!$I$15:$J$25,2,FALSE))</f>
        <v/>
      </c>
      <c r="J35" s="237" t="str">
        <f t="shared" si="2"/>
        <v/>
      </c>
      <c r="L35" s="94" t="str">
        <f t="array" aca="1" ref="L35" ca="1">IF(ROW()-ROW($F$2:$F$57)+1&gt;ROWS($E$2:$E$57)-COUNTBLANK($E$2:$E$57),"",INDIRECT(ADDRESS(SMALL((IF($E$2:$E$57&gt;"",ROW($E$2:$E$57),ROW()+ROWS($E$2:$E$57))),ROW()-ROW($F$2:$F$57)+1),COLUMN($E$2:$E$57),4)))</f>
        <v/>
      </c>
      <c r="M35" s="94" t="str">
        <f t="array" aca="1" ref="M35" ca="1">IF(ROW()-ROW($G$2:$G$57)+1&gt;ROWS($F$2:$F$57)-COUNTBLANK($F$2:$F$57),"",INDIRECT(ADDRESS(SMALL((IF($F$2:$F$57&lt;&gt;"",ROW($F$2:$F$57),ROW()+ROWS($F$2:$F$57))),ROW()-ROW($G$2:$G$57)+1),COLUMN($F$2:$F$57),4)))</f>
        <v/>
      </c>
      <c r="N35" s="94" t="str">
        <f t="array" aca="1" ref="N35" ca="1">IF(ROW()-ROW($H$2:$H$57)+1&gt;ROWS($G$2:$G$57)-COUNTBLANK($G$2:$G$57),"",INDIRECT(ADDRESS(SMALL((IF($G$2:$G$57&lt;&gt;"",ROW($G$2:$G$57),ROW()+ROWS($G$2:$G$57))),ROW()-ROW($H$2:$H$57)+1),COLUMN($G$2:$G$57),4)))</f>
        <v/>
      </c>
      <c r="O35" s="184" t="str">
        <f t="array" aca="1" ref="O35" ca="1">IF(ROW()-ROW($I$2:$I$57)+1&gt;ROWS($H$2:$H$57)-COUNTBLANK($H$2:$H$57),"",INDIRECT(ADDRESS(SMALL((IF($H$2:$H$57&lt;&gt;"",ROW($H$2:$H$57),ROW()+ROWS($H$2:$H$57))),ROW()-ROW($I$2:$I$57)+1),COLUMN($H$2:$H$57),4)))</f>
        <v/>
      </c>
      <c r="P35" s="184" t="str">
        <f t="array" aca="1" ref="P35" ca="1">IF(ROW()-ROW($J$2:$J$57)+1&gt;ROWS($I$2:$I$57)-COUNTBLANK($I$2:$I$57),"",INDIRECT(ADDRESS(SMALL((IF($I$2:$I$57&lt;&gt;"",ROW($I$2:$I$57),ROW()+ROWS($I$2:$I$57))),ROW()-ROW($J$2:$J$57)+1),COLUMN($I$2:$I$57),4)))</f>
        <v/>
      </c>
    </row>
    <row r="36" spans="4:16" x14ac:dyDescent="0.25">
      <c r="D36" s="857"/>
      <c r="E36" s="34" t="str">
        <f>IF(H36="","","2015")</f>
        <v/>
      </c>
      <c r="F36" s="34" t="str">
        <f t="shared" si="8"/>
        <v/>
      </c>
      <c r="G36" s="34" t="str">
        <f t="shared" si="7"/>
        <v/>
      </c>
      <c r="H36" s="173" t="str">
        <f>IF(A4="relevant",IF('Matrix-Rectum'!M25="","",IF(ROUND('Matrix-Rectum'!M25,4)&lt;Berechnung4!$J$37,Berechnung4!$L$37,"")),"")</f>
        <v/>
      </c>
      <c r="I36" s="172" t="str">
        <f>IF(H36="","",VLOOKUP(F36,Berechnung4!$I$15:$J$25,2,FALSE))</f>
        <v/>
      </c>
      <c r="J36" s="237" t="str">
        <f t="shared" si="2"/>
        <v/>
      </c>
      <c r="L36" s="94" t="str">
        <f t="array" aca="1" ref="L36" ca="1">IF(ROW()-ROW($F$2:$F$57)+1&gt;ROWS($E$2:$E$57)-COUNTBLANK($E$2:$E$57),"",INDIRECT(ADDRESS(SMALL((IF($E$2:$E$57&gt;"",ROW($E$2:$E$57),ROW()+ROWS($E$2:$E$57))),ROW()-ROW($F$2:$F$57)+1),COLUMN($E$2:$E$57),4)))</f>
        <v/>
      </c>
      <c r="M36" s="94" t="str">
        <f t="array" aca="1" ref="M36" ca="1">IF(ROW()-ROW($G$2:$G$57)+1&gt;ROWS($F$2:$F$57)-COUNTBLANK($F$2:$F$57),"",INDIRECT(ADDRESS(SMALL((IF($F$2:$F$57&lt;&gt;"",ROW($F$2:$F$57),ROW()+ROWS($F$2:$F$57))),ROW()-ROW($G$2:$G$57)+1),COLUMN($F$2:$F$57),4)))</f>
        <v/>
      </c>
      <c r="N36" s="94" t="str">
        <f t="array" aca="1" ref="N36" ca="1">IF(ROW()-ROW($H$2:$H$57)+1&gt;ROWS($G$2:$G$57)-COUNTBLANK($G$2:$G$57),"",INDIRECT(ADDRESS(SMALL((IF($G$2:$G$57&lt;&gt;"",ROW($G$2:$G$57),ROW()+ROWS($G$2:$G$57))),ROW()-ROW($H$2:$H$57)+1),COLUMN($G$2:$G$57),4)))</f>
        <v/>
      </c>
      <c r="O36" s="184" t="str">
        <f t="array" aca="1" ref="O36" ca="1">IF(ROW()-ROW($I$2:$I$57)+1&gt;ROWS($H$2:$H$57)-COUNTBLANK($H$2:$H$57),"",INDIRECT(ADDRESS(SMALL((IF($H$2:$H$57&lt;&gt;"",ROW($H$2:$H$57),ROW()+ROWS($H$2:$H$57))),ROW()-ROW($I$2:$I$57)+1),COLUMN($H$2:$H$57),4)))</f>
        <v/>
      </c>
      <c r="P36" s="184" t="str">
        <f t="array" aca="1" ref="P36" ca="1">IF(ROW()-ROW($J$2:$J$57)+1&gt;ROWS($I$2:$I$57)-COUNTBLANK($I$2:$I$57),"",INDIRECT(ADDRESS(SMALL((IF($I$2:$I$57&lt;&gt;"",ROW($I$2:$I$57),ROW()+ROWS($I$2:$I$57))),ROW()-ROW($J$2:$J$57)+1),COLUMN($I$2:$I$57),4)))</f>
        <v/>
      </c>
    </row>
    <row r="37" spans="4:16" x14ac:dyDescent="0.25">
      <c r="D37" s="857"/>
      <c r="E37" s="34" t="str">
        <f>IF(H37="","","2016")</f>
        <v/>
      </c>
      <c r="F37" s="34" t="str">
        <f t="shared" si="8"/>
        <v/>
      </c>
      <c r="G37" s="34" t="str">
        <f t="shared" si="7"/>
        <v/>
      </c>
      <c r="H37" s="173" t="str">
        <f>IF(A5="relevant",IF('Matrix-Rectum'!M26="","",IF(ROUND('Matrix-Rectum'!M26,4)&lt;Berechnung4!$J$37,Berechnung4!$L$37,"")),"")</f>
        <v/>
      </c>
      <c r="I37" s="172" t="str">
        <f>IF(H37="","",VLOOKUP(F37,Berechnung4!$I$15:$J$25,2,FALSE))</f>
        <v/>
      </c>
      <c r="J37" s="237" t="str">
        <f t="shared" si="2"/>
        <v/>
      </c>
      <c r="L37" s="94" t="str">
        <f t="array" aca="1" ref="L37" ca="1">IF(ROW()-ROW($F$2:$F$57)+1&gt;ROWS($E$2:$E$57)-COUNTBLANK($E$2:$E$57),"",INDIRECT(ADDRESS(SMALL((IF($E$2:$E$57&gt;"",ROW($E$2:$E$57),ROW()+ROWS($E$2:$E$57))),ROW()-ROW($F$2:$F$57)+1),COLUMN($E$2:$E$57),4)))</f>
        <v/>
      </c>
      <c r="M37" s="94" t="str">
        <f t="array" aca="1" ref="M37" ca="1">IF(ROW()-ROW($G$2:$G$57)+1&gt;ROWS($F$2:$F$57)-COUNTBLANK($F$2:$F$57),"",INDIRECT(ADDRESS(SMALL((IF($F$2:$F$57&lt;&gt;"",ROW($F$2:$F$57),ROW()+ROWS($F$2:$F$57))),ROW()-ROW($G$2:$G$57)+1),COLUMN($F$2:$F$57),4)))</f>
        <v/>
      </c>
      <c r="N37" s="94" t="str">
        <f t="array" aca="1" ref="N37" ca="1">IF(ROW()-ROW($H$2:$H$57)+1&gt;ROWS($G$2:$G$57)-COUNTBLANK($G$2:$G$57),"",INDIRECT(ADDRESS(SMALL((IF($G$2:$G$57&lt;&gt;"",ROW($G$2:$G$57),ROW()+ROWS($G$2:$G$57))),ROW()-ROW($H$2:$H$57)+1),COLUMN($G$2:$G$57),4)))</f>
        <v/>
      </c>
      <c r="O37" s="184" t="str">
        <f t="array" aca="1" ref="O37" ca="1">IF(ROW()-ROW($I$2:$I$57)+1&gt;ROWS($H$2:$H$57)-COUNTBLANK($H$2:$H$57),"",INDIRECT(ADDRESS(SMALL((IF($H$2:$H$57&lt;&gt;"",ROW($H$2:$H$57),ROW()+ROWS($H$2:$H$57))),ROW()-ROW($I$2:$I$57)+1),COLUMN($H$2:$H$57),4)))</f>
        <v/>
      </c>
      <c r="P37" s="184" t="str">
        <f t="array" aca="1" ref="P37" ca="1">IF(ROW()-ROW($J$2:$J$57)+1&gt;ROWS($I$2:$I$57)-COUNTBLANK($I$2:$I$57),"",INDIRECT(ADDRESS(SMALL((IF($I$2:$I$57&lt;&gt;"",ROW($I$2:$I$57),ROW()+ROWS($I$2:$I$57))),ROW()-ROW($J$2:$J$57)+1),COLUMN($I$2:$I$57),4)))</f>
        <v/>
      </c>
    </row>
    <row r="38" spans="4:16" x14ac:dyDescent="0.25">
      <c r="D38" s="857"/>
      <c r="E38" s="34" t="str">
        <f>IF(H38="","","2017")</f>
        <v/>
      </c>
      <c r="F38" s="34" t="str">
        <f t="shared" si="8"/>
        <v/>
      </c>
      <c r="G38" s="34" t="str">
        <f t="shared" si="7"/>
        <v/>
      </c>
      <c r="H38" s="173" t="str">
        <f>IF(A6="relevant",IF('Matrix-Rectum'!M27="","",IF(ROUND('Matrix-Rectum'!M27,4)&lt;Berechnung4!$J$37,Berechnung4!$L$37,"")),"")</f>
        <v/>
      </c>
      <c r="I38" s="172" t="str">
        <f>IF(H38="","",VLOOKUP(F38,Berechnung4!$I$15:$J$25,2,FALSE))</f>
        <v/>
      </c>
      <c r="J38" s="237" t="str">
        <f t="shared" si="2"/>
        <v/>
      </c>
      <c r="L38" s="94" t="str">
        <f t="array" aca="1" ref="L38" ca="1">IF(ROW()-ROW($F$2:$F$57)+1&gt;ROWS($E$2:$E$57)-COUNTBLANK($E$2:$E$57),"",INDIRECT(ADDRESS(SMALL((IF($E$2:$E$57&gt;"",ROW($E$2:$E$57),ROW()+ROWS($E$2:$E$57))),ROW()-ROW($F$2:$F$57)+1),COLUMN($E$2:$E$57),4)))</f>
        <v/>
      </c>
      <c r="M38" s="94" t="str">
        <f t="array" aca="1" ref="M38" ca="1">IF(ROW()-ROW($G$2:$G$57)+1&gt;ROWS($F$2:$F$57)-COUNTBLANK($F$2:$F$57),"",INDIRECT(ADDRESS(SMALL((IF($F$2:$F$57&lt;&gt;"",ROW($F$2:$F$57),ROW()+ROWS($F$2:$F$57))),ROW()-ROW($G$2:$G$57)+1),COLUMN($F$2:$F$57),4)))</f>
        <v/>
      </c>
      <c r="N38" s="94" t="str">
        <f t="array" aca="1" ref="N38" ca="1">IF(ROW()-ROW($H$2:$H$57)+1&gt;ROWS($G$2:$G$57)-COUNTBLANK($G$2:$G$57),"",INDIRECT(ADDRESS(SMALL((IF($G$2:$G$57&lt;&gt;"",ROW($G$2:$G$57),ROW()+ROWS($G$2:$G$57))),ROW()-ROW($H$2:$H$57)+1),COLUMN($G$2:$G$57),4)))</f>
        <v/>
      </c>
      <c r="O38" s="184" t="str">
        <f t="array" aca="1" ref="O38" ca="1">IF(ROW()-ROW($I$2:$I$57)+1&gt;ROWS($H$2:$H$57)-COUNTBLANK($H$2:$H$57),"",INDIRECT(ADDRESS(SMALL((IF($H$2:$H$57&lt;&gt;"",ROW($H$2:$H$57),ROW()+ROWS($H$2:$H$57))),ROW()-ROW($I$2:$I$57)+1),COLUMN($H$2:$H$57),4)))</f>
        <v/>
      </c>
      <c r="P38" s="184" t="str">
        <f t="array" aca="1" ref="P38" ca="1">IF(ROW()-ROW($J$2:$J$57)+1&gt;ROWS($I$2:$I$57)-COUNTBLANK($I$2:$I$57),"",INDIRECT(ADDRESS(SMALL((IF($I$2:$I$57&lt;&gt;"",ROW($I$2:$I$57),ROW()+ROWS($I$2:$I$57))),ROW()-ROW($J$2:$J$57)+1),COLUMN($I$2:$I$57),4)))</f>
        <v/>
      </c>
    </row>
    <row r="39" spans="4:16" ht="15.75" thickBot="1" x14ac:dyDescent="0.3">
      <c r="D39" s="142" t="s">
        <v>115</v>
      </c>
      <c r="E39" s="155" t="str">
        <f>IF(H39="","","2018")</f>
        <v/>
      </c>
      <c r="F39" s="155" t="str">
        <f t="shared" si="8"/>
        <v/>
      </c>
      <c r="G39" s="155" t="str">
        <f t="shared" si="7"/>
        <v/>
      </c>
      <c r="H39" s="185"/>
      <c r="I39" s="219" t="str">
        <f>IF(H39="","",VLOOKUP(F39,Berechnung4!$I$15:$J$25,2,FALSE))</f>
        <v/>
      </c>
      <c r="J39" s="220" t="str">
        <f t="shared" si="2"/>
        <v/>
      </c>
      <c r="L39" s="94" t="str">
        <f t="array" aca="1" ref="L39" ca="1">IF(ROW()-ROW($F$2:$F$57)+1&gt;ROWS($E$2:$E$57)-COUNTBLANK($E$2:$E$57),"",INDIRECT(ADDRESS(SMALL((IF($E$2:$E$57&gt;"",ROW($E$2:$E$57),ROW()+ROWS($E$2:$E$57))),ROW()-ROW($F$2:$F$57)+1),COLUMN($E$2:$E$57),4)))</f>
        <v/>
      </c>
      <c r="M39" s="94" t="str">
        <f t="array" aca="1" ref="M39" ca="1">IF(ROW()-ROW($G$2:$G$57)+1&gt;ROWS($F$2:$F$57)-COUNTBLANK($F$2:$F$57),"",INDIRECT(ADDRESS(SMALL((IF($F$2:$F$57&lt;&gt;"",ROW($F$2:$F$57),ROW()+ROWS($F$2:$F$57))),ROW()-ROW($G$2:$G$57)+1),COLUMN($F$2:$F$57),4)))</f>
        <v/>
      </c>
      <c r="N39" s="94" t="str">
        <f t="array" aca="1" ref="N39" ca="1">IF(ROW()-ROW($H$2:$H$57)+1&gt;ROWS($G$2:$G$57)-COUNTBLANK($G$2:$G$57),"",INDIRECT(ADDRESS(SMALL((IF($G$2:$G$57&lt;&gt;"",ROW($G$2:$G$57),ROW()+ROWS($G$2:$G$57))),ROW()-ROW($H$2:$H$57)+1),COLUMN($G$2:$G$57),4)))</f>
        <v/>
      </c>
      <c r="O39" s="184" t="str">
        <f t="array" aca="1" ref="O39" ca="1">IF(ROW()-ROW($I$2:$I$57)+1&gt;ROWS($H$2:$H$57)-COUNTBLANK($H$2:$H$57),"",INDIRECT(ADDRESS(SMALL((IF($H$2:$H$57&lt;&gt;"",ROW($H$2:$H$57),ROW()+ROWS($H$2:$H$57))),ROW()-ROW($I$2:$I$57)+1),COLUMN($H$2:$H$57),4)))</f>
        <v/>
      </c>
      <c r="P39" s="184" t="str">
        <f t="array" aca="1" ref="P39" ca="1">IF(ROW()-ROW($J$2:$J$57)+1&gt;ROWS($I$2:$I$57)-COUNTBLANK($I$2:$I$57),"",INDIRECT(ADDRESS(SMALL((IF($I$2:$I$57&lt;&gt;"",ROW($I$2:$I$57),ROW()+ROWS($I$2:$I$57))),ROW()-ROW($J$2:$J$57)+1),COLUMN($I$2:$I$57),4)))</f>
        <v/>
      </c>
    </row>
    <row r="40" spans="4:16" x14ac:dyDescent="0.25">
      <c r="D40" s="143" t="s">
        <v>280</v>
      </c>
      <c r="E40" s="156" t="str">
        <f>IF(H40="","","2013")</f>
        <v/>
      </c>
      <c r="F40" s="156" t="str">
        <f t="shared" ref="F40:F45" si="9">IF(H40="","","i")</f>
        <v/>
      </c>
      <c r="G40" s="156" t="str">
        <f t="shared" si="7"/>
        <v/>
      </c>
      <c r="H40" s="186" t="str">
        <f>IF(A2="relevant",IF('Matrix-Rectum'!P23="","",IF(AND(ROUND('Matrix-Rectum'!P23,4)&lt;Berechnung4!$J$33,(ROUND('Matrix-Rectum'!P23,4))&gt;=0),Berechnung4!$L$33,"")),"")</f>
        <v/>
      </c>
      <c r="I40" s="239" t="str">
        <f>IF(H40="","",VLOOKUP(F40,Berechnung4!$I$15:$J$25,2,FALSE))</f>
        <v/>
      </c>
      <c r="J40" s="238" t="str">
        <f t="shared" si="2"/>
        <v/>
      </c>
      <c r="L40" s="94" t="str">
        <f t="array" aca="1" ref="L40" ca="1">IF(ROW()-ROW($F$2:$F$57)+1&gt;ROWS($E$2:$E$57)-COUNTBLANK($E$2:$E$57),"",INDIRECT(ADDRESS(SMALL((IF($E$2:$E$57&gt;"",ROW($E$2:$E$57),ROW()+ROWS($E$2:$E$57))),ROW()-ROW($F$2:$F$57)+1),COLUMN($E$2:$E$57),4)))</f>
        <v/>
      </c>
      <c r="M40" s="94" t="str">
        <f t="array" aca="1" ref="M40" ca="1">IF(ROW()-ROW($G$2:$G$57)+1&gt;ROWS($F$2:$F$57)-COUNTBLANK($F$2:$F$57),"",INDIRECT(ADDRESS(SMALL((IF($F$2:$F$57&lt;&gt;"",ROW($F$2:$F$57),ROW()+ROWS($F$2:$F$57))),ROW()-ROW($G$2:$G$57)+1),COLUMN($F$2:$F$57),4)))</f>
        <v/>
      </c>
      <c r="N40" s="94" t="str">
        <f t="array" aca="1" ref="N40" ca="1">IF(ROW()-ROW($H$2:$H$57)+1&gt;ROWS($G$2:$G$57)-COUNTBLANK($G$2:$G$57),"",INDIRECT(ADDRESS(SMALL((IF($G$2:$G$57&lt;&gt;"",ROW($G$2:$G$57),ROW()+ROWS($G$2:$G$57))),ROW()-ROW($H$2:$H$57)+1),COLUMN($G$2:$G$57),4)))</f>
        <v/>
      </c>
      <c r="O40" s="184" t="str">
        <f t="array" aca="1" ref="O40" ca="1">IF(ROW()-ROW($I$2:$I$57)+1&gt;ROWS($H$2:$H$57)-COUNTBLANK($H$2:$H$57),"",INDIRECT(ADDRESS(SMALL((IF($H$2:$H$57&lt;&gt;"",ROW($H$2:$H$57),ROW()+ROWS($H$2:$H$57))),ROW()-ROW($I$2:$I$57)+1),COLUMN($H$2:$H$57),4)))</f>
        <v/>
      </c>
      <c r="P40" s="184" t="str">
        <f t="array" aca="1" ref="P40" ca="1">IF(ROW()-ROW($J$2:$J$57)+1&gt;ROWS($I$2:$I$57)-COUNTBLANK($I$2:$I$57),"",INDIRECT(ADDRESS(SMALL((IF($I$2:$I$57&lt;&gt;"",ROW($I$2:$I$57),ROW()+ROWS($I$2:$I$57))),ROW()-ROW($J$2:$J$57)+1),COLUMN($I$2:$I$57),4)))</f>
        <v/>
      </c>
    </row>
    <row r="41" spans="4:16" x14ac:dyDescent="0.25">
      <c r="D41" s="857" t="s">
        <v>325</v>
      </c>
      <c r="E41" s="34" t="str">
        <f>IF(H41="","","2014")</f>
        <v/>
      </c>
      <c r="F41" s="34" t="str">
        <f t="shared" si="9"/>
        <v/>
      </c>
      <c r="G41" s="34" t="str">
        <f t="shared" si="7"/>
        <v/>
      </c>
      <c r="H41" s="173" t="str">
        <f>IF(A3="relevant",IF('Matrix-Rectum'!P24="","",IF(AND(ROUND('Matrix-Rectum'!P24,4)&lt;Berechnung4!$J$33,(ROUND('Matrix-Rectum'!P24,4))&gt;=0),Berechnung4!$L$33,"")),"")</f>
        <v/>
      </c>
      <c r="I41" s="172" t="str">
        <f>IF(H41="","",VLOOKUP(F41,Berechnung4!$I$15:$J$25,2,FALSE))</f>
        <v/>
      </c>
      <c r="J41" s="237" t="str">
        <f t="shared" si="2"/>
        <v/>
      </c>
      <c r="L41" s="94" t="str">
        <f t="array" aca="1" ref="L41" ca="1">IF(ROW()-ROW($F$2:$F$57)+1&gt;ROWS($E$2:$E$57)-COUNTBLANK($E$2:$E$57),"",INDIRECT(ADDRESS(SMALL((IF($E$2:$E$57&gt;"",ROW($E$2:$E$57),ROW()+ROWS($E$2:$E$57))),ROW()-ROW($F$2:$F$57)+1),COLUMN($E$2:$E$57),4)))</f>
        <v/>
      </c>
      <c r="M41" s="94" t="str">
        <f t="array" aca="1" ref="M41" ca="1">IF(ROW()-ROW($G$2:$G$57)+1&gt;ROWS($F$2:$F$57)-COUNTBLANK($F$2:$F$57),"",INDIRECT(ADDRESS(SMALL((IF($F$2:$F$57&lt;&gt;"",ROW($F$2:$F$57),ROW()+ROWS($F$2:$F$57))),ROW()-ROW($G$2:$G$57)+1),COLUMN($F$2:$F$57),4)))</f>
        <v/>
      </c>
      <c r="N41" s="94" t="str">
        <f t="array" aca="1" ref="N41" ca="1">IF(ROW()-ROW($H$2:$H$57)+1&gt;ROWS($G$2:$G$57)-COUNTBLANK($G$2:$G$57),"",INDIRECT(ADDRESS(SMALL((IF($G$2:$G$57&lt;&gt;"",ROW($G$2:$G$57),ROW()+ROWS($G$2:$G$57))),ROW()-ROW($H$2:$H$57)+1),COLUMN($G$2:$G$57),4)))</f>
        <v/>
      </c>
      <c r="O41" s="184" t="str">
        <f t="array" aca="1" ref="O41" ca="1">IF(ROW()-ROW($I$2:$I$57)+1&gt;ROWS($H$2:$H$57)-COUNTBLANK($H$2:$H$57),"",INDIRECT(ADDRESS(SMALL((IF($H$2:$H$57&lt;&gt;"",ROW($H$2:$H$57),ROW()+ROWS($H$2:$H$57))),ROW()-ROW($I$2:$I$57)+1),COLUMN($H$2:$H$57),4)))</f>
        <v/>
      </c>
      <c r="P41" s="184" t="str">
        <f t="array" aca="1" ref="P41" ca="1">IF(ROW()-ROW($J$2:$J$57)+1&gt;ROWS($I$2:$I$57)-COUNTBLANK($I$2:$I$57),"",INDIRECT(ADDRESS(SMALL((IF($I$2:$I$57&lt;&gt;"",ROW($I$2:$I$57),ROW()+ROWS($I$2:$I$57))),ROW()-ROW($J$2:$J$57)+1),COLUMN($I$2:$I$57),4)))</f>
        <v/>
      </c>
    </row>
    <row r="42" spans="4:16" x14ac:dyDescent="0.25">
      <c r="D42" s="857"/>
      <c r="E42" s="34" t="str">
        <f>IF(H42="","","2015")</f>
        <v/>
      </c>
      <c r="F42" s="34" t="str">
        <f t="shared" si="9"/>
        <v/>
      </c>
      <c r="G42" s="34" t="str">
        <f t="shared" si="7"/>
        <v/>
      </c>
      <c r="H42" s="173" t="str">
        <f>IF(A4="relevant",IF('Matrix-Rectum'!P25="","",IF(AND(ROUND('Matrix-Rectum'!P25,4)&lt;Berechnung4!$J$33,(ROUND('Matrix-Rectum'!P25,4))&gt;=0),Berechnung4!$L$33,"")),"")</f>
        <v/>
      </c>
      <c r="I42" s="172" t="str">
        <f>IF(H42="","",VLOOKUP(F42,Berechnung4!$I$15:$J$25,2,FALSE))</f>
        <v/>
      </c>
      <c r="J42" s="237" t="str">
        <f t="shared" si="2"/>
        <v/>
      </c>
      <c r="L42" s="94" t="str">
        <f t="array" aca="1" ref="L42" ca="1">IF(ROW()-ROW($F$2:$F$57)+1&gt;ROWS($E$2:$E$57)-COUNTBLANK($E$2:$E$57),"",INDIRECT(ADDRESS(SMALL((IF($E$2:$E$57&gt;"",ROW($E$2:$E$57),ROW()+ROWS($E$2:$E$57))),ROW()-ROW($F$2:$F$57)+1),COLUMN($E$2:$E$57),4)))</f>
        <v/>
      </c>
      <c r="M42" s="94" t="str">
        <f t="array" aca="1" ref="M42" ca="1">IF(ROW()-ROW($G$2:$G$57)+1&gt;ROWS($F$2:$F$57)-COUNTBLANK($F$2:$F$57),"",INDIRECT(ADDRESS(SMALL((IF($F$2:$F$57&lt;&gt;"",ROW($F$2:$F$57),ROW()+ROWS($F$2:$F$57))),ROW()-ROW($G$2:$G$57)+1),COLUMN($F$2:$F$57),4)))</f>
        <v/>
      </c>
      <c r="N42" s="94" t="str">
        <f t="array" aca="1" ref="N42" ca="1">IF(ROW()-ROW($H$2:$H$57)+1&gt;ROWS($G$2:$G$57)-COUNTBLANK($G$2:$G$57),"",INDIRECT(ADDRESS(SMALL((IF($G$2:$G$57&lt;&gt;"",ROW($G$2:$G$57),ROW()+ROWS($G$2:$G$57))),ROW()-ROW($H$2:$H$57)+1),COLUMN($G$2:$G$57),4)))</f>
        <v/>
      </c>
      <c r="O42" s="184" t="str">
        <f t="array" aca="1" ref="O42" ca="1">IF(ROW()-ROW($I$2:$I$57)+1&gt;ROWS($H$2:$H$57)-COUNTBLANK($H$2:$H$57),"",INDIRECT(ADDRESS(SMALL((IF($H$2:$H$57&lt;&gt;"",ROW($H$2:$H$57),ROW()+ROWS($H$2:$H$57))),ROW()-ROW($I$2:$I$57)+1),COLUMN($H$2:$H$57),4)))</f>
        <v/>
      </c>
      <c r="P42" s="184" t="str">
        <f t="array" aca="1" ref="P42" ca="1">IF(ROW()-ROW($J$2:$J$57)+1&gt;ROWS($I$2:$I$57)-COUNTBLANK($I$2:$I$57),"",INDIRECT(ADDRESS(SMALL((IF($I$2:$I$57&lt;&gt;"",ROW($I$2:$I$57),ROW()+ROWS($I$2:$I$57))),ROW()-ROW($J$2:$J$57)+1),COLUMN($I$2:$I$57),4)))</f>
        <v/>
      </c>
    </row>
    <row r="43" spans="4:16" x14ac:dyDescent="0.25">
      <c r="D43" s="857"/>
      <c r="E43" s="34" t="str">
        <f>IF(H43="","","2016")</f>
        <v/>
      </c>
      <c r="F43" s="34" t="str">
        <f t="shared" si="9"/>
        <v/>
      </c>
      <c r="G43" s="34" t="str">
        <f t="shared" si="7"/>
        <v/>
      </c>
      <c r="H43" s="173" t="str">
        <f>IF(A5="relevant",IF('Matrix-Rectum'!P26="","",IF(AND(ROUND('Matrix-Rectum'!P26,4)&lt;Berechnung4!$J$33,(ROUND('Matrix-Rectum'!P26,4))&gt;=0),Berechnung4!$L$33,"")),"")</f>
        <v/>
      </c>
      <c r="I43" s="172" t="str">
        <f>IF(H43="","",VLOOKUP(F43,Berechnung4!$I$15:$J$25,2,FALSE))</f>
        <v/>
      </c>
      <c r="J43" s="237" t="str">
        <f t="shared" si="2"/>
        <v/>
      </c>
      <c r="L43" s="94" t="str">
        <f t="array" aca="1" ref="L43" ca="1">IF(ROW()-ROW($F$2:$F$57)+1&gt;ROWS($E$2:$E$57)-COUNTBLANK($E$2:$E$57),"",INDIRECT(ADDRESS(SMALL((IF($E$2:$E$57&gt;"",ROW($E$2:$E$57),ROW()+ROWS($E$2:$E$57))),ROW()-ROW($F$2:$F$57)+1),COLUMN($E$2:$E$57),4)))</f>
        <v/>
      </c>
      <c r="M43" s="94" t="str">
        <f t="array" aca="1" ref="M43" ca="1">IF(ROW()-ROW($G$2:$G$57)+1&gt;ROWS($F$2:$F$57)-COUNTBLANK($F$2:$F$57),"",INDIRECT(ADDRESS(SMALL((IF($F$2:$F$57&lt;&gt;"",ROW($F$2:$F$57),ROW()+ROWS($F$2:$F$57))),ROW()-ROW($G$2:$G$57)+1),COLUMN($F$2:$F$57),4)))</f>
        <v/>
      </c>
      <c r="N43" s="94" t="str">
        <f t="array" aca="1" ref="N43" ca="1">IF(ROW()-ROW($H$2:$H$57)+1&gt;ROWS($G$2:$G$57)-COUNTBLANK($G$2:$G$57),"",INDIRECT(ADDRESS(SMALL((IF($G$2:$G$57&lt;&gt;"",ROW($G$2:$G$57),ROW()+ROWS($G$2:$G$57))),ROW()-ROW($H$2:$H$57)+1),COLUMN($G$2:$G$57),4)))</f>
        <v/>
      </c>
      <c r="O43" s="184" t="str">
        <f t="array" aca="1" ref="O43" ca="1">IF(ROW()-ROW($I$2:$I$57)+1&gt;ROWS($H$2:$H$57)-COUNTBLANK($H$2:$H$57),"",INDIRECT(ADDRESS(SMALL((IF($H$2:$H$57&lt;&gt;"",ROW($H$2:$H$57),ROW()+ROWS($H$2:$H$57))),ROW()-ROW($I$2:$I$57)+1),COLUMN($H$2:$H$57),4)))</f>
        <v/>
      </c>
      <c r="P43" s="184" t="str">
        <f t="array" aca="1" ref="P43" ca="1">IF(ROW()-ROW($J$2:$J$57)+1&gt;ROWS($I$2:$I$57)-COUNTBLANK($I$2:$I$57),"",INDIRECT(ADDRESS(SMALL((IF($I$2:$I$57&lt;&gt;"",ROW($I$2:$I$57),ROW()+ROWS($I$2:$I$57))),ROW()-ROW($J$2:$J$57)+1),COLUMN($I$2:$I$57),4)))</f>
        <v/>
      </c>
    </row>
    <row r="44" spans="4:16" x14ac:dyDescent="0.25">
      <c r="D44" s="857"/>
      <c r="E44" s="34" t="str">
        <f>IF(H44="","","2017")</f>
        <v/>
      </c>
      <c r="F44" s="34" t="str">
        <f t="shared" si="9"/>
        <v/>
      </c>
      <c r="G44" s="34" t="str">
        <f t="shared" si="7"/>
        <v/>
      </c>
      <c r="H44" s="173" t="str">
        <f>IF(A6="relevant",IF('Matrix-Rectum'!P27="","",IF(AND(ROUND('Matrix-Rectum'!P27,4)&lt;Berechnung4!$J$33,(ROUND('Matrix-Rectum'!P27,4))&gt;=0),Berechnung4!$L$33,"")),"")</f>
        <v/>
      </c>
      <c r="I44" s="172" t="str">
        <f>IF(H44="","",VLOOKUP(F44,Berechnung4!$I$15:$J$25,2,FALSE))</f>
        <v/>
      </c>
      <c r="J44" s="237" t="str">
        <f t="shared" si="2"/>
        <v/>
      </c>
      <c r="L44" s="94" t="str">
        <f t="array" aca="1" ref="L44" ca="1">IF(ROW()-ROW($F$2:$F$57)+1&gt;ROWS($E$2:$E$57)-COUNTBLANK($E$2:$E$57),"",INDIRECT(ADDRESS(SMALL((IF($E$2:$E$57&gt;"",ROW($E$2:$E$57),ROW()+ROWS($E$2:$E$57))),ROW()-ROW($F$2:$F$57)+1),COLUMN($E$2:$E$57),4)))</f>
        <v/>
      </c>
      <c r="M44" s="94" t="str">
        <f t="array" aca="1" ref="M44" ca="1">IF(ROW()-ROW($G$2:$G$57)+1&gt;ROWS($F$2:$F$57)-COUNTBLANK($F$2:$F$57),"",INDIRECT(ADDRESS(SMALL((IF($F$2:$F$57&lt;&gt;"",ROW($F$2:$F$57),ROW()+ROWS($F$2:$F$57))),ROW()-ROW($G$2:$G$57)+1),COLUMN($F$2:$F$57),4)))</f>
        <v/>
      </c>
      <c r="N44" s="94" t="str">
        <f t="array" aca="1" ref="N44" ca="1">IF(ROW()-ROW($H$2:$H$57)+1&gt;ROWS($G$2:$G$57)-COUNTBLANK($G$2:$G$57),"",INDIRECT(ADDRESS(SMALL((IF($G$2:$G$57&lt;&gt;"",ROW($G$2:$G$57),ROW()+ROWS($G$2:$G$57))),ROW()-ROW($H$2:$H$57)+1),COLUMN($G$2:$G$57),4)))</f>
        <v/>
      </c>
      <c r="O44" s="184" t="str">
        <f t="array" aca="1" ref="O44" ca="1">IF(ROW()-ROW($I$2:$I$57)+1&gt;ROWS($H$2:$H$57)-COUNTBLANK($H$2:$H$57),"",INDIRECT(ADDRESS(SMALL((IF($H$2:$H$57&lt;&gt;"",ROW($H$2:$H$57),ROW()+ROWS($H$2:$H$57))),ROW()-ROW($I$2:$I$57)+1),COLUMN($H$2:$H$57),4)))</f>
        <v/>
      </c>
      <c r="P44" s="184" t="str">
        <f t="array" aca="1" ref="P44" ca="1">IF(ROW()-ROW($J$2:$J$57)+1&gt;ROWS($I$2:$I$57)-COUNTBLANK($I$2:$I$57),"",INDIRECT(ADDRESS(SMALL((IF($I$2:$I$57&lt;&gt;"",ROW($I$2:$I$57),ROW()+ROWS($I$2:$I$57))),ROW()-ROW($J$2:$J$57)+1),COLUMN($I$2:$I$57),4)))</f>
        <v/>
      </c>
    </row>
    <row r="45" spans="4:16" ht="15.75" thickBot="1" x14ac:dyDescent="0.3">
      <c r="D45" s="142" t="s">
        <v>116</v>
      </c>
      <c r="E45" s="155" t="str">
        <f>IF(H45="","","2018")</f>
        <v/>
      </c>
      <c r="F45" s="155" t="str">
        <f t="shared" si="9"/>
        <v/>
      </c>
      <c r="G45" s="155" t="str">
        <f t="shared" si="7"/>
        <v/>
      </c>
      <c r="H45" s="189"/>
      <c r="I45" s="219" t="str">
        <f>IF(H45="","",VLOOKUP(F45,Berechnung4!$I$15:$J$25,2,FALSE))</f>
        <v/>
      </c>
      <c r="J45" s="220" t="str">
        <f t="shared" si="2"/>
        <v/>
      </c>
      <c r="L45" s="94" t="str">
        <f t="array" aca="1" ref="L45" ca="1">IF(ROW()-ROW($F$2:$F$57)+1&gt;ROWS($E$2:$E$57)-COUNTBLANK($E$2:$E$57),"",INDIRECT(ADDRESS(SMALL((IF($E$2:$E$57&gt;"",ROW($E$2:$E$57),ROW()+ROWS($E$2:$E$57))),ROW()-ROW($F$2:$F$57)+1),COLUMN($E$2:$E$57),4)))</f>
        <v/>
      </c>
      <c r="M45" s="94" t="str">
        <f t="array" aca="1" ref="M45" ca="1">IF(ROW()-ROW($G$2:$G$57)+1&gt;ROWS($F$2:$F$57)-COUNTBLANK($F$2:$F$57),"",INDIRECT(ADDRESS(SMALL((IF($F$2:$F$57&lt;&gt;"",ROW($F$2:$F$57),ROW()+ROWS($F$2:$F$57))),ROW()-ROW($G$2:$G$57)+1),COLUMN($F$2:$F$57),4)))</f>
        <v/>
      </c>
      <c r="N45" s="94" t="str">
        <f t="array" aca="1" ref="N45" ca="1">IF(ROW()-ROW($H$2:$H$57)+1&gt;ROWS($G$2:$G$57)-COUNTBLANK($G$2:$G$57),"",INDIRECT(ADDRESS(SMALL((IF($G$2:$G$57&lt;&gt;"",ROW($G$2:$G$57),ROW()+ROWS($G$2:$G$57))),ROW()-ROW($H$2:$H$57)+1),COLUMN($G$2:$G$57),4)))</f>
        <v/>
      </c>
      <c r="O45" s="184" t="str">
        <f t="array" aca="1" ref="O45" ca="1">IF(ROW()-ROW($I$2:$I$57)+1&gt;ROWS($H$2:$H$57)-COUNTBLANK($H$2:$H$57),"",INDIRECT(ADDRESS(SMALL((IF($H$2:$H$57&lt;&gt;"",ROW($H$2:$H$57),ROW()+ROWS($H$2:$H$57))),ROW()-ROW($I$2:$I$57)+1),COLUMN($H$2:$H$57),4)))</f>
        <v/>
      </c>
      <c r="P45" s="184" t="str">
        <f t="array" aca="1" ref="P45" ca="1">IF(ROW()-ROW($J$2:$J$57)+1&gt;ROWS($I$2:$I$57)-COUNTBLANK($I$2:$I$57),"",INDIRECT(ADDRESS(SMALL((IF($I$2:$I$57&lt;&gt;"",ROW($I$2:$I$57),ROW()+ROWS($I$2:$I$57))),ROW()-ROW($J$2:$J$57)+1),COLUMN($I$2:$I$57),4)))</f>
        <v/>
      </c>
    </row>
    <row r="46" spans="4:16" x14ac:dyDescent="0.25">
      <c r="D46" s="143" t="s">
        <v>280</v>
      </c>
      <c r="E46" s="156" t="str">
        <f>IF(H46="","","2013")</f>
        <v/>
      </c>
      <c r="F46" s="156" t="str">
        <f t="shared" ref="F46:F51" si="10">IF(H46="","","j")</f>
        <v/>
      </c>
      <c r="G46" s="156" t="str">
        <f t="shared" si="7"/>
        <v/>
      </c>
      <c r="H46" s="186" t="str">
        <f>IF(A2="relevant",IF('Matrix-Rectum'!Y23="","",IF(AND(ROUND('Matrix-Rectum'!Y23,4)&gt;=Berechnung4!E47,ROUND('Matrix-Rectum'!Y23,4)&lt;=Berechnung4!G47),Berechnung4!L47,IF(ROUND('Matrix-Rectum'!Y23,4)&gt;Berechnung4!J47,Berechnung4!M47,""))),"")</f>
        <v/>
      </c>
      <c r="I46" s="239" t="str">
        <f>IF(H46="","",VLOOKUP(F46,Berechnung4!$I$15:$J$25,2,FALSE))</f>
        <v/>
      </c>
      <c r="J46" s="238" t="str">
        <f t="shared" si="2"/>
        <v/>
      </c>
      <c r="L46" s="94" t="str">
        <f t="array" aca="1" ref="L46" ca="1">IF(ROW()-ROW($F$2:$F$57)+1&gt;ROWS($E$2:$E$57)-COUNTBLANK($E$2:$E$57),"",INDIRECT(ADDRESS(SMALL((IF($E$2:$E$57&gt;"",ROW($E$2:$E$57),ROW()+ROWS($E$2:$E$57))),ROW()-ROW($F$2:$F$57)+1),COLUMN($E$2:$E$57),4)))</f>
        <v/>
      </c>
      <c r="M46" s="94" t="str">
        <f t="array" aca="1" ref="M46" ca="1">IF(ROW()-ROW($G$2:$G$57)+1&gt;ROWS($F$2:$F$57)-COUNTBLANK($F$2:$F$57),"",INDIRECT(ADDRESS(SMALL((IF($F$2:$F$57&lt;&gt;"",ROW($F$2:$F$57),ROW()+ROWS($F$2:$F$57))),ROW()-ROW($G$2:$G$57)+1),COLUMN($F$2:$F$57),4)))</f>
        <v/>
      </c>
      <c r="N46" s="94" t="str">
        <f t="array" aca="1" ref="N46" ca="1">IF(ROW()-ROW($H$2:$H$57)+1&gt;ROWS($G$2:$G$57)-COUNTBLANK($G$2:$G$57),"",INDIRECT(ADDRESS(SMALL((IF($G$2:$G$57&lt;&gt;"",ROW($G$2:$G$57),ROW()+ROWS($G$2:$G$57))),ROW()-ROW($H$2:$H$57)+1),COLUMN($G$2:$G$57),4)))</f>
        <v/>
      </c>
      <c r="O46" s="184" t="str">
        <f t="array" aca="1" ref="O46" ca="1">IF(ROW()-ROW($I$2:$I$57)+1&gt;ROWS($H$2:$H$57)-COUNTBLANK($H$2:$H$57),"",INDIRECT(ADDRESS(SMALL((IF($H$2:$H$57&lt;&gt;"",ROW($H$2:$H$57),ROW()+ROWS($H$2:$H$57))),ROW()-ROW($I$2:$I$57)+1),COLUMN($H$2:$H$57),4)))</f>
        <v/>
      </c>
      <c r="P46" s="184" t="str">
        <f t="array" aca="1" ref="P46" ca="1">IF(ROW()-ROW($J$2:$J$57)+1&gt;ROWS($I$2:$I$57)-COUNTBLANK($I$2:$I$57),"",INDIRECT(ADDRESS(SMALL((IF($I$2:$I$57&lt;&gt;"",ROW($I$2:$I$57),ROW()+ROWS($I$2:$I$57))),ROW()-ROW($J$2:$J$57)+1),COLUMN($I$2:$I$57),4)))</f>
        <v/>
      </c>
    </row>
    <row r="47" spans="4:16" x14ac:dyDescent="0.25">
      <c r="D47" s="855" t="s">
        <v>330</v>
      </c>
      <c r="E47" s="34" t="str">
        <f>IF(H47="","","2014")</f>
        <v/>
      </c>
      <c r="F47" s="34" t="str">
        <f t="shared" si="10"/>
        <v/>
      </c>
      <c r="G47" s="34" t="str">
        <f t="shared" si="7"/>
        <v/>
      </c>
      <c r="H47" s="173" t="str">
        <f>IF(A3="relevant",IF('Matrix-Rectum'!Y24="","",IF(AND(ROUND('Matrix-Rectum'!Y24,4)&gt;=Berechnung4!E48,ROUND('Matrix-Rectum'!Y24,4)&lt;=Berechnung4!G48),Berechnung4!L48,IF(ROUND('Matrix-Rectum'!Y24,4)&gt;Berechnung4!J48,Berechnung4!M48,""))),"")</f>
        <v/>
      </c>
      <c r="I47" s="172" t="str">
        <f>IF(H47="","",VLOOKUP(F47,Berechnung4!$I$15:$J$25,2,FALSE))</f>
        <v/>
      </c>
      <c r="J47" s="237" t="str">
        <f t="shared" si="2"/>
        <v/>
      </c>
      <c r="L47" s="94" t="str">
        <f t="array" aca="1" ref="L47" ca="1">IF(ROW()-ROW($F$2:$F$57)+1&gt;ROWS($E$2:$E$57)-COUNTBLANK($E$2:$E$57),"",INDIRECT(ADDRESS(SMALL((IF($E$2:$E$57&gt;"",ROW($E$2:$E$57),ROW()+ROWS($E$2:$E$57))),ROW()-ROW($F$2:$F$57)+1),COLUMN($E$2:$E$57),4)))</f>
        <v/>
      </c>
      <c r="M47" s="94" t="str">
        <f t="array" aca="1" ref="M47" ca="1">IF(ROW()-ROW($G$2:$G$57)+1&gt;ROWS($F$2:$F$57)-COUNTBLANK($F$2:$F$57),"",INDIRECT(ADDRESS(SMALL((IF($F$2:$F$57&lt;&gt;"",ROW($F$2:$F$57),ROW()+ROWS($F$2:$F$57))),ROW()-ROW($G$2:$G$57)+1),COLUMN($F$2:$F$57),4)))</f>
        <v/>
      </c>
      <c r="N47" s="94" t="str">
        <f t="array" aca="1" ref="N47" ca="1">IF(ROW()-ROW($H$2:$H$57)+1&gt;ROWS($G$2:$G$57)-COUNTBLANK($G$2:$G$57),"",INDIRECT(ADDRESS(SMALL((IF($G$2:$G$57&lt;&gt;"",ROW($G$2:$G$57),ROW()+ROWS($G$2:$G$57))),ROW()-ROW($H$2:$H$57)+1),COLUMN($G$2:$G$57),4)))</f>
        <v/>
      </c>
      <c r="O47" s="184" t="str">
        <f t="array" aca="1" ref="O47" ca="1">IF(ROW()-ROW($I$2:$I$57)+1&gt;ROWS($H$2:$H$57)-COUNTBLANK($H$2:$H$57),"",INDIRECT(ADDRESS(SMALL((IF($H$2:$H$57&lt;&gt;"",ROW($H$2:$H$57),ROW()+ROWS($H$2:$H$57))),ROW()-ROW($I$2:$I$57)+1),COLUMN($H$2:$H$57),4)))</f>
        <v/>
      </c>
      <c r="P47" s="184" t="str">
        <f t="array" aca="1" ref="P47" ca="1">IF(ROW()-ROW($J$2:$J$57)+1&gt;ROWS($I$2:$I$57)-COUNTBLANK($I$2:$I$57),"",INDIRECT(ADDRESS(SMALL((IF($I$2:$I$57&lt;&gt;"",ROW($I$2:$I$57),ROW()+ROWS($I$2:$I$57))),ROW()-ROW($J$2:$J$57)+1),COLUMN($I$2:$I$57),4)))</f>
        <v/>
      </c>
    </row>
    <row r="48" spans="4:16" x14ac:dyDescent="0.25">
      <c r="D48" s="855"/>
      <c r="E48" s="34" t="str">
        <f>IF(H48="","","2015")</f>
        <v/>
      </c>
      <c r="F48" s="34" t="str">
        <f t="shared" si="10"/>
        <v/>
      </c>
      <c r="G48" s="34" t="str">
        <f t="shared" si="7"/>
        <v/>
      </c>
      <c r="H48" s="173" t="str">
        <f>IF(A4="relevant",IF('Matrix-Rectum'!Y25="","",IF(AND(ROUND('Matrix-Rectum'!Y25,4)&gt;=Berechnung4!E49,ROUND('Matrix-Rectum'!Y25,4)&lt;=Berechnung4!G49),Berechnung4!L49,IF(ROUND('Matrix-Rectum'!Y25,4)&gt;Berechnung4!J49,Berechnung4!M49,""))),"")</f>
        <v/>
      </c>
      <c r="I48" s="172" t="str">
        <f>IF(H48="","",VLOOKUP(F48,Berechnung4!$I$15:$J$25,2,FALSE))</f>
        <v/>
      </c>
      <c r="J48" s="237" t="str">
        <f t="shared" si="2"/>
        <v/>
      </c>
      <c r="L48" s="94" t="str">
        <f t="array" aca="1" ref="L48" ca="1">IF(ROW()-ROW($F$2:$F$57)+1&gt;ROWS($E$2:$E$57)-COUNTBLANK($E$2:$E$57),"",INDIRECT(ADDRESS(SMALL((IF($E$2:$E$57&gt;"",ROW($E$2:$E$57),ROW()+ROWS($E$2:$E$57))),ROW()-ROW($F$2:$F$57)+1),COLUMN($E$2:$E$57),4)))</f>
        <v/>
      </c>
      <c r="M48" s="94" t="str">
        <f t="array" aca="1" ref="M48" ca="1">IF(ROW()-ROW($G$2:$G$57)+1&gt;ROWS($F$2:$F$57)-COUNTBLANK($F$2:$F$57),"",INDIRECT(ADDRESS(SMALL((IF($F$2:$F$57&lt;&gt;"",ROW($F$2:$F$57),ROW()+ROWS($F$2:$F$57))),ROW()-ROW($G$2:$G$57)+1),COLUMN($F$2:$F$57),4)))</f>
        <v/>
      </c>
      <c r="N48" s="94" t="str">
        <f t="array" aca="1" ref="N48" ca="1">IF(ROW()-ROW($H$2:$H$57)+1&gt;ROWS($G$2:$G$57)-COUNTBLANK($G$2:$G$57),"",INDIRECT(ADDRESS(SMALL((IF($G$2:$G$57&lt;&gt;"",ROW($G$2:$G$57),ROW()+ROWS($G$2:$G$57))),ROW()-ROW($H$2:$H$57)+1),COLUMN($G$2:$G$57),4)))</f>
        <v/>
      </c>
      <c r="O48" s="184" t="str">
        <f t="array" aca="1" ref="O48" ca="1">IF(ROW()-ROW($I$2:$I$57)+1&gt;ROWS($H$2:$H$57)-COUNTBLANK($H$2:$H$57),"",INDIRECT(ADDRESS(SMALL((IF($H$2:$H$57&lt;&gt;"",ROW($H$2:$H$57),ROW()+ROWS($H$2:$H$57))),ROW()-ROW($I$2:$I$57)+1),COLUMN($H$2:$H$57),4)))</f>
        <v/>
      </c>
      <c r="P48" s="184" t="str">
        <f t="array" aca="1" ref="P48" ca="1">IF(ROW()-ROW($J$2:$J$57)+1&gt;ROWS($I$2:$I$57)-COUNTBLANK($I$2:$I$57),"",INDIRECT(ADDRESS(SMALL((IF($I$2:$I$57&lt;&gt;"",ROW($I$2:$I$57),ROW()+ROWS($I$2:$I$57))),ROW()-ROW($J$2:$J$57)+1),COLUMN($I$2:$I$57),4)))</f>
        <v/>
      </c>
    </row>
    <row r="49" spans="4:16" x14ac:dyDescent="0.25">
      <c r="D49" s="855"/>
      <c r="E49" s="34" t="str">
        <f>IF(H49="","","2016")</f>
        <v/>
      </c>
      <c r="F49" s="34" t="str">
        <f t="shared" si="10"/>
        <v/>
      </c>
      <c r="G49" s="34" t="str">
        <f t="shared" si="7"/>
        <v/>
      </c>
      <c r="H49" s="173" t="str">
        <f>IF(A5="relevant",IF('Matrix-Rectum'!Y26="","",IF(AND(ROUND('Matrix-Rectum'!Y26,4)&gt;=Berechnung4!E50,ROUND('Matrix-Rectum'!Y26,4)&lt;=Berechnung4!G50),Berechnung4!L50,IF(ROUND('Matrix-Rectum'!Y26,4)&gt;Berechnung4!J50,Berechnung4!M50,""))),"")</f>
        <v/>
      </c>
      <c r="I49" s="172" t="str">
        <f>IF(H49="","",VLOOKUP(F49,Berechnung4!$I$15:$J$25,2,FALSE))</f>
        <v/>
      </c>
      <c r="J49" s="237" t="str">
        <f t="shared" si="2"/>
        <v/>
      </c>
      <c r="L49" s="94" t="str">
        <f t="array" aca="1" ref="L49" ca="1">IF(ROW()-ROW($F$2:$F$57)+1&gt;ROWS($E$2:$E$57)-COUNTBLANK($E$2:$E$57),"",INDIRECT(ADDRESS(SMALL((IF($E$2:$E$57&gt;"",ROW($E$2:$E$57),ROW()+ROWS($E$2:$E$57))),ROW()-ROW($F$2:$F$57)+1),COLUMN($E$2:$E$57),4)))</f>
        <v/>
      </c>
      <c r="M49" s="94" t="str">
        <f t="array" aca="1" ref="M49" ca="1">IF(ROW()-ROW($G$2:$G$57)+1&gt;ROWS($F$2:$F$57)-COUNTBLANK($F$2:$F$57),"",INDIRECT(ADDRESS(SMALL((IF($F$2:$F$57&lt;&gt;"",ROW($F$2:$F$57),ROW()+ROWS($F$2:$F$57))),ROW()-ROW($G$2:$G$57)+1),COLUMN($F$2:$F$57),4)))</f>
        <v/>
      </c>
      <c r="N49" s="94" t="str">
        <f t="array" aca="1" ref="N49" ca="1">IF(ROW()-ROW($H$2:$H$57)+1&gt;ROWS($G$2:$G$57)-COUNTBLANK($G$2:$G$57),"",INDIRECT(ADDRESS(SMALL((IF($G$2:$G$57&lt;&gt;"",ROW($G$2:$G$57),ROW()+ROWS($G$2:$G$57))),ROW()-ROW($H$2:$H$57)+1),COLUMN($G$2:$G$57),4)))</f>
        <v/>
      </c>
      <c r="O49" s="184" t="str">
        <f t="array" aca="1" ref="O49" ca="1">IF(ROW()-ROW($I$2:$I$57)+1&gt;ROWS($H$2:$H$57)-COUNTBLANK($H$2:$H$57),"",INDIRECT(ADDRESS(SMALL((IF($H$2:$H$57&lt;&gt;"",ROW($H$2:$H$57),ROW()+ROWS($H$2:$H$57))),ROW()-ROW($I$2:$I$57)+1),COLUMN($H$2:$H$57),4)))</f>
        <v/>
      </c>
      <c r="P49" s="184" t="str">
        <f t="array" aca="1" ref="P49" ca="1">IF(ROW()-ROW($J$2:$J$57)+1&gt;ROWS($I$2:$I$57)-COUNTBLANK($I$2:$I$57),"",INDIRECT(ADDRESS(SMALL((IF($I$2:$I$57&lt;&gt;"",ROW($I$2:$I$57),ROW()+ROWS($I$2:$I$57))),ROW()-ROW($J$2:$J$57)+1),COLUMN($I$2:$I$57),4)))</f>
        <v/>
      </c>
    </row>
    <row r="50" spans="4:16" x14ac:dyDescent="0.25">
      <c r="D50" s="855"/>
      <c r="E50" s="34" t="str">
        <f>IF(H50="","","2017")</f>
        <v/>
      </c>
      <c r="F50" s="34" t="str">
        <f t="shared" si="10"/>
        <v/>
      </c>
      <c r="G50" s="34" t="str">
        <f t="shared" si="7"/>
        <v/>
      </c>
      <c r="H50" s="173" t="str">
        <f>IF(A6="relevant",IF('Matrix-Rectum'!Y27="","",IF(AND(ROUND('Matrix-Rectum'!Y27,4)&gt;=Berechnung4!E51,ROUND('Matrix-Rectum'!Y27,4)&lt;=Berechnung4!G51),Berechnung4!L51,IF(ROUND('Matrix-Rectum'!Y27,4)&gt;Berechnung4!J51,Berechnung4!M51,""))),"")</f>
        <v/>
      </c>
      <c r="I50" s="172" t="str">
        <f>IF(H50="","",VLOOKUP(F50,Berechnung4!$I$15:$J$25,2,FALSE))</f>
        <v/>
      </c>
      <c r="J50" s="237" t="str">
        <f t="shared" si="2"/>
        <v/>
      </c>
      <c r="L50" s="94" t="str">
        <f t="array" aca="1" ref="L50" ca="1">IF(ROW()-ROW($F$2:$F$57)+1&gt;ROWS($E$2:$E$57)-COUNTBLANK($E$2:$E$57),"",INDIRECT(ADDRESS(SMALL((IF($E$2:$E$57&gt;"",ROW($E$2:$E$57),ROW()+ROWS($E$2:$E$57))),ROW()-ROW($F$2:$F$57)+1),COLUMN($E$2:$E$57),4)))</f>
        <v/>
      </c>
      <c r="M50" s="94" t="str">
        <f t="array" aca="1" ref="M50" ca="1">IF(ROW()-ROW($G$2:$G$57)+1&gt;ROWS($F$2:$F$57)-COUNTBLANK($F$2:$F$57),"",INDIRECT(ADDRESS(SMALL((IF($F$2:$F$57&lt;&gt;"",ROW($F$2:$F$57),ROW()+ROWS($F$2:$F$57))),ROW()-ROW($G$2:$G$57)+1),COLUMN($F$2:$F$57),4)))</f>
        <v/>
      </c>
      <c r="N50" s="94" t="str">
        <f t="array" aca="1" ref="N50" ca="1">IF(ROW()-ROW($H$2:$H$57)+1&gt;ROWS($G$2:$G$57)-COUNTBLANK($G$2:$G$57),"",INDIRECT(ADDRESS(SMALL((IF($G$2:$G$57&lt;&gt;"",ROW($G$2:$G$57),ROW()+ROWS($G$2:$G$57))),ROW()-ROW($H$2:$H$57)+1),COLUMN($G$2:$G$57),4)))</f>
        <v/>
      </c>
      <c r="O50" s="184" t="str">
        <f t="array" aca="1" ref="O50" ca="1">IF(ROW()-ROW($I$2:$I$57)+1&gt;ROWS($H$2:$H$57)-COUNTBLANK($H$2:$H$57),"",INDIRECT(ADDRESS(SMALL((IF($H$2:$H$57&lt;&gt;"",ROW($H$2:$H$57),ROW()+ROWS($H$2:$H$57))),ROW()-ROW($I$2:$I$57)+1),COLUMN($H$2:$H$57),4)))</f>
        <v/>
      </c>
      <c r="P50" s="184" t="str">
        <f t="array" aca="1" ref="P50" ca="1">IF(ROW()-ROW($J$2:$J$57)+1&gt;ROWS($I$2:$I$57)-COUNTBLANK($I$2:$I$57),"",INDIRECT(ADDRESS(SMALL((IF($I$2:$I$57&lt;&gt;"",ROW($I$2:$I$57),ROW()+ROWS($I$2:$I$57))),ROW()-ROW($J$2:$J$57)+1),COLUMN($I$2:$I$57),4)))</f>
        <v/>
      </c>
    </row>
    <row r="51" spans="4:16" ht="15.75" thickBot="1" x14ac:dyDescent="0.3">
      <c r="D51" s="142" t="s">
        <v>117</v>
      </c>
      <c r="E51" s="155" t="str">
        <f>IF(H51="","","2018")</f>
        <v/>
      </c>
      <c r="F51" s="155" t="str">
        <f t="shared" si="10"/>
        <v/>
      </c>
      <c r="G51" s="155" t="str">
        <f t="shared" si="7"/>
        <v/>
      </c>
      <c r="H51" s="189"/>
      <c r="I51" s="219" t="str">
        <f>IF(H51="","",VLOOKUP(F51,Berechnung4!$I$15:$J$25,2,FALSE))</f>
        <v/>
      </c>
      <c r="J51" s="220" t="str">
        <f t="shared" si="2"/>
        <v/>
      </c>
      <c r="L51" s="94" t="str">
        <f t="array" aca="1" ref="L51" ca="1">IF(ROW()-ROW($F$2:$F$57)+1&gt;ROWS($E$2:$E$57)-COUNTBLANK($E$2:$E$57),"",INDIRECT(ADDRESS(SMALL((IF($E$2:$E$57&gt;"",ROW($E$2:$E$57),ROW()+ROWS($E$2:$E$57))),ROW()-ROW($F$2:$F$57)+1),COLUMN($E$2:$E$57),4)))</f>
        <v/>
      </c>
      <c r="M51" s="94" t="str">
        <f t="array" aca="1" ref="M51" ca="1">IF(ROW()-ROW($G$2:$G$57)+1&gt;ROWS($F$2:$F$57)-COUNTBLANK($F$2:$F$57),"",INDIRECT(ADDRESS(SMALL((IF($F$2:$F$57&lt;&gt;"",ROW($F$2:$F$57),ROW()+ROWS($F$2:$F$57))),ROW()-ROW($G$2:$G$57)+1),COLUMN($F$2:$F$57),4)))</f>
        <v/>
      </c>
      <c r="N51" s="94" t="str">
        <f t="array" aca="1" ref="N51" ca="1">IF(ROW()-ROW($H$2:$H$57)+1&gt;ROWS($G$2:$G$57)-COUNTBLANK($G$2:$G$57),"",INDIRECT(ADDRESS(SMALL((IF($G$2:$G$57&lt;&gt;"",ROW($G$2:$G$57),ROW()+ROWS($G$2:$G$57))),ROW()-ROW($H$2:$H$57)+1),COLUMN($G$2:$G$57),4)))</f>
        <v/>
      </c>
      <c r="O51" s="184" t="str">
        <f t="array" aca="1" ref="O51" ca="1">IF(ROW()-ROW($I$2:$I$57)+1&gt;ROWS($H$2:$H$57)-COUNTBLANK($H$2:$H$57),"",INDIRECT(ADDRESS(SMALL((IF($H$2:$H$57&lt;&gt;"",ROW($H$2:$H$57),ROW()+ROWS($H$2:$H$57))),ROW()-ROW($I$2:$I$57)+1),COLUMN($H$2:$H$57),4)))</f>
        <v/>
      </c>
      <c r="P51" s="184" t="str">
        <f t="array" aca="1" ref="P51" ca="1">IF(ROW()-ROW($J$2:$J$57)+1&gt;ROWS($I$2:$I$57)-COUNTBLANK($I$2:$I$57),"",INDIRECT(ADDRESS(SMALL((IF($I$2:$I$57&lt;&gt;"",ROW($I$2:$I$57),ROW()+ROWS($I$2:$I$57))),ROW()-ROW($J$2:$J$57)+1),COLUMN($I$2:$I$57),4)))</f>
        <v/>
      </c>
    </row>
    <row r="52" spans="4:16" x14ac:dyDescent="0.25">
      <c r="D52" s="143" t="s">
        <v>280</v>
      </c>
      <c r="E52" s="156" t="str">
        <f>IF(H52="","","2013")</f>
        <v/>
      </c>
      <c r="F52" s="156" t="str">
        <f t="shared" ref="F52:F57" si="11">IF(H52="","","k")</f>
        <v/>
      </c>
      <c r="G52" s="156" t="str">
        <f t="shared" si="7"/>
        <v/>
      </c>
      <c r="H52" s="186" t="str">
        <f>IF(A2="relevant",IF('Matrix-Rectum'!Z23="","",IF(AND(ROUND('Matrix-Rectum'!Z23,4)&gt;=Berechnung4!E56,ROUND('Matrix-Rectum'!Z23,4)&lt;=Berechnung4!G56),Berechnung4!L56,IF(ROUND('Matrix-Rectum'!Z23,4)&gt;Berechnung4!J56,Berechnung4!M56,""))),"")</f>
        <v/>
      </c>
      <c r="I52" s="239" t="str">
        <f>IF(H52="","",VLOOKUP(F52,Berechnung4!$I$15:$J$25,2,FALSE))</f>
        <v/>
      </c>
      <c r="J52" s="238" t="str">
        <f t="shared" si="2"/>
        <v/>
      </c>
      <c r="L52" s="94" t="str">
        <f t="array" aca="1" ref="L52" ca="1">IF(ROW()-ROW($F$2:$F$57)+1&gt;ROWS($E$2:$E$57)-COUNTBLANK($E$2:$E$57),"",INDIRECT(ADDRESS(SMALL((IF($E$2:$E$57&gt;"",ROW($E$2:$E$57),ROW()+ROWS($E$2:$E$57))),ROW()-ROW($F$2:$F$57)+1),COLUMN($E$2:$E$57),4)))</f>
        <v/>
      </c>
      <c r="M52" s="94" t="str">
        <f t="array" aca="1" ref="M52" ca="1">IF(ROW()-ROW($G$2:$G$57)+1&gt;ROWS($F$2:$F$57)-COUNTBLANK($F$2:$F$57),"",INDIRECT(ADDRESS(SMALL((IF($F$2:$F$57&lt;&gt;"",ROW($F$2:$F$57),ROW()+ROWS($F$2:$F$57))),ROW()-ROW($G$2:$G$57)+1),COLUMN($F$2:$F$57),4)))</f>
        <v/>
      </c>
      <c r="N52" s="94" t="str">
        <f t="array" aca="1" ref="N52" ca="1">IF(ROW()-ROW($H$2:$H$57)+1&gt;ROWS($G$2:$G$57)-COUNTBLANK($G$2:$G$57),"",INDIRECT(ADDRESS(SMALL((IF($G$2:$G$57&lt;&gt;"",ROW($G$2:$G$57),ROW()+ROWS($G$2:$G$57))),ROW()-ROW($H$2:$H$57)+1),COLUMN($G$2:$G$57),4)))</f>
        <v/>
      </c>
      <c r="O52" s="184" t="str">
        <f t="array" aca="1" ref="O52" ca="1">IF(ROW()-ROW($I$2:$I$57)+1&gt;ROWS($H$2:$H$57)-COUNTBLANK($H$2:$H$57),"",INDIRECT(ADDRESS(SMALL((IF($H$2:$H$57&lt;&gt;"",ROW($H$2:$H$57),ROW()+ROWS($H$2:$H$57))),ROW()-ROW($I$2:$I$57)+1),COLUMN($H$2:$H$57),4)))</f>
        <v/>
      </c>
      <c r="P52" s="184" t="str">
        <f t="array" aca="1" ref="P52" ca="1">IF(ROW()-ROW($J$2:$J$57)+1&gt;ROWS($I$2:$I$57)-COUNTBLANK($I$2:$I$57),"",INDIRECT(ADDRESS(SMALL((IF($I$2:$I$57&lt;&gt;"",ROW($I$2:$I$57),ROW()+ROWS($I$2:$I$57))),ROW()-ROW($J$2:$J$57)+1),COLUMN($I$2:$I$57),4)))</f>
        <v/>
      </c>
    </row>
    <row r="53" spans="4:16" x14ac:dyDescent="0.25">
      <c r="D53" s="855" t="s">
        <v>331</v>
      </c>
      <c r="E53" s="34" t="str">
        <f>IF(H53="","","2014")</f>
        <v/>
      </c>
      <c r="F53" s="34" t="str">
        <f t="shared" si="11"/>
        <v/>
      </c>
      <c r="G53" s="34" t="str">
        <f t="shared" si="7"/>
        <v/>
      </c>
      <c r="H53" s="173" t="str">
        <f>IF(A3="relevant",IF('Matrix-Rectum'!Z24="","",IF(AND(ROUND('Matrix-Rectum'!Z24,4)&gt;=Berechnung4!E57,ROUND('Matrix-Rectum'!Z24,4)&lt;=Berechnung4!G57),Berechnung4!L57,IF(ROUND('Matrix-Rectum'!Z24,4)&gt;Berechnung4!J57,Berechnung4!M57,""))),"")</f>
        <v/>
      </c>
      <c r="I53" s="172" t="str">
        <f>IF(H53="","",VLOOKUP(F53,Berechnung4!$I$15:$J$25,2,FALSE))</f>
        <v/>
      </c>
      <c r="J53" s="237" t="str">
        <f t="shared" si="2"/>
        <v/>
      </c>
      <c r="L53" s="94" t="str">
        <f t="array" aca="1" ref="L53" ca="1">IF(ROW()-ROW($F$2:$F$57)+1&gt;ROWS($E$2:$E$57)-COUNTBLANK($E$2:$E$57),"",INDIRECT(ADDRESS(SMALL((IF($E$2:$E$57&gt;"",ROW($E$2:$E$57),ROW()+ROWS($E$2:$E$57))),ROW()-ROW($F$2:$F$57)+1),COLUMN($E$2:$E$57),4)))</f>
        <v/>
      </c>
      <c r="M53" s="94" t="str">
        <f t="array" aca="1" ref="M53" ca="1">IF(ROW()-ROW($G$2:$G$57)+1&gt;ROWS($F$2:$F$57)-COUNTBLANK($F$2:$F$57),"",INDIRECT(ADDRESS(SMALL((IF($F$2:$F$57&lt;&gt;"",ROW($F$2:$F$57),ROW()+ROWS($F$2:$F$57))),ROW()-ROW($G$2:$G$57)+1),COLUMN($F$2:$F$57),4)))</f>
        <v/>
      </c>
      <c r="N53" s="94" t="str">
        <f t="array" aca="1" ref="N53" ca="1">IF(ROW()-ROW($H$2:$H$57)+1&gt;ROWS($G$2:$G$57)-COUNTBLANK($G$2:$G$57),"",INDIRECT(ADDRESS(SMALL((IF($G$2:$G$57&lt;&gt;"",ROW($G$2:$G$57),ROW()+ROWS($G$2:$G$57))),ROW()-ROW($H$2:$H$57)+1),COLUMN($G$2:$G$57),4)))</f>
        <v/>
      </c>
      <c r="O53" s="184" t="str">
        <f t="array" aca="1" ref="O53" ca="1">IF(ROW()-ROW($I$2:$I$57)+1&gt;ROWS($H$2:$H$57)-COUNTBLANK($H$2:$H$57),"",INDIRECT(ADDRESS(SMALL((IF($H$2:$H$57&lt;&gt;"",ROW($H$2:$H$57),ROW()+ROWS($H$2:$H$57))),ROW()-ROW($I$2:$I$57)+1),COLUMN($H$2:$H$57),4)))</f>
        <v/>
      </c>
      <c r="P53" s="184" t="str">
        <f t="array" aca="1" ref="P53" ca="1">IF(ROW()-ROW($J$2:$J$57)+1&gt;ROWS($I$2:$I$57)-COUNTBLANK($I$2:$I$57),"",INDIRECT(ADDRESS(SMALL((IF($I$2:$I$57&lt;&gt;"",ROW($I$2:$I$57),ROW()+ROWS($I$2:$I$57))),ROW()-ROW($J$2:$J$57)+1),COLUMN($I$2:$I$57),4)))</f>
        <v/>
      </c>
    </row>
    <row r="54" spans="4:16" x14ac:dyDescent="0.25">
      <c r="D54" s="855"/>
      <c r="E54" s="34" t="str">
        <f>IF(H54="","","2015")</f>
        <v/>
      </c>
      <c r="F54" s="34" t="str">
        <f t="shared" si="11"/>
        <v/>
      </c>
      <c r="G54" s="34" t="str">
        <f t="shared" si="7"/>
        <v/>
      </c>
      <c r="H54" s="173" t="str">
        <f>IF(A4="relevant",IF('Matrix-Rectum'!Z25="","",IF(AND(ROUND('Matrix-Rectum'!Z25,4)&gt;=Berechnung4!E58,ROUND('Matrix-Rectum'!Z25,4)&lt;=Berechnung4!G58),Berechnung4!L58,IF(ROUND('Matrix-Rectum'!Z25,4)&gt;Berechnung4!J58,Berechnung4!M58,""))),"")</f>
        <v/>
      </c>
      <c r="I54" s="172" t="str">
        <f>IF(H54="","",VLOOKUP(F54,Berechnung4!$I$15:$J$25,2,FALSE))</f>
        <v/>
      </c>
      <c r="J54" s="237" t="str">
        <f t="shared" si="2"/>
        <v/>
      </c>
      <c r="L54" s="94" t="str">
        <f t="array" aca="1" ref="L54" ca="1">IF(ROW()-ROW($F$2:$F$57)+1&gt;ROWS($E$2:$E$57)-COUNTBLANK($E$2:$E$57),"",INDIRECT(ADDRESS(SMALL((IF($E$2:$E$57&gt;"",ROW($E$2:$E$57),ROW()+ROWS($E$2:$E$57))),ROW()-ROW($F$2:$F$57)+1),COLUMN($E$2:$E$57),4)))</f>
        <v/>
      </c>
      <c r="M54" s="94" t="str">
        <f t="array" aca="1" ref="M54" ca="1">IF(ROW()-ROW($G$2:$G$57)+1&gt;ROWS($F$2:$F$57)-COUNTBLANK($F$2:$F$57),"",INDIRECT(ADDRESS(SMALL((IF($F$2:$F$57&lt;&gt;"",ROW($F$2:$F$57),ROW()+ROWS($F$2:$F$57))),ROW()-ROW($G$2:$G$57)+1),COLUMN($F$2:$F$57),4)))</f>
        <v/>
      </c>
      <c r="N54" s="94" t="str">
        <f t="array" aca="1" ref="N54" ca="1">IF(ROW()-ROW($H$2:$H$57)+1&gt;ROWS($G$2:$G$57)-COUNTBLANK($G$2:$G$57),"",INDIRECT(ADDRESS(SMALL((IF($G$2:$G$57&lt;&gt;"",ROW($G$2:$G$57),ROW()+ROWS($G$2:$G$57))),ROW()-ROW($H$2:$H$57)+1),COLUMN($G$2:$G$57),4)))</f>
        <v/>
      </c>
      <c r="O54" s="184" t="str">
        <f t="array" aca="1" ref="O54" ca="1">IF(ROW()-ROW($I$2:$I$57)+1&gt;ROWS($H$2:$H$57)-COUNTBLANK($H$2:$H$57),"",INDIRECT(ADDRESS(SMALL((IF($H$2:$H$57&lt;&gt;"",ROW($H$2:$H$57),ROW()+ROWS($H$2:$H$57))),ROW()-ROW($I$2:$I$57)+1),COLUMN($H$2:$H$57),4)))</f>
        <v/>
      </c>
      <c r="P54" s="184" t="str">
        <f t="array" aca="1" ref="P54" ca="1">IF(ROW()-ROW($J$2:$J$57)+1&gt;ROWS($I$2:$I$57)-COUNTBLANK($I$2:$I$57),"",INDIRECT(ADDRESS(SMALL((IF($I$2:$I$57&lt;&gt;"",ROW($I$2:$I$57),ROW()+ROWS($I$2:$I$57))),ROW()-ROW($J$2:$J$57)+1),COLUMN($I$2:$I$57),4)))</f>
        <v/>
      </c>
    </row>
    <row r="55" spans="4:16" x14ac:dyDescent="0.25">
      <c r="D55" s="855"/>
      <c r="E55" s="34" t="str">
        <f>IF(H55="","","2016")</f>
        <v/>
      </c>
      <c r="F55" s="34" t="str">
        <f t="shared" si="11"/>
        <v/>
      </c>
      <c r="G55" s="34" t="str">
        <f t="shared" si="7"/>
        <v/>
      </c>
      <c r="H55" s="173" t="str">
        <f>IF(A5="relevant",IF('Matrix-Rectum'!Z26="","",IF(AND(ROUND('Matrix-Rectum'!Z26,4)&gt;=Berechnung4!E59,ROUND('Matrix-Rectum'!Z26,4)&lt;=Berechnung4!G59),Berechnung4!L59,IF(ROUND('Matrix-Rectum'!Z26,4)&gt;Berechnung4!J59,Berechnung4!M59,""))),"")</f>
        <v/>
      </c>
      <c r="I55" s="172" t="str">
        <f>IF(H55="","",VLOOKUP(F55,Berechnung4!$I$15:$J$25,2,FALSE))</f>
        <v/>
      </c>
      <c r="J55" s="237" t="str">
        <f t="shared" si="2"/>
        <v/>
      </c>
      <c r="L55" s="94" t="str">
        <f t="array" aca="1" ref="L55" ca="1">IF(ROW()-ROW($F$2:$F$57)+1&gt;ROWS($E$2:$E$57)-COUNTBLANK($E$2:$E$57),"",INDIRECT(ADDRESS(SMALL((IF($E$2:$E$57&gt;"",ROW($E$2:$E$57),ROW()+ROWS($E$2:$E$57))),ROW()-ROW($F$2:$F$57)+1),COLUMN($E$2:$E$57),4)))</f>
        <v/>
      </c>
      <c r="M55" s="94" t="str">
        <f t="array" aca="1" ref="M55" ca="1">IF(ROW()-ROW($G$2:$G$57)+1&gt;ROWS($F$2:$F$57)-COUNTBLANK($F$2:$F$57),"",INDIRECT(ADDRESS(SMALL((IF($F$2:$F$57&lt;&gt;"",ROW($F$2:$F$57),ROW()+ROWS($F$2:$F$57))),ROW()-ROW($G$2:$G$57)+1),COLUMN($F$2:$F$57),4)))</f>
        <v/>
      </c>
      <c r="N55" s="94" t="str">
        <f t="array" aca="1" ref="N55" ca="1">IF(ROW()-ROW($H$2:$H$57)+1&gt;ROWS($G$2:$G$57)-COUNTBLANK($G$2:$G$57),"",INDIRECT(ADDRESS(SMALL((IF($G$2:$G$57&lt;&gt;"",ROW($G$2:$G$57),ROW()+ROWS($G$2:$G$57))),ROW()-ROW($H$2:$H$57)+1),COLUMN($G$2:$G$57),4)))</f>
        <v/>
      </c>
      <c r="O55" s="184" t="str">
        <f t="array" aca="1" ref="O55" ca="1">IF(ROW()-ROW($I$2:$I$57)+1&gt;ROWS($H$2:$H$57)-COUNTBLANK($H$2:$H$57),"",INDIRECT(ADDRESS(SMALL((IF($H$2:$H$57&lt;&gt;"",ROW($H$2:$H$57),ROW()+ROWS($H$2:$H$57))),ROW()-ROW($I$2:$I$57)+1),COLUMN($H$2:$H$57),4)))</f>
        <v/>
      </c>
      <c r="P55" s="184" t="str">
        <f t="array" aca="1" ref="P55" ca="1">IF(ROW()-ROW($J$2:$J$57)+1&gt;ROWS($I$2:$I$57)-COUNTBLANK($I$2:$I$57),"",INDIRECT(ADDRESS(SMALL((IF($I$2:$I$57&lt;&gt;"",ROW($I$2:$I$57),ROW()+ROWS($I$2:$I$57))),ROW()-ROW($J$2:$J$57)+1),COLUMN($I$2:$I$57),4)))</f>
        <v/>
      </c>
    </row>
    <row r="56" spans="4:16" x14ac:dyDescent="0.25">
      <c r="D56" s="855"/>
      <c r="E56" s="34" t="str">
        <f>IF(H56="","","2017")</f>
        <v/>
      </c>
      <c r="F56" s="34" t="str">
        <f t="shared" si="11"/>
        <v/>
      </c>
      <c r="G56" s="34" t="str">
        <f t="shared" si="7"/>
        <v/>
      </c>
      <c r="H56" s="173" t="str">
        <f>IF(A6="relevant",IF('Matrix-Rectum'!Z27="","",IF(AND(ROUND('Matrix-Rectum'!Z27,4)&gt;=Berechnung4!E60,ROUND('Matrix-Rectum'!Z27,4)&lt;=Berechnung4!G60),Berechnung4!L60,IF(ROUND('Matrix-Rectum'!Z27,4)&gt;Berechnung4!J60,Berechnung4!M60,""))),"")</f>
        <v/>
      </c>
      <c r="I56" s="172" t="str">
        <f>IF(H56="","",VLOOKUP(F56,Berechnung4!$I$15:$J$25,2,FALSE))</f>
        <v/>
      </c>
      <c r="J56" s="237" t="str">
        <f t="shared" si="2"/>
        <v/>
      </c>
      <c r="L56" s="94" t="str">
        <f t="array" aca="1" ref="L56" ca="1">IF(ROW()-ROW($F$2:$F$57)+1&gt;ROWS($E$2:$E$57)-COUNTBLANK($E$2:$E$57),"",INDIRECT(ADDRESS(SMALL((IF($E$2:$E$57&gt;"",ROW($E$2:$E$57),ROW()+ROWS($E$2:$E$57))),ROW()-ROW($F$2:$F$57)+1),COLUMN($E$2:$E$57),4)))</f>
        <v/>
      </c>
      <c r="M56" s="94" t="str">
        <f t="array" aca="1" ref="M56" ca="1">IF(ROW()-ROW($G$2:$G$57)+1&gt;ROWS($F$2:$F$57)-COUNTBLANK($F$2:$F$57),"",INDIRECT(ADDRESS(SMALL((IF($F$2:$F$57&lt;&gt;"",ROW($F$2:$F$57),ROW()+ROWS($F$2:$F$57))),ROW()-ROW($G$2:$G$57)+1),COLUMN($F$2:$F$57),4)))</f>
        <v/>
      </c>
      <c r="N56" s="94" t="str">
        <f t="array" aca="1" ref="N56" ca="1">IF(ROW()-ROW($H$2:$H$57)+1&gt;ROWS($G$2:$G$57)-COUNTBLANK($G$2:$G$57),"",INDIRECT(ADDRESS(SMALL((IF($G$2:$G$57&lt;&gt;"",ROW($G$2:$G$57),ROW()+ROWS($G$2:$G$57))),ROW()-ROW($H$2:$H$57)+1),COLUMN($G$2:$G$57),4)))</f>
        <v/>
      </c>
      <c r="O56" s="184" t="str">
        <f t="array" aca="1" ref="O56" ca="1">IF(ROW()-ROW($I$2:$I$57)+1&gt;ROWS($H$2:$H$57)-COUNTBLANK($H$2:$H$57),"",INDIRECT(ADDRESS(SMALL((IF($H$2:$H$57&lt;&gt;"",ROW($H$2:$H$57),ROW()+ROWS($H$2:$H$57))),ROW()-ROW($I$2:$I$57)+1),COLUMN($H$2:$H$57),4)))</f>
        <v/>
      </c>
      <c r="P56" s="184" t="str">
        <f t="array" aca="1" ref="P56" ca="1">IF(ROW()-ROW($J$2:$J$57)+1&gt;ROWS($I$2:$I$57)-COUNTBLANK($I$2:$I$57),"",INDIRECT(ADDRESS(SMALL((IF($I$2:$I$57&lt;&gt;"",ROW($I$2:$I$57),ROW()+ROWS($I$2:$I$57))),ROW()-ROW($J$2:$J$57)+1),COLUMN($I$2:$I$57),4)))</f>
        <v/>
      </c>
    </row>
    <row r="57" spans="4:16" ht="15.75" thickBot="1" x14ac:dyDescent="0.3">
      <c r="D57" s="142" t="s">
        <v>118</v>
      </c>
      <c r="E57" s="155" t="str">
        <f>IF(H57="","","2018")</f>
        <v/>
      </c>
      <c r="F57" s="155" t="str">
        <f t="shared" si="11"/>
        <v/>
      </c>
      <c r="G57" s="155" t="str">
        <f t="shared" si="7"/>
        <v/>
      </c>
      <c r="H57" s="189"/>
      <c r="I57" s="219" t="str">
        <f>IF(H57="","",VLOOKUP(F57,Berechnung4!$I$15:$J$25,2,FALSE))</f>
        <v/>
      </c>
      <c r="J57" s="220" t="str">
        <f>IF(H57&lt;&gt;"",1,"")</f>
        <v/>
      </c>
      <c r="L57" s="94" t="str">
        <f t="array" aca="1" ref="L57" ca="1">IF(ROW()-ROW($F$2:$F$57)+1&gt;ROWS($E$2:$E$57)-COUNTBLANK($E$2:$E$57),"",INDIRECT(ADDRESS(SMALL((IF($E$2:$E$57&gt;"",ROW($E$2:$E$57),ROW()+ROWS($E$2:$E$57))),ROW()-ROW($F$2:$F$57)+1),COLUMN($E$2:$E$57),4)))</f>
        <v/>
      </c>
      <c r="M57" s="94" t="str">
        <f t="array" aca="1" ref="M57" ca="1">IF(ROW()-ROW($G$2:$G$57)+1&gt;ROWS($F$2:$F$57)-COUNTBLANK($F$2:$F$57),"",INDIRECT(ADDRESS(SMALL((IF($F$2:$F$57&lt;&gt;"",ROW($F$2:$F$57),ROW()+ROWS($F$2:$F$57))),ROW()-ROW($G$2:$G$57)+1),COLUMN($F$2:$F$57),4)))</f>
        <v/>
      </c>
      <c r="N57" s="94" t="str">
        <f t="array" aca="1" ref="N57" ca="1">IF(ROW()-ROW($H$2:$H$57)+1&gt;ROWS($G$2:$G$57)-COUNTBLANK($G$2:$G$57),"",INDIRECT(ADDRESS(SMALL((IF($G$2:$G$57&lt;&gt;"",ROW($G$2:$G$57),ROW()+ROWS($G$2:$G$57))),ROW()-ROW($H$2:$H$57)+1),COLUMN($G$2:$G$57),4)))</f>
        <v/>
      </c>
      <c r="O57" s="184" t="str">
        <f t="array" aca="1" ref="O57" ca="1">IF(ROW()-ROW($I$2:$I$57)+1&gt;ROWS($H$2:$H$57)-COUNTBLANK($H$2:$H$57),"",INDIRECT(ADDRESS(SMALL((IF($H$2:$H$57&lt;&gt;"",ROW($H$2:$H$57),ROW()+ROWS($H$2:$H$57))),ROW()-ROW($I$2:$I$57)+1),COLUMN($H$2:$H$57),4)))</f>
        <v/>
      </c>
      <c r="P57" s="184" t="str">
        <f t="array" aca="1" ref="P57" ca="1">IF(ROW()-ROW($J$2:$J$57)+1&gt;ROWS($I$2:$I$57)-COUNTBLANK($I$2:$I$57),"",INDIRECT(ADDRESS(SMALL((IF($I$2:$I$57&lt;&gt;"",ROW($I$2:$I$57),ROW()+ROWS($I$2:$I$57))),ROW()-ROW($J$2:$J$57)+1),COLUMN($I$2:$I$57),4)))</f>
        <v/>
      </c>
    </row>
    <row r="59" spans="4:16" x14ac:dyDescent="0.25">
      <c r="I59" s="225" t="s">
        <v>288</v>
      </c>
      <c r="J59" s="226">
        <f>IF(SUM(J2:J7)=0,0,SUM(J2:J7))</f>
        <v>0</v>
      </c>
    </row>
    <row r="60" spans="4:16" x14ac:dyDescent="0.25">
      <c r="I60" s="225" t="s">
        <v>287</v>
      </c>
      <c r="J60" s="227">
        <f>IF(SUM(J8:J25)=0,0,SUM(J8:J25))</f>
        <v>0</v>
      </c>
    </row>
    <row r="61" spans="4:16" x14ac:dyDescent="0.25">
      <c r="I61" s="228" t="s">
        <v>280</v>
      </c>
      <c r="J61" s="229">
        <f>IF(SUM(J27:J57)=0,0,SUM(J27:J57))</f>
        <v>0</v>
      </c>
    </row>
    <row r="62" spans="4:16" x14ac:dyDescent="0.25">
      <c r="I62" s="230" t="s">
        <v>154</v>
      </c>
      <c r="J62" s="231">
        <f>IF(J26="",0,J26)</f>
        <v>0</v>
      </c>
    </row>
  </sheetData>
  <mergeCells count="9">
    <mergeCell ref="D47:D50"/>
    <mergeCell ref="D53:D56"/>
    <mergeCell ref="D28:D31"/>
    <mergeCell ref="D3:D6"/>
    <mergeCell ref="D9:D12"/>
    <mergeCell ref="D15:D18"/>
    <mergeCell ref="D21:D24"/>
    <mergeCell ref="D35:D38"/>
    <mergeCell ref="D41:D44"/>
  </mergeCells>
  <phoneticPr fontId="75" type="noConversion"/>
  <conditionalFormatting sqref="B2:B7">
    <cfRule type="expression" dxfId="17" priority="1" stopIfTrue="1">
      <formula>OR($A2="EZ",$A2="nicht relevant")</formula>
    </cfRule>
  </conditionalFormatting>
  <conditionalFormatting sqref="E2:J7">
    <cfRule type="expression" dxfId="16" priority="10" stopIfTrue="1">
      <formula>OR($A2="EZ",$A2="nicht relevant")</formula>
    </cfRule>
  </conditionalFormatting>
  <conditionalFormatting sqref="E8:J13">
    <cfRule type="expression" dxfId="15" priority="9" stopIfTrue="1">
      <formula>OR($A2="EZ",$A2="nicht relevant")</formula>
    </cfRule>
  </conditionalFormatting>
  <conditionalFormatting sqref="E14:J19">
    <cfRule type="expression" dxfId="14" priority="8" stopIfTrue="1">
      <formula>OR($A2="EZ",$A2="nicht relevant")</formula>
    </cfRule>
  </conditionalFormatting>
  <conditionalFormatting sqref="E20:J25">
    <cfRule type="expression" dxfId="13" priority="7" stopIfTrue="1">
      <formula>OR($A2="EZ",$A2="nicht relevant")</formula>
    </cfRule>
  </conditionalFormatting>
  <conditionalFormatting sqref="E27:J32">
    <cfRule type="expression" dxfId="12" priority="6" stopIfTrue="1">
      <formula>OR($A2="EZ",$A2="nicht relevant")</formula>
    </cfRule>
  </conditionalFormatting>
  <conditionalFormatting sqref="E34:J39">
    <cfRule type="expression" dxfId="11" priority="5" stopIfTrue="1">
      <formula>OR($A2="EZ",$A2="nicht relevant")</formula>
    </cfRule>
  </conditionalFormatting>
  <conditionalFormatting sqref="E40:J45">
    <cfRule type="expression" dxfId="10" priority="4" stopIfTrue="1">
      <formula>OR($A2="EZ",$A2="nicht relevant")</formula>
    </cfRule>
  </conditionalFormatting>
  <conditionalFormatting sqref="E46:J51">
    <cfRule type="expression" dxfId="9" priority="3" stopIfTrue="1">
      <formula>OR($A2="EZ",$A2="nicht relevant")</formula>
    </cfRule>
  </conditionalFormatting>
  <conditionalFormatting sqref="E52:J57">
    <cfRule type="expression" dxfId="8" priority="2" stopIfTrue="1">
      <formula>OR($A2="EZ",$A2="nicht relevant")</formula>
    </cfRule>
  </conditionalFormatting>
  <pageMargins left="0.7" right="0.7" top="0.78740157499999996" bottom="0.78740157499999996" header="0.3" footer="0.3"/>
  <pageSetup orientation="portrait" horizontalDpi="0" verticalDpi="0" copies="0"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1"/>
  <dimension ref="A1:N27"/>
  <sheetViews>
    <sheetView showGridLines="0" zoomScaleNormal="100" zoomScaleSheetLayoutView="100" workbookViewId="0">
      <selection activeCell="C19" sqref="C19:G19"/>
    </sheetView>
  </sheetViews>
  <sheetFormatPr defaultColWidth="9" defaultRowHeight="14.25" x14ac:dyDescent="0.2"/>
  <cols>
    <col min="1" max="1" width="14.140625" style="8" customWidth="1"/>
    <col min="2" max="2" width="22.85546875" style="8" customWidth="1"/>
    <col min="3" max="3" width="20.7109375" style="8" customWidth="1"/>
    <col min="4" max="4" width="24.7109375" style="8" customWidth="1"/>
    <col min="5" max="6" width="21.7109375" style="8" customWidth="1"/>
    <col min="7" max="182" width="11.42578125" style="8" customWidth="1"/>
    <col min="183" max="16384" width="9" style="8"/>
  </cols>
  <sheetData>
    <row r="1" spans="1:14" ht="9.9499999999999993" customHeight="1" x14ac:dyDescent="0.2">
      <c r="B1" s="31"/>
      <c r="E1" s="19"/>
    </row>
    <row r="2" spans="1:14" ht="12.95" customHeight="1" x14ac:dyDescent="0.2">
      <c r="A2" s="26" t="s">
        <v>418</v>
      </c>
      <c r="E2" s="19"/>
    </row>
    <row r="3" spans="1:14" ht="16.5" x14ac:dyDescent="0.25">
      <c r="A3" s="22" t="s">
        <v>359</v>
      </c>
      <c r="E3" s="19"/>
      <c r="F3" s="20"/>
    </row>
    <row r="4" spans="1:14" ht="16.5" x14ac:dyDescent="0.25">
      <c r="A4" s="22"/>
      <c r="J4" s="23"/>
    </row>
    <row r="5" spans="1:14" ht="15" customHeight="1" x14ac:dyDescent="0.2">
      <c r="D5" s="15"/>
      <c r="E5" s="15"/>
      <c r="F5" s="15"/>
      <c r="G5" s="15"/>
      <c r="H5" s="15"/>
      <c r="I5" s="15"/>
      <c r="J5" s="23"/>
    </row>
    <row r="6" spans="1:14" s="26" customFormat="1" ht="15" customHeight="1" x14ac:dyDescent="0.25">
      <c r="B6" s="29" t="s">
        <v>332</v>
      </c>
      <c r="C6" s="752" t="str">
        <f>IF('Basic data'!B8=0,"",'Basic data'!B8)</f>
        <v/>
      </c>
      <c r="D6" s="753"/>
      <c r="E6" s="753"/>
      <c r="F6" s="754"/>
      <c r="G6" s="15"/>
      <c r="H6" s="15"/>
      <c r="J6" s="23"/>
      <c r="K6" s="23"/>
      <c r="L6" s="21"/>
      <c r="M6" s="23"/>
      <c r="N6" s="23"/>
    </row>
    <row r="7" spans="1:14" s="26" customFormat="1" ht="6.95" customHeight="1" x14ac:dyDescent="0.2">
      <c r="B7" s="10"/>
      <c r="C7" s="15"/>
      <c r="D7" s="15"/>
      <c r="E7" s="15"/>
      <c r="F7" s="15"/>
      <c r="G7" s="15"/>
      <c r="H7" s="15"/>
      <c r="J7" s="23"/>
      <c r="K7" s="23"/>
      <c r="L7" s="21"/>
      <c r="M7" s="23"/>
      <c r="N7" s="23"/>
    </row>
    <row r="8" spans="1:14" s="26" customFormat="1" ht="15" customHeight="1" x14ac:dyDescent="0.2">
      <c r="B8" s="29" t="s">
        <v>281</v>
      </c>
      <c r="C8" s="38" t="str">
        <f>IF('Basic data'!B6=0,"",'Basic data'!B6)</f>
        <v/>
      </c>
      <c r="D8" s="23"/>
      <c r="E8" s="9" t="s">
        <v>279</v>
      </c>
      <c r="F8" s="37" t="str">
        <f>IF('Basic data'!G12=0,"",'Basic data'!G12)</f>
        <v/>
      </c>
      <c r="H8" s="8"/>
      <c r="J8" s="23"/>
      <c r="K8" s="23"/>
      <c r="L8" s="21"/>
      <c r="M8" s="23"/>
      <c r="N8" s="23"/>
    </row>
    <row r="9" spans="1:14" s="26" customFormat="1" ht="8.25" customHeight="1" x14ac:dyDescent="0.2">
      <c r="B9" s="28"/>
      <c r="C9" s="8"/>
      <c r="E9" s="8"/>
      <c r="I9" s="17"/>
      <c r="J9" s="24"/>
      <c r="K9" s="24"/>
      <c r="L9" s="24"/>
      <c r="M9" s="24"/>
      <c r="N9" s="24"/>
    </row>
    <row r="10" spans="1:14" ht="6.75" customHeight="1" x14ac:dyDescent="0.2">
      <c r="I10" s="18"/>
      <c r="J10" s="33"/>
      <c r="K10" s="33"/>
      <c r="L10" s="33"/>
      <c r="M10" s="33"/>
      <c r="N10" s="33"/>
    </row>
    <row r="11" spans="1:14" ht="15" x14ac:dyDescent="0.25">
      <c r="A11" s="32" t="s">
        <v>291</v>
      </c>
    </row>
    <row r="12" spans="1:14" ht="13.5" customHeight="1" x14ac:dyDescent="0.2">
      <c r="B12" s="73" t="str">
        <f>IF(OR(B13="",B13="Matrix kann eingereicht werden"),"In Ordnung",IF(B13="die inkorrekten und unvollständigen Einträge beheben","Nicht in Ordnung"))</f>
        <v>In Ordnung</v>
      </c>
      <c r="C12" s="58" t="s">
        <v>280</v>
      </c>
      <c r="D12" s="39" t="s">
        <v>154</v>
      </c>
      <c r="E12" s="44" t="s">
        <v>287</v>
      </c>
      <c r="F12" s="45" t="s">
        <v>362</v>
      </c>
    </row>
    <row r="13" spans="1:14" ht="18.75" customHeight="1" x14ac:dyDescent="0.2">
      <c r="B13" s="258" t="str">
        <f>Berechnung4!B6</f>
        <v/>
      </c>
      <c r="C13" s="64">
        <f>Berechnung4!C6</f>
        <v>0</v>
      </c>
      <c r="D13" s="65">
        <f>Berechnung4!D6</f>
        <v>0</v>
      </c>
      <c r="E13" s="85">
        <f>Berechnung4!E6</f>
        <v>0</v>
      </c>
      <c r="F13" s="86">
        <f>Berechnung4!F6</f>
        <v>0</v>
      </c>
    </row>
    <row r="14" spans="1:14" s="26" customFormat="1" ht="9.75" customHeight="1" x14ac:dyDescent="0.2">
      <c r="B14" s="16"/>
      <c r="C14" s="16"/>
    </row>
    <row r="15" spans="1:14" s="26" customFormat="1" ht="13.5" customHeight="1" x14ac:dyDescent="0.2">
      <c r="A15" s="47" t="str">
        <f>IF(SUM(C13:F13)&gt;0,IF(A19&gt;"","","FEHLER - Bearbeitungshinweise müssen beachtet werden!!! Siehe Tabellenblatt Matrix ab Zeile 45"),"")</f>
        <v/>
      </c>
      <c r="C15" s="16"/>
    </row>
    <row r="16" spans="1:14" s="26" customFormat="1" ht="6" customHeight="1" x14ac:dyDescent="0.2">
      <c r="B16" s="16"/>
      <c r="C16" s="16"/>
    </row>
    <row r="17" spans="1:7" ht="14.25" customHeight="1" x14ac:dyDescent="0.2">
      <c r="A17" s="881" t="s">
        <v>313</v>
      </c>
      <c r="B17" s="883" t="s">
        <v>240</v>
      </c>
      <c r="C17" s="885" t="s">
        <v>50</v>
      </c>
      <c r="D17" s="886"/>
      <c r="E17" s="886"/>
      <c r="F17" s="886"/>
      <c r="G17" s="887"/>
    </row>
    <row r="18" spans="1:7" ht="10.5" customHeight="1" x14ac:dyDescent="0.2">
      <c r="A18" s="882"/>
      <c r="B18" s="884"/>
      <c r="C18" s="888"/>
      <c r="D18" s="889"/>
      <c r="E18" s="889"/>
      <c r="F18" s="889"/>
      <c r="G18" s="890"/>
    </row>
    <row r="19" spans="1:7" ht="66" customHeight="1" x14ac:dyDescent="0.25">
      <c r="A19" s="34" t="str">
        <f>IF(ISERROR(Berechnung4!G15),"",Berechnung4!G15)</f>
        <v/>
      </c>
      <c r="B19" s="34" t="str">
        <f>IF(ISERROR(Berechnung4!H15),"",Berechnung4!H15)</f>
        <v/>
      </c>
      <c r="C19" s="858"/>
      <c r="D19" s="859"/>
      <c r="E19" s="859"/>
      <c r="F19" s="859"/>
      <c r="G19" s="860"/>
    </row>
    <row r="20" spans="1:7" ht="66" customHeight="1" x14ac:dyDescent="0.25">
      <c r="A20" s="34" t="str">
        <f>IF(ISERROR(Berechnung4!G16),"",Berechnung4!G16)</f>
        <v/>
      </c>
      <c r="B20" s="34" t="str">
        <f>IF(ISERROR(Berechnung4!H16),"",Berechnung4!H16)</f>
        <v/>
      </c>
      <c r="C20" s="858"/>
      <c r="D20" s="859"/>
      <c r="E20" s="859"/>
      <c r="F20" s="859"/>
      <c r="G20" s="860"/>
    </row>
    <row r="21" spans="1:7" ht="66" customHeight="1" x14ac:dyDescent="0.25">
      <c r="A21" s="34" t="str">
        <f>IF(ISERROR(Berechnung4!G17),"",Berechnung4!G17)</f>
        <v/>
      </c>
      <c r="B21" s="34" t="str">
        <f>IF(ISERROR(Berechnung4!H17),"",Berechnung4!H17)</f>
        <v/>
      </c>
      <c r="C21" s="858"/>
      <c r="D21" s="859"/>
      <c r="E21" s="859"/>
      <c r="F21" s="859"/>
      <c r="G21" s="860"/>
    </row>
    <row r="22" spans="1:7" ht="66" customHeight="1" x14ac:dyDescent="0.25">
      <c r="A22" s="34" t="str">
        <f>IF(ISERROR(Berechnung4!G18),"",Berechnung4!G18)</f>
        <v/>
      </c>
      <c r="B22" s="34" t="str">
        <f>IF(ISERROR(Berechnung4!H18),"",Berechnung4!H18)</f>
        <v/>
      </c>
      <c r="C22" s="858"/>
      <c r="D22" s="859"/>
      <c r="E22" s="859"/>
      <c r="F22" s="859"/>
      <c r="G22" s="860"/>
    </row>
    <row r="23" spans="1:7" ht="66" customHeight="1" x14ac:dyDescent="0.25">
      <c r="A23" s="34" t="str">
        <f>IF(ISERROR(Berechnung4!G19),"",Berechnung4!G19)</f>
        <v/>
      </c>
      <c r="B23" s="34" t="str">
        <f>IF(ISERROR(Berechnung4!H19),"",Berechnung4!H19)</f>
        <v/>
      </c>
      <c r="C23" s="858"/>
      <c r="D23" s="859"/>
      <c r="E23" s="859"/>
      <c r="F23" s="859"/>
      <c r="G23" s="860"/>
    </row>
    <row r="24" spans="1:7" ht="66" customHeight="1" x14ac:dyDescent="0.25">
      <c r="A24" s="34" t="str">
        <f>IF(ISERROR(Berechnung4!G20),"",Berechnung4!G20)</f>
        <v/>
      </c>
      <c r="B24" s="34" t="str">
        <f>IF(ISERROR(Berechnung4!H20),"",Berechnung4!H20)</f>
        <v/>
      </c>
      <c r="C24" s="858"/>
      <c r="D24" s="859"/>
      <c r="E24" s="859"/>
      <c r="F24" s="859"/>
      <c r="G24" s="860"/>
    </row>
    <row r="25" spans="1:7" ht="66" customHeight="1" x14ac:dyDescent="0.25">
      <c r="A25" s="34" t="str">
        <f>IF(ISERROR(Berechnung4!G21),"",Berechnung4!G21)</f>
        <v/>
      </c>
      <c r="B25" s="34" t="str">
        <f>IF(ISERROR(Berechnung4!H21),"",Berechnung4!H21)</f>
        <v/>
      </c>
      <c r="C25" s="858"/>
      <c r="D25" s="859"/>
      <c r="E25" s="859"/>
      <c r="F25" s="859"/>
      <c r="G25" s="860"/>
    </row>
    <row r="26" spans="1:7" ht="66" customHeight="1" x14ac:dyDescent="0.25">
      <c r="A26" s="34" t="str">
        <f>IF(ISERROR(Berechnung4!G22),"",Berechnung4!G22)</f>
        <v/>
      </c>
      <c r="B26" s="34" t="str">
        <f>IF(ISERROR(Berechnung4!H22),"",Berechnung4!H22)</f>
        <v/>
      </c>
      <c r="C26" s="858"/>
      <c r="D26" s="859"/>
      <c r="E26" s="859"/>
      <c r="F26" s="859"/>
      <c r="G26" s="860"/>
    </row>
    <row r="27" spans="1:7" ht="66" customHeight="1" x14ac:dyDescent="0.25">
      <c r="A27" s="34" t="str">
        <f>IF(ISERROR(Berechnung4!G23),"",Berechnung4!G23)</f>
        <v/>
      </c>
      <c r="B27" s="34" t="str">
        <f>IF(ISERROR(Berechnung4!H23),"",Berechnung4!H23)</f>
        <v/>
      </c>
      <c r="C27" s="858"/>
      <c r="D27" s="859"/>
      <c r="E27" s="859"/>
      <c r="F27" s="859"/>
      <c r="G27" s="860"/>
    </row>
  </sheetData>
  <sheetProtection selectLockedCells="1"/>
  <mergeCells count="13">
    <mergeCell ref="C6:F6"/>
    <mergeCell ref="A17:A18"/>
    <mergeCell ref="B17:B18"/>
    <mergeCell ref="C17:G18"/>
    <mergeCell ref="C19:G19"/>
    <mergeCell ref="C27:G27"/>
    <mergeCell ref="C20:G20"/>
    <mergeCell ref="C21:G21"/>
    <mergeCell ref="C22:G22"/>
    <mergeCell ref="C23:G23"/>
    <mergeCell ref="C24:G24"/>
    <mergeCell ref="C25:G25"/>
    <mergeCell ref="C26:G26"/>
  </mergeCells>
  <phoneticPr fontId="75" type="noConversion"/>
  <conditionalFormatting sqref="B12">
    <cfRule type="expression" dxfId="7" priority="2" stopIfTrue="1">
      <formula>$B$12="Nicht in Ordnung"</formula>
    </cfRule>
  </conditionalFormatting>
  <conditionalFormatting sqref="B13">
    <cfRule type="expression" dxfId="6" priority="1" stopIfTrue="1">
      <formula>$B$13="die inkorrekten und unvollständigen Einträge beheben"</formula>
    </cfRule>
  </conditionalFormatting>
  <conditionalFormatting sqref="B19:B27">
    <cfRule type="expression" dxfId="5" priority="25" stopIfTrue="1">
      <formula>SEARCH("Unvollständig",$B19,1)</formula>
    </cfRule>
    <cfRule type="expression" dxfId="4" priority="26" stopIfTrue="1">
      <formula>SEARCH($D$12,$B19,1)</formula>
    </cfRule>
    <cfRule type="expression" dxfId="3" priority="27" stopIfTrue="1">
      <formula>SEARCH($C$12,$B19,1)</formula>
    </cfRule>
    <cfRule type="expression" dxfId="2" priority="28" stopIfTrue="1">
      <formula>SEARCH($E$12,$B19,1)</formula>
    </cfRule>
  </conditionalFormatting>
  <conditionalFormatting sqref="C19:C27">
    <cfRule type="notContainsBlanks" dxfId="1" priority="7" stopIfTrue="1">
      <formula>LEN(TRIM(C19))&gt;0</formula>
    </cfRule>
    <cfRule type="expression" dxfId="0" priority="8" stopIfTrue="1">
      <formula>A19&lt;&gt;""</formula>
    </cfRule>
  </conditionalFormatting>
  <dataValidations count="1">
    <dataValidation type="textLength" allowBlank="1" showErrorMessage="1" errorTitle="Zeichenlänge" error="Minimal 30 Zeichen und max. 450 Zeichen." sqref="C19:G27" xr:uid="{00000000-0002-0000-1200-000000000000}">
      <formula1>30</formula1>
      <formula2>450</formula2>
    </dataValidation>
  </dataValidations>
  <pageMargins left="0.39370078740157483" right="3.937007874015748E-2" top="0.59055118110236227" bottom="0.39370078740157483" header="0.11811023622047245" footer="0.11811023622047245"/>
  <pageSetup paperSize="9" orientation="landscape" r:id="rId1"/>
  <headerFooter>
    <oddFooter>&amp;L&amp;"Arial,Standard"&amp;7&amp;F&amp;C&amp;"Arial,Standard"&amp;7 © DKG  Alle Rechte vorbehalten&amp;R&amp;"Arial,Standard"&amp;7&amp;P</oddFoot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8"/>
  <dimension ref="A1:W8"/>
  <sheetViews>
    <sheetView workbookViewId="0">
      <selection activeCell="C8" sqref="C8"/>
    </sheetView>
  </sheetViews>
  <sheetFormatPr defaultColWidth="9.140625" defaultRowHeight="11.25" x14ac:dyDescent="0.25"/>
  <cols>
    <col min="1" max="1" width="13.85546875" style="134" customWidth="1"/>
    <col min="2" max="2" width="9.140625" style="114" customWidth="1"/>
    <col min="3" max="3" width="9.140625" style="134" customWidth="1"/>
    <col min="4" max="7" width="7.7109375" style="134" customWidth="1"/>
    <col min="8" max="8" width="9.140625" style="134" customWidth="1"/>
    <col min="9" max="9" width="12.28515625" style="134" customWidth="1"/>
    <col min="10" max="10" width="9.140625" style="134" customWidth="1"/>
    <col min="11" max="11" width="12.5703125" style="134" customWidth="1"/>
    <col min="12" max="19" width="9.140625" style="134" customWidth="1"/>
    <col min="20" max="20" width="12.42578125" style="134" customWidth="1"/>
    <col min="21" max="16384" width="9.140625" style="134"/>
  </cols>
  <sheetData>
    <row r="1" spans="1:23" s="192" customFormat="1" ht="86.25" customHeight="1" x14ac:dyDescent="0.25">
      <c r="A1" s="191" t="str">
        <f>'Matrix-Rectum'!A21</f>
        <v>Relevante Nachsorgejahre</v>
      </c>
      <c r="B1" s="191" t="str">
        <f>'Matrix-Rectum'!B21</f>
        <v>Jahr der Erstdiagnose</v>
      </c>
      <c r="C1" s="191" t="str">
        <f>'Matrix-Rectum'!C21</f>
        <v>Anzahl Primärpatienten</v>
      </c>
      <c r="D1" s="191" t="str">
        <f>LEFT('Matrix-Rectum'!D21,6)</f>
        <v>UICC I</v>
      </c>
      <c r="E1" s="191" t="str">
        <f>LEFT('Matrix-Rectum'!E21,7)</f>
        <v>UICC II</v>
      </c>
      <c r="F1" s="191" t="str">
        <f>LEFT('Matrix-Rectum'!F21,8)</f>
        <v>UICC III</v>
      </c>
      <c r="G1" s="191" t="str">
        <f>LEFT('Matrix-Rectum'!G21,9)</f>
        <v xml:space="preserve">UICC IV  </v>
      </c>
      <c r="H1" s="191" t="str">
        <f>LEFT('Matrix-Rectum'!I21,59)</f>
        <v xml:space="preserve">Patienten  „im Follow-Up“
(aus Grundgesamtheit Primärpat.) </v>
      </c>
      <c r="I1" s="191" t="str">
        <f>LEFT('Matrix-Rectum'!J21,33)</f>
        <v>Follow-Up-Daten vom Krebsregister</v>
      </c>
      <c r="J1" s="191" t="str">
        <f>LEFT('Matrix-Rectum'!K21,57)</f>
        <v>Follow-Up-Daten vom Zentrum  
(bzw. Quelle nicht bekannt)</v>
      </c>
      <c r="K1" s="191" t="str">
        <f>LEFT('Matrix-Rectum'!L21,18)</f>
        <v xml:space="preserve">Keine Rückmeldung </v>
      </c>
      <c r="L1" s="191" t="str">
        <f>'Matrix-Rectum'!M21</f>
        <v>Follow-Up Quote in %
= (J + K) / I</v>
      </c>
      <c r="M1" s="191" t="str">
        <f>'Matrix-Rectum'!O21</f>
        <v>Patienten tumorfrei</v>
      </c>
      <c r="N1" s="191" t="str">
        <f>'Matrix-Rectum'!P21</f>
        <v>Relative Quote tumorfrei 
= O / (J + K)</v>
      </c>
      <c r="O1" s="191" t="str">
        <f>LEFT('Matrix-Rectum'!Q21,59)</f>
        <v>Patienten mit mindestens 1 der Ereignisse in Spalte R bis T</v>
      </c>
      <c r="P1" s="191" t="str">
        <f>'Matrix-Rectum'!R21</f>
        <v xml:space="preserve"> Pat. mit lokoregionärem Rezidiv</v>
      </c>
      <c r="Q1" s="191" t="str">
        <f>'Matrix-Rectum'!S21</f>
        <v xml:space="preserve"> Pat. mit Lymphknotenrezidiv</v>
      </c>
      <c r="R1" s="191" t="str">
        <f>'Matrix-Rectum'!T21</f>
        <v xml:space="preserve"> Pat. mit Fernmetastasen</v>
      </c>
      <c r="S1" s="191" t="str">
        <f>'Matrix-Rectum'!U21</f>
        <v>Diagnose Zweitmalignom im Verlauf</v>
      </c>
      <c r="T1" s="191" t="str">
        <f>'Matrix-Rectum'!V21</f>
        <v>Tumorbedingt gestorben (bezüglich jeder Tumorentität)</v>
      </c>
      <c r="U1" s="191" t="str">
        <f>'Matrix-Rectum'!W21</f>
        <v>Nicht tumorbedingt gestorben bzw. Todesursache unbekannt</v>
      </c>
      <c r="V1" s="191" t="str">
        <f>'Matrix-Rectum'!Y21</f>
        <v>DFS nach Kaplan-Meier
(Disease Free Survival) in %</v>
      </c>
      <c r="W1" s="191" t="str">
        <f>'Matrix-Rectum'!Z21</f>
        <v>OAS nach Kaplan-Meier    
(Overall Survival) in %</v>
      </c>
    </row>
    <row r="2" spans="1:23" x14ac:dyDescent="0.25">
      <c r="A2" s="193" t="str">
        <f>'Matrix-Rectum'!A23</f>
        <v>nicht relevant</v>
      </c>
      <c r="B2" s="241">
        <v>2013</v>
      </c>
      <c r="C2" s="241">
        <f>IF('Matrix-Rectum'!C23="","---",'Matrix-Rectum'!C23)</f>
        <v>0</v>
      </c>
      <c r="D2" s="241" t="str">
        <f>IF('Matrix-Rectum'!D23="","",'Matrix-Rectum'!D23)</f>
        <v/>
      </c>
      <c r="E2" s="241" t="str">
        <f>IF('Matrix-Rectum'!E23="","",'Matrix-Rectum'!E23)</f>
        <v/>
      </c>
      <c r="F2" s="241" t="str">
        <f>IF('Matrix-Rectum'!F23="","",'Matrix-Rectum'!F23)</f>
        <v/>
      </c>
      <c r="G2" s="241" t="str">
        <f>IF('Matrix-Rectum'!G23="","",'Matrix-Rectum'!G23)</f>
        <v/>
      </c>
      <c r="H2" s="241" t="str">
        <f>IF('Matrix-Rectum'!I23="","",'Matrix-Rectum'!I23)</f>
        <v/>
      </c>
      <c r="I2" s="241" t="str">
        <f>IF('Matrix-Rectum'!J23="","",'Matrix-Rectum'!J23)</f>
        <v/>
      </c>
      <c r="J2" s="241" t="str">
        <f>IF('Matrix-Rectum'!K23="","",'Matrix-Rectum'!K23)</f>
        <v/>
      </c>
      <c r="K2" s="241" t="str">
        <f>IF('Matrix-Rectum'!L23="","",'Matrix-Rectum'!L23)</f>
        <v/>
      </c>
      <c r="L2" s="194" t="str">
        <f>IF('Matrix-Rectum'!M23="","",'Matrix-Rectum'!M23*100)</f>
        <v/>
      </c>
      <c r="M2" s="241" t="str">
        <f>IF('Matrix-Rectum'!O23="","",'Matrix-Rectum'!O23)</f>
        <v/>
      </c>
      <c r="N2" s="194" t="str">
        <f>IF('Matrix-Rectum'!P23="","",'Matrix-Rectum'!P23*100)</f>
        <v/>
      </c>
      <c r="O2" s="241" t="str">
        <f>IF('Matrix-Rectum'!Q23="","",'Matrix-Rectum'!Q23)</f>
        <v/>
      </c>
      <c r="P2" s="241" t="str">
        <f>IF('Matrix-Rectum'!R23="","",'Matrix-Rectum'!R23)</f>
        <v/>
      </c>
      <c r="Q2" s="241" t="str">
        <f>IF('Matrix-Rectum'!S23="","",'Matrix-Rectum'!S23)</f>
        <v/>
      </c>
      <c r="R2" s="241" t="str">
        <f>IF('Matrix-Rectum'!T23="","",'Matrix-Rectum'!T23)</f>
        <v/>
      </c>
      <c r="S2" s="241" t="str">
        <f>IF('Matrix-Rectum'!U23="","",'Matrix-Rectum'!U23)</f>
        <v/>
      </c>
      <c r="T2" s="241" t="str">
        <f>IF('Matrix-Rectum'!V23="","",'Matrix-Rectum'!V23)</f>
        <v/>
      </c>
      <c r="U2" s="241" t="str">
        <f>IF('Matrix-Rectum'!W23="","",'Matrix-Rectum'!W23)</f>
        <v/>
      </c>
      <c r="V2" s="194" t="str">
        <f>IF('Matrix-Rectum'!Y23="","",'Matrix-Rectum'!Y23*100)</f>
        <v/>
      </c>
      <c r="W2" s="194" t="str">
        <f>IF('Matrix-Rectum'!Z23="","",'Matrix-Rectum'!Z23*100)</f>
        <v/>
      </c>
    </row>
    <row r="3" spans="1:23" x14ac:dyDescent="0.25">
      <c r="A3" s="236" t="str">
        <f>'Matrix-Rectum'!A24</f>
        <v>nicht relevant</v>
      </c>
      <c r="B3" s="217">
        <v>2014</v>
      </c>
      <c r="C3" s="217">
        <f>IF('Matrix-Rectum'!C24="","---",'Matrix-Rectum'!C24)</f>
        <v>0</v>
      </c>
      <c r="D3" s="241" t="str">
        <f>IF('Matrix-Rectum'!D24="","",'Matrix-Rectum'!D24)</f>
        <v/>
      </c>
      <c r="E3" s="241" t="str">
        <f>IF('Matrix-Rectum'!E24="","",'Matrix-Rectum'!E24)</f>
        <v/>
      </c>
      <c r="F3" s="241" t="str">
        <f>IF('Matrix-Rectum'!F24="","",'Matrix-Rectum'!F24)</f>
        <v/>
      </c>
      <c r="G3" s="241" t="str">
        <f>IF('Matrix-Rectum'!G24="","",'Matrix-Rectum'!G24)</f>
        <v/>
      </c>
      <c r="H3" s="241" t="str">
        <f>IF('Matrix-Rectum'!I24="","",'Matrix-Rectum'!I24)</f>
        <v/>
      </c>
      <c r="I3" s="241" t="str">
        <f>IF('Matrix-Rectum'!J24="","",'Matrix-Rectum'!J24)</f>
        <v/>
      </c>
      <c r="J3" s="241" t="str">
        <f>IF('Matrix-Rectum'!K24="","",'Matrix-Rectum'!K24)</f>
        <v/>
      </c>
      <c r="K3" s="241" t="str">
        <f>IF('Matrix-Rectum'!L24="","",'Matrix-Rectum'!L24)</f>
        <v/>
      </c>
      <c r="L3" s="194" t="str">
        <f>IF('Matrix-Rectum'!M24="","",'Matrix-Rectum'!M24*100)</f>
        <v/>
      </c>
      <c r="M3" s="241" t="str">
        <f>IF('Matrix-Rectum'!O24="","",'Matrix-Rectum'!O24)</f>
        <v/>
      </c>
      <c r="N3" s="194" t="str">
        <f>IF('Matrix-Rectum'!P24="","",'Matrix-Rectum'!P24*100)</f>
        <v/>
      </c>
      <c r="O3" s="241" t="str">
        <f>IF('Matrix-Rectum'!Q24="","",'Matrix-Rectum'!Q24)</f>
        <v/>
      </c>
      <c r="P3" s="241" t="str">
        <f>IF('Matrix-Rectum'!R24="","",'Matrix-Rectum'!R24)</f>
        <v/>
      </c>
      <c r="Q3" s="241" t="str">
        <f>IF('Matrix-Rectum'!S24="","",'Matrix-Rectum'!S24)</f>
        <v/>
      </c>
      <c r="R3" s="241" t="str">
        <f>IF('Matrix-Rectum'!T24="","",'Matrix-Rectum'!T24)</f>
        <v/>
      </c>
      <c r="S3" s="241" t="str">
        <f>IF('Matrix-Rectum'!U24="","",'Matrix-Rectum'!U24)</f>
        <v/>
      </c>
      <c r="T3" s="241" t="str">
        <f>IF('Matrix-Rectum'!V24="","",'Matrix-Rectum'!V24)</f>
        <v/>
      </c>
      <c r="U3" s="241" t="str">
        <f>IF('Matrix-Rectum'!W24="","",'Matrix-Rectum'!W24)</f>
        <v/>
      </c>
      <c r="V3" s="194" t="str">
        <f>IF('Matrix-Rectum'!Y24="","",'Matrix-Rectum'!Y24*100)</f>
        <v/>
      </c>
      <c r="W3" s="194" t="str">
        <f>IF('Matrix-Rectum'!Z24="","",'Matrix-Rectum'!Z24*100)</f>
        <v/>
      </c>
    </row>
    <row r="4" spans="1:23" x14ac:dyDescent="0.25">
      <c r="A4" s="236" t="str">
        <f>'Matrix-Rectum'!A25</f>
        <v>nicht relevant</v>
      </c>
      <c r="B4" s="217">
        <v>2015</v>
      </c>
      <c r="C4" s="217">
        <f>IF('Matrix-Rectum'!C25="","---",'Matrix-Rectum'!C25)</f>
        <v>0</v>
      </c>
      <c r="D4" s="241" t="str">
        <f>IF('Matrix-Rectum'!D25="","",'Matrix-Rectum'!D25)</f>
        <v/>
      </c>
      <c r="E4" s="241" t="str">
        <f>IF('Matrix-Rectum'!E25="","",'Matrix-Rectum'!E25)</f>
        <v/>
      </c>
      <c r="F4" s="241" t="str">
        <f>IF('Matrix-Rectum'!F25="","",'Matrix-Rectum'!F25)</f>
        <v/>
      </c>
      <c r="G4" s="241" t="str">
        <f>IF('Matrix-Rectum'!G25="","",'Matrix-Rectum'!G25)</f>
        <v/>
      </c>
      <c r="H4" s="241" t="str">
        <f>IF('Matrix-Rectum'!I25="","",'Matrix-Rectum'!I25)</f>
        <v/>
      </c>
      <c r="I4" s="241" t="str">
        <f>IF('Matrix-Rectum'!J25="","",'Matrix-Rectum'!J25)</f>
        <v/>
      </c>
      <c r="J4" s="241" t="str">
        <f>IF('Matrix-Rectum'!K25="","",'Matrix-Rectum'!K25)</f>
        <v/>
      </c>
      <c r="K4" s="241" t="str">
        <f>IF('Matrix-Rectum'!L25="","",'Matrix-Rectum'!L25)</f>
        <v/>
      </c>
      <c r="L4" s="194" t="str">
        <f>IF('Matrix-Rectum'!M25="","",'Matrix-Rectum'!M25*100)</f>
        <v/>
      </c>
      <c r="M4" s="241" t="str">
        <f>IF('Matrix-Rectum'!O25="","",'Matrix-Rectum'!O25)</f>
        <v/>
      </c>
      <c r="N4" s="194" t="str">
        <f>IF('Matrix-Rectum'!P25="","",'Matrix-Rectum'!P25*100)</f>
        <v/>
      </c>
      <c r="O4" s="241" t="str">
        <f>IF('Matrix-Rectum'!Q25="","",'Matrix-Rectum'!Q25)</f>
        <v/>
      </c>
      <c r="P4" s="241" t="str">
        <f>IF('Matrix-Rectum'!R25="","",'Matrix-Rectum'!R25)</f>
        <v/>
      </c>
      <c r="Q4" s="241" t="str">
        <f>IF('Matrix-Rectum'!S25="","",'Matrix-Rectum'!S25)</f>
        <v/>
      </c>
      <c r="R4" s="241" t="str">
        <f>IF('Matrix-Rectum'!T25="","",'Matrix-Rectum'!T25)</f>
        <v/>
      </c>
      <c r="S4" s="241" t="str">
        <f>IF('Matrix-Rectum'!U25="","",'Matrix-Rectum'!U25)</f>
        <v/>
      </c>
      <c r="T4" s="241" t="str">
        <f>IF('Matrix-Rectum'!V25="","",'Matrix-Rectum'!V25)</f>
        <v/>
      </c>
      <c r="U4" s="241" t="str">
        <f>IF('Matrix-Rectum'!W25="","",'Matrix-Rectum'!W25)</f>
        <v/>
      </c>
      <c r="V4" s="194" t="str">
        <f>IF('Matrix-Rectum'!Y25="","",'Matrix-Rectum'!Y25*100)</f>
        <v/>
      </c>
      <c r="W4" s="194" t="str">
        <f>IF('Matrix-Rectum'!Z25="","",'Matrix-Rectum'!Z25*100)</f>
        <v/>
      </c>
    </row>
    <row r="5" spans="1:23" x14ac:dyDescent="0.25">
      <c r="A5" s="236" t="str">
        <f>'Matrix-Rectum'!A26</f>
        <v>nicht relevant</v>
      </c>
      <c r="B5" s="217">
        <v>2016</v>
      </c>
      <c r="C5" s="217">
        <f>IF('Matrix-Rectum'!C26="","---",'Matrix-Rectum'!C26)</f>
        <v>0</v>
      </c>
      <c r="D5" s="241" t="str">
        <f>IF('Matrix-Rectum'!D26="","",'Matrix-Rectum'!D26)</f>
        <v/>
      </c>
      <c r="E5" s="241" t="str">
        <f>IF('Matrix-Rectum'!E26="","",'Matrix-Rectum'!E26)</f>
        <v/>
      </c>
      <c r="F5" s="241" t="str">
        <f>IF('Matrix-Rectum'!F26="","",'Matrix-Rectum'!F26)</f>
        <v/>
      </c>
      <c r="G5" s="241" t="str">
        <f>IF('Matrix-Rectum'!G26="","",'Matrix-Rectum'!G26)</f>
        <v/>
      </c>
      <c r="H5" s="241" t="str">
        <f>IF('Matrix-Rectum'!I26="","",'Matrix-Rectum'!I26)</f>
        <v/>
      </c>
      <c r="I5" s="241" t="str">
        <f>IF('Matrix-Rectum'!J26="","",'Matrix-Rectum'!J26)</f>
        <v/>
      </c>
      <c r="J5" s="241" t="str">
        <f>IF('Matrix-Rectum'!K26="","",'Matrix-Rectum'!K26)</f>
        <v/>
      </c>
      <c r="K5" s="241" t="str">
        <f>IF('Matrix-Rectum'!L26="","",'Matrix-Rectum'!L26)</f>
        <v/>
      </c>
      <c r="L5" s="194" t="str">
        <f>IF('Matrix-Rectum'!M26="","",'Matrix-Rectum'!M26*100)</f>
        <v/>
      </c>
      <c r="M5" s="241" t="str">
        <f>IF('Matrix-Rectum'!O26="","",'Matrix-Rectum'!O26)</f>
        <v/>
      </c>
      <c r="N5" s="194" t="str">
        <f>IF('Matrix-Rectum'!P26="","",'Matrix-Rectum'!P26*100)</f>
        <v/>
      </c>
      <c r="O5" s="241" t="str">
        <f>IF('Matrix-Rectum'!Q26="","",'Matrix-Rectum'!Q26)</f>
        <v/>
      </c>
      <c r="P5" s="241" t="str">
        <f>IF('Matrix-Rectum'!R26="","",'Matrix-Rectum'!R26)</f>
        <v/>
      </c>
      <c r="Q5" s="241" t="str">
        <f>IF('Matrix-Rectum'!S26="","",'Matrix-Rectum'!S26)</f>
        <v/>
      </c>
      <c r="R5" s="241" t="str">
        <f>IF('Matrix-Rectum'!T26="","",'Matrix-Rectum'!T26)</f>
        <v/>
      </c>
      <c r="S5" s="241" t="str">
        <f>IF('Matrix-Rectum'!U26="","",'Matrix-Rectum'!U26)</f>
        <v/>
      </c>
      <c r="T5" s="241" t="str">
        <f>IF('Matrix-Rectum'!V26="","",'Matrix-Rectum'!V26)</f>
        <v/>
      </c>
      <c r="U5" s="241" t="str">
        <f>IF('Matrix-Rectum'!W26="","",'Matrix-Rectum'!W26)</f>
        <v/>
      </c>
      <c r="V5" s="194" t="str">
        <f>IF('Matrix-Rectum'!Y26="","",'Matrix-Rectum'!Y26*100)</f>
        <v/>
      </c>
      <c r="W5" s="194" t="str">
        <f>IF('Matrix-Rectum'!Z26="","",'Matrix-Rectum'!Z26*100)</f>
        <v/>
      </c>
    </row>
    <row r="6" spans="1:23" x14ac:dyDescent="0.25">
      <c r="A6" s="236" t="str">
        <f>'Matrix-Rectum'!A27</f>
        <v>nicht relevant</v>
      </c>
      <c r="B6" s="217">
        <v>2017</v>
      </c>
      <c r="C6" s="217">
        <f>IF('Matrix-Rectum'!C27="","---",'Matrix-Rectum'!C27)</f>
        <v>0</v>
      </c>
      <c r="D6" s="241" t="str">
        <f>IF('Matrix-Rectum'!D27="","",'Matrix-Rectum'!D27)</f>
        <v/>
      </c>
      <c r="E6" s="241" t="str">
        <f>IF('Matrix-Rectum'!E27="","",'Matrix-Rectum'!E27)</f>
        <v/>
      </c>
      <c r="F6" s="241" t="str">
        <f>IF('Matrix-Rectum'!F27="","",'Matrix-Rectum'!F27)</f>
        <v/>
      </c>
      <c r="G6" s="241" t="str">
        <f>IF('Matrix-Rectum'!G27="","",'Matrix-Rectum'!G27)</f>
        <v/>
      </c>
      <c r="H6" s="241" t="str">
        <f>IF('Matrix-Rectum'!I27="","",'Matrix-Rectum'!I27)</f>
        <v/>
      </c>
      <c r="I6" s="241" t="str">
        <f>IF('Matrix-Rectum'!J27="","",'Matrix-Rectum'!J27)</f>
        <v/>
      </c>
      <c r="J6" s="241" t="str">
        <f>IF('Matrix-Rectum'!K27="","",'Matrix-Rectum'!K27)</f>
        <v/>
      </c>
      <c r="K6" s="241" t="str">
        <f>IF('Matrix-Rectum'!L27="","",'Matrix-Rectum'!L27)</f>
        <v/>
      </c>
      <c r="L6" s="194" t="str">
        <f>IF('Matrix-Rectum'!M27="","",'Matrix-Rectum'!M27*100)</f>
        <v/>
      </c>
      <c r="M6" s="241" t="str">
        <f>IF('Matrix-Rectum'!O27="","",'Matrix-Rectum'!O27)</f>
        <v/>
      </c>
      <c r="N6" s="194" t="str">
        <f>IF('Matrix-Rectum'!P27="","",'Matrix-Rectum'!P27*100)</f>
        <v/>
      </c>
      <c r="O6" s="241" t="str">
        <f>IF('Matrix-Rectum'!Q27="","",'Matrix-Rectum'!Q27)</f>
        <v/>
      </c>
      <c r="P6" s="241" t="str">
        <f>IF('Matrix-Rectum'!R27="","",'Matrix-Rectum'!R27)</f>
        <v/>
      </c>
      <c r="Q6" s="241" t="str">
        <f>IF('Matrix-Rectum'!S27="","",'Matrix-Rectum'!S27)</f>
        <v/>
      </c>
      <c r="R6" s="241" t="str">
        <f>IF('Matrix-Rectum'!T27="","",'Matrix-Rectum'!T27)</f>
        <v/>
      </c>
      <c r="S6" s="241" t="str">
        <f>IF('Matrix-Rectum'!U27="","",'Matrix-Rectum'!U27)</f>
        <v/>
      </c>
      <c r="T6" s="241" t="str">
        <f>IF('Matrix-Rectum'!V27="","",'Matrix-Rectum'!V27)</f>
        <v/>
      </c>
      <c r="U6" s="241" t="str">
        <f>IF('Matrix-Rectum'!W27="","",'Matrix-Rectum'!W27)</f>
        <v/>
      </c>
      <c r="V6" s="194" t="str">
        <f>IF('Matrix-Rectum'!Y27="","",'Matrix-Rectum'!Y27*100)</f>
        <v/>
      </c>
      <c r="W6" s="194" t="str">
        <f>IF('Matrix-Rectum'!Z27="","",'Matrix-Rectum'!Z27*100)</f>
        <v/>
      </c>
    </row>
    <row r="7" spans="1:23" x14ac:dyDescent="0.25">
      <c r="A7" s="172" t="s">
        <v>144</v>
      </c>
      <c r="B7" s="217">
        <v>2018</v>
      </c>
      <c r="C7" s="217">
        <v>0</v>
      </c>
      <c r="D7" s="241"/>
      <c r="E7" s="241"/>
      <c r="F7" s="241"/>
      <c r="G7" s="241"/>
      <c r="H7" s="241"/>
      <c r="I7" s="241"/>
      <c r="J7" s="241"/>
      <c r="K7" s="241"/>
      <c r="L7" s="194"/>
      <c r="M7" s="241"/>
      <c r="N7" s="194"/>
      <c r="O7" s="241"/>
      <c r="P7" s="241"/>
      <c r="Q7" s="241"/>
      <c r="R7" s="241"/>
      <c r="S7" s="241"/>
      <c r="T7" s="241"/>
      <c r="U7" s="241"/>
      <c r="V7" s="194"/>
      <c r="W7" s="194"/>
    </row>
    <row r="8" spans="1:23" x14ac:dyDescent="0.25">
      <c r="A8" s="236" t="str">
        <f>'Matrix-Rectum'!A28</f>
        <v>nicht relevant</v>
      </c>
      <c r="B8" s="217">
        <v>2019</v>
      </c>
      <c r="C8" s="217">
        <f>IF('Matrix-Rectum'!C28="","---",'Matrix-Rectum'!C28)</f>
        <v>0</v>
      </c>
      <c r="D8" s="241" t="str">
        <f>IF('Matrix-Rectum'!D28="","",'Matrix-Rectum'!D28)</f>
        <v/>
      </c>
      <c r="E8" s="241" t="str">
        <f>IF('Matrix-Rectum'!E28="","",'Matrix-Rectum'!E28)</f>
        <v/>
      </c>
      <c r="F8" s="241" t="str">
        <f>IF('Matrix-Rectum'!F28="","",'Matrix-Rectum'!F28)</f>
        <v/>
      </c>
      <c r="G8" s="241" t="str">
        <f>IF('Matrix-Rectum'!G28="","",'Matrix-Rectum'!G28)</f>
        <v/>
      </c>
      <c r="H8" s="241" t="str">
        <f>IF('Matrix-Rectum'!I28="","",'Matrix-Rectum'!I28)</f>
        <v/>
      </c>
      <c r="I8" s="241" t="str">
        <f>IF('Matrix-Rectum'!J28="","",'Matrix-Rectum'!J28)</f>
        <v/>
      </c>
      <c r="J8" s="241" t="str">
        <f>IF('Matrix-Rectum'!K28="","",'Matrix-Rectum'!K28)</f>
        <v/>
      </c>
      <c r="K8" s="241" t="str">
        <f>IF('Matrix-Rectum'!L28="","",'Matrix-Rectum'!L28)</f>
        <v/>
      </c>
      <c r="L8" s="194" t="str">
        <f>IF('Matrix-Rectum'!M28="","",'Matrix-Rectum'!M28*100)</f>
        <v/>
      </c>
      <c r="M8" s="241" t="str">
        <f>IF('Matrix-Rectum'!O28="","",'Matrix-Rectum'!O28)</f>
        <v/>
      </c>
      <c r="N8" s="194" t="str">
        <f>IF('Matrix-Rectum'!P28="","",'Matrix-Rectum'!P28*100)</f>
        <v/>
      </c>
      <c r="O8" s="241" t="str">
        <f>IF('Matrix-Rectum'!Q28="","",'Matrix-Rectum'!Q28)</f>
        <v/>
      </c>
      <c r="P8" s="241" t="str">
        <f>IF('Matrix-Rectum'!R28="","",'Matrix-Rectum'!R28)</f>
        <v/>
      </c>
      <c r="Q8" s="241" t="str">
        <f>IF('Matrix-Rectum'!S28="","",'Matrix-Rectum'!S28)</f>
        <v/>
      </c>
      <c r="R8" s="241" t="str">
        <f>IF('Matrix-Rectum'!T28="","",'Matrix-Rectum'!T28)</f>
        <v/>
      </c>
      <c r="S8" s="241" t="str">
        <f>IF('Matrix-Rectum'!U28="","",'Matrix-Rectum'!U28)</f>
        <v/>
      </c>
      <c r="T8" s="241" t="str">
        <f>IF('Matrix-Rectum'!V28="","",'Matrix-Rectum'!V28)</f>
        <v/>
      </c>
      <c r="U8" s="241" t="str">
        <f>IF('Matrix-Rectum'!W28="","",'Matrix-Rectum'!W28)</f>
        <v/>
      </c>
      <c r="V8" s="194" t="str">
        <f>IF('Matrix-Rectum'!Y28="","",'Matrix-Rectum'!Y28*100)</f>
        <v/>
      </c>
      <c r="W8" s="194" t="str">
        <f>IF('Matrix-Rectum'!Z28="","",'Matrix-Rectum'!Z28*100)</f>
        <v/>
      </c>
    </row>
  </sheetData>
  <phoneticPr fontId="75" type="noConversion"/>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D57"/>
  <sheetViews>
    <sheetView workbookViewId="0">
      <selection activeCell="C3" sqref="C3"/>
    </sheetView>
  </sheetViews>
  <sheetFormatPr defaultColWidth="9.140625" defaultRowHeight="12" x14ac:dyDescent="0.25"/>
  <cols>
    <col min="1" max="1" width="19" style="150" customWidth="1"/>
    <col min="2" max="2" width="22.140625" style="150" customWidth="1"/>
    <col min="3" max="3" width="45.5703125" style="183" customWidth="1"/>
    <col min="4" max="4" width="71" style="183" customWidth="1"/>
    <col min="5" max="16384" width="9.140625" style="149"/>
  </cols>
  <sheetData>
    <row r="1" spans="1:4" ht="24" x14ac:dyDescent="0.25">
      <c r="A1" s="151" t="s">
        <v>313</v>
      </c>
      <c r="B1" s="152" t="s">
        <v>121</v>
      </c>
      <c r="C1" s="151" t="s">
        <v>240</v>
      </c>
      <c r="D1" s="151" t="s">
        <v>50</v>
      </c>
    </row>
    <row r="2" spans="1:4" x14ac:dyDescent="0.25">
      <c r="A2" s="150" t="str">
        <f ca="1">Berechnung5!L2</f>
        <v/>
      </c>
      <c r="B2" s="150" t="str">
        <f ca="1">Berechnung5!N2</f>
        <v/>
      </c>
      <c r="C2" s="183" t="str">
        <f ca="1">Berechnung5!O2</f>
        <v/>
      </c>
      <c r="D2" s="183" t="str">
        <f ca="1">Berechnung5!P2</f>
        <v/>
      </c>
    </row>
    <row r="3" spans="1:4" x14ac:dyDescent="0.25">
      <c r="A3" s="150" t="str">
        <f ca="1">Berechnung5!L3</f>
        <v/>
      </c>
      <c r="B3" s="150" t="str">
        <f ca="1">Berechnung5!N3</f>
        <v/>
      </c>
      <c r="C3" s="183" t="str">
        <f ca="1">Berechnung5!O3</f>
        <v/>
      </c>
      <c r="D3" s="183" t="str">
        <f ca="1">Berechnung5!P3</f>
        <v/>
      </c>
    </row>
    <row r="4" spans="1:4" x14ac:dyDescent="0.25">
      <c r="A4" s="150" t="str">
        <f ca="1">Berechnung5!L4</f>
        <v/>
      </c>
      <c r="B4" s="150" t="str">
        <f ca="1">Berechnung5!N4</f>
        <v/>
      </c>
      <c r="C4" s="183" t="str">
        <f ca="1">Berechnung5!O4</f>
        <v/>
      </c>
      <c r="D4" s="183" t="str">
        <f ca="1">Berechnung5!P4</f>
        <v/>
      </c>
    </row>
    <row r="5" spans="1:4" x14ac:dyDescent="0.25">
      <c r="A5" s="150" t="str">
        <f ca="1">Berechnung5!L5</f>
        <v/>
      </c>
      <c r="B5" s="150" t="str">
        <f ca="1">Berechnung5!N5</f>
        <v/>
      </c>
      <c r="C5" s="183" t="str">
        <f ca="1">Berechnung5!O5</f>
        <v/>
      </c>
      <c r="D5" s="183" t="str">
        <f ca="1">Berechnung5!P5</f>
        <v/>
      </c>
    </row>
    <row r="6" spans="1:4" x14ac:dyDescent="0.25">
      <c r="A6" s="150" t="str">
        <f ca="1">Berechnung5!L6</f>
        <v/>
      </c>
      <c r="B6" s="150" t="str">
        <f ca="1">Berechnung5!N6</f>
        <v/>
      </c>
      <c r="C6" s="183" t="str">
        <f ca="1">Berechnung5!O6</f>
        <v/>
      </c>
      <c r="D6" s="183" t="str">
        <f ca="1">Berechnung5!P6</f>
        <v/>
      </c>
    </row>
    <row r="7" spans="1:4" x14ac:dyDescent="0.25">
      <c r="A7" s="150" t="str">
        <f ca="1">Berechnung5!L7</f>
        <v/>
      </c>
      <c r="B7" s="150" t="str">
        <f ca="1">Berechnung5!N7</f>
        <v/>
      </c>
      <c r="C7" s="183" t="str">
        <f ca="1">Berechnung5!O7</f>
        <v/>
      </c>
      <c r="D7" s="183" t="str">
        <f ca="1">Berechnung5!P7</f>
        <v/>
      </c>
    </row>
    <row r="8" spans="1:4" x14ac:dyDescent="0.25">
      <c r="A8" s="150" t="str">
        <f ca="1">Berechnung5!L8</f>
        <v/>
      </c>
      <c r="B8" s="150" t="str">
        <f ca="1">Berechnung5!N8</f>
        <v/>
      </c>
      <c r="C8" s="183" t="str">
        <f ca="1">Berechnung5!O8</f>
        <v/>
      </c>
      <c r="D8" s="183" t="str">
        <f ca="1">Berechnung5!P8</f>
        <v/>
      </c>
    </row>
    <row r="9" spans="1:4" x14ac:dyDescent="0.25">
      <c r="A9" s="150" t="str">
        <f ca="1">Berechnung5!L9</f>
        <v/>
      </c>
      <c r="B9" s="150" t="str">
        <f ca="1">Berechnung5!N9</f>
        <v/>
      </c>
      <c r="C9" s="183" t="str">
        <f ca="1">Berechnung5!O9</f>
        <v/>
      </c>
      <c r="D9" s="183" t="str">
        <f ca="1">Berechnung5!P9</f>
        <v/>
      </c>
    </row>
    <row r="10" spans="1:4" x14ac:dyDescent="0.25">
      <c r="A10" s="150" t="str">
        <f ca="1">Berechnung5!L10</f>
        <v/>
      </c>
      <c r="B10" s="150" t="str">
        <f ca="1">Berechnung5!N10</f>
        <v/>
      </c>
      <c r="C10" s="183" t="str">
        <f ca="1">Berechnung5!O10</f>
        <v/>
      </c>
      <c r="D10" s="183" t="str">
        <f ca="1">Berechnung5!P10</f>
        <v/>
      </c>
    </row>
    <row r="11" spans="1:4" x14ac:dyDescent="0.25">
      <c r="A11" s="150" t="str">
        <f ca="1">Berechnung5!L11</f>
        <v/>
      </c>
      <c r="B11" s="150" t="str">
        <f ca="1">Berechnung5!N11</f>
        <v/>
      </c>
      <c r="C11" s="183" t="str">
        <f ca="1">Berechnung5!O11</f>
        <v/>
      </c>
      <c r="D11" s="183" t="str">
        <f ca="1">Berechnung5!P11</f>
        <v/>
      </c>
    </row>
    <row r="12" spans="1:4" x14ac:dyDescent="0.25">
      <c r="A12" s="150" t="str">
        <f ca="1">Berechnung5!L12</f>
        <v/>
      </c>
      <c r="B12" s="150" t="str">
        <f ca="1">Berechnung5!N12</f>
        <v/>
      </c>
      <c r="C12" s="183" t="str">
        <f ca="1">Berechnung5!O12</f>
        <v/>
      </c>
      <c r="D12" s="183" t="str">
        <f ca="1">Berechnung5!P12</f>
        <v/>
      </c>
    </row>
    <row r="13" spans="1:4" x14ac:dyDescent="0.25">
      <c r="A13" s="150" t="str">
        <f ca="1">Berechnung5!L13</f>
        <v/>
      </c>
      <c r="B13" s="150" t="str">
        <f ca="1">Berechnung5!N13</f>
        <v/>
      </c>
      <c r="C13" s="183" t="str">
        <f ca="1">Berechnung5!O13</f>
        <v/>
      </c>
      <c r="D13" s="183" t="str">
        <f ca="1">Berechnung5!P13</f>
        <v/>
      </c>
    </row>
    <row r="14" spans="1:4" x14ac:dyDescent="0.25">
      <c r="A14" s="150" t="str">
        <f ca="1">Berechnung5!L14</f>
        <v/>
      </c>
      <c r="B14" s="150" t="str">
        <f ca="1">Berechnung5!N14</f>
        <v/>
      </c>
      <c r="C14" s="183" t="str">
        <f ca="1">Berechnung5!O14</f>
        <v/>
      </c>
      <c r="D14" s="183" t="str">
        <f ca="1">Berechnung5!P14</f>
        <v/>
      </c>
    </row>
    <row r="15" spans="1:4" x14ac:dyDescent="0.25">
      <c r="A15" s="150" t="str">
        <f ca="1">Berechnung5!L15</f>
        <v/>
      </c>
      <c r="B15" s="150" t="str">
        <f ca="1">Berechnung5!N15</f>
        <v/>
      </c>
      <c r="C15" s="183" t="str">
        <f ca="1">Berechnung5!O15</f>
        <v/>
      </c>
      <c r="D15" s="183" t="str">
        <f ca="1">Berechnung5!P15</f>
        <v/>
      </c>
    </row>
    <row r="16" spans="1:4" x14ac:dyDescent="0.25">
      <c r="A16" s="150" t="str">
        <f ca="1">Berechnung5!L16</f>
        <v/>
      </c>
      <c r="B16" s="150" t="str">
        <f ca="1">Berechnung5!N16</f>
        <v/>
      </c>
      <c r="C16" s="183" t="str">
        <f ca="1">Berechnung5!O16</f>
        <v/>
      </c>
      <c r="D16" s="183" t="str">
        <f ca="1">Berechnung5!P16</f>
        <v/>
      </c>
    </row>
    <row r="17" spans="1:4" x14ac:dyDescent="0.25">
      <c r="A17" s="150" t="str">
        <f ca="1">Berechnung5!L17</f>
        <v/>
      </c>
      <c r="B17" s="150" t="str">
        <f ca="1">Berechnung5!N17</f>
        <v/>
      </c>
      <c r="C17" s="183" t="str">
        <f ca="1">Berechnung5!O17</f>
        <v/>
      </c>
      <c r="D17" s="183" t="str">
        <f ca="1">Berechnung5!P17</f>
        <v/>
      </c>
    </row>
    <row r="18" spans="1:4" x14ac:dyDescent="0.25">
      <c r="A18" s="150" t="str">
        <f ca="1">Berechnung5!L18</f>
        <v/>
      </c>
      <c r="B18" s="150" t="str">
        <f ca="1">Berechnung5!N18</f>
        <v/>
      </c>
      <c r="C18" s="183" t="str">
        <f ca="1">Berechnung5!O18</f>
        <v/>
      </c>
      <c r="D18" s="183" t="str">
        <f ca="1">Berechnung5!P18</f>
        <v/>
      </c>
    </row>
    <row r="19" spans="1:4" x14ac:dyDescent="0.25">
      <c r="A19" s="150" t="str">
        <f ca="1">Berechnung5!L19</f>
        <v/>
      </c>
      <c r="B19" s="150" t="str">
        <f ca="1">Berechnung5!N19</f>
        <v/>
      </c>
      <c r="C19" s="183" t="str">
        <f ca="1">Berechnung5!O19</f>
        <v/>
      </c>
      <c r="D19" s="183" t="str">
        <f ca="1">Berechnung5!P19</f>
        <v/>
      </c>
    </row>
    <row r="20" spans="1:4" x14ac:dyDescent="0.25">
      <c r="A20" s="150" t="str">
        <f ca="1">Berechnung5!L20</f>
        <v/>
      </c>
      <c r="B20" s="150" t="str">
        <f ca="1">Berechnung5!N20</f>
        <v/>
      </c>
      <c r="C20" s="183" t="str">
        <f ca="1">Berechnung5!O20</f>
        <v/>
      </c>
      <c r="D20" s="183" t="str">
        <f ca="1">Berechnung5!P20</f>
        <v/>
      </c>
    </row>
    <row r="21" spans="1:4" x14ac:dyDescent="0.25">
      <c r="A21" s="150" t="str">
        <f ca="1">Berechnung5!L21</f>
        <v/>
      </c>
      <c r="B21" s="150" t="str">
        <f ca="1">Berechnung5!N21</f>
        <v/>
      </c>
      <c r="C21" s="183" t="str">
        <f ca="1">Berechnung5!O21</f>
        <v/>
      </c>
      <c r="D21" s="183" t="str">
        <f ca="1">Berechnung5!P21</f>
        <v/>
      </c>
    </row>
    <row r="22" spans="1:4" x14ac:dyDescent="0.25">
      <c r="A22" s="150" t="str">
        <f ca="1">Berechnung5!L22</f>
        <v/>
      </c>
      <c r="B22" s="150" t="str">
        <f ca="1">Berechnung5!N22</f>
        <v/>
      </c>
      <c r="C22" s="183" t="str">
        <f ca="1">Berechnung5!O22</f>
        <v/>
      </c>
      <c r="D22" s="183" t="str">
        <f ca="1">Berechnung5!P22</f>
        <v/>
      </c>
    </row>
    <row r="23" spans="1:4" x14ac:dyDescent="0.25">
      <c r="A23" s="150" t="str">
        <f ca="1">Berechnung5!L23</f>
        <v/>
      </c>
      <c r="B23" s="150" t="str">
        <f ca="1">Berechnung5!N23</f>
        <v/>
      </c>
      <c r="C23" s="183" t="str">
        <f ca="1">Berechnung5!O23</f>
        <v/>
      </c>
      <c r="D23" s="183" t="str">
        <f ca="1">Berechnung5!P23</f>
        <v/>
      </c>
    </row>
    <row r="24" spans="1:4" x14ac:dyDescent="0.25">
      <c r="A24" s="150" t="str">
        <f ca="1">Berechnung5!L24</f>
        <v/>
      </c>
      <c r="B24" s="150" t="str">
        <f ca="1">Berechnung5!N24</f>
        <v/>
      </c>
      <c r="C24" s="183" t="str">
        <f ca="1">Berechnung5!O24</f>
        <v/>
      </c>
      <c r="D24" s="183" t="str">
        <f ca="1">Berechnung5!P24</f>
        <v/>
      </c>
    </row>
    <row r="25" spans="1:4" x14ac:dyDescent="0.25">
      <c r="A25" s="150" t="str">
        <f ca="1">Berechnung5!L25</f>
        <v/>
      </c>
      <c r="B25" s="150" t="str">
        <f ca="1">Berechnung5!N25</f>
        <v/>
      </c>
      <c r="C25" s="183" t="str">
        <f ca="1">Berechnung5!O25</f>
        <v/>
      </c>
      <c r="D25" s="183" t="str">
        <f ca="1">Berechnung5!P25</f>
        <v/>
      </c>
    </row>
    <row r="26" spans="1:4" x14ac:dyDescent="0.25">
      <c r="A26" s="150" t="str">
        <f ca="1">Berechnung5!L26</f>
        <v/>
      </c>
      <c r="B26" s="150" t="str">
        <f ca="1">Berechnung5!N26</f>
        <v/>
      </c>
      <c r="C26" s="183" t="str">
        <f ca="1">Berechnung5!O26</f>
        <v/>
      </c>
      <c r="D26" s="183" t="str">
        <f ca="1">Berechnung5!P26</f>
        <v/>
      </c>
    </row>
    <row r="27" spans="1:4" x14ac:dyDescent="0.25">
      <c r="A27" s="150" t="str">
        <f ca="1">Berechnung5!L27</f>
        <v/>
      </c>
      <c r="B27" s="150" t="str">
        <f ca="1">Berechnung5!N27</f>
        <v/>
      </c>
      <c r="C27" s="183" t="str">
        <f ca="1">Berechnung5!O27</f>
        <v/>
      </c>
      <c r="D27" s="183" t="str">
        <f ca="1">Berechnung5!P27</f>
        <v/>
      </c>
    </row>
    <row r="28" spans="1:4" x14ac:dyDescent="0.25">
      <c r="A28" s="150" t="str">
        <f ca="1">Berechnung5!L28</f>
        <v/>
      </c>
      <c r="B28" s="150" t="str">
        <f ca="1">Berechnung5!N28</f>
        <v/>
      </c>
      <c r="C28" s="183" t="str">
        <f ca="1">Berechnung5!O28</f>
        <v/>
      </c>
      <c r="D28" s="183" t="str">
        <f ca="1">Berechnung5!P28</f>
        <v/>
      </c>
    </row>
    <row r="29" spans="1:4" x14ac:dyDescent="0.25">
      <c r="A29" s="150" t="str">
        <f ca="1">Berechnung5!L29</f>
        <v/>
      </c>
      <c r="B29" s="150" t="str">
        <f ca="1">Berechnung5!N29</f>
        <v/>
      </c>
      <c r="C29" s="183" t="str">
        <f ca="1">Berechnung5!O29</f>
        <v/>
      </c>
      <c r="D29" s="183" t="str">
        <f ca="1">Berechnung5!P29</f>
        <v/>
      </c>
    </row>
    <row r="30" spans="1:4" x14ac:dyDescent="0.25">
      <c r="A30" s="150" t="str">
        <f ca="1">Berechnung5!L30</f>
        <v/>
      </c>
      <c r="B30" s="150" t="str">
        <f ca="1">Berechnung5!N30</f>
        <v/>
      </c>
      <c r="C30" s="183" t="str">
        <f ca="1">Berechnung5!O30</f>
        <v/>
      </c>
      <c r="D30" s="183" t="str">
        <f ca="1">Berechnung5!P30</f>
        <v/>
      </c>
    </row>
    <row r="31" spans="1:4" x14ac:dyDescent="0.25">
      <c r="A31" s="150" t="str">
        <f ca="1">Berechnung5!L31</f>
        <v/>
      </c>
      <c r="B31" s="150" t="str">
        <f ca="1">Berechnung5!N31</f>
        <v/>
      </c>
      <c r="C31" s="183" t="str">
        <f ca="1">Berechnung5!O31</f>
        <v/>
      </c>
      <c r="D31" s="183" t="str">
        <f ca="1">Berechnung5!P31</f>
        <v/>
      </c>
    </row>
    <row r="32" spans="1:4" x14ac:dyDescent="0.25">
      <c r="A32" s="150" t="str">
        <f ca="1">Berechnung5!L32</f>
        <v/>
      </c>
      <c r="B32" s="150" t="str">
        <f ca="1">Berechnung5!N32</f>
        <v/>
      </c>
      <c r="C32" s="183" t="str">
        <f ca="1">Berechnung5!O32</f>
        <v/>
      </c>
      <c r="D32" s="183" t="str">
        <f ca="1">Berechnung5!P32</f>
        <v/>
      </c>
    </row>
    <row r="33" spans="1:4" x14ac:dyDescent="0.25">
      <c r="A33" s="150" t="str">
        <f ca="1">Berechnung5!L33</f>
        <v/>
      </c>
      <c r="B33" s="150" t="str">
        <f ca="1">Berechnung5!N33</f>
        <v/>
      </c>
      <c r="C33" s="183" t="str">
        <f ca="1">Berechnung5!O33</f>
        <v/>
      </c>
      <c r="D33" s="183" t="str">
        <f ca="1">Berechnung5!P33</f>
        <v/>
      </c>
    </row>
    <row r="34" spans="1:4" x14ac:dyDescent="0.25">
      <c r="A34" s="150" t="str">
        <f ca="1">Berechnung5!L34</f>
        <v/>
      </c>
      <c r="B34" s="150" t="str">
        <f ca="1">Berechnung5!N34</f>
        <v/>
      </c>
      <c r="C34" s="183" t="str">
        <f ca="1">Berechnung5!O34</f>
        <v/>
      </c>
      <c r="D34" s="183" t="str">
        <f ca="1">Berechnung5!P34</f>
        <v/>
      </c>
    </row>
    <row r="35" spans="1:4" x14ac:dyDescent="0.25">
      <c r="A35" s="150" t="str">
        <f ca="1">Berechnung5!L35</f>
        <v/>
      </c>
      <c r="B35" s="150" t="str">
        <f ca="1">Berechnung5!N35</f>
        <v/>
      </c>
      <c r="C35" s="183" t="str">
        <f ca="1">Berechnung5!O35</f>
        <v/>
      </c>
      <c r="D35" s="183" t="str">
        <f ca="1">Berechnung5!P35</f>
        <v/>
      </c>
    </row>
    <row r="36" spans="1:4" x14ac:dyDescent="0.25">
      <c r="A36" s="150" t="str">
        <f ca="1">Berechnung5!L36</f>
        <v/>
      </c>
      <c r="B36" s="150" t="str">
        <f ca="1">Berechnung5!N36</f>
        <v/>
      </c>
      <c r="C36" s="183" t="str">
        <f ca="1">Berechnung5!O36</f>
        <v/>
      </c>
      <c r="D36" s="183" t="str">
        <f ca="1">Berechnung5!P36</f>
        <v/>
      </c>
    </row>
    <row r="37" spans="1:4" x14ac:dyDescent="0.25">
      <c r="A37" s="150" t="str">
        <f ca="1">Berechnung5!L37</f>
        <v/>
      </c>
      <c r="B37" s="150" t="str">
        <f ca="1">Berechnung5!N37</f>
        <v/>
      </c>
      <c r="C37" s="183" t="str">
        <f ca="1">Berechnung5!O37</f>
        <v/>
      </c>
      <c r="D37" s="183" t="str">
        <f ca="1">Berechnung5!P37</f>
        <v/>
      </c>
    </row>
    <row r="38" spans="1:4" x14ac:dyDescent="0.25">
      <c r="A38" s="150" t="str">
        <f ca="1">Berechnung5!L38</f>
        <v/>
      </c>
      <c r="B38" s="150" t="str">
        <f ca="1">Berechnung5!N38</f>
        <v/>
      </c>
      <c r="C38" s="183" t="str">
        <f ca="1">Berechnung5!O38</f>
        <v/>
      </c>
      <c r="D38" s="183" t="str">
        <f ca="1">Berechnung5!P38</f>
        <v/>
      </c>
    </row>
    <row r="39" spans="1:4" x14ac:dyDescent="0.25">
      <c r="A39" s="150" t="str">
        <f ca="1">Berechnung5!L39</f>
        <v/>
      </c>
      <c r="B39" s="150" t="str">
        <f ca="1">Berechnung5!N39</f>
        <v/>
      </c>
      <c r="C39" s="183" t="str">
        <f ca="1">Berechnung5!O39</f>
        <v/>
      </c>
      <c r="D39" s="183" t="str">
        <f ca="1">Berechnung5!P39</f>
        <v/>
      </c>
    </row>
    <row r="40" spans="1:4" x14ac:dyDescent="0.25">
      <c r="A40" s="150" t="str">
        <f ca="1">Berechnung5!L40</f>
        <v/>
      </c>
      <c r="B40" s="150" t="str">
        <f ca="1">Berechnung5!N40</f>
        <v/>
      </c>
      <c r="C40" s="183" t="str">
        <f ca="1">Berechnung5!O40</f>
        <v/>
      </c>
      <c r="D40" s="183" t="str">
        <f ca="1">Berechnung5!P40</f>
        <v/>
      </c>
    </row>
    <row r="41" spans="1:4" x14ac:dyDescent="0.25">
      <c r="A41" s="150" t="str">
        <f ca="1">Berechnung5!L41</f>
        <v/>
      </c>
      <c r="B41" s="150" t="str">
        <f ca="1">Berechnung5!N41</f>
        <v/>
      </c>
      <c r="C41" s="183" t="str">
        <f ca="1">Berechnung5!O41</f>
        <v/>
      </c>
      <c r="D41" s="183" t="str">
        <f ca="1">Berechnung5!P41</f>
        <v/>
      </c>
    </row>
    <row r="42" spans="1:4" x14ac:dyDescent="0.25">
      <c r="A42" s="150" t="str">
        <f ca="1">Berechnung5!L42</f>
        <v/>
      </c>
      <c r="B42" s="150" t="str">
        <f ca="1">Berechnung5!N42</f>
        <v/>
      </c>
      <c r="C42" s="183" t="str">
        <f ca="1">Berechnung5!O42</f>
        <v/>
      </c>
      <c r="D42" s="183" t="str">
        <f ca="1">Berechnung5!P42</f>
        <v/>
      </c>
    </row>
    <row r="43" spans="1:4" x14ac:dyDescent="0.25">
      <c r="A43" s="150" t="str">
        <f ca="1">Berechnung5!L43</f>
        <v/>
      </c>
      <c r="B43" s="150" t="str">
        <f ca="1">Berechnung5!N43</f>
        <v/>
      </c>
      <c r="C43" s="183" t="str">
        <f ca="1">Berechnung5!O43</f>
        <v/>
      </c>
      <c r="D43" s="183" t="str">
        <f ca="1">Berechnung5!P43</f>
        <v/>
      </c>
    </row>
    <row r="44" spans="1:4" x14ac:dyDescent="0.25">
      <c r="A44" s="150" t="str">
        <f ca="1">Berechnung5!L44</f>
        <v/>
      </c>
      <c r="B44" s="150" t="str">
        <f ca="1">Berechnung5!N44</f>
        <v/>
      </c>
      <c r="C44" s="183" t="str">
        <f ca="1">Berechnung5!O44</f>
        <v/>
      </c>
      <c r="D44" s="183" t="str">
        <f ca="1">Berechnung5!P44</f>
        <v/>
      </c>
    </row>
    <row r="45" spans="1:4" x14ac:dyDescent="0.25">
      <c r="A45" s="150" t="str">
        <f ca="1">Berechnung5!L45</f>
        <v/>
      </c>
      <c r="B45" s="150" t="str">
        <f ca="1">Berechnung5!N45</f>
        <v/>
      </c>
      <c r="C45" s="183" t="str">
        <f ca="1">Berechnung5!O45</f>
        <v/>
      </c>
      <c r="D45" s="183" t="str">
        <f ca="1">Berechnung5!P45</f>
        <v/>
      </c>
    </row>
    <row r="46" spans="1:4" x14ac:dyDescent="0.25">
      <c r="A46" s="150" t="str">
        <f ca="1">Berechnung5!L46</f>
        <v/>
      </c>
      <c r="B46" s="150" t="str">
        <f ca="1">Berechnung5!N46</f>
        <v/>
      </c>
      <c r="C46" s="183" t="str">
        <f ca="1">Berechnung5!O46</f>
        <v/>
      </c>
      <c r="D46" s="183" t="str">
        <f ca="1">Berechnung5!P46</f>
        <v/>
      </c>
    </row>
    <row r="47" spans="1:4" x14ac:dyDescent="0.25">
      <c r="A47" s="150" t="str">
        <f ca="1">Berechnung5!L47</f>
        <v/>
      </c>
      <c r="B47" s="150" t="str">
        <f ca="1">Berechnung5!N47</f>
        <v/>
      </c>
      <c r="C47" s="183" t="str">
        <f ca="1">Berechnung5!O47</f>
        <v/>
      </c>
      <c r="D47" s="183" t="str">
        <f ca="1">Berechnung5!P47</f>
        <v/>
      </c>
    </row>
    <row r="48" spans="1:4" x14ac:dyDescent="0.25">
      <c r="A48" s="150" t="str">
        <f ca="1">Berechnung5!L48</f>
        <v/>
      </c>
      <c r="B48" s="150" t="str">
        <f ca="1">Berechnung5!N48</f>
        <v/>
      </c>
      <c r="C48" s="183" t="str">
        <f ca="1">Berechnung5!O48</f>
        <v/>
      </c>
      <c r="D48" s="183" t="str">
        <f ca="1">Berechnung5!P48</f>
        <v/>
      </c>
    </row>
    <row r="49" spans="1:4" x14ac:dyDescent="0.25">
      <c r="A49" s="150" t="str">
        <f ca="1">Berechnung5!L49</f>
        <v/>
      </c>
      <c r="B49" s="150" t="str">
        <f ca="1">Berechnung5!N49</f>
        <v/>
      </c>
      <c r="C49" s="183" t="str">
        <f ca="1">Berechnung5!O49</f>
        <v/>
      </c>
      <c r="D49" s="183" t="str">
        <f ca="1">Berechnung5!P49</f>
        <v/>
      </c>
    </row>
    <row r="50" spans="1:4" x14ac:dyDescent="0.25">
      <c r="A50" s="150" t="str">
        <f ca="1">Berechnung5!L50</f>
        <v/>
      </c>
      <c r="B50" s="150" t="str">
        <f ca="1">Berechnung5!N50</f>
        <v/>
      </c>
      <c r="C50" s="183" t="str">
        <f ca="1">Berechnung5!O50</f>
        <v/>
      </c>
      <c r="D50" s="183" t="str">
        <f ca="1">Berechnung5!P50</f>
        <v/>
      </c>
    </row>
    <row r="51" spans="1:4" x14ac:dyDescent="0.25">
      <c r="A51" s="150" t="str">
        <f ca="1">Berechnung5!L51</f>
        <v/>
      </c>
      <c r="B51" s="150" t="str">
        <f ca="1">Berechnung5!N51</f>
        <v/>
      </c>
      <c r="C51" s="183" t="str">
        <f ca="1">Berechnung5!O51</f>
        <v/>
      </c>
      <c r="D51" s="183" t="str">
        <f ca="1">Berechnung5!P51</f>
        <v/>
      </c>
    </row>
    <row r="52" spans="1:4" x14ac:dyDescent="0.25">
      <c r="A52" s="150" t="str">
        <f ca="1">Berechnung5!L52</f>
        <v/>
      </c>
      <c r="B52" s="150" t="str">
        <f ca="1">Berechnung5!N52</f>
        <v/>
      </c>
      <c r="C52" s="183" t="str">
        <f ca="1">Berechnung5!O52</f>
        <v/>
      </c>
      <c r="D52" s="183" t="str">
        <f ca="1">Berechnung5!P52</f>
        <v/>
      </c>
    </row>
    <row r="53" spans="1:4" x14ac:dyDescent="0.25">
      <c r="A53" s="150" t="str">
        <f ca="1">Berechnung5!L53</f>
        <v/>
      </c>
      <c r="B53" s="150" t="str">
        <f ca="1">Berechnung5!N53</f>
        <v/>
      </c>
      <c r="C53" s="183" t="str">
        <f ca="1">Berechnung5!O53</f>
        <v/>
      </c>
      <c r="D53" s="183" t="str">
        <f ca="1">Berechnung5!P53</f>
        <v/>
      </c>
    </row>
    <row r="54" spans="1:4" x14ac:dyDescent="0.25">
      <c r="A54" s="150" t="str">
        <f ca="1">Berechnung5!L54</f>
        <v/>
      </c>
      <c r="B54" s="150" t="str">
        <f ca="1">Berechnung5!N54</f>
        <v/>
      </c>
      <c r="C54" s="183" t="str">
        <f ca="1">Berechnung5!O54</f>
        <v/>
      </c>
      <c r="D54" s="183" t="str">
        <f ca="1">Berechnung5!P54</f>
        <v/>
      </c>
    </row>
    <row r="55" spans="1:4" x14ac:dyDescent="0.25">
      <c r="A55" s="150" t="str">
        <f ca="1">Berechnung5!L55</f>
        <v/>
      </c>
      <c r="B55" s="150" t="str">
        <f ca="1">Berechnung5!N55</f>
        <v/>
      </c>
      <c r="C55" s="183" t="str">
        <f ca="1">Berechnung5!O55</f>
        <v/>
      </c>
      <c r="D55" s="183" t="str">
        <f ca="1">Berechnung5!P55</f>
        <v/>
      </c>
    </row>
    <row r="56" spans="1:4" x14ac:dyDescent="0.25">
      <c r="A56" s="150" t="str">
        <f ca="1">Berechnung5!L56</f>
        <v/>
      </c>
      <c r="B56" s="150" t="str">
        <f ca="1">Berechnung5!N56</f>
        <v/>
      </c>
      <c r="C56" s="183" t="str">
        <f ca="1">Berechnung5!O56</f>
        <v/>
      </c>
      <c r="D56" s="183" t="str">
        <f ca="1">Berechnung5!P56</f>
        <v/>
      </c>
    </row>
    <row r="57" spans="1:4" x14ac:dyDescent="0.25">
      <c r="A57" s="150" t="str">
        <f ca="1">Berechnung5!L57</f>
        <v/>
      </c>
      <c r="B57" s="150" t="str">
        <f ca="1">Berechnung5!N57</f>
        <v/>
      </c>
      <c r="C57" s="183" t="str">
        <f ca="1">Berechnung5!O57</f>
        <v/>
      </c>
      <c r="D57" s="183" t="str">
        <f ca="1">Berechnung5!P57</f>
        <v/>
      </c>
    </row>
  </sheetData>
  <phoneticPr fontId="75" type="noConversion"/>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7"/>
  <dimension ref="A1:W8"/>
  <sheetViews>
    <sheetView workbookViewId="0">
      <selection activeCell="B9" sqref="B9"/>
    </sheetView>
  </sheetViews>
  <sheetFormatPr defaultColWidth="9.140625" defaultRowHeight="11.25" x14ac:dyDescent="0.25"/>
  <cols>
    <col min="1" max="1" width="13.28515625" style="134" customWidth="1"/>
    <col min="2" max="2" width="9.140625" style="134" customWidth="1"/>
    <col min="3" max="3" width="13.5703125" style="134" customWidth="1"/>
    <col min="4" max="7" width="7.42578125" style="134" customWidth="1"/>
    <col min="8" max="8" width="12.85546875" style="134" customWidth="1"/>
    <col min="9" max="9" width="12.140625" style="134" customWidth="1"/>
    <col min="10" max="10" width="9.140625" style="134" customWidth="1"/>
    <col min="11" max="11" width="12.140625" style="134" customWidth="1"/>
    <col min="12" max="19" width="9.140625" style="134" customWidth="1"/>
    <col min="20" max="20" width="12.7109375" style="134" customWidth="1"/>
    <col min="21" max="16384" width="9.140625" style="134"/>
  </cols>
  <sheetData>
    <row r="1" spans="1:23" ht="86.25" customHeight="1" x14ac:dyDescent="0.25">
      <c r="A1" s="191" t="str">
        <f>'Matrix-Colon'!A21</f>
        <v>Relevante Nachsorgejahre</v>
      </c>
      <c r="B1" s="191" t="str">
        <f>'Matrix-Colon'!B21</f>
        <v xml:space="preserve">Jahr der Erstdiagnose  </v>
      </c>
      <c r="C1" s="191" t="str">
        <f>'Matrix-Colon'!C21</f>
        <v>Anzahl Primärpatienten</v>
      </c>
      <c r="D1" s="191" t="str">
        <f>LEFT('Matrix-Colon'!D21,6)</f>
        <v>UICC I</v>
      </c>
      <c r="E1" s="191" t="str">
        <f>LEFT('Matrix-Colon'!E21,7)</f>
        <v>UICC II</v>
      </c>
      <c r="F1" s="191" t="str">
        <f>LEFT('Matrix-Colon'!F21,8)</f>
        <v>UICC III</v>
      </c>
      <c r="G1" s="191" t="str">
        <f>LEFT('Matrix-Colon'!G21,9)</f>
        <v xml:space="preserve">UICC IV  </v>
      </c>
      <c r="H1" s="191" t="str">
        <f>LEFT('Matrix-Colon'!I21,59)</f>
        <v xml:space="preserve">Patienten  „im Follow-Up“
(aus Grundgesamtheit Primärpat.) </v>
      </c>
      <c r="I1" s="191" t="str">
        <f>LEFT('Matrix-Colon'!J21,33)</f>
        <v>Follow-Up-Daten vom Krebsregister</v>
      </c>
      <c r="J1" s="191" t="str">
        <f>LEFT('Matrix-Colon'!K21,57)</f>
        <v>Follow-Up-Daten vom Zentrum  
(bzw. Quelle nicht bekannt)</v>
      </c>
      <c r="K1" s="191" t="str">
        <f>LEFT('Matrix-Colon'!L21,18)</f>
        <v xml:space="preserve">Keine Rückmeldung </v>
      </c>
      <c r="L1" s="191" t="str">
        <f>'Matrix-Colon'!M21</f>
        <v>Follow-Up Quote in %
= (J + K) / I</v>
      </c>
      <c r="M1" s="191" t="str">
        <f>'Matrix-Colon'!O21</f>
        <v>Patienten tumorfrei</v>
      </c>
      <c r="N1" s="191" t="str">
        <f>'Matrix-Colon'!P21</f>
        <v>Relative Quote tumorfrei 
= O / (J + K)</v>
      </c>
      <c r="O1" s="191" t="str">
        <f>LEFT('Matrix-Colon'!Q21,59)</f>
        <v>Patienten mit mindestens 1 der Ereignisse in Spalte R bis T</v>
      </c>
      <c r="P1" s="191" t="str">
        <f>'Matrix-Colon'!R21</f>
        <v xml:space="preserve"> Pat. mit lokoregionärem Rezidiv</v>
      </c>
      <c r="Q1" s="191" t="str">
        <f>'Matrix-Colon'!S21</f>
        <v xml:space="preserve"> Pat. mit Lymphknotenrezidiv</v>
      </c>
      <c r="R1" s="191" t="str">
        <f>'Matrix-Colon'!T21</f>
        <v xml:space="preserve"> Pat. mit Fernmetastasen</v>
      </c>
      <c r="S1" s="191" t="str">
        <f>'Matrix-Colon'!U21</f>
        <v>Diagnose Zweitmalignom im Verlauf</v>
      </c>
      <c r="T1" s="191" t="str">
        <f>'Matrix-Colon'!V21</f>
        <v>Tumorbedingt gestorben (bezüglich jeder Tumorentität)</v>
      </c>
      <c r="U1" s="191" t="str">
        <f>'Matrix-Colon'!W21</f>
        <v>Nicht tumorbedingt gestorben bzw. Todesursache unbekannt</v>
      </c>
      <c r="V1" s="191" t="str">
        <f>'Matrix-Colon'!Y21</f>
        <v>DFS nach Kaplan-Meier
(Disease Free Survival) in %</v>
      </c>
      <c r="W1" s="191" t="str">
        <f>'Matrix-Colon'!Z21</f>
        <v>OAS nach Kaplan-Meier    
(Overall Survival) in %</v>
      </c>
    </row>
    <row r="2" spans="1:23" x14ac:dyDescent="0.25">
      <c r="A2" s="193" t="str">
        <f>'Matrix-Colon'!A23</f>
        <v>nicht relevant</v>
      </c>
      <c r="B2" s="241">
        <v>2013</v>
      </c>
      <c r="C2" s="241">
        <f>IF('Matrix-Colon'!C23="","---",'Matrix-Colon'!C23)</f>
        <v>0</v>
      </c>
      <c r="D2" s="241" t="str">
        <f>IF('Matrix-Colon'!D23="","",'Matrix-Colon'!D23)</f>
        <v/>
      </c>
      <c r="E2" s="241" t="str">
        <f>IF('Matrix-Colon'!E23="","",'Matrix-Colon'!E23)</f>
        <v/>
      </c>
      <c r="F2" s="241" t="str">
        <f>IF('Matrix-Colon'!F23="","",'Matrix-Colon'!F23)</f>
        <v/>
      </c>
      <c r="G2" s="241" t="str">
        <f>IF('Matrix-Colon'!G23="","",'Matrix-Colon'!G23)</f>
        <v/>
      </c>
      <c r="H2" s="241" t="str">
        <f>IF('Matrix-Colon'!I23="","",'Matrix-Colon'!I23)</f>
        <v/>
      </c>
      <c r="I2" s="241" t="str">
        <f>IF('Matrix-Colon'!J23="","",'Matrix-Colon'!J23)</f>
        <v/>
      </c>
      <c r="J2" s="241" t="str">
        <f>IF('Matrix-Colon'!K23="","",'Matrix-Colon'!K23)</f>
        <v/>
      </c>
      <c r="K2" s="241" t="str">
        <f>IF('Matrix-Colon'!L23="","",'Matrix-Colon'!L23)</f>
        <v/>
      </c>
      <c r="L2" s="194" t="str">
        <f>IF('Matrix-Colon'!M23="","",'Matrix-Colon'!M23*100)</f>
        <v/>
      </c>
      <c r="M2" s="241" t="str">
        <f>IF('Matrix-Colon'!O23="","",'Matrix-Colon'!O23)</f>
        <v/>
      </c>
      <c r="N2" s="194" t="str">
        <f>IF('Matrix-Colon'!P23="","",'Matrix-Colon'!P23*100)</f>
        <v/>
      </c>
      <c r="O2" s="241" t="str">
        <f>IF('Matrix-Colon'!Q23="","",'Matrix-Colon'!Q23)</f>
        <v/>
      </c>
      <c r="P2" s="241" t="str">
        <f>IF('Matrix-Colon'!R23="","",'Matrix-Colon'!R23)</f>
        <v/>
      </c>
      <c r="Q2" s="241" t="str">
        <f>IF('Matrix-Colon'!S23="","",'Matrix-Colon'!S23)</f>
        <v/>
      </c>
      <c r="R2" s="241" t="str">
        <f>IF('Matrix-Colon'!T23="","",'Matrix-Colon'!T23)</f>
        <v/>
      </c>
      <c r="S2" s="241" t="str">
        <f>IF('Matrix-Colon'!U23="","",'Matrix-Colon'!U23)</f>
        <v/>
      </c>
      <c r="T2" s="241" t="str">
        <f>IF('Matrix-Colon'!V23="","",'Matrix-Colon'!V23)</f>
        <v/>
      </c>
      <c r="U2" s="241" t="str">
        <f>IF('Matrix-Colon'!W23="","",'Matrix-Colon'!W23)</f>
        <v/>
      </c>
      <c r="V2" s="194" t="str">
        <f>IF('Matrix-Colon'!Y23="","",'Matrix-Colon'!Y23*100)</f>
        <v/>
      </c>
      <c r="W2" s="194" t="str">
        <f>IF('Matrix-Colon'!Z23="","",'Matrix-Colon'!Z23*100)</f>
        <v/>
      </c>
    </row>
    <row r="3" spans="1:23" x14ac:dyDescent="0.25">
      <c r="A3" s="236" t="str">
        <f>'Matrix-Colon'!A24</f>
        <v>nicht relevant</v>
      </c>
      <c r="B3" s="217">
        <v>2014</v>
      </c>
      <c r="C3" s="217">
        <f>IF('Matrix-Colon'!C24="","---",'Matrix-Colon'!C24)</f>
        <v>0</v>
      </c>
      <c r="D3" s="241" t="str">
        <f>IF('Matrix-Colon'!D24="","",'Matrix-Colon'!D24)</f>
        <v/>
      </c>
      <c r="E3" s="241" t="str">
        <f>IF('Matrix-Colon'!E24="","",'Matrix-Colon'!E24)</f>
        <v/>
      </c>
      <c r="F3" s="241" t="str">
        <f>IF('Matrix-Colon'!F24="","",'Matrix-Colon'!F24)</f>
        <v/>
      </c>
      <c r="G3" s="241" t="str">
        <f>IF('Matrix-Colon'!G24="","",'Matrix-Colon'!G24)</f>
        <v/>
      </c>
      <c r="H3" s="241" t="str">
        <f>IF('Matrix-Colon'!I24="","",'Matrix-Colon'!I24)</f>
        <v/>
      </c>
      <c r="I3" s="241" t="str">
        <f>IF('Matrix-Colon'!J24="","",'Matrix-Colon'!J24)</f>
        <v/>
      </c>
      <c r="J3" s="241" t="str">
        <f>IF('Matrix-Colon'!K24="","",'Matrix-Colon'!K24)</f>
        <v/>
      </c>
      <c r="K3" s="241" t="str">
        <f>IF('Matrix-Colon'!L24="","",'Matrix-Colon'!L24)</f>
        <v/>
      </c>
      <c r="L3" s="194" t="str">
        <f>IF('Matrix-Colon'!M24="","",'Matrix-Colon'!M24*100)</f>
        <v/>
      </c>
      <c r="M3" s="241" t="str">
        <f>IF('Matrix-Colon'!O24="","",'Matrix-Colon'!O24)</f>
        <v/>
      </c>
      <c r="N3" s="194" t="str">
        <f>IF('Matrix-Colon'!P24="","",'Matrix-Colon'!P24*100)</f>
        <v/>
      </c>
      <c r="O3" s="241" t="str">
        <f>IF('Matrix-Colon'!Q24="","",'Matrix-Colon'!Q24)</f>
        <v/>
      </c>
      <c r="P3" s="241" t="str">
        <f>IF('Matrix-Colon'!R24="","",'Matrix-Colon'!R24)</f>
        <v/>
      </c>
      <c r="Q3" s="241" t="str">
        <f>IF('Matrix-Colon'!S24="","",'Matrix-Colon'!S24)</f>
        <v/>
      </c>
      <c r="R3" s="241" t="str">
        <f>IF('Matrix-Colon'!T24="","",'Matrix-Colon'!T24)</f>
        <v/>
      </c>
      <c r="S3" s="241" t="str">
        <f>IF('Matrix-Colon'!U24="","",'Matrix-Colon'!U24)</f>
        <v/>
      </c>
      <c r="T3" s="241" t="str">
        <f>IF('Matrix-Colon'!V24="","",'Matrix-Colon'!V24)</f>
        <v/>
      </c>
      <c r="U3" s="241" t="str">
        <f>IF('Matrix-Colon'!W24="","",'Matrix-Colon'!W24)</f>
        <v/>
      </c>
      <c r="V3" s="194" t="str">
        <f>IF('Matrix-Colon'!Y24="","",'Matrix-Colon'!Y24*100)</f>
        <v/>
      </c>
      <c r="W3" s="194" t="str">
        <f>IF('Matrix-Colon'!Z24="","",'Matrix-Colon'!Z24*100)</f>
        <v/>
      </c>
    </row>
    <row r="4" spans="1:23" x14ac:dyDescent="0.25">
      <c r="A4" s="236" t="str">
        <f>'Matrix-Colon'!A25</f>
        <v>nicht relevant</v>
      </c>
      <c r="B4" s="217">
        <v>2015</v>
      </c>
      <c r="C4" s="217">
        <f>IF('Matrix-Colon'!C25="","---",'Matrix-Colon'!C25)</f>
        <v>0</v>
      </c>
      <c r="D4" s="241" t="str">
        <f>IF('Matrix-Colon'!D25="","",'Matrix-Colon'!D25)</f>
        <v/>
      </c>
      <c r="E4" s="241" t="str">
        <f>IF('Matrix-Colon'!E25="","",'Matrix-Colon'!E25)</f>
        <v/>
      </c>
      <c r="F4" s="241" t="str">
        <f>IF('Matrix-Colon'!F25="","",'Matrix-Colon'!F25)</f>
        <v/>
      </c>
      <c r="G4" s="241" t="str">
        <f>IF('Matrix-Colon'!G25="","",'Matrix-Colon'!G25)</f>
        <v/>
      </c>
      <c r="H4" s="241" t="str">
        <f>IF('Matrix-Colon'!I25="","",'Matrix-Colon'!I25)</f>
        <v/>
      </c>
      <c r="I4" s="241" t="str">
        <f>IF('Matrix-Colon'!J25="","",'Matrix-Colon'!J25)</f>
        <v/>
      </c>
      <c r="J4" s="241" t="str">
        <f>IF('Matrix-Colon'!K25="","",'Matrix-Colon'!K25)</f>
        <v/>
      </c>
      <c r="K4" s="241" t="str">
        <f>IF('Matrix-Colon'!L25="","",'Matrix-Colon'!L25)</f>
        <v/>
      </c>
      <c r="L4" s="194" t="str">
        <f>IF('Matrix-Colon'!M25="","",'Matrix-Colon'!M25*100)</f>
        <v/>
      </c>
      <c r="M4" s="241" t="str">
        <f>IF('Matrix-Colon'!O25="","",'Matrix-Colon'!O25)</f>
        <v/>
      </c>
      <c r="N4" s="194" t="str">
        <f>IF('Matrix-Colon'!P25="","",'Matrix-Colon'!P25*100)</f>
        <v/>
      </c>
      <c r="O4" s="241" t="str">
        <f>IF('Matrix-Colon'!Q25="","",'Matrix-Colon'!Q25)</f>
        <v/>
      </c>
      <c r="P4" s="241" t="str">
        <f>IF('Matrix-Colon'!R25="","",'Matrix-Colon'!R25)</f>
        <v/>
      </c>
      <c r="Q4" s="241" t="str">
        <f>IF('Matrix-Colon'!S25="","",'Matrix-Colon'!S25)</f>
        <v/>
      </c>
      <c r="R4" s="241" t="str">
        <f>IF('Matrix-Colon'!T25="","",'Matrix-Colon'!T25)</f>
        <v/>
      </c>
      <c r="S4" s="241" t="str">
        <f>IF('Matrix-Colon'!U25="","",'Matrix-Colon'!U25)</f>
        <v/>
      </c>
      <c r="T4" s="241" t="str">
        <f>IF('Matrix-Colon'!V25="","",'Matrix-Colon'!V25)</f>
        <v/>
      </c>
      <c r="U4" s="241" t="str">
        <f>IF('Matrix-Colon'!W25="","",'Matrix-Colon'!W25)</f>
        <v/>
      </c>
      <c r="V4" s="194" t="str">
        <f>IF('Matrix-Colon'!Y25="","",'Matrix-Colon'!Y25*100)</f>
        <v/>
      </c>
      <c r="W4" s="194" t="str">
        <f>IF('Matrix-Colon'!Z25="","",'Matrix-Colon'!Z25*100)</f>
        <v/>
      </c>
    </row>
    <row r="5" spans="1:23" x14ac:dyDescent="0.25">
      <c r="A5" s="236" t="str">
        <f>'Matrix-Colon'!A26</f>
        <v>nicht relevant</v>
      </c>
      <c r="B5" s="217">
        <v>2016</v>
      </c>
      <c r="C5" s="217">
        <f>IF('Matrix-Colon'!C26="","---",'Matrix-Colon'!C26)</f>
        <v>0</v>
      </c>
      <c r="D5" s="241" t="str">
        <f>IF('Matrix-Colon'!D26="","",'Matrix-Colon'!D26)</f>
        <v/>
      </c>
      <c r="E5" s="241" t="str">
        <f>IF('Matrix-Colon'!E26="","",'Matrix-Colon'!E26)</f>
        <v/>
      </c>
      <c r="F5" s="241" t="str">
        <f>IF('Matrix-Colon'!F26="","",'Matrix-Colon'!F26)</f>
        <v/>
      </c>
      <c r="G5" s="241" t="str">
        <f>IF('Matrix-Colon'!G26="","",'Matrix-Colon'!G26)</f>
        <v/>
      </c>
      <c r="H5" s="241" t="str">
        <f>IF('Matrix-Colon'!I26="","",'Matrix-Colon'!I26)</f>
        <v/>
      </c>
      <c r="I5" s="241" t="str">
        <f>IF('Matrix-Colon'!J26="","",'Matrix-Colon'!J26)</f>
        <v/>
      </c>
      <c r="J5" s="241" t="str">
        <f>IF('Matrix-Colon'!K26="","",'Matrix-Colon'!K26)</f>
        <v/>
      </c>
      <c r="K5" s="241" t="str">
        <f>IF('Matrix-Colon'!L26="","",'Matrix-Colon'!L26)</f>
        <v/>
      </c>
      <c r="L5" s="194" t="str">
        <f>IF('Matrix-Colon'!M26="","",'Matrix-Colon'!M26*100)</f>
        <v/>
      </c>
      <c r="M5" s="241" t="str">
        <f>IF('Matrix-Colon'!O26="","",'Matrix-Colon'!O26)</f>
        <v/>
      </c>
      <c r="N5" s="194" t="str">
        <f>IF('Matrix-Colon'!P26="","",'Matrix-Colon'!P26*100)</f>
        <v/>
      </c>
      <c r="O5" s="241" t="str">
        <f>IF('Matrix-Colon'!Q26="","",'Matrix-Colon'!Q26)</f>
        <v/>
      </c>
      <c r="P5" s="241" t="str">
        <f>IF('Matrix-Colon'!R26="","",'Matrix-Colon'!R26)</f>
        <v/>
      </c>
      <c r="Q5" s="241" t="str">
        <f>IF('Matrix-Colon'!S26="","",'Matrix-Colon'!S26)</f>
        <v/>
      </c>
      <c r="R5" s="241" t="str">
        <f>IF('Matrix-Colon'!T26="","",'Matrix-Colon'!T26)</f>
        <v/>
      </c>
      <c r="S5" s="241" t="str">
        <f>IF('Matrix-Colon'!U26="","",'Matrix-Colon'!U26)</f>
        <v/>
      </c>
      <c r="T5" s="241" t="str">
        <f>IF('Matrix-Colon'!V26="","",'Matrix-Colon'!V26)</f>
        <v/>
      </c>
      <c r="U5" s="241" t="str">
        <f>IF('Matrix-Colon'!W26="","",'Matrix-Colon'!W26)</f>
        <v/>
      </c>
      <c r="V5" s="194" t="str">
        <f>IF('Matrix-Colon'!Y26="","",'Matrix-Colon'!Y26*100)</f>
        <v/>
      </c>
      <c r="W5" s="194" t="str">
        <f>IF('Matrix-Colon'!Z26="","",'Matrix-Colon'!Z26*100)</f>
        <v/>
      </c>
    </row>
    <row r="6" spans="1:23" x14ac:dyDescent="0.25">
      <c r="A6" s="236" t="str">
        <f>'Matrix-Colon'!A27</f>
        <v>nicht relevant</v>
      </c>
      <c r="B6" s="217">
        <v>2017</v>
      </c>
      <c r="C6" s="217">
        <f>IF('Matrix-Colon'!C27="","---",'Matrix-Colon'!C27)</f>
        <v>0</v>
      </c>
      <c r="D6" s="241" t="str">
        <f>IF('Matrix-Colon'!D27="","",'Matrix-Colon'!D27)</f>
        <v/>
      </c>
      <c r="E6" s="241" t="str">
        <f>IF('Matrix-Colon'!E27="","",'Matrix-Colon'!E27)</f>
        <v/>
      </c>
      <c r="F6" s="241" t="str">
        <f>IF('Matrix-Colon'!F27="","",'Matrix-Colon'!F27)</f>
        <v/>
      </c>
      <c r="G6" s="241" t="str">
        <f>IF('Matrix-Colon'!G27="","",'Matrix-Colon'!G27)</f>
        <v/>
      </c>
      <c r="H6" s="241" t="str">
        <f>IF('Matrix-Colon'!I27="","",'Matrix-Colon'!I27)</f>
        <v/>
      </c>
      <c r="I6" s="241" t="str">
        <f>IF('Matrix-Colon'!J27="","",'Matrix-Colon'!J27)</f>
        <v/>
      </c>
      <c r="J6" s="241" t="str">
        <f>IF('Matrix-Colon'!K27="","",'Matrix-Colon'!K27)</f>
        <v/>
      </c>
      <c r="K6" s="241" t="str">
        <f>IF('Matrix-Colon'!L27="","",'Matrix-Colon'!L27)</f>
        <v/>
      </c>
      <c r="L6" s="194" t="str">
        <f>IF('Matrix-Colon'!M27="","",'Matrix-Colon'!M27*100)</f>
        <v/>
      </c>
      <c r="M6" s="241" t="str">
        <f>IF('Matrix-Colon'!O27="","",'Matrix-Colon'!O27)</f>
        <v/>
      </c>
      <c r="N6" s="194" t="str">
        <f>IF('Matrix-Colon'!P27="","",'Matrix-Colon'!P27*100)</f>
        <v/>
      </c>
      <c r="O6" s="241" t="str">
        <f>IF('Matrix-Colon'!Q27="","",'Matrix-Colon'!Q27)</f>
        <v/>
      </c>
      <c r="P6" s="241" t="str">
        <f>IF('Matrix-Colon'!R27="","",'Matrix-Colon'!R27)</f>
        <v/>
      </c>
      <c r="Q6" s="241" t="str">
        <f>IF('Matrix-Colon'!S27="","",'Matrix-Colon'!S27)</f>
        <v/>
      </c>
      <c r="R6" s="241" t="str">
        <f>IF('Matrix-Colon'!T27="","",'Matrix-Colon'!T27)</f>
        <v/>
      </c>
      <c r="S6" s="241" t="str">
        <f>IF('Matrix-Colon'!U27="","",'Matrix-Colon'!U27)</f>
        <v/>
      </c>
      <c r="T6" s="241" t="str">
        <f>IF('Matrix-Colon'!V27="","",'Matrix-Colon'!V27)</f>
        <v/>
      </c>
      <c r="U6" s="241" t="str">
        <f>IF('Matrix-Colon'!W27="","",'Matrix-Colon'!W27)</f>
        <v/>
      </c>
      <c r="V6" s="194" t="str">
        <f>IF('Matrix-Colon'!Y27="","",'Matrix-Colon'!Y27*100)</f>
        <v/>
      </c>
      <c r="W6" s="194" t="str">
        <f>IF('Matrix-Colon'!Z27="","",'Matrix-Colon'!Z27*100)</f>
        <v/>
      </c>
    </row>
    <row r="7" spans="1:23" x14ac:dyDescent="0.25">
      <c r="A7" s="172" t="s">
        <v>144</v>
      </c>
      <c r="B7" s="217">
        <v>2018</v>
      </c>
      <c r="C7" s="217">
        <v>0</v>
      </c>
      <c r="D7" s="241"/>
      <c r="E7" s="241"/>
      <c r="F7" s="241"/>
      <c r="G7" s="241"/>
      <c r="H7" s="241"/>
      <c r="I7" s="241"/>
      <c r="J7" s="241"/>
      <c r="K7" s="241"/>
      <c r="L7" s="194"/>
      <c r="M7" s="241"/>
      <c r="N7" s="194"/>
      <c r="O7" s="241"/>
      <c r="P7" s="241"/>
      <c r="Q7" s="241"/>
      <c r="R7" s="241"/>
      <c r="S7" s="241"/>
      <c r="T7" s="241"/>
      <c r="U7" s="241"/>
      <c r="V7" s="194"/>
      <c r="W7" s="194"/>
    </row>
    <row r="8" spans="1:23" x14ac:dyDescent="0.25">
      <c r="A8" s="236" t="str">
        <f>'Matrix-Colon'!A28</f>
        <v>nicht relevant</v>
      </c>
      <c r="B8" s="217">
        <v>2019</v>
      </c>
      <c r="C8" s="217">
        <f>IF('Matrix-Colon'!C28="","---",'Matrix-Colon'!C28)</f>
        <v>0</v>
      </c>
      <c r="D8" s="241" t="str">
        <f>IF('Matrix-Colon'!D28="","",'Matrix-Colon'!D28)</f>
        <v/>
      </c>
      <c r="E8" s="241" t="str">
        <f>IF('Matrix-Colon'!E28="","",'Matrix-Colon'!E28)</f>
        <v/>
      </c>
      <c r="F8" s="241" t="str">
        <f>IF('Matrix-Colon'!F28="","",'Matrix-Colon'!F28)</f>
        <v/>
      </c>
      <c r="G8" s="241" t="str">
        <f>IF('Matrix-Colon'!G28="","",'Matrix-Colon'!G28)</f>
        <v/>
      </c>
      <c r="H8" s="241" t="str">
        <f>IF('Matrix-Colon'!I28="","",'Matrix-Colon'!I28)</f>
        <v/>
      </c>
      <c r="I8" s="241" t="str">
        <f>IF('Matrix-Colon'!J28="","",'Matrix-Colon'!J28)</f>
        <v/>
      </c>
      <c r="J8" s="241" t="str">
        <f>IF('Matrix-Colon'!K28="","",'Matrix-Colon'!K28)</f>
        <v/>
      </c>
      <c r="K8" s="241" t="str">
        <f>IF('Matrix-Colon'!L28="","",'Matrix-Colon'!L28)</f>
        <v/>
      </c>
      <c r="L8" s="194" t="str">
        <f>IF('Matrix-Colon'!M28="","",'Matrix-Colon'!M28*100)</f>
        <v/>
      </c>
      <c r="M8" s="241" t="str">
        <f>IF('Matrix-Colon'!O28="","",'Matrix-Colon'!O28)</f>
        <v/>
      </c>
      <c r="N8" s="194" t="str">
        <f>IF('Matrix-Colon'!P28="","",'Matrix-Colon'!P28*100)</f>
        <v/>
      </c>
      <c r="O8" s="241" t="str">
        <f>IF('Matrix-Colon'!Q28="","",'Matrix-Colon'!Q28)</f>
        <v/>
      </c>
      <c r="P8" s="241" t="str">
        <f>IF('Matrix-Colon'!R28="","",'Matrix-Colon'!R28)</f>
        <v/>
      </c>
      <c r="Q8" s="241" t="str">
        <f>IF('Matrix-Colon'!S28="","",'Matrix-Colon'!S28)</f>
        <v/>
      </c>
      <c r="R8" s="241" t="str">
        <f>IF('Matrix-Colon'!T28="","",'Matrix-Colon'!T28)</f>
        <v/>
      </c>
      <c r="S8" s="241" t="str">
        <f>IF('Matrix-Colon'!U28="","",'Matrix-Colon'!U28)</f>
        <v/>
      </c>
      <c r="T8" s="241" t="str">
        <f>IF('Matrix-Colon'!V28="","",'Matrix-Colon'!V28)</f>
        <v/>
      </c>
      <c r="U8" s="241" t="str">
        <f>IF('Matrix-Colon'!W28="","",'Matrix-Colon'!W28)</f>
        <v/>
      </c>
      <c r="V8" s="194" t="str">
        <f>IF('Matrix-Colon'!Y28="","",'Matrix-Colon'!Y28*100)</f>
        <v/>
      </c>
      <c r="W8" s="194" t="str">
        <f>IF('Matrix-Colon'!Z28="","",'Matrix-Colon'!Z28*100)</f>
        <v/>
      </c>
    </row>
  </sheetData>
  <phoneticPr fontId="75" type="noConversion"/>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2"/>
  <dimension ref="A1:D57"/>
  <sheetViews>
    <sheetView workbookViewId="0">
      <selection activeCell="A2" sqref="A2"/>
    </sheetView>
  </sheetViews>
  <sheetFormatPr defaultColWidth="9.140625" defaultRowHeight="12" x14ac:dyDescent="0.25"/>
  <cols>
    <col min="1" max="1" width="20.5703125" style="150" customWidth="1"/>
    <col min="2" max="2" width="21.140625" style="150" customWidth="1"/>
    <col min="3" max="4" width="66.28515625" style="148" customWidth="1"/>
    <col min="5" max="16384" width="9.140625" style="149"/>
  </cols>
  <sheetData>
    <row r="1" spans="1:4" ht="31.5" customHeight="1" x14ac:dyDescent="0.25">
      <c r="A1" s="151" t="s">
        <v>313</v>
      </c>
      <c r="B1" s="152" t="s">
        <v>121</v>
      </c>
      <c r="C1" s="152" t="s">
        <v>240</v>
      </c>
      <c r="D1" s="151" t="s">
        <v>50</v>
      </c>
    </row>
    <row r="2" spans="1:4" x14ac:dyDescent="0.25">
      <c r="A2" s="150" t="str">
        <f ca="1">Berechnung3!L2</f>
        <v/>
      </c>
      <c r="B2" s="150" t="str">
        <f ca="1">Berechnung3!N2</f>
        <v/>
      </c>
      <c r="C2" s="148" t="str">
        <f ca="1">Berechnung3!O2</f>
        <v/>
      </c>
      <c r="D2" s="148" t="str">
        <f ca="1">Berechnung3!P2</f>
        <v/>
      </c>
    </row>
    <row r="3" spans="1:4" x14ac:dyDescent="0.25">
      <c r="A3" s="150" t="str">
        <f ca="1">Berechnung3!L3</f>
        <v/>
      </c>
      <c r="B3" s="150" t="str">
        <f ca="1">Berechnung3!N3</f>
        <v/>
      </c>
      <c r="C3" s="148" t="str">
        <f ca="1">Berechnung3!O3</f>
        <v/>
      </c>
      <c r="D3" s="148" t="str">
        <f ca="1">Berechnung3!P3</f>
        <v/>
      </c>
    </row>
    <row r="4" spans="1:4" x14ac:dyDescent="0.25">
      <c r="A4" s="150" t="str">
        <f ca="1">Berechnung3!L4</f>
        <v/>
      </c>
      <c r="B4" s="150" t="str">
        <f ca="1">Berechnung3!N4</f>
        <v/>
      </c>
      <c r="C4" s="148" t="str">
        <f ca="1">Berechnung3!O4</f>
        <v/>
      </c>
      <c r="D4" s="148" t="str">
        <f ca="1">Berechnung3!P4</f>
        <v/>
      </c>
    </row>
    <row r="5" spans="1:4" x14ac:dyDescent="0.25">
      <c r="A5" s="150" t="str">
        <f ca="1">Berechnung3!L5</f>
        <v/>
      </c>
      <c r="B5" s="150" t="str">
        <f ca="1">Berechnung3!N5</f>
        <v/>
      </c>
      <c r="C5" s="148" t="str">
        <f ca="1">Berechnung3!O5</f>
        <v/>
      </c>
      <c r="D5" s="148" t="str">
        <f ca="1">Berechnung3!P5</f>
        <v/>
      </c>
    </row>
    <row r="6" spans="1:4" x14ac:dyDescent="0.25">
      <c r="A6" s="150" t="str">
        <f ca="1">Berechnung3!L6</f>
        <v/>
      </c>
      <c r="B6" s="150" t="str">
        <f ca="1">Berechnung3!N6</f>
        <v/>
      </c>
      <c r="C6" s="148" t="str">
        <f ca="1">Berechnung3!O6</f>
        <v/>
      </c>
      <c r="D6" s="148" t="str">
        <f ca="1">Berechnung3!P6</f>
        <v/>
      </c>
    </row>
    <row r="7" spans="1:4" x14ac:dyDescent="0.25">
      <c r="A7" s="150" t="str">
        <f ca="1">Berechnung3!L7</f>
        <v/>
      </c>
      <c r="B7" s="150" t="str">
        <f ca="1">Berechnung3!N7</f>
        <v/>
      </c>
      <c r="C7" s="148" t="str">
        <f ca="1">Berechnung3!O7</f>
        <v/>
      </c>
      <c r="D7" s="148" t="str">
        <f ca="1">Berechnung3!P7</f>
        <v/>
      </c>
    </row>
    <row r="8" spans="1:4" x14ac:dyDescent="0.25">
      <c r="A8" s="150" t="str">
        <f ca="1">Berechnung3!L8</f>
        <v/>
      </c>
      <c r="B8" s="150" t="str">
        <f ca="1">Berechnung3!N8</f>
        <v/>
      </c>
      <c r="C8" s="148" t="str">
        <f ca="1">Berechnung3!O8</f>
        <v/>
      </c>
      <c r="D8" s="148" t="str">
        <f ca="1">Berechnung3!P8</f>
        <v/>
      </c>
    </row>
    <row r="9" spans="1:4" x14ac:dyDescent="0.25">
      <c r="A9" s="150" t="str">
        <f ca="1">Berechnung3!L9</f>
        <v/>
      </c>
      <c r="B9" s="150" t="str">
        <f ca="1">Berechnung3!N9</f>
        <v/>
      </c>
      <c r="C9" s="148" t="str">
        <f ca="1">Berechnung3!O9</f>
        <v/>
      </c>
      <c r="D9" s="148" t="str">
        <f ca="1">Berechnung3!P9</f>
        <v/>
      </c>
    </row>
    <row r="10" spans="1:4" x14ac:dyDescent="0.25">
      <c r="A10" s="150" t="str">
        <f ca="1">Berechnung3!L10</f>
        <v/>
      </c>
      <c r="B10" s="150" t="str">
        <f ca="1">Berechnung3!N10</f>
        <v/>
      </c>
      <c r="C10" s="148" t="str">
        <f ca="1">Berechnung3!O10</f>
        <v/>
      </c>
      <c r="D10" s="148" t="str">
        <f ca="1">Berechnung3!P10</f>
        <v/>
      </c>
    </row>
    <row r="11" spans="1:4" x14ac:dyDescent="0.25">
      <c r="A11" s="150" t="str">
        <f ca="1">Berechnung3!L11</f>
        <v/>
      </c>
      <c r="B11" s="150" t="str">
        <f ca="1">Berechnung3!N11</f>
        <v/>
      </c>
      <c r="C11" s="148" t="str">
        <f ca="1">Berechnung3!O11</f>
        <v/>
      </c>
      <c r="D11" s="148" t="str">
        <f ca="1">Berechnung3!P11</f>
        <v/>
      </c>
    </row>
    <row r="12" spans="1:4" x14ac:dyDescent="0.25">
      <c r="A12" s="150" t="str">
        <f ca="1">Berechnung3!L12</f>
        <v/>
      </c>
      <c r="B12" s="150" t="str">
        <f ca="1">Berechnung3!N12</f>
        <v/>
      </c>
      <c r="C12" s="148" t="str">
        <f ca="1">Berechnung3!O12</f>
        <v/>
      </c>
      <c r="D12" s="148" t="str">
        <f ca="1">Berechnung3!P12</f>
        <v/>
      </c>
    </row>
    <row r="13" spans="1:4" x14ac:dyDescent="0.25">
      <c r="A13" s="150" t="str">
        <f ca="1">Berechnung3!L13</f>
        <v/>
      </c>
      <c r="B13" s="150" t="str">
        <f ca="1">Berechnung3!N13</f>
        <v/>
      </c>
      <c r="C13" s="148" t="str">
        <f ca="1">Berechnung3!O13</f>
        <v/>
      </c>
      <c r="D13" s="148" t="str">
        <f ca="1">Berechnung3!P13</f>
        <v/>
      </c>
    </row>
    <row r="14" spans="1:4" x14ac:dyDescent="0.25">
      <c r="A14" s="150" t="str">
        <f ca="1">Berechnung3!L14</f>
        <v/>
      </c>
      <c r="B14" s="150" t="str">
        <f ca="1">Berechnung3!N14</f>
        <v/>
      </c>
      <c r="C14" s="148" t="str">
        <f ca="1">Berechnung3!O14</f>
        <v/>
      </c>
      <c r="D14" s="148" t="str">
        <f ca="1">Berechnung3!P14</f>
        <v/>
      </c>
    </row>
    <row r="15" spans="1:4" x14ac:dyDescent="0.25">
      <c r="A15" s="150" t="str">
        <f ca="1">Berechnung3!L15</f>
        <v/>
      </c>
      <c r="B15" s="150" t="str">
        <f ca="1">Berechnung3!N15</f>
        <v/>
      </c>
      <c r="C15" s="148" t="str">
        <f ca="1">Berechnung3!O15</f>
        <v/>
      </c>
      <c r="D15" s="148" t="str">
        <f ca="1">Berechnung3!P15</f>
        <v/>
      </c>
    </row>
    <row r="16" spans="1:4" x14ac:dyDescent="0.25">
      <c r="A16" s="150" t="str">
        <f ca="1">Berechnung3!L16</f>
        <v/>
      </c>
      <c r="B16" s="150" t="str">
        <f ca="1">Berechnung3!N16</f>
        <v/>
      </c>
      <c r="C16" s="148" t="str">
        <f ca="1">Berechnung3!O16</f>
        <v/>
      </c>
      <c r="D16" s="148" t="str">
        <f ca="1">Berechnung3!P16</f>
        <v/>
      </c>
    </row>
    <row r="17" spans="1:4" x14ac:dyDescent="0.25">
      <c r="A17" s="150" t="str">
        <f ca="1">Berechnung3!L17</f>
        <v/>
      </c>
      <c r="B17" s="150" t="str">
        <f ca="1">Berechnung3!N17</f>
        <v/>
      </c>
      <c r="C17" s="148" t="str">
        <f ca="1">Berechnung3!O17</f>
        <v/>
      </c>
      <c r="D17" s="148" t="str">
        <f ca="1">Berechnung3!P17</f>
        <v/>
      </c>
    </row>
    <row r="18" spans="1:4" x14ac:dyDescent="0.25">
      <c r="A18" s="150" t="str">
        <f ca="1">Berechnung3!L18</f>
        <v/>
      </c>
      <c r="B18" s="150" t="str">
        <f ca="1">Berechnung3!N18</f>
        <v/>
      </c>
      <c r="C18" s="148" t="str">
        <f ca="1">Berechnung3!O18</f>
        <v/>
      </c>
      <c r="D18" s="148" t="str">
        <f ca="1">Berechnung3!P18</f>
        <v/>
      </c>
    </row>
    <row r="19" spans="1:4" x14ac:dyDescent="0.25">
      <c r="A19" s="150" t="str">
        <f ca="1">Berechnung3!L19</f>
        <v/>
      </c>
      <c r="B19" s="150" t="str">
        <f ca="1">Berechnung3!N19</f>
        <v/>
      </c>
      <c r="C19" s="148" t="str">
        <f ca="1">Berechnung3!O19</f>
        <v/>
      </c>
      <c r="D19" s="148" t="str">
        <f ca="1">Berechnung3!P19</f>
        <v/>
      </c>
    </row>
    <row r="20" spans="1:4" x14ac:dyDescent="0.25">
      <c r="A20" s="150" t="str">
        <f ca="1">Berechnung3!L20</f>
        <v/>
      </c>
      <c r="B20" s="150" t="str">
        <f ca="1">Berechnung3!N20</f>
        <v/>
      </c>
      <c r="C20" s="148" t="str">
        <f ca="1">Berechnung3!O20</f>
        <v/>
      </c>
      <c r="D20" s="148" t="str">
        <f ca="1">Berechnung3!P20</f>
        <v/>
      </c>
    </row>
    <row r="21" spans="1:4" x14ac:dyDescent="0.25">
      <c r="A21" s="150" t="str">
        <f ca="1">Berechnung3!L21</f>
        <v/>
      </c>
      <c r="B21" s="150" t="str">
        <f ca="1">Berechnung3!N21</f>
        <v/>
      </c>
      <c r="C21" s="148" t="str">
        <f ca="1">Berechnung3!O21</f>
        <v/>
      </c>
      <c r="D21" s="148" t="str">
        <f ca="1">Berechnung3!P21</f>
        <v/>
      </c>
    </row>
    <row r="22" spans="1:4" x14ac:dyDescent="0.25">
      <c r="A22" s="150" t="str">
        <f ca="1">Berechnung3!L22</f>
        <v/>
      </c>
      <c r="B22" s="150" t="str">
        <f ca="1">Berechnung3!N22</f>
        <v/>
      </c>
      <c r="C22" s="148" t="str">
        <f ca="1">Berechnung3!O22</f>
        <v/>
      </c>
      <c r="D22" s="148" t="str">
        <f ca="1">Berechnung3!P22</f>
        <v/>
      </c>
    </row>
    <row r="23" spans="1:4" x14ac:dyDescent="0.25">
      <c r="A23" s="150" t="str">
        <f ca="1">Berechnung3!L23</f>
        <v/>
      </c>
      <c r="B23" s="150" t="str">
        <f ca="1">Berechnung3!N23</f>
        <v/>
      </c>
      <c r="C23" s="148" t="str">
        <f ca="1">Berechnung3!O23</f>
        <v/>
      </c>
      <c r="D23" s="148" t="str">
        <f ca="1">Berechnung3!P23</f>
        <v/>
      </c>
    </row>
    <row r="24" spans="1:4" x14ac:dyDescent="0.25">
      <c r="A24" s="150" t="str">
        <f ca="1">Berechnung3!L24</f>
        <v/>
      </c>
      <c r="B24" s="150" t="str">
        <f ca="1">Berechnung3!N24</f>
        <v/>
      </c>
      <c r="C24" s="148" t="str">
        <f ca="1">Berechnung3!O24</f>
        <v/>
      </c>
      <c r="D24" s="148" t="str">
        <f ca="1">Berechnung3!P24</f>
        <v/>
      </c>
    </row>
    <row r="25" spans="1:4" x14ac:dyDescent="0.25">
      <c r="A25" s="150" t="str">
        <f ca="1">Berechnung3!L25</f>
        <v/>
      </c>
      <c r="B25" s="150" t="str">
        <f ca="1">Berechnung3!N25</f>
        <v/>
      </c>
      <c r="C25" s="148" t="str">
        <f ca="1">Berechnung3!O25</f>
        <v/>
      </c>
      <c r="D25" s="148" t="str">
        <f ca="1">Berechnung3!P25</f>
        <v/>
      </c>
    </row>
    <row r="26" spans="1:4" x14ac:dyDescent="0.25">
      <c r="A26" s="150" t="str">
        <f ca="1">Berechnung3!L26</f>
        <v/>
      </c>
      <c r="B26" s="150" t="str">
        <f ca="1">Berechnung3!N26</f>
        <v/>
      </c>
      <c r="C26" s="148" t="str">
        <f ca="1">Berechnung3!O26</f>
        <v/>
      </c>
      <c r="D26" s="148" t="str">
        <f ca="1">Berechnung3!P26</f>
        <v/>
      </c>
    </row>
    <row r="27" spans="1:4" x14ac:dyDescent="0.25">
      <c r="A27" s="150" t="str">
        <f ca="1">Berechnung3!L27</f>
        <v/>
      </c>
      <c r="B27" s="150" t="str">
        <f ca="1">Berechnung3!N27</f>
        <v/>
      </c>
      <c r="C27" s="148" t="str">
        <f ca="1">Berechnung3!O27</f>
        <v/>
      </c>
      <c r="D27" s="148" t="str">
        <f ca="1">Berechnung3!P27</f>
        <v/>
      </c>
    </row>
    <row r="28" spans="1:4" x14ac:dyDescent="0.25">
      <c r="A28" s="150" t="str">
        <f ca="1">Berechnung3!L28</f>
        <v/>
      </c>
      <c r="B28" s="150" t="str">
        <f ca="1">Berechnung3!N28</f>
        <v/>
      </c>
      <c r="C28" s="148" t="str">
        <f ca="1">Berechnung3!O28</f>
        <v/>
      </c>
      <c r="D28" s="148" t="str">
        <f ca="1">Berechnung3!P28</f>
        <v/>
      </c>
    </row>
    <row r="29" spans="1:4" x14ac:dyDescent="0.25">
      <c r="A29" s="150" t="str">
        <f ca="1">Berechnung3!L29</f>
        <v/>
      </c>
      <c r="B29" s="150" t="str">
        <f ca="1">Berechnung3!N29</f>
        <v/>
      </c>
      <c r="C29" s="148" t="str">
        <f ca="1">Berechnung3!O29</f>
        <v/>
      </c>
      <c r="D29" s="148" t="str">
        <f ca="1">Berechnung3!P29</f>
        <v/>
      </c>
    </row>
    <row r="30" spans="1:4" x14ac:dyDescent="0.25">
      <c r="A30" s="150" t="str">
        <f ca="1">Berechnung3!L30</f>
        <v/>
      </c>
      <c r="B30" s="150" t="str">
        <f ca="1">Berechnung3!N30</f>
        <v/>
      </c>
      <c r="C30" s="148" t="str">
        <f ca="1">Berechnung3!O30</f>
        <v/>
      </c>
      <c r="D30" s="148" t="str">
        <f ca="1">Berechnung3!P30</f>
        <v/>
      </c>
    </row>
    <row r="31" spans="1:4" x14ac:dyDescent="0.25">
      <c r="A31" s="150" t="str">
        <f ca="1">Berechnung3!L31</f>
        <v/>
      </c>
      <c r="B31" s="150" t="str">
        <f ca="1">Berechnung3!N31</f>
        <v/>
      </c>
      <c r="C31" s="148" t="str">
        <f ca="1">Berechnung3!O31</f>
        <v/>
      </c>
      <c r="D31" s="148" t="str">
        <f ca="1">Berechnung3!P31</f>
        <v/>
      </c>
    </row>
    <row r="32" spans="1:4" x14ac:dyDescent="0.25">
      <c r="A32" s="150" t="str">
        <f ca="1">Berechnung3!L32</f>
        <v/>
      </c>
      <c r="B32" s="150" t="str">
        <f ca="1">Berechnung3!N32</f>
        <v/>
      </c>
      <c r="C32" s="148" t="str">
        <f ca="1">Berechnung3!O32</f>
        <v/>
      </c>
      <c r="D32" s="148" t="str">
        <f ca="1">Berechnung3!P32</f>
        <v/>
      </c>
    </row>
    <row r="33" spans="1:4" x14ac:dyDescent="0.25">
      <c r="A33" s="150" t="str">
        <f ca="1">Berechnung3!L33</f>
        <v/>
      </c>
      <c r="B33" s="150" t="str">
        <f ca="1">Berechnung3!N33</f>
        <v/>
      </c>
      <c r="C33" s="148" t="str">
        <f ca="1">Berechnung3!O33</f>
        <v/>
      </c>
      <c r="D33" s="148" t="str">
        <f ca="1">Berechnung3!P33</f>
        <v/>
      </c>
    </row>
    <row r="34" spans="1:4" x14ac:dyDescent="0.25">
      <c r="A34" s="150" t="str">
        <f ca="1">Berechnung3!L34</f>
        <v/>
      </c>
      <c r="B34" s="150" t="str">
        <f ca="1">Berechnung3!N34</f>
        <v/>
      </c>
      <c r="C34" s="148" t="str">
        <f ca="1">Berechnung3!O34</f>
        <v/>
      </c>
      <c r="D34" s="148" t="str">
        <f ca="1">Berechnung3!P34</f>
        <v/>
      </c>
    </row>
    <row r="35" spans="1:4" x14ac:dyDescent="0.25">
      <c r="A35" s="150" t="str">
        <f ca="1">Berechnung3!L35</f>
        <v/>
      </c>
      <c r="B35" s="150" t="str">
        <f ca="1">Berechnung3!N35</f>
        <v/>
      </c>
      <c r="C35" s="148" t="str">
        <f ca="1">Berechnung3!O35</f>
        <v/>
      </c>
      <c r="D35" s="148" t="str">
        <f ca="1">Berechnung3!P35</f>
        <v/>
      </c>
    </row>
    <row r="36" spans="1:4" x14ac:dyDescent="0.25">
      <c r="A36" s="150" t="str">
        <f ca="1">Berechnung3!L36</f>
        <v/>
      </c>
      <c r="B36" s="150" t="str">
        <f ca="1">Berechnung3!N36</f>
        <v/>
      </c>
      <c r="C36" s="148" t="str">
        <f ca="1">Berechnung3!O36</f>
        <v/>
      </c>
      <c r="D36" s="148" t="str">
        <f ca="1">Berechnung3!P36</f>
        <v/>
      </c>
    </row>
    <row r="37" spans="1:4" x14ac:dyDescent="0.25">
      <c r="A37" s="150" t="str">
        <f ca="1">Berechnung3!L37</f>
        <v/>
      </c>
      <c r="B37" s="150" t="str">
        <f ca="1">Berechnung3!N37</f>
        <v/>
      </c>
      <c r="C37" s="148" t="str">
        <f ca="1">Berechnung3!O37</f>
        <v/>
      </c>
      <c r="D37" s="148" t="str">
        <f ca="1">Berechnung3!P37</f>
        <v/>
      </c>
    </row>
    <row r="38" spans="1:4" x14ac:dyDescent="0.25">
      <c r="A38" s="150" t="str">
        <f ca="1">Berechnung3!L38</f>
        <v/>
      </c>
      <c r="B38" s="150" t="str">
        <f ca="1">Berechnung3!N38</f>
        <v/>
      </c>
      <c r="C38" s="148" t="str">
        <f ca="1">Berechnung3!O38</f>
        <v/>
      </c>
      <c r="D38" s="148" t="str">
        <f ca="1">Berechnung3!P38</f>
        <v/>
      </c>
    </row>
    <row r="39" spans="1:4" x14ac:dyDescent="0.25">
      <c r="A39" s="150" t="str">
        <f ca="1">Berechnung3!L39</f>
        <v/>
      </c>
      <c r="B39" s="150" t="str">
        <f ca="1">Berechnung3!N39</f>
        <v/>
      </c>
      <c r="C39" s="148" t="str">
        <f ca="1">Berechnung3!O39</f>
        <v/>
      </c>
      <c r="D39" s="148" t="str">
        <f ca="1">Berechnung3!P39</f>
        <v/>
      </c>
    </row>
    <row r="40" spans="1:4" x14ac:dyDescent="0.25">
      <c r="A40" s="150" t="str">
        <f ca="1">Berechnung3!L40</f>
        <v/>
      </c>
      <c r="B40" s="150" t="str">
        <f ca="1">Berechnung3!N40</f>
        <v/>
      </c>
      <c r="C40" s="148" t="str">
        <f ca="1">Berechnung3!O40</f>
        <v/>
      </c>
      <c r="D40" s="148" t="str">
        <f ca="1">Berechnung3!P40</f>
        <v/>
      </c>
    </row>
    <row r="41" spans="1:4" x14ac:dyDescent="0.25">
      <c r="A41" s="150" t="str">
        <f ca="1">Berechnung3!L41</f>
        <v/>
      </c>
      <c r="B41" s="150" t="str">
        <f ca="1">Berechnung3!N41</f>
        <v/>
      </c>
      <c r="C41" s="148" t="str">
        <f ca="1">Berechnung3!O41</f>
        <v/>
      </c>
      <c r="D41" s="148" t="str">
        <f ca="1">Berechnung3!P41</f>
        <v/>
      </c>
    </row>
    <row r="42" spans="1:4" x14ac:dyDescent="0.25">
      <c r="A42" s="150" t="str">
        <f ca="1">Berechnung3!L42</f>
        <v/>
      </c>
      <c r="B42" s="150" t="str">
        <f ca="1">Berechnung3!N42</f>
        <v/>
      </c>
      <c r="C42" s="148" t="str">
        <f ca="1">Berechnung3!O42</f>
        <v/>
      </c>
      <c r="D42" s="148" t="str">
        <f ca="1">Berechnung3!P42</f>
        <v/>
      </c>
    </row>
    <row r="43" spans="1:4" x14ac:dyDescent="0.25">
      <c r="A43" s="150" t="str">
        <f ca="1">Berechnung3!L43</f>
        <v/>
      </c>
      <c r="B43" s="150" t="str">
        <f ca="1">Berechnung3!N43</f>
        <v/>
      </c>
      <c r="C43" s="148" t="str">
        <f ca="1">Berechnung3!O43</f>
        <v/>
      </c>
      <c r="D43" s="148" t="str">
        <f ca="1">Berechnung3!P43</f>
        <v/>
      </c>
    </row>
    <row r="44" spans="1:4" x14ac:dyDescent="0.25">
      <c r="A44" s="150" t="str">
        <f ca="1">Berechnung3!L44</f>
        <v/>
      </c>
      <c r="B44" s="150" t="str">
        <f ca="1">Berechnung3!N44</f>
        <v/>
      </c>
      <c r="C44" s="148" t="str">
        <f ca="1">Berechnung3!O44</f>
        <v/>
      </c>
      <c r="D44" s="148" t="str">
        <f ca="1">Berechnung3!P44</f>
        <v/>
      </c>
    </row>
    <row r="45" spans="1:4" x14ac:dyDescent="0.25">
      <c r="A45" s="150" t="str">
        <f ca="1">Berechnung3!L45</f>
        <v/>
      </c>
      <c r="B45" s="150" t="str">
        <f ca="1">Berechnung3!N45</f>
        <v/>
      </c>
      <c r="C45" s="148" t="str">
        <f ca="1">Berechnung3!O45</f>
        <v/>
      </c>
      <c r="D45" s="148" t="str">
        <f ca="1">Berechnung3!P45</f>
        <v/>
      </c>
    </row>
    <row r="46" spans="1:4" x14ac:dyDescent="0.25">
      <c r="A46" s="150" t="str">
        <f ca="1">Berechnung3!L46</f>
        <v/>
      </c>
      <c r="B46" s="150" t="str">
        <f ca="1">Berechnung3!N46</f>
        <v/>
      </c>
      <c r="C46" s="148" t="str">
        <f ca="1">Berechnung3!O46</f>
        <v/>
      </c>
      <c r="D46" s="148" t="str">
        <f ca="1">Berechnung3!P46</f>
        <v/>
      </c>
    </row>
    <row r="47" spans="1:4" x14ac:dyDescent="0.25">
      <c r="A47" s="150" t="str">
        <f ca="1">Berechnung3!L47</f>
        <v/>
      </c>
      <c r="B47" s="150" t="str">
        <f ca="1">Berechnung3!N47</f>
        <v/>
      </c>
      <c r="C47" s="148" t="str">
        <f ca="1">Berechnung3!O47</f>
        <v/>
      </c>
      <c r="D47" s="148" t="str">
        <f ca="1">Berechnung3!P47</f>
        <v/>
      </c>
    </row>
    <row r="48" spans="1:4" x14ac:dyDescent="0.25">
      <c r="A48" s="150" t="str">
        <f ca="1">Berechnung3!L48</f>
        <v/>
      </c>
      <c r="B48" s="150" t="str">
        <f ca="1">Berechnung3!N48</f>
        <v/>
      </c>
      <c r="C48" s="148" t="str">
        <f ca="1">Berechnung3!O48</f>
        <v/>
      </c>
      <c r="D48" s="148" t="str">
        <f ca="1">Berechnung3!P48</f>
        <v/>
      </c>
    </row>
    <row r="49" spans="1:4" x14ac:dyDescent="0.25">
      <c r="A49" s="150" t="str">
        <f ca="1">Berechnung3!L49</f>
        <v/>
      </c>
      <c r="B49" s="150" t="str">
        <f ca="1">Berechnung3!N49</f>
        <v/>
      </c>
      <c r="C49" s="148" t="str">
        <f ca="1">Berechnung3!O49</f>
        <v/>
      </c>
      <c r="D49" s="148" t="str">
        <f ca="1">Berechnung3!P49</f>
        <v/>
      </c>
    </row>
    <row r="50" spans="1:4" x14ac:dyDescent="0.25">
      <c r="A50" s="150" t="str">
        <f ca="1">Berechnung3!L50</f>
        <v/>
      </c>
      <c r="B50" s="150" t="str">
        <f ca="1">Berechnung3!N50</f>
        <v/>
      </c>
      <c r="C50" s="148" t="str">
        <f ca="1">Berechnung3!O50</f>
        <v/>
      </c>
      <c r="D50" s="148" t="str">
        <f ca="1">Berechnung3!P50</f>
        <v/>
      </c>
    </row>
    <row r="51" spans="1:4" x14ac:dyDescent="0.25">
      <c r="A51" s="150" t="str">
        <f ca="1">Berechnung3!L51</f>
        <v/>
      </c>
      <c r="B51" s="150" t="str">
        <f ca="1">Berechnung3!N51</f>
        <v/>
      </c>
      <c r="C51" s="148" t="str">
        <f ca="1">Berechnung3!O51</f>
        <v/>
      </c>
      <c r="D51" s="148" t="str">
        <f ca="1">Berechnung3!P51</f>
        <v/>
      </c>
    </row>
    <row r="52" spans="1:4" x14ac:dyDescent="0.25">
      <c r="A52" s="150" t="str">
        <f ca="1">Berechnung3!L52</f>
        <v/>
      </c>
      <c r="B52" s="150" t="str">
        <f ca="1">Berechnung3!N52</f>
        <v/>
      </c>
      <c r="C52" s="148" t="str">
        <f ca="1">Berechnung3!O52</f>
        <v/>
      </c>
      <c r="D52" s="148" t="str">
        <f ca="1">Berechnung3!P52</f>
        <v/>
      </c>
    </row>
    <row r="53" spans="1:4" x14ac:dyDescent="0.25">
      <c r="A53" s="150" t="str">
        <f ca="1">Berechnung3!L53</f>
        <v/>
      </c>
      <c r="B53" s="150" t="str">
        <f ca="1">Berechnung3!N53</f>
        <v/>
      </c>
      <c r="C53" s="148" t="str">
        <f ca="1">Berechnung3!O53</f>
        <v/>
      </c>
      <c r="D53" s="148" t="str">
        <f ca="1">Berechnung3!P53</f>
        <v/>
      </c>
    </row>
    <row r="54" spans="1:4" x14ac:dyDescent="0.25">
      <c r="A54" s="150" t="str">
        <f ca="1">Berechnung3!L54</f>
        <v/>
      </c>
      <c r="B54" s="150" t="str">
        <f ca="1">Berechnung3!N54</f>
        <v/>
      </c>
      <c r="C54" s="148" t="str">
        <f ca="1">Berechnung3!O54</f>
        <v/>
      </c>
      <c r="D54" s="148" t="str">
        <f ca="1">Berechnung3!P54</f>
        <v/>
      </c>
    </row>
    <row r="55" spans="1:4" x14ac:dyDescent="0.25">
      <c r="A55" s="150" t="str">
        <f ca="1">Berechnung3!L55</f>
        <v/>
      </c>
      <c r="B55" s="150" t="str">
        <f ca="1">Berechnung3!N55</f>
        <v/>
      </c>
      <c r="C55" s="148" t="str">
        <f ca="1">Berechnung3!O55</f>
        <v/>
      </c>
      <c r="D55" s="148" t="str">
        <f ca="1">Berechnung3!P55</f>
        <v/>
      </c>
    </row>
    <row r="56" spans="1:4" x14ac:dyDescent="0.25">
      <c r="A56" s="150" t="str">
        <f ca="1">Berechnung3!L56</f>
        <v/>
      </c>
      <c r="B56" s="150" t="str">
        <f ca="1">Berechnung3!N56</f>
        <v/>
      </c>
      <c r="C56" s="148" t="str">
        <f ca="1">Berechnung3!O56</f>
        <v/>
      </c>
      <c r="D56" s="148" t="str">
        <f ca="1">Berechnung3!P56</f>
        <v/>
      </c>
    </row>
    <row r="57" spans="1:4" x14ac:dyDescent="0.25">
      <c r="A57" s="150" t="str">
        <f ca="1">Berechnung3!L57</f>
        <v/>
      </c>
      <c r="B57" s="150" t="str">
        <f ca="1">Berechnung3!N57</f>
        <v/>
      </c>
      <c r="C57" s="148" t="str">
        <f ca="1">Berechnung3!O57</f>
        <v/>
      </c>
      <c r="D57" s="148" t="str">
        <f ca="1">Berechnung3!P57</f>
        <v/>
      </c>
    </row>
  </sheetData>
  <phoneticPr fontId="75" type="noConversion"/>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0"/>
  <dimension ref="A1:F9"/>
  <sheetViews>
    <sheetView workbookViewId="0">
      <selection activeCell="A14" sqref="A14"/>
    </sheetView>
  </sheetViews>
  <sheetFormatPr defaultColWidth="9.140625" defaultRowHeight="12.75" x14ac:dyDescent="0.25"/>
  <cols>
    <col min="1" max="1" width="23.7109375" style="336" customWidth="1"/>
    <col min="2" max="2" width="47.140625" style="336" customWidth="1"/>
    <col min="3" max="3" width="37.42578125" style="336" customWidth="1"/>
    <col min="4" max="4" width="12" style="336" customWidth="1"/>
    <col min="5" max="5" width="33" style="336" customWidth="1"/>
    <col min="6" max="6" width="28.5703125" style="336" customWidth="1"/>
    <col min="7" max="7" width="46.7109375" style="336" customWidth="1"/>
    <col min="8" max="8" width="38.28515625" style="336" customWidth="1"/>
    <col min="9" max="9" width="42.85546875" style="336" customWidth="1"/>
    <col min="10" max="10" width="43.7109375" style="336" customWidth="1"/>
    <col min="11" max="11" width="36" style="336" customWidth="1"/>
    <col min="12" max="12" width="16.5703125" style="336" customWidth="1"/>
    <col min="13" max="13" width="24.140625" style="336" customWidth="1"/>
    <col min="14" max="14" width="35" style="336" customWidth="1"/>
    <col min="15" max="15" width="28.140625" style="336" customWidth="1"/>
    <col min="16" max="16" width="27.7109375" style="336" customWidth="1"/>
    <col min="17" max="17" width="30.140625" style="336" customWidth="1"/>
    <col min="18" max="18" width="28.140625" style="336" customWidth="1"/>
    <col min="19" max="19" width="29.7109375" style="336" customWidth="1"/>
    <col min="20" max="20" width="15.28515625" style="336" customWidth="1"/>
    <col min="21" max="21" width="17.28515625" style="336" customWidth="1"/>
    <col min="22" max="16384" width="9.140625" style="336"/>
  </cols>
  <sheetData>
    <row r="1" spans="1:6" x14ac:dyDescent="0.25">
      <c r="A1" s="375" t="s">
        <v>101</v>
      </c>
      <c r="B1" s="376" t="str">
        <f>IF('Basic data'!B16=0,"",'Basic data'!B16)</f>
        <v/>
      </c>
    </row>
    <row r="2" spans="1:6" x14ac:dyDescent="0.25">
      <c r="A2" s="375" t="s">
        <v>279</v>
      </c>
      <c r="B2" s="377" t="str">
        <f>IF('Basic data'!G12=0,"",'Basic data'!G12)</f>
        <v/>
      </c>
    </row>
    <row r="3" spans="1:6" x14ac:dyDescent="0.25">
      <c r="A3" s="375" t="s">
        <v>321</v>
      </c>
      <c r="B3" s="377" t="str">
        <f>IF('Basic data'!G14=0,"",'Basic data'!G14)</f>
        <v/>
      </c>
    </row>
    <row r="4" spans="1:6" x14ac:dyDescent="0.25">
      <c r="A4" s="337"/>
      <c r="B4" s="335"/>
    </row>
    <row r="5" spans="1:6" x14ac:dyDescent="0.25">
      <c r="A5" s="378" t="s">
        <v>174</v>
      </c>
      <c r="B5" s="378" t="s">
        <v>177</v>
      </c>
      <c r="C5" s="427" t="s">
        <v>393</v>
      </c>
      <c r="D5" s="378" t="s">
        <v>139</v>
      </c>
      <c r="E5" s="378" t="s">
        <v>851</v>
      </c>
      <c r="F5" s="378" t="s">
        <v>852</v>
      </c>
    </row>
    <row r="6" spans="1:6" x14ac:dyDescent="0.25">
      <c r="A6" s="379" t="str">
        <f>IF('Basic data'!A19=0,"",'Basic data'!A19)</f>
        <v/>
      </c>
      <c r="B6" s="379" t="str">
        <f>IF('Basic data'!A22=0,"",'Basic data'!A22)</f>
        <v/>
      </c>
      <c r="C6" s="428" t="str">
        <f>IF('Basic data'!E19=0,"",'Basic data'!E19)</f>
        <v/>
      </c>
      <c r="D6" s="379" t="str">
        <f>IF('Basic data'!E22=0,"",'Basic data'!E22)</f>
        <v>No</v>
      </c>
      <c r="E6" s="379" t="str">
        <f>IF('Basic data'!B12=0,"",'Basic data'!B12)</f>
        <v/>
      </c>
      <c r="F6" s="379" t="str">
        <f>IF('Basic data'!B14=0,"",'Basic data'!B14)</f>
        <v/>
      </c>
    </row>
    <row r="7" spans="1:6" x14ac:dyDescent="0.25">
      <c r="A7" s="337"/>
    </row>
    <row r="8" spans="1:6" x14ac:dyDescent="0.25">
      <c r="A8" s="337"/>
      <c r="B8" s="335"/>
    </row>
    <row r="9" spans="1:6" x14ac:dyDescent="0.25">
      <c r="A9" s="337"/>
      <c r="B9" s="335"/>
    </row>
  </sheetData>
  <phoneticPr fontId="75"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9"/>
  <dimension ref="A1:IF268"/>
  <sheetViews>
    <sheetView zoomScaleNormal="100" workbookViewId="0">
      <selection activeCell="A69" sqref="A69:XFD69"/>
    </sheetView>
  </sheetViews>
  <sheetFormatPr defaultColWidth="9.140625" defaultRowHeight="11.25" x14ac:dyDescent="0.2"/>
  <cols>
    <col min="1" max="1" width="33.140625" style="11" customWidth="1"/>
    <col min="2" max="2" width="50.42578125" style="82" customWidth="1"/>
    <col min="3" max="3" width="69.28515625" style="82" customWidth="1"/>
    <col min="4" max="4" width="20.42578125" style="82" customWidth="1"/>
    <col min="5" max="5" width="10.28515625" style="82" customWidth="1"/>
    <col min="6" max="6" width="15.85546875" style="254" customWidth="1"/>
    <col min="7" max="8" width="9.140625" style="82" customWidth="1"/>
    <col min="9" max="9" width="38.42578125" style="82" bestFit="1" customWidth="1"/>
    <col min="10" max="10" width="34" style="82" bestFit="1" customWidth="1"/>
    <col min="11" max="12" width="35" style="82" bestFit="1" customWidth="1"/>
    <col min="13" max="15" width="32.7109375" style="82" bestFit="1" customWidth="1"/>
    <col min="16" max="16" width="33.85546875" style="82" bestFit="1" customWidth="1"/>
    <col min="17" max="17" width="34.85546875" style="82" customWidth="1"/>
    <col min="18" max="18" width="32.7109375" style="82" customWidth="1"/>
    <col min="19" max="20" width="32.7109375" style="82" bestFit="1" customWidth="1"/>
    <col min="21" max="22" width="33.85546875" style="82" bestFit="1" customWidth="1"/>
    <col min="23" max="23" width="37.28515625" style="82" bestFit="1" customWidth="1"/>
    <col min="24" max="24" width="33.85546875" style="82" bestFit="1" customWidth="1"/>
    <col min="25" max="25" width="18.140625" style="82" bestFit="1" customWidth="1"/>
    <col min="26" max="26" width="23" style="82" bestFit="1" customWidth="1"/>
    <col min="27" max="27" width="18.140625" style="82" bestFit="1" customWidth="1"/>
    <col min="28" max="32" width="9.140625" style="82" customWidth="1"/>
    <col min="33" max="33" width="13.5703125" style="82" customWidth="1"/>
    <col min="34" max="93" width="9.140625" style="82" customWidth="1"/>
    <col min="94" max="94" width="19" style="82" customWidth="1"/>
    <col min="95" max="16384" width="9.140625" style="82"/>
  </cols>
  <sheetData>
    <row r="1" spans="1:240" x14ac:dyDescent="0.2">
      <c r="A1" s="426" t="s">
        <v>0</v>
      </c>
      <c r="B1" s="173" t="s">
        <v>541</v>
      </c>
      <c r="C1" s="3"/>
      <c r="D1" s="340"/>
    </row>
    <row r="2" spans="1:240" x14ac:dyDescent="0.2">
      <c r="A2" s="329" t="s">
        <v>911</v>
      </c>
      <c r="B2" s="173" t="s">
        <v>102</v>
      </c>
      <c r="C2" s="3"/>
      <c r="D2" s="341"/>
      <c r="E2" s="11" t="s">
        <v>238</v>
      </c>
      <c r="F2" s="255"/>
    </row>
    <row r="3" spans="1:240" x14ac:dyDescent="0.2">
      <c r="B3" s="173" t="s">
        <v>909</v>
      </c>
      <c r="C3" s="3"/>
      <c r="D3" s="341"/>
      <c r="E3" s="13" t="str">
        <f>'Basic data'!G14</f>
        <v/>
      </c>
      <c r="F3" s="255">
        <f>IF(E3&gt;E4,0,DATEDIF(E3,E4,"y"))</f>
        <v>0</v>
      </c>
    </row>
    <row r="4" spans="1:240" x14ac:dyDescent="0.2">
      <c r="B4" s="173" t="s">
        <v>2</v>
      </c>
      <c r="C4" s="3"/>
      <c r="D4" s="341"/>
      <c r="E4" s="14">
        <v>46387</v>
      </c>
      <c r="F4" s="255"/>
      <c r="G4" s="5"/>
    </row>
    <row r="5" spans="1:240" x14ac:dyDescent="0.2">
      <c r="B5" s="173" t="s">
        <v>910</v>
      </c>
      <c r="C5" s="3"/>
      <c r="D5" s="466"/>
      <c r="E5" s="105"/>
      <c r="G5" s="5"/>
      <c r="H5" s="2"/>
    </row>
    <row r="6" spans="1:240" x14ac:dyDescent="0.2">
      <c r="B6" s="173" t="s">
        <v>3</v>
      </c>
      <c r="C6" s="3"/>
      <c r="D6" s="341"/>
      <c r="E6" s="6"/>
      <c r="G6" s="5"/>
      <c r="J6" s="6"/>
      <c r="K6" s="6"/>
      <c r="M6" s="6"/>
      <c r="N6" s="6"/>
      <c r="P6" s="6"/>
      <c r="Q6" s="6"/>
      <c r="S6" s="6"/>
      <c r="T6" s="6"/>
      <c r="V6" s="6"/>
      <c r="W6" s="6"/>
      <c r="Y6" s="6"/>
      <c r="Z6" s="6"/>
      <c r="AB6" s="6"/>
      <c r="AC6" s="6"/>
      <c r="AE6" s="6"/>
      <c r="AF6" s="6"/>
      <c r="AG6" s="6"/>
      <c r="AI6" s="6"/>
      <c r="AJ6" s="6"/>
      <c r="AL6" s="6"/>
      <c r="AM6" s="6"/>
      <c r="AO6" s="6"/>
      <c r="AP6" s="6"/>
      <c r="AR6" s="6"/>
      <c r="AS6" s="6"/>
      <c r="AU6" s="6"/>
      <c r="AV6" s="6"/>
      <c r="AX6" s="6"/>
      <c r="AY6" s="6"/>
      <c r="BA6" s="6"/>
      <c r="BB6" s="6"/>
      <c r="BD6" s="6"/>
      <c r="BE6" s="6"/>
      <c r="BG6" s="6"/>
      <c r="BH6" s="6"/>
      <c r="BJ6" s="6"/>
      <c r="BK6" s="6"/>
      <c r="BM6" s="6"/>
      <c r="BN6" s="6"/>
      <c r="BP6" s="6"/>
      <c r="BQ6" s="6"/>
      <c r="BS6" s="6"/>
      <c r="BT6" s="6"/>
      <c r="BV6" s="6"/>
      <c r="BW6" s="6"/>
      <c r="BY6" s="6"/>
      <c r="BZ6" s="6"/>
      <c r="CB6" s="6"/>
      <c r="CC6" s="6"/>
      <c r="CE6" s="6"/>
      <c r="CF6" s="6"/>
      <c r="CH6" s="6"/>
      <c r="CI6" s="6"/>
      <c r="CK6" s="6"/>
      <c r="CL6" s="6"/>
      <c r="CN6" s="6"/>
      <c r="CO6" s="6"/>
      <c r="CQ6" s="6"/>
      <c r="CR6" s="6"/>
      <c r="CT6" s="6"/>
      <c r="CU6" s="6"/>
      <c r="CW6" s="6"/>
      <c r="CX6" s="6"/>
      <c r="CZ6" s="6"/>
      <c r="DA6" s="6"/>
      <c r="DC6" s="6"/>
      <c r="DD6" s="6"/>
      <c r="DF6" s="6"/>
      <c r="DG6" s="6"/>
      <c r="DI6" s="6"/>
      <c r="DJ6" s="6"/>
      <c r="DL6" s="6"/>
      <c r="DM6" s="6"/>
      <c r="DO6" s="6"/>
      <c r="DP6" s="6"/>
      <c r="DR6" s="6"/>
      <c r="DS6" s="6"/>
      <c r="DU6" s="6"/>
      <c r="DV6" s="6"/>
      <c r="DX6" s="6"/>
      <c r="DY6" s="6"/>
      <c r="EA6" s="6"/>
      <c r="EB6" s="6"/>
      <c r="ED6" s="6"/>
      <c r="EE6" s="6"/>
      <c r="EG6" s="6"/>
      <c r="EH6" s="6"/>
      <c r="EJ6" s="6"/>
      <c r="EK6" s="6"/>
      <c r="EM6" s="6"/>
      <c r="EN6" s="6"/>
      <c r="EP6" s="6"/>
      <c r="EQ6" s="6"/>
      <c r="ES6" s="6"/>
      <c r="ET6" s="6"/>
      <c r="EV6" s="6"/>
      <c r="EW6" s="6"/>
      <c r="EY6" s="6"/>
      <c r="EZ6" s="6"/>
      <c r="FB6" s="6"/>
      <c r="FC6" s="6"/>
      <c r="FE6" s="6"/>
      <c r="FF6" s="6"/>
      <c r="FH6" s="6"/>
      <c r="FI6" s="6"/>
      <c r="FK6" s="6"/>
      <c r="FL6" s="6"/>
      <c r="FN6" s="6"/>
      <c r="FO6" s="6"/>
      <c r="FQ6" s="6"/>
      <c r="FR6" s="6"/>
      <c r="FT6" s="6"/>
      <c r="FU6" s="6"/>
      <c r="FW6" s="6"/>
      <c r="FX6" s="6"/>
      <c r="FZ6" s="6"/>
      <c r="GA6" s="6"/>
      <c r="GC6" s="6"/>
      <c r="GD6" s="6"/>
      <c r="GF6" s="6"/>
      <c r="GG6" s="6"/>
      <c r="GI6" s="6"/>
      <c r="GJ6" s="6"/>
      <c r="GL6" s="6"/>
      <c r="GM6" s="6"/>
      <c r="GO6" s="6"/>
      <c r="GP6" s="6"/>
      <c r="GR6" s="6"/>
      <c r="GS6" s="6"/>
      <c r="GU6" s="6"/>
      <c r="GV6" s="6"/>
      <c r="GX6" s="6"/>
      <c r="GY6" s="6"/>
      <c r="HA6" s="6"/>
      <c r="HB6" s="6"/>
      <c r="HD6" s="6"/>
      <c r="HE6" s="6"/>
      <c r="HG6" s="6"/>
      <c r="HH6" s="6"/>
      <c r="HJ6" s="6"/>
      <c r="HK6" s="6"/>
      <c r="HM6" s="6"/>
      <c r="HN6" s="6"/>
      <c r="HP6" s="6"/>
      <c r="HQ6" s="6"/>
      <c r="HS6" s="6"/>
      <c r="HT6" s="6"/>
      <c r="HV6" s="6"/>
      <c r="HW6" s="6"/>
      <c r="HY6" s="6"/>
      <c r="HZ6" s="6"/>
      <c r="IB6" s="6"/>
      <c r="IC6" s="6"/>
      <c r="IE6" s="6"/>
      <c r="IF6" s="6"/>
    </row>
    <row r="7" spans="1:240" x14ac:dyDescent="0.2">
      <c r="A7" s="6"/>
      <c r="B7" s="173" t="s">
        <v>4</v>
      </c>
      <c r="C7" s="3"/>
      <c r="D7" s="341"/>
      <c r="E7" s="6"/>
      <c r="G7" s="5"/>
      <c r="H7" s="2"/>
      <c r="J7" s="6"/>
      <c r="K7" s="6"/>
      <c r="M7" s="6"/>
      <c r="N7" s="6"/>
      <c r="P7" s="6"/>
      <c r="Q7" s="6"/>
      <c r="S7" s="6"/>
      <c r="T7" s="6"/>
      <c r="V7" s="6"/>
      <c r="W7" s="6"/>
      <c r="Y7" s="6"/>
      <c r="Z7" s="6"/>
      <c r="AB7" s="6"/>
      <c r="AC7" s="6"/>
      <c r="AE7" s="6"/>
      <c r="AF7" s="6"/>
      <c r="AG7" s="6"/>
      <c r="AI7" s="6"/>
      <c r="AJ7" s="6"/>
      <c r="AL7" s="6"/>
      <c r="AM7" s="6"/>
      <c r="AO7" s="6"/>
      <c r="AP7" s="6"/>
      <c r="AR7" s="6"/>
      <c r="AS7" s="6"/>
      <c r="AU7" s="6"/>
      <c r="AV7" s="6"/>
      <c r="AX7" s="6"/>
      <c r="AY7" s="6"/>
      <c r="BA7" s="6"/>
      <c r="BB7" s="6"/>
      <c r="BD7" s="6"/>
      <c r="BE7" s="6"/>
      <c r="BG7" s="6"/>
      <c r="BH7" s="6"/>
      <c r="BJ7" s="6"/>
      <c r="BK7" s="6"/>
      <c r="BM7" s="6"/>
      <c r="BN7" s="6"/>
      <c r="BP7" s="6"/>
      <c r="BQ7" s="6"/>
      <c r="BS7" s="6"/>
      <c r="BT7" s="6"/>
      <c r="BV7" s="6"/>
      <c r="BW7" s="6"/>
      <c r="BY7" s="6"/>
      <c r="BZ7" s="6"/>
      <c r="CB7" s="6"/>
      <c r="CC7" s="6"/>
      <c r="CE7" s="6"/>
      <c r="CF7" s="6"/>
      <c r="CH7" s="6"/>
      <c r="CI7" s="6"/>
      <c r="CK7" s="6"/>
      <c r="CL7" s="6"/>
      <c r="CN7" s="6"/>
      <c r="CO7" s="6"/>
      <c r="CQ7" s="6"/>
      <c r="CR7" s="6"/>
      <c r="CT7" s="6"/>
      <c r="CU7" s="6"/>
      <c r="CW7" s="6"/>
      <c r="CX7" s="6"/>
      <c r="CZ7" s="6"/>
      <c r="DA7" s="6"/>
      <c r="DC7" s="6"/>
      <c r="DD7" s="6"/>
      <c r="DF7" s="6"/>
      <c r="DG7" s="6"/>
      <c r="DI7" s="6"/>
      <c r="DJ7" s="6"/>
      <c r="DL7" s="6"/>
      <c r="DM7" s="6"/>
      <c r="DO7" s="6"/>
      <c r="DP7" s="6"/>
      <c r="DR7" s="6"/>
      <c r="DS7" s="6"/>
      <c r="DU7" s="6"/>
      <c r="DV7" s="6"/>
      <c r="DX7" s="6"/>
      <c r="DY7" s="6"/>
      <c r="EA7" s="6"/>
      <c r="EB7" s="6"/>
      <c r="ED7" s="6"/>
      <c r="EE7" s="6"/>
      <c r="EG7" s="6"/>
      <c r="EH7" s="6"/>
      <c r="EJ7" s="6"/>
      <c r="EK7" s="6"/>
      <c r="EM7" s="6"/>
      <c r="EN7" s="6"/>
      <c r="EP7" s="6"/>
      <c r="EQ7" s="6"/>
      <c r="ES7" s="6"/>
      <c r="ET7" s="6"/>
      <c r="EV7" s="6"/>
      <c r="EW7" s="6"/>
      <c r="EY7" s="6"/>
      <c r="EZ7" s="6"/>
      <c r="FB7" s="6"/>
      <c r="FC7" s="6"/>
      <c r="FE7" s="6"/>
      <c r="FF7" s="6"/>
      <c r="FH7" s="6"/>
      <c r="FI7" s="6"/>
      <c r="FK7" s="6"/>
      <c r="FL7" s="6"/>
      <c r="FN7" s="6"/>
      <c r="FO7" s="6"/>
      <c r="FQ7" s="6"/>
      <c r="FR7" s="6"/>
      <c r="FT7" s="6"/>
      <c r="FU7" s="6"/>
      <c r="FW7" s="6"/>
      <c r="FX7" s="6"/>
      <c r="FZ7" s="6"/>
      <c r="GA7" s="6"/>
      <c r="GC7" s="6"/>
      <c r="GD7" s="6"/>
      <c r="GF7" s="6"/>
      <c r="GG7" s="6"/>
      <c r="GI7" s="6"/>
      <c r="GJ7" s="6"/>
      <c r="GL7" s="6"/>
      <c r="GM7" s="6"/>
      <c r="GO7" s="6"/>
      <c r="GP7" s="6"/>
      <c r="GR7" s="6"/>
      <c r="GS7" s="6"/>
      <c r="GU7" s="6"/>
      <c r="GV7" s="6"/>
      <c r="GX7" s="6"/>
      <c r="GY7" s="6"/>
      <c r="HA7" s="6"/>
      <c r="HB7" s="6"/>
      <c r="HD7" s="6"/>
      <c r="HE7" s="6"/>
      <c r="HG7" s="6"/>
      <c r="HH7" s="6"/>
      <c r="HJ7" s="6"/>
      <c r="HK7" s="6"/>
      <c r="HM7" s="6"/>
      <c r="HN7" s="6"/>
      <c r="HP7" s="6"/>
      <c r="HQ7" s="6"/>
      <c r="HS7" s="6"/>
      <c r="HT7" s="6"/>
      <c r="HV7" s="6"/>
      <c r="HW7" s="6"/>
      <c r="HY7" s="6"/>
      <c r="HZ7" s="6"/>
      <c r="IB7" s="6"/>
      <c r="IC7" s="6"/>
      <c r="IE7" s="6"/>
      <c r="IF7" s="6"/>
    </row>
    <row r="8" spans="1:240" x14ac:dyDescent="0.2">
      <c r="B8" s="173" t="s">
        <v>103</v>
      </c>
      <c r="C8" s="3"/>
      <c r="D8" s="341"/>
      <c r="E8" s="6"/>
      <c r="G8" s="5"/>
      <c r="H8" s="3"/>
      <c r="J8" s="6"/>
      <c r="K8" s="6"/>
      <c r="M8" s="6"/>
      <c r="N8" s="6"/>
      <c r="P8" s="6"/>
      <c r="Q8" s="6"/>
      <c r="S8" s="6"/>
      <c r="T8" s="6"/>
      <c r="V8" s="6"/>
      <c r="W8" s="6"/>
      <c r="Y8" s="6"/>
      <c r="Z8" s="6"/>
      <c r="AB8" s="6"/>
      <c r="AC8" s="6"/>
      <c r="AE8" s="6"/>
      <c r="AF8" s="6"/>
      <c r="AG8" s="6"/>
      <c r="AI8" s="6"/>
      <c r="AJ8" s="6"/>
      <c r="AL8" s="6"/>
      <c r="AM8" s="6"/>
      <c r="AO8" s="6"/>
      <c r="AP8" s="6"/>
      <c r="AR8" s="6"/>
      <c r="AS8" s="6"/>
      <c r="AU8" s="6"/>
      <c r="AV8" s="6"/>
      <c r="AX8" s="6"/>
      <c r="AY8" s="6"/>
      <c r="BA8" s="6"/>
      <c r="BB8" s="6"/>
      <c r="BD8" s="6"/>
      <c r="BE8" s="6"/>
      <c r="BG8" s="6"/>
      <c r="BH8" s="6"/>
      <c r="BJ8" s="6"/>
      <c r="BK8" s="6"/>
      <c r="BM8" s="6"/>
      <c r="BN8" s="6"/>
      <c r="BP8" s="6"/>
      <c r="BQ8" s="6"/>
      <c r="BS8" s="6"/>
      <c r="BT8" s="6"/>
      <c r="BV8" s="6"/>
      <c r="BW8" s="6"/>
      <c r="BY8" s="6"/>
      <c r="BZ8" s="6"/>
      <c r="CB8" s="6"/>
      <c r="CC8" s="6"/>
      <c r="CE8" s="6"/>
      <c r="CF8" s="6"/>
      <c r="CH8" s="6"/>
      <c r="CI8" s="6"/>
      <c r="CK8" s="6"/>
      <c r="CL8" s="6"/>
      <c r="CN8" s="6"/>
      <c r="CO8" s="6"/>
      <c r="CQ8" s="6"/>
      <c r="CR8" s="6"/>
      <c r="CT8" s="6"/>
      <c r="CU8" s="6"/>
      <c r="CW8" s="6"/>
      <c r="CX8" s="6"/>
      <c r="CZ8" s="6"/>
      <c r="DA8" s="6"/>
      <c r="DC8" s="6"/>
      <c r="DD8" s="6"/>
      <c r="DF8" s="6"/>
      <c r="DG8" s="6"/>
      <c r="DI8" s="6"/>
      <c r="DJ8" s="6"/>
      <c r="DL8" s="6"/>
      <c r="DM8" s="6"/>
      <c r="DO8" s="6"/>
      <c r="DP8" s="6"/>
      <c r="DR8" s="6"/>
      <c r="DS8" s="6"/>
      <c r="DU8" s="6"/>
      <c r="DV8" s="6"/>
      <c r="DX8" s="6"/>
      <c r="DY8" s="6"/>
      <c r="EA8" s="6"/>
      <c r="EB8" s="6"/>
      <c r="ED8" s="6"/>
      <c r="EE8" s="6"/>
      <c r="EG8" s="6"/>
      <c r="EH8" s="6"/>
      <c r="EJ8" s="6"/>
      <c r="EK8" s="6"/>
      <c r="EM8" s="6"/>
      <c r="EN8" s="6"/>
      <c r="EP8" s="6"/>
      <c r="EQ8" s="6"/>
      <c r="ES8" s="6"/>
      <c r="ET8" s="6"/>
      <c r="EV8" s="6"/>
      <c r="EW8" s="6"/>
      <c r="EY8" s="6"/>
      <c r="EZ8" s="6"/>
      <c r="FB8" s="6"/>
      <c r="FC8" s="6"/>
      <c r="FE8" s="6"/>
      <c r="FF8" s="6"/>
      <c r="FH8" s="6"/>
      <c r="FI8" s="6"/>
      <c r="FK8" s="6"/>
      <c r="FL8" s="6"/>
      <c r="FN8" s="6"/>
      <c r="FO8" s="6"/>
      <c r="FQ8" s="6"/>
      <c r="FR8" s="6"/>
      <c r="FT8" s="6"/>
      <c r="FU8" s="6"/>
      <c r="FW8" s="6"/>
      <c r="FX8" s="6"/>
      <c r="FZ8" s="6"/>
      <c r="GA8" s="6"/>
      <c r="GC8" s="6"/>
      <c r="GD8" s="6"/>
      <c r="GF8" s="6"/>
      <c r="GG8" s="6"/>
      <c r="GI8" s="6"/>
      <c r="GJ8" s="6"/>
      <c r="GL8" s="6"/>
      <c r="GM8" s="6"/>
      <c r="GO8" s="6"/>
      <c r="GP8" s="6"/>
      <c r="GR8" s="6"/>
      <c r="GS8" s="6"/>
      <c r="GU8" s="6"/>
      <c r="GV8" s="6"/>
      <c r="GX8" s="6"/>
      <c r="GY8" s="6"/>
      <c r="HA8" s="6"/>
      <c r="HB8" s="6"/>
      <c r="HD8" s="6"/>
      <c r="HE8" s="6"/>
      <c r="HG8" s="6"/>
      <c r="HH8" s="6"/>
      <c r="HJ8" s="6"/>
      <c r="HK8" s="6"/>
      <c r="HM8" s="6"/>
      <c r="HN8" s="6"/>
      <c r="HP8" s="6"/>
      <c r="HQ8" s="6"/>
      <c r="HS8" s="6"/>
      <c r="HT8" s="6"/>
      <c r="HV8" s="6"/>
      <c r="HW8" s="6"/>
      <c r="HY8" s="6"/>
      <c r="HZ8" s="6"/>
      <c r="IB8" s="6"/>
      <c r="IC8" s="6"/>
      <c r="IE8" s="6"/>
      <c r="IF8" s="6"/>
    </row>
    <row r="9" spans="1:240" x14ac:dyDescent="0.2">
      <c r="A9" s="6"/>
      <c r="B9" s="173" t="s">
        <v>5</v>
      </c>
      <c r="C9" s="3"/>
      <c r="D9" s="341"/>
      <c r="E9" s="6"/>
      <c r="G9" s="5"/>
      <c r="H9" s="3"/>
      <c r="J9" s="6"/>
      <c r="K9" s="6"/>
      <c r="M9" s="6"/>
      <c r="N9" s="6"/>
      <c r="P9" s="6"/>
      <c r="Q9" s="6"/>
      <c r="S9" s="6"/>
      <c r="T9" s="6"/>
      <c r="V9" s="6"/>
      <c r="W9" s="6"/>
      <c r="Y9" s="6"/>
      <c r="Z9" s="6"/>
      <c r="AB9" s="6"/>
      <c r="AC9" s="6"/>
      <c r="AE9" s="6"/>
      <c r="AF9" s="6"/>
      <c r="AG9" s="6"/>
      <c r="AI9" s="6"/>
      <c r="AJ9" s="6"/>
      <c r="AL9" s="6"/>
      <c r="AM9" s="6"/>
      <c r="AO9" s="6"/>
      <c r="AP9" s="6"/>
      <c r="AR9" s="6"/>
      <c r="AS9" s="6"/>
      <c r="AU9" s="6"/>
      <c r="AV9" s="6"/>
      <c r="AX9" s="6"/>
      <c r="AY9" s="6"/>
      <c r="BA9" s="6"/>
      <c r="BB9" s="6"/>
      <c r="BD9" s="6"/>
      <c r="BE9" s="6"/>
      <c r="BG9" s="6"/>
      <c r="BH9" s="6"/>
      <c r="BJ9" s="6"/>
      <c r="BK9" s="6"/>
      <c r="BM9" s="6"/>
      <c r="BN9" s="6"/>
      <c r="BP9" s="6"/>
      <c r="BQ9" s="6"/>
      <c r="BS9" s="6"/>
      <c r="BT9" s="6"/>
      <c r="BV9" s="6"/>
      <c r="BW9" s="6"/>
      <c r="BY9" s="6"/>
      <c r="BZ9" s="6"/>
      <c r="CB9" s="6"/>
      <c r="CC9" s="6"/>
      <c r="CE9" s="6"/>
      <c r="CF9" s="6"/>
      <c r="CH9" s="6"/>
      <c r="CI9" s="6"/>
      <c r="CK9" s="6"/>
      <c r="CL9" s="6"/>
      <c r="CN9" s="6"/>
      <c r="CO9" s="6"/>
      <c r="CQ9" s="6"/>
      <c r="CR9" s="6"/>
      <c r="CT9" s="6"/>
      <c r="CU9" s="6"/>
      <c r="CW9" s="6"/>
      <c r="CX9" s="6"/>
      <c r="CZ9" s="6"/>
      <c r="DA9" s="6"/>
      <c r="DC9" s="6"/>
      <c r="DD9" s="6"/>
      <c r="DF9" s="6"/>
      <c r="DG9" s="6"/>
      <c r="DI9" s="6"/>
      <c r="DJ9" s="6"/>
      <c r="DL9" s="6"/>
      <c r="DM9" s="6"/>
      <c r="DO9" s="6"/>
      <c r="DP9" s="6"/>
      <c r="DR9" s="6"/>
      <c r="DS9" s="6"/>
      <c r="DU9" s="6"/>
      <c r="DV9" s="6"/>
      <c r="DX9" s="6"/>
      <c r="DY9" s="6"/>
      <c r="EA9" s="6"/>
      <c r="EB9" s="6"/>
      <c r="ED9" s="6"/>
      <c r="EE9" s="6"/>
      <c r="EG9" s="6"/>
      <c r="EH9" s="6"/>
      <c r="EJ9" s="6"/>
      <c r="EK9" s="6"/>
      <c r="EM9" s="6"/>
      <c r="EN9" s="6"/>
      <c r="EP9" s="6"/>
      <c r="EQ9" s="6"/>
      <c r="ES9" s="6"/>
      <c r="ET9" s="6"/>
      <c r="EV9" s="6"/>
      <c r="EW9" s="6"/>
      <c r="EY9" s="6"/>
      <c r="EZ9" s="6"/>
      <c r="FB9" s="6"/>
      <c r="FC9" s="6"/>
      <c r="FE9" s="6"/>
      <c r="FF9" s="6"/>
      <c r="FH9" s="6"/>
      <c r="FI9" s="6"/>
      <c r="FK9" s="6"/>
      <c r="FL9" s="6"/>
      <c r="FN9" s="6"/>
      <c r="FO9" s="6"/>
      <c r="FQ9" s="6"/>
      <c r="FR9" s="6"/>
      <c r="FT9" s="6"/>
      <c r="FU9" s="6"/>
      <c r="FW9" s="6"/>
      <c r="FX9" s="6"/>
      <c r="FZ9" s="6"/>
      <c r="GA9" s="6"/>
      <c r="GC9" s="6"/>
      <c r="GD9" s="6"/>
      <c r="GF9" s="6"/>
      <c r="GG9" s="6"/>
      <c r="GI9" s="6"/>
      <c r="GJ9" s="6"/>
      <c r="GL9" s="6"/>
      <c r="GM9" s="6"/>
      <c r="GO9" s="6"/>
      <c r="GP9" s="6"/>
      <c r="GR9" s="6"/>
      <c r="GS9" s="6"/>
      <c r="GU9" s="6"/>
      <c r="GV9" s="6"/>
      <c r="GX9" s="6"/>
      <c r="GY9" s="6"/>
      <c r="HA9" s="6"/>
      <c r="HB9" s="6"/>
      <c r="HD9" s="6"/>
      <c r="HE9" s="6"/>
      <c r="HG9" s="6"/>
      <c r="HH9" s="6"/>
      <c r="HJ9" s="6"/>
      <c r="HK9" s="6"/>
      <c r="HM9" s="6"/>
      <c r="HN9" s="6"/>
      <c r="HP9" s="6"/>
      <c r="HQ9" s="6"/>
      <c r="HS9" s="6"/>
      <c r="HT9" s="6"/>
      <c r="HV9" s="6"/>
      <c r="HW9" s="6"/>
      <c r="HY9" s="6"/>
      <c r="HZ9" s="6"/>
      <c r="IB9" s="6"/>
      <c r="IC9" s="6"/>
      <c r="IE9" s="6"/>
      <c r="IF9" s="6"/>
    </row>
    <row r="10" spans="1:240" x14ac:dyDescent="0.2">
      <c r="A10" s="6"/>
      <c r="B10" s="173" t="s">
        <v>6</v>
      </c>
      <c r="C10" s="3"/>
      <c r="D10" s="341"/>
      <c r="E10" s="6"/>
      <c r="G10" s="5"/>
      <c r="H10" s="3"/>
      <c r="J10" s="6"/>
      <c r="K10" s="6"/>
      <c r="M10" s="6"/>
      <c r="N10" s="6"/>
      <c r="P10" s="6"/>
      <c r="Q10" s="6"/>
      <c r="S10" s="6"/>
      <c r="T10" s="6"/>
      <c r="V10" s="6"/>
      <c r="W10" s="6"/>
      <c r="Y10" s="6"/>
      <c r="Z10" s="6"/>
      <c r="AB10" s="6"/>
      <c r="AC10" s="6"/>
      <c r="AE10" s="6"/>
      <c r="AF10" s="6"/>
      <c r="AG10" s="6"/>
      <c r="AI10" s="6"/>
      <c r="AJ10" s="6"/>
      <c r="AL10" s="6"/>
      <c r="AM10" s="6"/>
      <c r="AO10" s="6"/>
      <c r="AP10" s="6"/>
      <c r="AR10" s="6"/>
      <c r="AS10" s="6"/>
      <c r="AU10" s="6"/>
      <c r="AV10" s="6"/>
      <c r="AX10" s="6"/>
      <c r="AY10" s="6"/>
      <c r="BA10" s="6"/>
      <c r="BB10" s="6"/>
      <c r="BD10" s="6"/>
      <c r="BE10" s="6"/>
      <c r="BG10" s="6"/>
      <c r="BH10" s="6"/>
      <c r="BJ10" s="6"/>
      <c r="BK10" s="6"/>
      <c r="BM10" s="6"/>
      <c r="BN10" s="6"/>
      <c r="BP10" s="6"/>
      <c r="BQ10" s="6"/>
      <c r="BS10" s="6"/>
      <c r="BT10" s="6"/>
      <c r="BV10" s="6"/>
      <c r="BW10" s="6"/>
      <c r="BY10" s="6"/>
      <c r="BZ10" s="6"/>
      <c r="CB10" s="6"/>
      <c r="CC10" s="6"/>
      <c r="CE10" s="6"/>
      <c r="CF10" s="6"/>
      <c r="CH10" s="6"/>
      <c r="CI10" s="6"/>
      <c r="CK10" s="6"/>
      <c r="CL10" s="6"/>
      <c r="CN10" s="6"/>
      <c r="CO10" s="6"/>
      <c r="CQ10" s="6"/>
      <c r="CR10" s="6"/>
      <c r="CT10" s="6"/>
      <c r="CU10" s="6"/>
      <c r="CW10" s="6"/>
      <c r="CX10" s="6"/>
      <c r="CZ10" s="6"/>
      <c r="DA10" s="6"/>
      <c r="DC10" s="6"/>
      <c r="DD10" s="6"/>
      <c r="DF10" s="6"/>
      <c r="DG10" s="6"/>
      <c r="DI10" s="6"/>
      <c r="DJ10" s="6"/>
      <c r="DL10" s="6"/>
      <c r="DM10" s="6"/>
      <c r="DO10" s="6"/>
      <c r="DP10" s="6"/>
      <c r="DR10" s="6"/>
      <c r="DS10" s="6"/>
      <c r="DU10" s="6"/>
      <c r="DV10" s="6"/>
      <c r="DX10" s="6"/>
      <c r="DY10" s="6"/>
      <c r="EA10" s="6"/>
      <c r="EB10" s="6"/>
      <c r="ED10" s="6"/>
      <c r="EE10" s="6"/>
      <c r="EG10" s="6"/>
      <c r="EH10" s="6"/>
      <c r="EJ10" s="6"/>
      <c r="EK10" s="6"/>
      <c r="EM10" s="6"/>
      <c r="EN10" s="6"/>
      <c r="EP10" s="6"/>
      <c r="EQ10" s="6"/>
      <c r="ES10" s="6"/>
      <c r="ET10" s="6"/>
      <c r="EV10" s="6"/>
      <c r="EW10" s="6"/>
      <c r="EY10" s="6"/>
      <c r="EZ10" s="6"/>
      <c r="FB10" s="6"/>
      <c r="FC10" s="6"/>
      <c r="FE10" s="6"/>
      <c r="FF10" s="6"/>
      <c r="FH10" s="6"/>
      <c r="FI10" s="6"/>
      <c r="FK10" s="6"/>
      <c r="FL10" s="6"/>
      <c r="FN10" s="6"/>
      <c r="FO10" s="6"/>
      <c r="FQ10" s="6"/>
      <c r="FR10" s="6"/>
      <c r="FT10" s="6"/>
      <c r="FU10" s="6"/>
      <c r="FW10" s="6"/>
      <c r="FX10" s="6"/>
      <c r="FZ10" s="6"/>
      <c r="GA10" s="6"/>
      <c r="GC10" s="6"/>
      <c r="GD10" s="6"/>
      <c r="GF10" s="6"/>
      <c r="GG10" s="6"/>
      <c r="GI10" s="6"/>
      <c r="GJ10" s="6"/>
      <c r="GL10" s="6"/>
      <c r="GM10" s="6"/>
      <c r="GO10" s="6"/>
      <c r="GP10" s="6"/>
      <c r="GR10" s="6"/>
      <c r="GS10" s="6"/>
      <c r="GU10" s="6"/>
      <c r="GV10" s="6"/>
      <c r="GX10" s="6"/>
      <c r="GY10" s="6"/>
      <c r="HA10" s="6"/>
      <c r="HB10" s="6"/>
      <c r="HD10" s="6"/>
      <c r="HE10" s="6"/>
      <c r="HG10" s="6"/>
      <c r="HH10" s="6"/>
      <c r="HJ10" s="6"/>
      <c r="HK10" s="6"/>
      <c r="HM10" s="6"/>
      <c r="HN10" s="6"/>
      <c r="HP10" s="6"/>
      <c r="HQ10" s="6"/>
      <c r="HS10" s="6"/>
      <c r="HT10" s="6"/>
      <c r="HV10" s="6"/>
      <c r="HW10" s="6"/>
      <c r="HY10" s="6"/>
      <c r="HZ10" s="6"/>
      <c r="IB10" s="6"/>
      <c r="IC10" s="6"/>
      <c r="IE10" s="6"/>
      <c r="IF10" s="6"/>
    </row>
    <row r="11" spans="1:240" x14ac:dyDescent="0.2">
      <c r="A11" s="6"/>
      <c r="B11" s="173" t="s">
        <v>369</v>
      </c>
      <c r="C11" s="3"/>
      <c r="D11" s="341"/>
      <c r="E11" s="6"/>
      <c r="G11" s="5"/>
      <c r="H11" s="3"/>
      <c r="J11" s="6"/>
      <c r="K11" s="6"/>
      <c r="M11" s="6"/>
      <c r="N11" s="6"/>
      <c r="P11" s="6"/>
      <c r="Q11" s="6"/>
      <c r="S11" s="6"/>
      <c r="T11" s="6"/>
      <c r="V11" s="6"/>
      <c r="W11" s="6"/>
      <c r="Y11" s="6"/>
      <c r="Z11" s="6"/>
      <c r="AB11" s="6"/>
      <c r="AC11" s="6"/>
      <c r="AE11" s="6"/>
      <c r="AF11" s="6"/>
      <c r="AG11" s="6"/>
      <c r="AI11" s="6"/>
      <c r="AJ11" s="6"/>
      <c r="AL11" s="6"/>
      <c r="AM11" s="6"/>
      <c r="AO11" s="6"/>
      <c r="AP11" s="6"/>
      <c r="AR11" s="6"/>
      <c r="AS11" s="6"/>
      <c r="AU11" s="6"/>
      <c r="AV11" s="6"/>
      <c r="AX11" s="6"/>
      <c r="AY11" s="6"/>
      <c r="BA11" s="6"/>
      <c r="BB11" s="6"/>
      <c r="BD11" s="6"/>
      <c r="BE11" s="6"/>
      <c r="BG11" s="6"/>
      <c r="BH11" s="6"/>
      <c r="BJ11" s="6"/>
      <c r="BK11" s="6"/>
      <c r="BM11" s="6"/>
      <c r="BN11" s="6"/>
      <c r="BP11" s="6"/>
      <c r="BQ11" s="6"/>
      <c r="BS11" s="6"/>
      <c r="BT11" s="6"/>
      <c r="BV11" s="6"/>
      <c r="BW11" s="6"/>
      <c r="BY11" s="6"/>
      <c r="BZ11" s="6"/>
      <c r="CB11" s="6"/>
      <c r="CC11" s="6"/>
      <c r="CE11" s="6"/>
      <c r="CF11" s="6"/>
      <c r="CH11" s="6"/>
      <c r="CI11" s="6"/>
      <c r="CK11" s="6"/>
      <c r="CL11" s="6"/>
      <c r="CN11" s="6"/>
      <c r="CO11" s="6"/>
      <c r="CQ11" s="6"/>
      <c r="CR11" s="6"/>
      <c r="CT11" s="6"/>
      <c r="CU11" s="6"/>
      <c r="CW11" s="6"/>
      <c r="CX11" s="6"/>
      <c r="CZ11" s="6"/>
      <c r="DA11" s="6"/>
      <c r="DC11" s="6"/>
      <c r="DD11" s="6"/>
      <c r="DF11" s="6"/>
      <c r="DG11" s="6"/>
      <c r="DI11" s="6"/>
      <c r="DJ11" s="6"/>
      <c r="DL11" s="6"/>
      <c r="DM11" s="6"/>
      <c r="DO11" s="6"/>
      <c r="DP11" s="6"/>
      <c r="DR11" s="6"/>
      <c r="DS11" s="6"/>
      <c r="DU11" s="6"/>
      <c r="DV11" s="6"/>
      <c r="DX11" s="6"/>
      <c r="DY11" s="6"/>
      <c r="EA11" s="6"/>
      <c r="EB11" s="6"/>
      <c r="ED11" s="6"/>
      <c r="EE11" s="6"/>
      <c r="EG11" s="6"/>
      <c r="EH11" s="6"/>
      <c r="EJ11" s="6"/>
      <c r="EK11" s="6"/>
      <c r="EM11" s="6"/>
      <c r="EN11" s="6"/>
      <c r="EP11" s="6"/>
      <c r="EQ11" s="6"/>
      <c r="ES11" s="6"/>
      <c r="ET11" s="6"/>
      <c r="EV11" s="6"/>
      <c r="EW11" s="6"/>
      <c r="EY11" s="6"/>
      <c r="EZ11" s="6"/>
      <c r="FB11" s="6"/>
      <c r="FC11" s="6"/>
      <c r="FE11" s="6"/>
      <c r="FF11" s="6"/>
      <c r="FH11" s="6"/>
      <c r="FI11" s="6"/>
      <c r="FK11" s="6"/>
      <c r="FL11" s="6"/>
      <c r="FN11" s="6"/>
      <c r="FO11" s="6"/>
      <c r="FQ11" s="6"/>
      <c r="FR11" s="6"/>
      <c r="FT11" s="6"/>
      <c r="FU11" s="6"/>
      <c r="FW11" s="6"/>
      <c r="FX11" s="6"/>
      <c r="FZ11" s="6"/>
      <c r="GA11" s="6"/>
      <c r="GC11" s="6"/>
      <c r="GD11" s="6"/>
      <c r="GF11" s="6"/>
      <c r="GG11" s="6"/>
      <c r="GI11" s="6"/>
      <c r="GJ11" s="6"/>
      <c r="GL11" s="6"/>
      <c r="GM11" s="6"/>
      <c r="GO11" s="6"/>
      <c r="GP11" s="6"/>
      <c r="GR11" s="6"/>
      <c r="GS11" s="6"/>
      <c r="GU11" s="6"/>
      <c r="GV11" s="6"/>
      <c r="GX11" s="6"/>
      <c r="GY11" s="6"/>
      <c r="HA11" s="6"/>
      <c r="HB11" s="6"/>
      <c r="HD11" s="6"/>
      <c r="HE11" s="6"/>
      <c r="HG11" s="6"/>
      <c r="HH11" s="6"/>
      <c r="HJ11" s="6"/>
      <c r="HK11" s="6"/>
      <c r="HM11" s="6"/>
      <c r="HN11" s="6"/>
      <c r="HP11" s="6"/>
      <c r="HQ11" s="6"/>
      <c r="HS11" s="6"/>
      <c r="HT11" s="6"/>
      <c r="HV11" s="6"/>
      <c r="HW11" s="6"/>
      <c r="HY11" s="6"/>
      <c r="HZ11" s="6"/>
      <c r="IB11" s="6"/>
      <c r="IC11" s="6"/>
      <c r="IE11" s="6"/>
      <c r="IF11" s="6"/>
    </row>
    <row r="12" spans="1:240" x14ac:dyDescent="0.2">
      <c r="A12" s="6"/>
      <c r="B12" s="173" t="s">
        <v>431</v>
      </c>
      <c r="C12" s="3"/>
      <c r="D12" s="341"/>
      <c r="E12" s="6"/>
      <c r="G12" s="5"/>
      <c r="H12" s="3"/>
      <c r="J12" s="6"/>
      <c r="K12" s="6"/>
      <c r="M12" s="6"/>
      <c r="N12" s="6"/>
      <c r="P12" s="6"/>
      <c r="Q12" s="6"/>
      <c r="S12" s="6"/>
      <c r="T12" s="6"/>
      <c r="V12" s="6"/>
      <c r="W12" s="6"/>
      <c r="Y12" s="6"/>
      <c r="Z12" s="6"/>
      <c r="AB12" s="6"/>
      <c r="AC12" s="6"/>
      <c r="AE12" s="6"/>
      <c r="AF12" s="6"/>
      <c r="AG12" s="6"/>
      <c r="AI12" s="6"/>
      <c r="AJ12" s="6"/>
      <c r="AL12" s="6"/>
      <c r="AM12" s="6"/>
      <c r="AO12" s="6"/>
      <c r="AP12" s="6"/>
      <c r="AR12" s="6"/>
      <c r="AS12" s="6"/>
      <c r="AU12" s="6"/>
      <c r="AV12" s="6"/>
      <c r="AX12" s="6"/>
      <c r="AY12" s="6"/>
      <c r="BA12" s="6"/>
      <c r="BB12" s="6"/>
      <c r="BD12" s="6"/>
      <c r="BE12" s="6"/>
      <c r="BG12" s="6"/>
      <c r="BH12" s="6"/>
      <c r="BJ12" s="6"/>
      <c r="BK12" s="6"/>
      <c r="BM12" s="6"/>
      <c r="BN12" s="6"/>
      <c r="BP12" s="6"/>
      <c r="BQ12" s="6"/>
      <c r="BS12" s="6"/>
      <c r="BT12" s="6"/>
      <c r="BV12" s="6"/>
      <c r="BW12" s="6"/>
      <c r="BY12" s="6"/>
      <c r="BZ12" s="6"/>
      <c r="CB12" s="6"/>
      <c r="CC12" s="6"/>
      <c r="CE12" s="6"/>
      <c r="CF12" s="6"/>
      <c r="CH12" s="6"/>
      <c r="CI12" s="6"/>
      <c r="CK12" s="6"/>
      <c r="CL12" s="6"/>
      <c r="CN12" s="6"/>
      <c r="CO12" s="6"/>
      <c r="CQ12" s="6"/>
      <c r="CR12" s="6"/>
      <c r="CT12" s="6"/>
      <c r="CU12" s="6"/>
      <c r="CW12" s="6"/>
      <c r="CX12" s="6"/>
      <c r="CZ12" s="6"/>
      <c r="DA12" s="6"/>
      <c r="DC12" s="6"/>
      <c r="DD12" s="6"/>
      <c r="DF12" s="6"/>
      <c r="DG12" s="6"/>
      <c r="DI12" s="6"/>
      <c r="DJ12" s="6"/>
      <c r="DL12" s="6"/>
      <c r="DM12" s="6"/>
      <c r="DO12" s="6"/>
      <c r="DP12" s="6"/>
      <c r="DR12" s="6"/>
      <c r="DS12" s="6"/>
      <c r="DU12" s="6"/>
      <c r="DV12" s="6"/>
      <c r="DX12" s="6"/>
      <c r="DY12" s="6"/>
      <c r="EA12" s="6"/>
      <c r="EB12" s="6"/>
      <c r="ED12" s="6"/>
      <c r="EE12" s="6"/>
      <c r="EG12" s="6"/>
      <c r="EH12" s="6"/>
      <c r="EJ12" s="6"/>
      <c r="EK12" s="6"/>
      <c r="EM12" s="6"/>
      <c r="EN12" s="6"/>
      <c r="EP12" s="6"/>
      <c r="EQ12" s="6"/>
      <c r="ES12" s="6"/>
      <c r="ET12" s="6"/>
      <c r="EV12" s="6"/>
      <c r="EW12" s="6"/>
      <c r="EY12" s="6"/>
      <c r="EZ12" s="6"/>
      <c r="FB12" s="6"/>
      <c r="FC12" s="6"/>
      <c r="FE12" s="6"/>
      <c r="FF12" s="6"/>
      <c r="FH12" s="6"/>
      <c r="FI12" s="6"/>
      <c r="FK12" s="6"/>
      <c r="FL12" s="6"/>
      <c r="FN12" s="6"/>
      <c r="FO12" s="6"/>
      <c r="FQ12" s="6"/>
      <c r="FR12" s="6"/>
      <c r="FT12" s="6"/>
      <c r="FU12" s="6"/>
      <c r="FW12" s="6"/>
      <c r="FX12" s="6"/>
      <c r="FZ12" s="6"/>
      <c r="GA12" s="6"/>
      <c r="GC12" s="6"/>
      <c r="GD12" s="6"/>
      <c r="GF12" s="6"/>
      <c r="GG12" s="6"/>
      <c r="GI12" s="6"/>
      <c r="GJ12" s="6"/>
      <c r="GL12" s="6"/>
      <c r="GM12" s="6"/>
      <c r="GO12" s="6"/>
      <c r="GP12" s="6"/>
      <c r="GR12" s="6"/>
      <c r="GS12" s="6"/>
      <c r="GU12" s="6"/>
      <c r="GV12" s="6"/>
      <c r="GX12" s="6"/>
      <c r="GY12" s="6"/>
      <c r="HA12" s="6"/>
      <c r="HB12" s="6"/>
      <c r="HD12" s="6"/>
      <c r="HE12" s="6"/>
      <c r="HG12" s="6"/>
      <c r="HH12" s="6"/>
      <c r="HJ12" s="6"/>
      <c r="HK12" s="6"/>
      <c r="HM12" s="6"/>
      <c r="HN12" s="6"/>
      <c r="HP12" s="6"/>
      <c r="HQ12" s="6"/>
      <c r="HS12" s="6"/>
      <c r="HT12" s="6"/>
      <c r="HV12" s="6"/>
      <c r="HW12" s="6"/>
      <c r="HY12" s="6"/>
      <c r="HZ12" s="6"/>
      <c r="IB12" s="6"/>
      <c r="IC12" s="6"/>
      <c r="IE12" s="6"/>
      <c r="IF12" s="6"/>
    </row>
    <row r="13" spans="1:240" x14ac:dyDescent="0.2">
      <c r="A13" s="6"/>
      <c r="B13" s="173" t="s">
        <v>372</v>
      </c>
      <c r="C13" s="3"/>
      <c r="E13" s="6"/>
      <c r="G13" s="5"/>
      <c r="H13" s="3"/>
      <c r="J13" s="6"/>
      <c r="K13" s="6"/>
      <c r="M13" s="6"/>
      <c r="N13" s="6"/>
      <c r="P13" s="6"/>
      <c r="Q13" s="6"/>
      <c r="S13" s="6"/>
      <c r="T13" s="6"/>
      <c r="V13" s="6"/>
      <c r="W13" s="6"/>
      <c r="Y13" s="6"/>
      <c r="Z13" s="6"/>
      <c r="AB13" s="6"/>
      <c r="AC13" s="6"/>
      <c r="AE13" s="6"/>
      <c r="AF13" s="6"/>
      <c r="AG13" s="6"/>
      <c r="AI13" s="6"/>
      <c r="AJ13" s="6"/>
      <c r="AL13" s="6"/>
      <c r="AM13" s="6"/>
      <c r="AO13" s="6"/>
      <c r="AP13" s="6"/>
      <c r="AR13" s="6"/>
      <c r="AS13" s="6"/>
      <c r="AU13" s="6"/>
      <c r="AV13" s="6"/>
      <c r="AX13" s="6"/>
      <c r="AY13" s="6"/>
      <c r="BA13" s="6"/>
      <c r="BB13" s="6"/>
      <c r="BD13" s="6"/>
      <c r="BE13" s="6"/>
      <c r="BG13" s="6"/>
      <c r="BH13" s="6"/>
      <c r="BJ13" s="6"/>
      <c r="BK13" s="6"/>
      <c r="BM13" s="6"/>
      <c r="BN13" s="6"/>
      <c r="BP13" s="6"/>
      <c r="BQ13" s="6"/>
      <c r="BS13" s="6"/>
      <c r="BT13" s="6"/>
      <c r="BV13" s="6"/>
      <c r="BW13" s="6"/>
      <c r="BY13" s="6"/>
      <c r="BZ13" s="6"/>
      <c r="CB13" s="6"/>
      <c r="CC13" s="6"/>
      <c r="CE13" s="6"/>
      <c r="CF13" s="6"/>
      <c r="CH13" s="6"/>
      <c r="CI13" s="6"/>
      <c r="CK13" s="6"/>
      <c r="CL13" s="6"/>
      <c r="CN13" s="6"/>
      <c r="CO13" s="6"/>
      <c r="CQ13" s="6"/>
      <c r="CR13" s="6"/>
      <c r="CT13" s="6"/>
      <c r="CU13" s="6"/>
      <c r="CW13" s="6"/>
      <c r="CX13" s="6"/>
      <c r="CZ13" s="6"/>
      <c r="DA13" s="6"/>
      <c r="DC13" s="6"/>
      <c r="DD13" s="6"/>
      <c r="DF13" s="6"/>
      <c r="DG13" s="6"/>
      <c r="DI13" s="6"/>
      <c r="DJ13" s="6"/>
      <c r="DL13" s="6"/>
      <c r="DM13" s="6"/>
      <c r="DO13" s="6"/>
      <c r="DP13" s="6"/>
      <c r="DR13" s="6"/>
      <c r="DS13" s="6"/>
      <c r="DU13" s="6"/>
      <c r="DV13" s="6"/>
      <c r="DX13" s="6"/>
      <c r="DY13" s="6"/>
      <c r="EA13" s="6"/>
      <c r="EB13" s="6"/>
      <c r="ED13" s="6"/>
      <c r="EE13" s="6"/>
      <c r="EG13" s="6"/>
      <c r="EH13" s="6"/>
      <c r="EJ13" s="6"/>
      <c r="EK13" s="6"/>
      <c r="EM13" s="6"/>
      <c r="EN13" s="6"/>
      <c r="EP13" s="6"/>
      <c r="EQ13" s="6"/>
      <c r="ES13" s="6"/>
      <c r="ET13" s="6"/>
      <c r="EV13" s="6"/>
      <c r="EW13" s="6"/>
      <c r="EY13" s="6"/>
      <c r="EZ13" s="6"/>
      <c r="FB13" s="6"/>
      <c r="FC13" s="6"/>
      <c r="FE13" s="6"/>
      <c r="FF13" s="6"/>
      <c r="FH13" s="6"/>
      <c r="FI13" s="6"/>
      <c r="FK13" s="6"/>
      <c r="FL13" s="6"/>
      <c r="FN13" s="6"/>
      <c r="FO13" s="6"/>
      <c r="FQ13" s="6"/>
      <c r="FR13" s="6"/>
      <c r="FT13" s="6"/>
      <c r="FU13" s="6"/>
      <c r="FW13" s="6"/>
      <c r="FX13" s="6"/>
      <c r="FZ13" s="6"/>
      <c r="GA13" s="6"/>
      <c r="GC13" s="6"/>
      <c r="GD13" s="6"/>
      <c r="GF13" s="6"/>
      <c r="GG13" s="6"/>
      <c r="GI13" s="6"/>
      <c r="GJ13" s="6"/>
      <c r="GL13" s="6"/>
      <c r="GM13" s="6"/>
      <c r="GO13" s="6"/>
      <c r="GP13" s="6"/>
      <c r="GR13" s="6"/>
      <c r="GS13" s="6"/>
      <c r="GU13" s="6"/>
      <c r="GV13" s="6"/>
      <c r="GX13" s="6"/>
      <c r="GY13" s="6"/>
      <c r="HA13" s="6"/>
      <c r="HB13" s="6"/>
      <c r="HD13" s="6"/>
      <c r="HE13" s="6"/>
      <c r="HG13" s="6"/>
      <c r="HH13" s="6"/>
      <c r="HJ13" s="6"/>
      <c r="HK13" s="6"/>
      <c r="HM13" s="6"/>
      <c r="HN13" s="6"/>
      <c r="HP13" s="6"/>
      <c r="HQ13" s="6"/>
      <c r="HS13" s="6"/>
      <c r="HT13" s="6"/>
      <c r="HV13" s="6"/>
      <c r="HW13" s="6"/>
      <c r="HY13" s="6"/>
      <c r="HZ13" s="6"/>
      <c r="IB13" s="6"/>
      <c r="IC13" s="6"/>
      <c r="IE13" s="6"/>
      <c r="IF13" s="6"/>
    </row>
    <row r="14" spans="1:240" x14ac:dyDescent="0.2">
      <c r="A14" s="6"/>
      <c r="B14" s="173" t="s">
        <v>7</v>
      </c>
      <c r="C14" s="3"/>
      <c r="D14" s="341"/>
      <c r="E14" s="6"/>
      <c r="G14" s="5"/>
      <c r="H14" s="3"/>
      <c r="J14" s="6"/>
      <c r="K14" s="6"/>
      <c r="M14" s="6"/>
      <c r="N14" s="6"/>
      <c r="P14" s="6"/>
      <c r="Q14" s="6"/>
      <c r="S14" s="6"/>
      <c r="T14" s="6"/>
      <c r="V14" s="6"/>
      <c r="W14" s="6"/>
      <c r="Y14" s="6"/>
      <c r="Z14" s="6"/>
      <c r="AB14" s="6"/>
      <c r="AC14" s="6"/>
      <c r="AE14" s="6"/>
      <c r="AF14" s="6"/>
      <c r="AG14" s="6"/>
      <c r="AI14" s="6"/>
      <c r="AJ14" s="6"/>
      <c r="AL14" s="6"/>
      <c r="AM14" s="6"/>
      <c r="AO14" s="6"/>
      <c r="AP14" s="6"/>
      <c r="AR14" s="6"/>
      <c r="AS14" s="6"/>
      <c r="AU14" s="6"/>
      <c r="AV14" s="6"/>
      <c r="AX14" s="6"/>
      <c r="AY14" s="6"/>
      <c r="BA14" s="6"/>
      <c r="BB14" s="6"/>
      <c r="BD14" s="6"/>
      <c r="BE14" s="6"/>
      <c r="BG14" s="6"/>
      <c r="BH14" s="6"/>
      <c r="BJ14" s="6"/>
      <c r="BK14" s="6"/>
      <c r="BM14" s="6"/>
      <c r="BN14" s="6"/>
      <c r="BP14" s="6"/>
      <c r="BQ14" s="6"/>
      <c r="BS14" s="6"/>
      <c r="BT14" s="6"/>
      <c r="BV14" s="6"/>
      <c r="BW14" s="6"/>
      <c r="BY14" s="6"/>
      <c r="BZ14" s="6"/>
      <c r="CB14" s="6"/>
      <c r="CC14" s="6"/>
      <c r="CE14" s="6"/>
      <c r="CF14" s="6"/>
      <c r="CH14" s="6"/>
      <c r="CI14" s="6"/>
      <c r="CK14" s="6"/>
      <c r="CL14" s="6"/>
      <c r="CN14" s="6"/>
      <c r="CO14" s="6"/>
      <c r="CQ14" s="6"/>
      <c r="CR14" s="6"/>
      <c r="CT14" s="6"/>
      <c r="CU14" s="6"/>
      <c r="CW14" s="6"/>
      <c r="CX14" s="6"/>
      <c r="CZ14" s="6"/>
      <c r="DA14" s="6"/>
      <c r="DC14" s="6"/>
      <c r="DD14" s="6"/>
      <c r="DF14" s="6"/>
      <c r="DG14" s="6"/>
      <c r="DI14" s="6"/>
      <c r="DJ14" s="6"/>
      <c r="DL14" s="6"/>
      <c r="DM14" s="6"/>
      <c r="DO14" s="6"/>
      <c r="DP14" s="6"/>
      <c r="DR14" s="6"/>
      <c r="DS14" s="6"/>
      <c r="DU14" s="6"/>
      <c r="DV14" s="6"/>
      <c r="DX14" s="6"/>
      <c r="DY14" s="6"/>
      <c r="EA14" s="6"/>
      <c r="EB14" s="6"/>
      <c r="ED14" s="6"/>
      <c r="EE14" s="6"/>
      <c r="EG14" s="6"/>
      <c r="EH14" s="6"/>
      <c r="EJ14" s="6"/>
      <c r="EK14" s="6"/>
      <c r="EM14" s="6"/>
      <c r="EN14" s="6"/>
      <c r="EP14" s="6"/>
      <c r="EQ14" s="6"/>
      <c r="ES14" s="6"/>
      <c r="ET14" s="6"/>
      <c r="EV14" s="6"/>
      <c r="EW14" s="6"/>
      <c r="EY14" s="6"/>
      <c r="EZ14" s="6"/>
      <c r="FB14" s="6"/>
      <c r="FC14" s="6"/>
      <c r="FE14" s="6"/>
      <c r="FF14" s="6"/>
      <c r="FH14" s="6"/>
      <c r="FI14" s="6"/>
      <c r="FK14" s="6"/>
      <c r="FL14" s="6"/>
      <c r="FN14" s="6"/>
      <c r="FO14" s="6"/>
      <c r="FQ14" s="6"/>
      <c r="FR14" s="6"/>
      <c r="FT14" s="6"/>
      <c r="FU14" s="6"/>
      <c r="FW14" s="6"/>
      <c r="FX14" s="6"/>
      <c r="FZ14" s="6"/>
      <c r="GA14" s="6"/>
      <c r="GC14" s="6"/>
      <c r="GD14" s="6"/>
      <c r="GF14" s="6"/>
      <c r="GG14" s="6"/>
      <c r="GI14" s="6"/>
      <c r="GJ14" s="6"/>
      <c r="GL14" s="6"/>
      <c r="GM14" s="6"/>
      <c r="GO14" s="6"/>
      <c r="GP14" s="6"/>
      <c r="GR14" s="6"/>
      <c r="GS14" s="6"/>
      <c r="GU14" s="6"/>
      <c r="GV14" s="6"/>
      <c r="GX14" s="6"/>
      <c r="GY14" s="6"/>
      <c r="HA14" s="6"/>
      <c r="HB14" s="6"/>
      <c r="HD14" s="6"/>
      <c r="HE14" s="6"/>
      <c r="HG14" s="6"/>
      <c r="HH14" s="6"/>
      <c r="HJ14" s="6"/>
      <c r="HK14" s="6"/>
      <c r="HM14" s="6"/>
      <c r="HN14" s="6"/>
      <c r="HP14" s="6"/>
      <c r="HQ14" s="6"/>
      <c r="HS14" s="6"/>
      <c r="HT14" s="6"/>
      <c r="HV14" s="6"/>
      <c r="HW14" s="6"/>
      <c r="HY14" s="6"/>
      <c r="HZ14" s="6"/>
      <c r="IB14" s="6"/>
      <c r="IC14" s="6"/>
      <c r="IE14" s="6"/>
      <c r="IF14" s="6"/>
    </row>
    <row r="15" spans="1:240" x14ac:dyDescent="0.2">
      <c r="A15" s="6"/>
      <c r="B15" s="173" t="s">
        <v>371</v>
      </c>
      <c r="C15" s="3"/>
      <c r="D15" s="341"/>
      <c r="E15" s="6"/>
      <c r="G15" s="5"/>
      <c r="H15" s="3"/>
      <c r="J15" s="6"/>
      <c r="K15" s="6"/>
      <c r="M15" s="6"/>
      <c r="N15" s="6"/>
      <c r="P15" s="6"/>
      <c r="Q15" s="6"/>
      <c r="S15" s="6"/>
      <c r="T15" s="6"/>
      <c r="V15" s="6"/>
      <c r="W15" s="6"/>
      <c r="Y15" s="6"/>
      <c r="Z15" s="6"/>
      <c r="AB15" s="6"/>
      <c r="AC15" s="6"/>
      <c r="AE15" s="6"/>
      <c r="AF15" s="6"/>
      <c r="AG15" s="6"/>
      <c r="AI15" s="6"/>
      <c r="AJ15" s="6"/>
      <c r="AL15" s="6"/>
      <c r="AM15" s="6"/>
      <c r="AO15" s="6"/>
      <c r="AP15" s="6"/>
      <c r="AR15" s="6"/>
      <c r="AS15" s="6"/>
      <c r="AU15" s="6"/>
      <c r="AV15" s="6"/>
      <c r="AX15" s="6"/>
      <c r="AY15" s="6"/>
      <c r="BA15" s="6"/>
      <c r="BB15" s="6"/>
      <c r="BD15" s="6"/>
      <c r="BE15" s="6"/>
      <c r="BG15" s="6"/>
      <c r="BH15" s="6"/>
      <c r="BJ15" s="6"/>
      <c r="BK15" s="6"/>
      <c r="BM15" s="6"/>
      <c r="BN15" s="6"/>
      <c r="BP15" s="6"/>
      <c r="BQ15" s="6"/>
      <c r="BS15" s="6"/>
      <c r="BT15" s="6"/>
      <c r="BV15" s="6"/>
      <c r="BW15" s="6"/>
      <c r="BY15" s="6"/>
      <c r="BZ15" s="6"/>
      <c r="CB15" s="6"/>
      <c r="CC15" s="6"/>
      <c r="CE15" s="6"/>
      <c r="CF15" s="6"/>
      <c r="CH15" s="6"/>
      <c r="CI15" s="6"/>
      <c r="CK15" s="6"/>
      <c r="CL15" s="6"/>
      <c r="CN15" s="6"/>
      <c r="CO15" s="6"/>
      <c r="CQ15" s="6"/>
      <c r="CR15" s="6"/>
      <c r="CT15" s="6"/>
      <c r="CU15" s="6"/>
      <c r="CW15" s="6"/>
      <c r="CX15" s="6"/>
      <c r="CZ15" s="6"/>
      <c r="DA15" s="6"/>
      <c r="DC15" s="6"/>
      <c r="DD15" s="6"/>
      <c r="DF15" s="6"/>
      <c r="DG15" s="6"/>
      <c r="DI15" s="6"/>
      <c r="DJ15" s="6"/>
      <c r="DL15" s="6"/>
      <c r="DM15" s="6"/>
      <c r="DO15" s="6"/>
      <c r="DP15" s="6"/>
      <c r="DR15" s="6"/>
      <c r="DS15" s="6"/>
      <c r="DU15" s="6"/>
      <c r="DV15" s="6"/>
      <c r="DX15" s="6"/>
      <c r="DY15" s="6"/>
      <c r="EA15" s="6"/>
      <c r="EB15" s="6"/>
      <c r="ED15" s="6"/>
      <c r="EE15" s="6"/>
      <c r="EG15" s="6"/>
      <c r="EH15" s="6"/>
      <c r="EJ15" s="6"/>
      <c r="EK15" s="6"/>
      <c r="EM15" s="6"/>
      <c r="EN15" s="6"/>
      <c r="EP15" s="6"/>
      <c r="EQ15" s="6"/>
      <c r="ES15" s="6"/>
      <c r="ET15" s="6"/>
      <c r="EV15" s="6"/>
      <c r="EW15" s="6"/>
      <c r="EY15" s="6"/>
      <c r="EZ15" s="6"/>
      <c r="FB15" s="6"/>
      <c r="FC15" s="6"/>
      <c r="FE15" s="6"/>
      <c r="FF15" s="6"/>
      <c r="FH15" s="6"/>
      <c r="FI15" s="6"/>
      <c r="FK15" s="6"/>
      <c r="FL15" s="6"/>
      <c r="FN15" s="6"/>
      <c r="FO15" s="6"/>
      <c r="FQ15" s="6"/>
      <c r="FR15" s="6"/>
      <c r="FT15" s="6"/>
      <c r="FU15" s="6"/>
      <c r="FW15" s="6"/>
      <c r="FX15" s="6"/>
      <c r="FZ15" s="6"/>
      <c r="GA15" s="6"/>
      <c r="GC15" s="6"/>
      <c r="GD15" s="6"/>
      <c r="GF15" s="6"/>
      <c r="GG15" s="6"/>
      <c r="GI15" s="6"/>
      <c r="GJ15" s="6"/>
      <c r="GL15" s="6"/>
      <c r="GM15" s="6"/>
      <c r="GO15" s="6"/>
      <c r="GP15" s="6"/>
      <c r="GR15" s="6"/>
      <c r="GS15" s="6"/>
      <c r="GU15" s="6"/>
      <c r="GV15" s="6"/>
      <c r="GX15" s="6"/>
      <c r="GY15" s="6"/>
      <c r="HA15" s="6"/>
      <c r="HB15" s="6"/>
      <c r="HD15" s="6"/>
      <c r="HE15" s="6"/>
      <c r="HG15" s="6"/>
      <c r="HH15" s="6"/>
      <c r="HJ15" s="6"/>
      <c r="HK15" s="6"/>
      <c r="HM15" s="6"/>
      <c r="HN15" s="6"/>
      <c r="HP15" s="6"/>
      <c r="HQ15" s="6"/>
      <c r="HS15" s="6"/>
      <c r="HT15" s="6"/>
      <c r="HV15" s="6"/>
      <c r="HW15" s="6"/>
      <c r="HY15" s="6"/>
      <c r="HZ15" s="6"/>
      <c r="IB15" s="6"/>
      <c r="IC15" s="6"/>
      <c r="IE15" s="6"/>
      <c r="IF15" s="6"/>
    </row>
    <row r="16" spans="1:240" x14ac:dyDescent="0.2">
      <c r="A16" s="6"/>
      <c r="B16" s="173" t="s">
        <v>370</v>
      </c>
      <c r="C16" s="3"/>
      <c r="D16" s="341"/>
      <c r="E16" s="6"/>
      <c r="G16" s="5"/>
      <c r="H16" s="3"/>
      <c r="J16" s="6"/>
      <c r="K16" s="6"/>
      <c r="M16" s="6"/>
      <c r="N16" s="6"/>
      <c r="P16" s="6"/>
      <c r="Q16" s="6"/>
      <c r="S16" s="6"/>
      <c r="T16" s="6"/>
      <c r="V16" s="6"/>
      <c r="W16" s="6"/>
      <c r="Y16" s="6"/>
      <c r="Z16" s="6"/>
      <c r="AB16" s="6"/>
      <c r="AC16" s="6"/>
      <c r="AE16" s="6"/>
      <c r="AF16" s="6"/>
      <c r="AG16" s="6"/>
      <c r="AI16" s="6"/>
      <c r="AJ16" s="6"/>
      <c r="AL16" s="6"/>
      <c r="AM16" s="6"/>
      <c r="AO16" s="6"/>
      <c r="AP16" s="6"/>
      <c r="AR16" s="6"/>
      <c r="AS16" s="6"/>
      <c r="AU16" s="6"/>
      <c r="AV16" s="6"/>
      <c r="AX16" s="6"/>
      <c r="AY16" s="6"/>
      <c r="BA16" s="6"/>
      <c r="BB16" s="6"/>
      <c r="BD16" s="6"/>
      <c r="BE16" s="6"/>
      <c r="BG16" s="6"/>
      <c r="BH16" s="6"/>
      <c r="BJ16" s="6"/>
      <c r="BK16" s="6"/>
      <c r="BM16" s="6"/>
      <c r="BN16" s="6"/>
      <c r="BP16" s="6"/>
      <c r="BQ16" s="6"/>
      <c r="BS16" s="6"/>
      <c r="BT16" s="6"/>
      <c r="BV16" s="6"/>
      <c r="BW16" s="6"/>
      <c r="BY16" s="6"/>
      <c r="BZ16" s="6"/>
      <c r="CB16" s="6"/>
      <c r="CC16" s="6"/>
      <c r="CE16" s="6"/>
      <c r="CF16" s="6"/>
      <c r="CH16" s="6"/>
      <c r="CI16" s="6"/>
      <c r="CK16" s="6"/>
      <c r="CL16" s="6"/>
      <c r="CN16" s="6"/>
      <c r="CO16" s="6"/>
      <c r="CQ16" s="6"/>
      <c r="CR16" s="6"/>
      <c r="CT16" s="6"/>
      <c r="CU16" s="6"/>
      <c r="CW16" s="6"/>
      <c r="CX16" s="6"/>
      <c r="CZ16" s="6"/>
      <c r="DA16" s="6"/>
      <c r="DC16" s="6"/>
      <c r="DD16" s="6"/>
      <c r="DF16" s="6"/>
      <c r="DG16" s="6"/>
      <c r="DI16" s="6"/>
      <c r="DJ16" s="6"/>
      <c r="DL16" s="6"/>
      <c r="DM16" s="6"/>
      <c r="DO16" s="6"/>
      <c r="DP16" s="6"/>
      <c r="DR16" s="6"/>
      <c r="DS16" s="6"/>
      <c r="DU16" s="6"/>
      <c r="DV16" s="6"/>
      <c r="DX16" s="6"/>
      <c r="DY16" s="6"/>
      <c r="EA16" s="6"/>
      <c r="EB16" s="6"/>
      <c r="ED16" s="6"/>
      <c r="EE16" s="6"/>
      <c r="EG16" s="6"/>
      <c r="EH16" s="6"/>
      <c r="EJ16" s="6"/>
      <c r="EK16" s="6"/>
      <c r="EM16" s="6"/>
      <c r="EN16" s="6"/>
      <c r="EP16" s="6"/>
      <c r="EQ16" s="6"/>
      <c r="ES16" s="6"/>
      <c r="ET16" s="6"/>
      <c r="EV16" s="6"/>
      <c r="EW16" s="6"/>
      <c r="EY16" s="6"/>
      <c r="EZ16" s="6"/>
      <c r="FB16" s="6"/>
      <c r="FC16" s="6"/>
      <c r="FE16" s="6"/>
      <c r="FF16" s="6"/>
      <c r="FH16" s="6"/>
      <c r="FI16" s="6"/>
      <c r="FK16" s="6"/>
      <c r="FL16" s="6"/>
      <c r="FN16" s="6"/>
      <c r="FO16" s="6"/>
      <c r="FQ16" s="6"/>
      <c r="FR16" s="6"/>
      <c r="FT16" s="6"/>
      <c r="FU16" s="6"/>
      <c r="FW16" s="6"/>
      <c r="FX16" s="6"/>
      <c r="FZ16" s="6"/>
      <c r="GA16" s="6"/>
      <c r="GC16" s="6"/>
      <c r="GD16" s="6"/>
      <c r="GF16" s="6"/>
      <c r="GG16" s="6"/>
      <c r="GI16" s="6"/>
      <c r="GJ16" s="6"/>
      <c r="GL16" s="6"/>
      <c r="GM16" s="6"/>
      <c r="GO16" s="6"/>
      <c r="GP16" s="6"/>
      <c r="GR16" s="6"/>
      <c r="GS16" s="6"/>
      <c r="GU16" s="6"/>
      <c r="GV16" s="6"/>
      <c r="GX16" s="6"/>
      <c r="GY16" s="6"/>
      <c r="HA16" s="6"/>
      <c r="HB16" s="6"/>
      <c r="HD16" s="6"/>
      <c r="HE16" s="6"/>
      <c r="HG16" s="6"/>
      <c r="HH16" s="6"/>
      <c r="HJ16" s="6"/>
      <c r="HK16" s="6"/>
      <c r="HM16" s="6"/>
      <c r="HN16" s="6"/>
      <c r="HP16" s="6"/>
      <c r="HQ16" s="6"/>
      <c r="HS16" s="6"/>
      <c r="HT16" s="6"/>
      <c r="HV16" s="6"/>
      <c r="HW16" s="6"/>
      <c r="HY16" s="6"/>
      <c r="HZ16" s="6"/>
      <c r="IB16" s="6"/>
      <c r="IC16" s="6"/>
      <c r="IE16" s="6"/>
      <c r="IF16" s="6"/>
    </row>
    <row r="17" spans="1:240" x14ac:dyDescent="0.2">
      <c r="A17" s="6"/>
      <c r="B17" s="173" t="s">
        <v>138</v>
      </c>
      <c r="C17" s="3"/>
      <c r="D17" s="341"/>
      <c r="E17" s="6"/>
      <c r="G17" s="5"/>
      <c r="H17" s="3"/>
      <c r="J17" s="6"/>
      <c r="K17" s="6"/>
      <c r="M17" s="6"/>
      <c r="N17" s="6"/>
      <c r="P17" s="6"/>
      <c r="Q17" s="6"/>
      <c r="S17" s="6"/>
      <c r="T17" s="6"/>
      <c r="V17" s="6"/>
      <c r="W17" s="6"/>
      <c r="Y17" s="6"/>
      <c r="Z17" s="6"/>
      <c r="AB17" s="6"/>
      <c r="AC17" s="6"/>
      <c r="AE17" s="6"/>
      <c r="AF17" s="6"/>
      <c r="AG17" s="6"/>
      <c r="AI17" s="6"/>
      <c r="AJ17" s="6"/>
      <c r="AL17" s="6"/>
      <c r="AM17" s="6"/>
      <c r="AO17" s="6"/>
      <c r="AP17" s="6"/>
      <c r="AR17" s="6"/>
      <c r="AS17" s="6"/>
      <c r="AU17" s="6"/>
      <c r="AV17" s="6"/>
      <c r="AX17" s="6"/>
      <c r="AY17" s="6"/>
      <c r="BA17" s="6"/>
      <c r="BB17" s="6"/>
      <c r="BD17" s="6"/>
      <c r="BE17" s="6"/>
      <c r="BG17" s="6"/>
      <c r="BH17" s="6"/>
      <c r="BJ17" s="6"/>
      <c r="BK17" s="6"/>
      <c r="BM17" s="6"/>
      <c r="BN17" s="6"/>
      <c r="BP17" s="6"/>
      <c r="BQ17" s="6"/>
      <c r="BS17" s="6"/>
      <c r="BT17" s="6"/>
      <c r="BV17" s="6"/>
      <c r="BW17" s="6"/>
      <c r="BY17" s="6"/>
      <c r="BZ17" s="6"/>
      <c r="CB17" s="6"/>
      <c r="CC17" s="6"/>
      <c r="CE17" s="6"/>
      <c r="CF17" s="6"/>
      <c r="CH17" s="6"/>
      <c r="CI17" s="6"/>
      <c r="CK17" s="6"/>
      <c r="CL17" s="6"/>
      <c r="CN17" s="6"/>
      <c r="CO17" s="6"/>
      <c r="CQ17" s="6"/>
      <c r="CR17" s="6"/>
      <c r="CT17" s="6"/>
      <c r="CU17" s="6"/>
      <c r="CW17" s="6"/>
      <c r="CX17" s="6"/>
      <c r="CZ17" s="6"/>
      <c r="DA17" s="6"/>
      <c r="DC17" s="6"/>
      <c r="DD17" s="6"/>
      <c r="DF17" s="6"/>
      <c r="DG17" s="6"/>
      <c r="DI17" s="6"/>
      <c r="DJ17" s="6"/>
      <c r="DL17" s="6"/>
      <c r="DM17" s="6"/>
      <c r="DO17" s="6"/>
      <c r="DP17" s="6"/>
      <c r="DR17" s="6"/>
      <c r="DS17" s="6"/>
      <c r="DU17" s="6"/>
      <c r="DV17" s="6"/>
      <c r="DX17" s="6"/>
      <c r="DY17" s="6"/>
      <c r="EA17" s="6"/>
      <c r="EB17" s="6"/>
      <c r="ED17" s="6"/>
      <c r="EE17" s="6"/>
      <c r="EG17" s="6"/>
      <c r="EH17" s="6"/>
      <c r="EJ17" s="6"/>
      <c r="EK17" s="6"/>
      <c r="EM17" s="6"/>
      <c r="EN17" s="6"/>
      <c r="EP17" s="6"/>
      <c r="EQ17" s="6"/>
      <c r="ES17" s="6"/>
      <c r="ET17" s="6"/>
      <c r="EV17" s="6"/>
      <c r="EW17" s="6"/>
      <c r="EY17" s="6"/>
      <c r="EZ17" s="6"/>
      <c r="FB17" s="6"/>
      <c r="FC17" s="6"/>
      <c r="FE17" s="6"/>
      <c r="FF17" s="6"/>
      <c r="FH17" s="6"/>
      <c r="FI17" s="6"/>
      <c r="FK17" s="6"/>
      <c r="FL17" s="6"/>
      <c r="FN17" s="6"/>
      <c r="FO17" s="6"/>
      <c r="FQ17" s="6"/>
      <c r="FR17" s="6"/>
      <c r="FT17" s="6"/>
      <c r="FU17" s="6"/>
      <c r="FW17" s="6"/>
      <c r="FX17" s="6"/>
      <c r="FZ17" s="6"/>
      <c r="GA17" s="6"/>
      <c r="GC17" s="6"/>
      <c r="GD17" s="6"/>
      <c r="GF17" s="6"/>
      <c r="GG17" s="6"/>
      <c r="GI17" s="6"/>
      <c r="GJ17" s="6"/>
      <c r="GL17" s="6"/>
      <c r="GM17" s="6"/>
      <c r="GO17" s="6"/>
      <c r="GP17" s="6"/>
      <c r="GR17" s="6"/>
      <c r="GS17" s="6"/>
      <c r="GU17" s="6"/>
      <c r="GV17" s="6"/>
      <c r="GX17" s="6"/>
      <c r="GY17" s="6"/>
      <c r="HA17" s="6"/>
      <c r="HB17" s="6"/>
      <c r="HD17" s="6"/>
      <c r="HE17" s="6"/>
      <c r="HG17" s="6"/>
      <c r="HH17" s="6"/>
      <c r="HJ17" s="6"/>
      <c r="HK17" s="6"/>
      <c r="HM17" s="6"/>
      <c r="HN17" s="6"/>
      <c r="HP17" s="6"/>
      <c r="HQ17" s="6"/>
      <c r="HS17" s="6"/>
      <c r="HT17" s="6"/>
      <c r="HV17" s="6"/>
      <c r="HW17" s="6"/>
      <c r="HY17" s="6"/>
      <c r="HZ17" s="6"/>
      <c r="IB17" s="6"/>
      <c r="IC17" s="6"/>
      <c r="IE17" s="6"/>
      <c r="IF17" s="6"/>
    </row>
    <row r="18" spans="1:240" x14ac:dyDescent="0.2">
      <c r="A18" s="6"/>
      <c r="B18" s="173" t="s">
        <v>373</v>
      </c>
      <c r="C18" s="3"/>
      <c r="D18" s="341"/>
      <c r="E18" s="6"/>
      <c r="G18" s="5"/>
      <c r="H18" s="3"/>
      <c r="J18" s="6"/>
      <c r="K18" s="6"/>
      <c r="M18" s="6"/>
      <c r="N18" s="6"/>
      <c r="P18" s="6"/>
      <c r="Q18" s="6"/>
      <c r="S18" s="6"/>
      <c r="T18" s="6"/>
      <c r="V18" s="6"/>
      <c r="W18" s="6"/>
      <c r="Y18" s="6"/>
      <c r="Z18" s="6"/>
      <c r="AB18" s="6"/>
      <c r="AC18" s="6"/>
      <c r="AE18" s="6"/>
      <c r="AF18" s="6"/>
      <c r="AG18" s="6"/>
      <c r="AI18" s="6"/>
      <c r="AJ18" s="6"/>
      <c r="AL18" s="6"/>
      <c r="AM18" s="6"/>
      <c r="AO18" s="6"/>
      <c r="AP18" s="6"/>
      <c r="AR18" s="6"/>
      <c r="AS18" s="6"/>
      <c r="AU18" s="6"/>
      <c r="AV18" s="6"/>
      <c r="AX18" s="6"/>
      <c r="AY18" s="6"/>
      <c r="BA18" s="6"/>
      <c r="BB18" s="6"/>
      <c r="BD18" s="6"/>
      <c r="BE18" s="6"/>
      <c r="BG18" s="6"/>
      <c r="BH18" s="6"/>
      <c r="BJ18" s="6"/>
      <c r="BK18" s="6"/>
      <c r="BM18" s="6"/>
      <c r="BN18" s="6"/>
      <c r="BP18" s="6"/>
      <c r="BQ18" s="6"/>
      <c r="BS18" s="6"/>
      <c r="BT18" s="6"/>
      <c r="BV18" s="6"/>
      <c r="BW18" s="6"/>
      <c r="BY18" s="6"/>
      <c r="BZ18" s="6"/>
      <c r="CB18" s="6"/>
      <c r="CC18" s="6"/>
      <c r="CE18" s="6"/>
      <c r="CF18" s="6"/>
      <c r="CH18" s="6"/>
      <c r="CI18" s="6"/>
      <c r="CK18" s="6"/>
      <c r="CL18" s="6"/>
      <c r="CN18" s="6"/>
      <c r="CO18" s="6"/>
      <c r="CQ18" s="6"/>
      <c r="CR18" s="6"/>
      <c r="CT18" s="6"/>
      <c r="CU18" s="6"/>
      <c r="CW18" s="6"/>
      <c r="CX18" s="6"/>
      <c r="CZ18" s="6"/>
      <c r="DA18" s="6"/>
      <c r="DC18" s="6"/>
      <c r="DD18" s="6"/>
      <c r="DF18" s="6"/>
      <c r="DG18" s="6"/>
      <c r="DI18" s="6"/>
      <c r="DJ18" s="6"/>
      <c r="DL18" s="6"/>
      <c r="DM18" s="6"/>
      <c r="DO18" s="6"/>
      <c r="DP18" s="6"/>
      <c r="DR18" s="6"/>
      <c r="DS18" s="6"/>
      <c r="DU18" s="6"/>
      <c r="DV18" s="6"/>
      <c r="DX18" s="6"/>
      <c r="DY18" s="6"/>
      <c r="EA18" s="6"/>
      <c r="EB18" s="6"/>
      <c r="ED18" s="6"/>
      <c r="EE18" s="6"/>
      <c r="EG18" s="6"/>
      <c r="EH18" s="6"/>
      <c r="EJ18" s="6"/>
      <c r="EK18" s="6"/>
      <c r="EM18" s="6"/>
      <c r="EN18" s="6"/>
      <c r="EP18" s="6"/>
      <c r="EQ18" s="6"/>
      <c r="ES18" s="6"/>
      <c r="ET18" s="6"/>
      <c r="EV18" s="6"/>
      <c r="EW18" s="6"/>
      <c r="EY18" s="6"/>
      <c r="EZ18" s="6"/>
      <c r="FB18" s="6"/>
      <c r="FC18" s="6"/>
      <c r="FE18" s="6"/>
      <c r="FF18" s="6"/>
      <c r="FH18" s="6"/>
      <c r="FI18" s="6"/>
      <c r="FK18" s="6"/>
      <c r="FL18" s="6"/>
      <c r="FN18" s="6"/>
      <c r="FO18" s="6"/>
      <c r="FQ18" s="6"/>
      <c r="FR18" s="6"/>
      <c r="FT18" s="6"/>
      <c r="FU18" s="6"/>
      <c r="FW18" s="6"/>
      <c r="FX18" s="6"/>
      <c r="FZ18" s="6"/>
      <c r="GA18" s="6"/>
      <c r="GC18" s="6"/>
      <c r="GD18" s="6"/>
      <c r="GF18" s="6"/>
      <c r="GG18" s="6"/>
      <c r="GI18" s="6"/>
      <c r="GJ18" s="6"/>
      <c r="GL18" s="6"/>
      <c r="GM18" s="6"/>
      <c r="GO18" s="6"/>
      <c r="GP18" s="6"/>
      <c r="GR18" s="6"/>
      <c r="GS18" s="6"/>
      <c r="GU18" s="6"/>
      <c r="GV18" s="6"/>
      <c r="GX18" s="6"/>
      <c r="GY18" s="6"/>
      <c r="HA18" s="6"/>
      <c r="HB18" s="6"/>
      <c r="HD18" s="6"/>
      <c r="HE18" s="6"/>
      <c r="HG18" s="6"/>
      <c r="HH18" s="6"/>
      <c r="HJ18" s="6"/>
      <c r="HK18" s="6"/>
      <c r="HM18" s="6"/>
      <c r="HN18" s="6"/>
      <c r="HP18" s="6"/>
      <c r="HQ18" s="6"/>
      <c r="HS18" s="6"/>
      <c r="HT18" s="6"/>
      <c r="HV18" s="6"/>
      <c r="HW18" s="6"/>
      <c r="HY18" s="6"/>
      <c r="HZ18" s="6"/>
      <c r="IB18" s="6"/>
      <c r="IC18" s="6"/>
      <c r="IE18" s="6"/>
      <c r="IF18" s="6"/>
    </row>
    <row r="19" spans="1:240" x14ac:dyDescent="0.2">
      <c r="A19" s="6"/>
      <c r="B19" s="173" t="s">
        <v>811</v>
      </c>
      <c r="C19" s="3"/>
      <c r="D19" s="341"/>
      <c r="E19" s="6"/>
      <c r="G19" s="5"/>
      <c r="H19" s="3"/>
      <c r="J19" s="6"/>
      <c r="K19" s="6"/>
      <c r="M19" s="6"/>
      <c r="N19" s="6"/>
      <c r="P19" s="6"/>
      <c r="Q19" s="6"/>
      <c r="S19" s="6"/>
      <c r="T19" s="6"/>
      <c r="V19" s="6"/>
      <c r="W19" s="6"/>
      <c r="Y19" s="6"/>
      <c r="Z19" s="6"/>
      <c r="AB19" s="6"/>
      <c r="AC19" s="6"/>
      <c r="AE19" s="6"/>
      <c r="AF19" s="6"/>
      <c r="AG19" s="6"/>
      <c r="AI19" s="6"/>
      <c r="AJ19" s="6"/>
      <c r="AL19" s="6"/>
      <c r="AM19" s="6"/>
      <c r="AO19" s="6"/>
      <c r="AP19" s="6"/>
      <c r="AR19" s="6"/>
      <c r="AS19" s="6"/>
      <c r="AU19" s="6"/>
      <c r="AV19" s="6"/>
      <c r="AX19" s="6"/>
      <c r="AY19" s="6"/>
      <c r="BA19" s="6"/>
      <c r="BB19" s="6"/>
      <c r="BD19" s="6"/>
      <c r="BE19" s="6"/>
      <c r="BG19" s="6"/>
      <c r="BH19" s="6"/>
      <c r="BJ19" s="6"/>
      <c r="BK19" s="6"/>
      <c r="BM19" s="6"/>
      <c r="BN19" s="6"/>
      <c r="BP19" s="6"/>
      <c r="BQ19" s="6"/>
      <c r="BS19" s="6"/>
      <c r="BT19" s="6"/>
      <c r="BV19" s="6"/>
      <c r="BW19" s="6"/>
      <c r="BY19" s="6"/>
      <c r="BZ19" s="6"/>
      <c r="CB19" s="6"/>
      <c r="CC19" s="6"/>
      <c r="CE19" s="6"/>
      <c r="CF19" s="6"/>
      <c r="CH19" s="6"/>
      <c r="CI19" s="6"/>
      <c r="CK19" s="6"/>
      <c r="CL19" s="6"/>
      <c r="CN19" s="6"/>
      <c r="CO19" s="6"/>
      <c r="CQ19" s="6"/>
      <c r="CR19" s="6"/>
      <c r="CT19" s="6"/>
      <c r="CU19" s="6"/>
      <c r="CW19" s="6"/>
      <c r="CX19" s="6"/>
      <c r="CZ19" s="6"/>
      <c r="DA19" s="6"/>
      <c r="DC19" s="6"/>
      <c r="DD19" s="6"/>
      <c r="DF19" s="6"/>
      <c r="DG19" s="6"/>
      <c r="DI19" s="6"/>
      <c r="DJ19" s="6"/>
      <c r="DL19" s="6"/>
      <c r="DM19" s="6"/>
      <c r="DO19" s="6"/>
      <c r="DP19" s="6"/>
      <c r="DR19" s="6"/>
      <c r="DS19" s="6"/>
      <c r="DU19" s="6"/>
      <c r="DV19" s="6"/>
      <c r="DX19" s="6"/>
      <c r="DY19" s="6"/>
      <c r="EA19" s="6"/>
      <c r="EB19" s="6"/>
      <c r="ED19" s="6"/>
      <c r="EE19" s="6"/>
      <c r="EG19" s="6"/>
      <c r="EH19" s="6"/>
      <c r="EJ19" s="6"/>
      <c r="EK19" s="6"/>
      <c r="EM19" s="6"/>
      <c r="EN19" s="6"/>
      <c r="EP19" s="6"/>
      <c r="EQ19" s="6"/>
      <c r="ES19" s="6"/>
      <c r="ET19" s="6"/>
      <c r="EV19" s="6"/>
      <c r="EW19" s="6"/>
      <c r="EY19" s="6"/>
      <c r="EZ19" s="6"/>
      <c r="FB19" s="6"/>
      <c r="FC19" s="6"/>
      <c r="FE19" s="6"/>
      <c r="FF19" s="6"/>
      <c r="FH19" s="6"/>
      <c r="FI19" s="6"/>
      <c r="FK19" s="6"/>
      <c r="FL19" s="6"/>
      <c r="FN19" s="6"/>
      <c r="FO19" s="6"/>
      <c r="FQ19" s="6"/>
      <c r="FR19" s="6"/>
      <c r="FT19" s="6"/>
      <c r="FU19" s="6"/>
      <c r="FW19" s="6"/>
      <c r="FX19" s="6"/>
      <c r="FZ19" s="6"/>
      <c r="GA19" s="6"/>
      <c r="GC19" s="6"/>
      <c r="GD19" s="6"/>
      <c r="GF19" s="6"/>
      <c r="GG19" s="6"/>
      <c r="GI19" s="6"/>
      <c r="GJ19" s="6"/>
      <c r="GL19" s="6"/>
      <c r="GM19" s="6"/>
      <c r="GO19" s="6"/>
      <c r="GP19" s="6"/>
      <c r="GR19" s="6"/>
      <c r="GS19" s="6"/>
      <c r="GU19" s="6"/>
      <c r="GV19" s="6"/>
      <c r="GX19" s="6"/>
      <c r="GY19" s="6"/>
      <c r="HA19" s="6"/>
      <c r="HB19" s="6"/>
      <c r="HD19" s="6"/>
      <c r="HE19" s="6"/>
      <c r="HG19" s="6"/>
      <c r="HH19" s="6"/>
      <c r="HJ19" s="6"/>
      <c r="HK19" s="6"/>
      <c r="HM19" s="6"/>
      <c r="HN19" s="6"/>
      <c r="HP19" s="6"/>
      <c r="HQ19" s="6"/>
      <c r="HS19" s="6"/>
      <c r="HT19" s="6"/>
      <c r="HV19" s="6"/>
      <c r="HW19" s="6"/>
      <c r="HY19" s="6"/>
      <c r="HZ19" s="6"/>
      <c r="IB19" s="6"/>
      <c r="IC19" s="6"/>
      <c r="IE19" s="6"/>
      <c r="IF19" s="6"/>
    </row>
    <row r="20" spans="1:240" x14ac:dyDescent="0.2">
      <c r="A20" s="6"/>
      <c r="B20" s="173" t="s">
        <v>374</v>
      </c>
      <c r="C20" s="3"/>
      <c r="D20" s="342"/>
      <c r="E20" s="6"/>
      <c r="G20" s="5"/>
      <c r="H20" s="3"/>
      <c r="J20" s="6"/>
      <c r="K20" s="6"/>
      <c r="M20" s="6"/>
      <c r="N20" s="6"/>
      <c r="P20" s="6"/>
      <c r="Q20" s="6"/>
      <c r="S20" s="6"/>
      <c r="T20" s="6"/>
      <c r="V20" s="6"/>
      <c r="W20" s="6"/>
      <c r="Y20" s="6"/>
      <c r="Z20" s="6"/>
      <c r="AB20" s="6"/>
      <c r="AC20" s="6"/>
      <c r="AE20" s="6"/>
      <c r="AF20" s="6"/>
      <c r="AG20" s="6"/>
      <c r="AI20" s="6"/>
      <c r="AJ20" s="6"/>
      <c r="AL20" s="6"/>
      <c r="AM20" s="6"/>
      <c r="AO20" s="6"/>
      <c r="AP20" s="6"/>
      <c r="AR20" s="6"/>
      <c r="AS20" s="6"/>
      <c r="AU20" s="6"/>
      <c r="AV20" s="6"/>
      <c r="AX20" s="6"/>
      <c r="AY20" s="6"/>
      <c r="BA20" s="6"/>
      <c r="BB20" s="6"/>
      <c r="BD20" s="6"/>
      <c r="BE20" s="6"/>
      <c r="BG20" s="6"/>
      <c r="BH20" s="6"/>
      <c r="BJ20" s="6"/>
      <c r="BK20" s="6"/>
      <c r="BM20" s="6"/>
      <c r="BN20" s="6"/>
      <c r="BP20" s="6"/>
      <c r="BQ20" s="6"/>
      <c r="BS20" s="6"/>
      <c r="BT20" s="6"/>
      <c r="BV20" s="6"/>
      <c r="BW20" s="6"/>
      <c r="BY20" s="6"/>
      <c r="BZ20" s="6"/>
      <c r="CB20" s="6"/>
      <c r="CC20" s="6"/>
      <c r="CE20" s="6"/>
      <c r="CF20" s="6"/>
      <c r="CH20" s="6"/>
      <c r="CI20" s="6"/>
      <c r="CK20" s="6"/>
      <c r="CL20" s="6"/>
      <c r="CN20" s="6"/>
      <c r="CO20" s="6"/>
      <c r="CQ20" s="6"/>
      <c r="CR20" s="6"/>
      <c r="CT20" s="6"/>
      <c r="CU20" s="6"/>
      <c r="CW20" s="6"/>
      <c r="CX20" s="6"/>
      <c r="CZ20" s="6"/>
      <c r="DA20" s="6"/>
      <c r="DC20" s="6"/>
      <c r="DD20" s="6"/>
      <c r="DF20" s="6"/>
      <c r="DG20" s="6"/>
      <c r="DI20" s="6"/>
      <c r="DJ20" s="6"/>
      <c r="DL20" s="6"/>
      <c r="DM20" s="6"/>
      <c r="DO20" s="6"/>
      <c r="DP20" s="6"/>
      <c r="DR20" s="6"/>
      <c r="DS20" s="6"/>
      <c r="DU20" s="6"/>
      <c r="DV20" s="6"/>
      <c r="DX20" s="6"/>
      <c r="DY20" s="6"/>
      <c r="EA20" s="6"/>
      <c r="EB20" s="6"/>
      <c r="ED20" s="6"/>
      <c r="EE20" s="6"/>
      <c r="EG20" s="6"/>
      <c r="EH20" s="6"/>
      <c r="EJ20" s="6"/>
      <c r="EK20" s="6"/>
      <c r="EM20" s="6"/>
      <c r="EN20" s="6"/>
      <c r="EP20" s="6"/>
      <c r="EQ20" s="6"/>
      <c r="ES20" s="6"/>
      <c r="ET20" s="6"/>
      <c r="EV20" s="6"/>
      <c r="EW20" s="6"/>
      <c r="EY20" s="6"/>
      <c r="EZ20" s="6"/>
      <c r="FB20" s="6"/>
      <c r="FC20" s="6"/>
      <c r="FE20" s="6"/>
      <c r="FF20" s="6"/>
      <c r="FH20" s="6"/>
      <c r="FI20" s="6"/>
      <c r="FK20" s="6"/>
      <c r="FL20" s="6"/>
      <c r="FN20" s="6"/>
      <c r="FO20" s="6"/>
      <c r="FQ20" s="6"/>
      <c r="FR20" s="6"/>
      <c r="FT20" s="6"/>
      <c r="FU20" s="6"/>
      <c r="FW20" s="6"/>
      <c r="FX20" s="6"/>
      <c r="FZ20" s="6"/>
      <c r="GA20" s="6"/>
      <c r="GC20" s="6"/>
      <c r="GD20" s="6"/>
      <c r="GF20" s="6"/>
      <c r="GG20" s="6"/>
      <c r="GI20" s="6"/>
      <c r="GJ20" s="6"/>
      <c r="GL20" s="6"/>
      <c r="GM20" s="6"/>
      <c r="GO20" s="6"/>
      <c r="GP20" s="6"/>
      <c r="GR20" s="6"/>
      <c r="GS20" s="6"/>
      <c r="GU20" s="6"/>
      <c r="GV20" s="6"/>
      <c r="GX20" s="6"/>
      <c r="GY20" s="6"/>
      <c r="HA20" s="6"/>
      <c r="HB20" s="6"/>
      <c r="HD20" s="6"/>
      <c r="HE20" s="6"/>
      <c r="HG20" s="6"/>
      <c r="HH20" s="6"/>
      <c r="HJ20" s="6"/>
      <c r="HK20" s="6"/>
      <c r="HM20" s="6"/>
      <c r="HN20" s="6"/>
      <c r="HP20" s="6"/>
      <c r="HQ20" s="6"/>
      <c r="HS20" s="6"/>
      <c r="HT20" s="6"/>
      <c r="HV20" s="6"/>
      <c r="HW20" s="6"/>
      <c r="HY20" s="6"/>
      <c r="HZ20" s="6"/>
      <c r="IB20" s="6"/>
      <c r="IC20" s="6"/>
      <c r="IE20" s="6"/>
      <c r="IF20" s="6"/>
    </row>
    <row r="21" spans="1:240" x14ac:dyDescent="0.2">
      <c r="A21" s="6"/>
      <c r="B21" s="173" t="s">
        <v>375</v>
      </c>
      <c r="C21" s="3"/>
      <c r="D21" s="341"/>
      <c r="E21" s="6"/>
      <c r="G21" s="5"/>
      <c r="H21" s="3"/>
      <c r="J21" s="6"/>
      <c r="K21" s="6"/>
      <c r="M21" s="6"/>
      <c r="N21" s="6"/>
      <c r="P21" s="6"/>
      <c r="Q21" s="6"/>
      <c r="S21" s="6"/>
      <c r="T21" s="6"/>
      <c r="V21" s="6"/>
      <c r="W21" s="6"/>
      <c r="Y21" s="6"/>
      <c r="Z21" s="6"/>
      <c r="AB21" s="6"/>
      <c r="AC21" s="6"/>
      <c r="AE21" s="6"/>
      <c r="AF21" s="6"/>
      <c r="AG21" s="6"/>
      <c r="AI21" s="6"/>
      <c r="AJ21" s="6"/>
      <c r="AL21" s="6"/>
      <c r="AM21" s="6"/>
      <c r="AO21" s="6"/>
      <c r="AP21" s="6"/>
      <c r="AR21" s="6"/>
      <c r="AS21" s="6"/>
      <c r="AU21" s="6"/>
      <c r="AV21" s="6"/>
      <c r="AX21" s="6"/>
      <c r="AY21" s="6"/>
      <c r="BA21" s="6"/>
      <c r="BB21" s="6"/>
      <c r="BD21" s="6"/>
      <c r="BE21" s="6"/>
      <c r="BG21" s="6"/>
      <c r="BH21" s="6"/>
      <c r="BJ21" s="6"/>
      <c r="BK21" s="6"/>
      <c r="BM21" s="6"/>
      <c r="BN21" s="6"/>
      <c r="BP21" s="6"/>
      <c r="BQ21" s="6"/>
      <c r="BS21" s="6"/>
      <c r="BT21" s="6"/>
      <c r="BV21" s="6"/>
      <c r="BW21" s="6"/>
      <c r="BY21" s="6"/>
      <c r="BZ21" s="6"/>
      <c r="CB21" s="6"/>
      <c r="CC21" s="6"/>
      <c r="CE21" s="6"/>
      <c r="CF21" s="6"/>
      <c r="CH21" s="6"/>
      <c r="CI21" s="6"/>
      <c r="CK21" s="6"/>
      <c r="CL21" s="6"/>
      <c r="CN21" s="6"/>
      <c r="CO21" s="6"/>
      <c r="CQ21" s="6"/>
      <c r="CR21" s="6"/>
      <c r="CT21" s="6"/>
      <c r="CU21" s="6"/>
      <c r="CW21" s="6"/>
      <c r="CX21" s="6"/>
      <c r="CZ21" s="6"/>
      <c r="DA21" s="6"/>
      <c r="DC21" s="6"/>
      <c r="DD21" s="6"/>
      <c r="DF21" s="6"/>
      <c r="DG21" s="6"/>
      <c r="DI21" s="6"/>
      <c r="DJ21" s="6"/>
      <c r="DL21" s="6"/>
      <c r="DM21" s="6"/>
      <c r="DO21" s="6"/>
      <c r="DP21" s="6"/>
      <c r="DR21" s="6"/>
      <c r="DS21" s="6"/>
      <c r="DU21" s="6"/>
      <c r="DV21" s="6"/>
      <c r="DX21" s="6"/>
      <c r="DY21" s="6"/>
      <c r="EA21" s="6"/>
      <c r="EB21" s="6"/>
      <c r="ED21" s="6"/>
      <c r="EE21" s="6"/>
      <c r="EG21" s="6"/>
      <c r="EH21" s="6"/>
      <c r="EJ21" s="6"/>
      <c r="EK21" s="6"/>
      <c r="EM21" s="6"/>
      <c r="EN21" s="6"/>
      <c r="EP21" s="6"/>
      <c r="EQ21" s="6"/>
      <c r="ES21" s="6"/>
      <c r="ET21" s="6"/>
      <c r="EV21" s="6"/>
      <c r="EW21" s="6"/>
      <c r="EY21" s="6"/>
      <c r="EZ21" s="6"/>
      <c r="FB21" s="6"/>
      <c r="FC21" s="6"/>
      <c r="FE21" s="6"/>
      <c r="FF21" s="6"/>
      <c r="FH21" s="6"/>
      <c r="FI21" s="6"/>
      <c r="FK21" s="6"/>
      <c r="FL21" s="6"/>
      <c r="FN21" s="6"/>
      <c r="FO21" s="6"/>
      <c r="FQ21" s="6"/>
      <c r="FR21" s="6"/>
      <c r="FT21" s="6"/>
      <c r="FU21" s="6"/>
      <c r="FW21" s="6"/>
      <c r="FX21" s="6"/>
      <c r="FZ21" s="6"/>
      <c r="GA21" s="6"/>
      <c r="GC21" s="6"/>
      <c r="GD21" s="6"/>
      <c r="GF21" s="6"/>
      <c r="GG21" s="6"/>
      <c r="GI21" s="6"/>
      <c r="GJ21" s="6"/>
      <c r="GL21" s="6"/>
      <c r="GM21" s="6"/>
      <c r="GO21" s="6"/>
      <c r="GP21" s="6"/>
      <c r="GR21" s="6"/>
      <c r="GS21" s="6"/>
      <c r="GU21" s="6"/>
      <c r="GV21" s="6"/>
      <c r="GX21" s="6"/>
      <c r="GY21" s="6"/>
      <c r="HA21" s="6"/>
      <c r="HB21" s="6"/>
      <c r="HD21" s="6"/>
      <c r="HE21" s="6"/>
      <c r="HG21" s="6"/>
      <c r="HH21" s="6"/>
      <c r="HJ21" s="6"/>
      <c r="HK21" s="6"/>
      <c r="HM21" s="6"/>
      <c r="HN21" s="6"/>
      <c r="HP21" s="6"/>
      <c r="HQ21" s="6"/>
      <c r="HS21" s="6"/>
      <c r="HT21" s="6"/>
      <c r="HV21" s="6"/>
      <c r="HW21" s="6"/>
      <c r="HY21" s="6"/>
      <c r="HZ21" s="6"/>
      <c r="IB21" s="6"/>
      <c r="IC21" s="6"/>
      <c r="IE21" s="6"/>
      <c r="IF21" s="6"/>
    </row>
    <row r="22" spans="1:240" x14ac:dyDescent="0.2">
      <c r="A22" s="6"/>
      <c r="B22" s="173" t="s">
        <v>104</v>
      </c>
      <c r="C22" s="3"/>
      <c r="D22" s="341"/>
      <c r="E22" s="6"/>
      <c r="G22" s="5"/>
      <c r="H22" s="3"/>
      <c r="J22" s="6"/>
      <c r="K22" s="6"/>
      <c r="M22" s="6"/>
      <c r="N22" s="6"/>
      <c r="P22" s="6"/>
      <c r="Q22" s="6"/>
      <c r="S22" s="6"/>
      <c r="T22" s="6"/>
      <c r="V22" s="6"/>
      <c r="W22" s="6"/>
      <c r="Y22" s="6"/>
      <c r="Z22" s="6"/>
      <c r="AB22" s="6"/>
      <c r="AC22" s="6"/>
      <c r="AE22" s="6"/>
      <c r="AF22" s="6"/>
      <c r="AG22" s="6"/>
      <c r="AI22" s="6"/>
      <c r="AJ22" s="6"/>
      <c r="AL22" s="6"/>
      <c r="AM22" s="6"/>
      <c r="AO22" s="6"/>
      <c r="AP22" s="6"/>
      <c r="AR22" s="6"/>
      <c r="AS22" s="6"/>
      <c r="AU22" s="6"/>
      <c r="AV22" s="6"/>
      <c r="AX22" s="6"/>
      <c r="AY22" s="6"/>
      <c r="BA22" s="6"/>
      <c r="BB22" s="6"/>
      <c r="BD22" s="6"/>
      <c r="BE22" s="6"/>
      <c r="BG22" s="6"/>
      <c r="BH22" s="6"/>
      <c r="BJ22" s="6"/>
      <c r="BK22" s="6"/>
      <c r="BM22" s="6"/>
      <c r="BN22" s="6"/>
      <c r="BP22" s="6"/>
      <c r="BQ22" s="6"/>
      <c r="BS22" s="6"/>
      <c r="BT22" s="6"/>
      <c r="BV22" s="6"/>
      <c r="BW22" s="6"/>
      <c r="BY22" s="6"/>
      <c r="BZ22" s="6"/>
      <c r="CB22" s="6"/>
      <c r="CC22" s="6"/>
      <c r="CE22" s="6"/>
      <c r="CF22" s="6"/>
      <c r="CH22" s="6"/>
      <c r="CI22" s="6"/>
      <c r="CK22" s="6"/>
      <c r="CL22" s="6"/>
      <c r="CN22" s="6"/>
      <c r="CO22" s="6"/>
      <c r="CQ22" s="6"/>
      <c r="CR22" s="6"/>
      <c r="CT22" s="6"/>
      <c r="CU22" s="6"/>
      <c r="CW22" s="6"/>
      <c r="CX22" s="6"/>
      <c r="CZ22" s="6"/>
      <c r="DA22" s="6"/>
      <c r="DC22" s="6"/>
      <c r="DD22" s="6"/>
      <c r="DF22" s="6"/>
      <c r="DG22" s="6"/>
      <c r="DI22" s="6"/>
      <c r="DJ22" s="6"/>
      <c r="DL22" s="6"/>
      <c r="DM22" s="6"/>
      <c r="DO22" s="6"/>
      <c r="DP22" s="6"/>
      <c r="DR22" s="6"/>
      <c r="DS22" s="6"/>
      <c r="DU22" s="6"/>
      <c r="DV22" s="6"/>
      <c r="DX22" s="6"/>
      <c r="DY22" s="6"/>
      <c r="EA22" s="6"/>
      <c r="EB22" s="6"/>
      <c r="ED22" s="6"/>
      <c r="EE22" s="6"/>
      <c r="EG22" s="6"/>
      <c r="EH22" s="6"/>
      <c r="EJ22" s="6"/>
      <c r="EK22" s="6"/>
      <c r="EM22" s="6"/>
      <c r="EN22" s="6"/>
      <c r="EP22" s="6"/>
      <c r="EQ22" s="6"/>
      <c r="ES22" s="6"/>
      <c r="ET22" s="6"/>
      <c r="EV22" s="6"/>
      <c r="EW22" s="6"/>
      <c r="EY22" s="6"/>
      <c r="EZ22" s="6"/>
      <c r="FB22" s="6"/>
      <c r="FC22" s="6"/>
      <c r="FE22" s="6"/>
      <c r="FF22" s="6"/>
      <c r="FH22" s="6"/>
      <c r="FI22" s="6"/>
      <c r="FK22" s="6"/>
      <c r="FL22" s="6"/>
      <c r="FN22" s="6"/>
      <c r="FO22" s="6"/>
      <c r="FQ22" s="6"/>
      <c r="FR22" s="6"/>
      <c r="FT22" s="6"/>
      <c r="FU22" s="6"/>
      <c r="FW22" s="6"/>
      <c r="FX22" s="6"/>
      <c r="FZ22" s="6"/>
      <c r="GA22" s="6"/>
      <c r="GC22" s="6"/>
      <c r="GD22" s="6"/>
      <c r="GF22" s="6"/>
      <c r="GG22" s="6"/>
      <c r="GI22" s="6"/>
      <c r="GJ22" s="6"/>
      <c r="GL22" s="6"/>
      <c r="GM22" s="6"/>
      <c r="GO22" s="6"/>
      <c r="GP22" s="6"/>
      <c r="GR22" s="6"/>
      <c r="GS22" s="6"/>
      <c r="GU22" s="6"/>
      <c r="GV22" s="6"/>
      <c r="GX22" s="6"/>
      <c r="GY22" s="6"/>
      <c r="HA22" s="6"/>
      <c r="HB22" s="6"/>
      <c r="HD22" s="6"/>
      <c r="HE22" s="6"/>
      <c r="HG22" s="6"/>
      <c r="HH22" s="6"/>
      <c r="HJ22" s="6"/>
      <c r="HK22" s="6"/>
      <c r="HM22" s="6"/>
      <c r="HN22" s="6"/>
      <c r="HP22" s="6"/>
      <c r="HQ22" s="6"/>
      <c r="HS22" s="6"/>
      <c r="HT22" s="6"/>
      <c r="HV22" s="6"/>
      <c r="HW22" s="6"/>
      <c r="HY22" s="6"/>
      <c r="HZ22" s="6"/>
      <c r="IB22" s="6"/>
      <c r="IC22" s="6"/>
      <c r="IE22" s="6"/>
      <c r="IF22" s="6"/>
    </row>
    <row r="23" spans="1:240" x14ac:dyDescent="0.2">
      <c r="A23" s="6"/>
      <c r="B23" s="173" t="s">
        <v>376</v>
      </c>
      <c r="C23" s="3"/>
      <c r="D23" s="341"/>
      <c r="E23" s="6"/>
      <c r="G23" s="5"/>
      <c r="H23" s="3"/>
      <c r="J23" s="6"/>
      <c r="K23" s="6"/>
      <c r="M23" s="6"/>
      <c r="N23" s="6"/>
      <c r="P23" s="6"/>
      <c r="Q23" s="6"/>
      <c r="S23" s="6"/>
      <c r="T23" s="6"/>
      <c r="V23" s="6"/>
      <c r="W23" s="6"/>
      <c r="Y23" s="6"/>
      <c r="Z23" s="6"/>
      <c r="AB23" s="6"/>
      <c r="AC23" s="6"/>
      <c r="AE23" s="6"/>
      <c r="AF23" s="6"/>
      <c r="AG23" s="6"/>
      <c r="AI23" s="6"/>
      <c r="AJ23" s="6"/>
      <c r="AL23" s="6"/>
      <c r="AM23" s="6"/>
      <c r="AO23" s="6"/>
      <c r="AP23" s="6"/>
      <c r="AR23" s="6"/>
      <c r="AS23" s="6"/>
      <c r="AU23" s="6"/>
      <c r="AV23" s="6"/>
      <c r="AX23" s="6"/>
      <c r="AY23" s="6"/>
      <c r="BA23" s="6"/>
      <c r="BB23" s="6"/>
      <c r="BD23" s="6"/>
      <c r="BE23" s="6"/>
      <c r="BG23" s="6"/>
      <c r="BH23" s="6"/>
      <c r="BJ23" s="6"/>
      <c r="BK23" s="6"/>
      <c r="BM23" s="6"/>
      <c r="BN23" s="6"/>
      <c r="BP23" s="6"/>
      <c r="BQ23" s="6"/>
      <c r="BS23" s="6"/>
      <c r="BT23" s="6"/>
      <c r="BV23" s="6"/>
      <c r="BW23" s="6"/>
      <c r="BY23" s="6"/>
      <c r="BZ23" s="6"/>
      <c r="CB23" s="6"/>
      <c r="CC23" s="6"/>
      <c r="CE23" s="6"/>
      <c r="CF23" s="6"/>
      <c r="CH23" s="6"/>
      <c r="CI23" s="6"/>
      <c r="CK23" s="6"/>
      <c r="CL23" s="6"/>
      <c r="CN23" s="6"/>
      <c r="CO23" s="6"/>
      <c r="CQ23" s="6"/>
      <c r="CR23" s="6"/>
      <c r="CT23" s="6"/>
      <c r="CU23" s="6"/>
      <c r="CW23" s="6"/>
      <c r="CX23" s="6"/>
      <c r="CZ23" s="6"/>
      <c r="DA23" s="6"/>
      <c r="DC23" s="6"/>
      <c r="DD23" s="6"/>
      <c r="DF23" s="6"/>
      <c r="DG23" s="6"/>
      <c r="DI23" s="6"/>
      <c r="DJ23" s="6"/>
      <c r="DL23" s="6"/>
      <c r="DM23" s="6"/>
      <c r="DO23" s="6"/>
      <c r="DP23" s="6"/>
      <c r="DR23" s="6"/>
      <c r="DS23" s="6"/>
      <c r="DU23" s="6"/>
      <c r="DV23" s="6"/>
      <c r="DX23" s="6"/>
      <c r="DY23" s="6"/>
      <c r="EA23" s="6"/>
      <c r="EB23" s="6"/>
      <c r="ED23" s="6"/>
      <c r="EE23" s="6"/>
      <c r="EG23" s="6"/>
      <c r="EH23" s="6"/>
      <c r="EJ23" s="6"/>
      <c r="EK23" s="6"/>
      <c r="EM23" s="6"/>
      <c r="EN23" s="6"/>
      <c r="EP23" s="6"/>
      <c r="EQ23" s="6"/>
      <c r="ES23" s="6"/>
      <c r="ET23" s="6"/>
      <c r="EV23" s="6"/>
      <c r="EW23" s="6"/>
      <c r="EY23" s="6"/>
      <c r="EZ23" s="6"/>
      <c r="FB23" s="6"/>
      <c r="FC23" s="6"/>
      <c r="FE23" s="6"/>
      <c r="FF23" s="6"/>
      <c r="FH23" s="6"/>
      <c r="FI23" s="6"/>
      <c r="FK23" s="6"/>
      <c r="FL23" s="6"/>
      <c r="FN23" s="6"/>
      <c r="FO23" s="6"/>
      <c r="FQ23" s="6"/>
      <c r="FR23" s="6"/>
      <c r="FT23" s="6"/>
      <c r="FU23" s="6"/>
      <c r="FW23" s="6"/>
      <c r="FX23" s="6"/>
      <c r="FZ23" s="6"/>
      <c r="GA23" s="6"/>
      <c r="GC23" s="6"/>
      <c r="GD23" s="6"/>
      <c r="GF23" s="6"/>
      <c r="GG23" s="6"/>
      <c r="GI23" s="6"/>
      <c r="GJ23" s="6"/>
      <c r="GL23" s="6"/>
      <c r="GM23" s="6"/>
      <c r="GO23" s="6"/>
      <c r="GP23" s="6"/>
      <c r="GR23" s="6"/>
      <c r="GS23" s="6"/>
      <c r="GU23" s="6"/>
      <c r="GV23" s="6"/>
      <c r="GX23" s="6"/>
      <c r="GY23" s="6"/>
      <c r="HA23" s="6"/>
      <c r="HB23" s="6"/>
      <c r="HD23" s="6"/>
      <c r="HE23" s="6"/>
      <c r="HG23" s="6"/>
      <c r="HH23" s="6"/>
      <c r="HJ23" s="6"/>
      <c r="HK23" s="6"/>
      <c r="HM23" s="6"/>
      <c r="HN23" s="6"/>
      <c r="HP23" s="6"/>
      <c r="HQ23" s="6"/>
      <c r="HS23" s="6"/>
      <c r="HT23" s="6"/>
      <c r="HV23" s="6"/>
      <c r="HW23" s="6"/>
      <c r="HY23" s="6"/>
      <c r="HZ23" s="6"/>
      <c r="IB23" s="6"/>
      <c r="IC23" s="6"/>
      <c r="IE23" s="6"/>
      <c r="IF23" s="6"/>
    </row>
    <row r="24" spans="1:240" x14ac:dyDescent="0.2">
      <c r="A24" s="6"/>
      <c r="B24" s="173" t="s">
        <v>383</v>
      </c>
      <c r="C24" s="3"/>
      <c r="D24" s="341"/>
      <c r="E24" s="254"/>
      <c r="F24" s="5"/>
      <c r="G24" s="3"/>
      <c r="I24" s="6"/>
      <c r="J24" s="6"/>
      <c r="L24" s="6"/>
      <c r="M24" s="6"/>
      <c r="O24" s="6"/>
      <c r="P24" s="6"/>
      <c r="R24" s="6"/>
      <c r="S24" s="6"/>
      <c r="U24" s="6"/>
      <c r="V24" s="6"/>
      <c r="X24" s="6"/>
      <c r="Y24" s="6"/>
      <c r="AA24" s="6"/>
      <c r="AB24" s="6"/>
      <c r="AD24" s="6"/>
      <c r="AE24" s="6"/>
      <c r="AF24" s="6"/>
      <c r="AH24" s="6"/>
      <c r="AI24" s="6"/>
      <c r="AK24" s="6"/>
      <c r="AL24" s="6"/>
      <c r="AN24" s="6"/>
      <c r="AO24" s="6"/>
      <c r="AQ24" s="6"/>
      <c r="AR24" s="6"/>
      <c r="AT24" s="6"/>
      <c r="AU24" s="6"/>
      <c r="AW24" s="6"/>
      <c r="AX24" s="6"/>
      <c r="AZ24" s="6"/>
      <c r="BA24" s="6"/>
      <c r="BC24" s="6"/>
      <c r="BD24" s="6"/>
      <c r="BF24" s="6"/>
      <c r="BG24" s="6"/>
      <c r="BI24" s="6"/>
      <c r="BJ24" s="6"/>
      <c r="BL24" s="6"/>
      <c r="BM24" s="6"/>
      <c r="BO24" s="6"/>
      <c r="BP24" s="6"/>
      <c r="BR24" s="6"/>
      <c r="BS24" s="6"/>
      <c r="BU24" s="6"/>
      <c r="BV24" s="6"/>
      <c r="BX24" s="6"/>
      <c r="BY24" s="6"/>
      <c r="CA24" s="6"/>
      <c r="CB24" s="6"/>
      <c r="CD24" s="6"/>
      <c r="CE24" s="6"/>
      <c r="CG24" s="6"/>
      <c r="CH24" s="6"/>
      <c r="CJ24" s="6"/>
      <c r="CK24" s="6"/>
      <c r="CM24" s="6"/>
      <c r="CN24" s="6"/>
      <c r="CP24" s="6"/>
      <c r="CQ24" s="6"/>
      <c r="CS24" s="6"/>
      <c r="CT24" s="6"/>
      <c r="CV24" s="6"/>
      <c r="CW24" s="6"/>
      <c r="CY24" s="6"/>
      <c r="CZ24" s="6"/>
      <c r="DB24" s="6"/>
      <c r="DC24" s="6"/>
      <c r="DE24" s="6"/>
      <c r="DF24" s="6"/>
      <c r="DH24" s="6"/>
      <c r="DI24" s="6"/>
      <c r="DK24" s="6"/>
      <c r="DL24" s="6"/>
      <c r="DN24" s="6"/>
      <c r="DO24" s="6"/>
      <c r="DQ24" s="6"/>
      <c r="DR24" s="6"/>
      <c r="DT24" s="6"/>
      <c r="DU24" s="6"/>
      <c r="DW24" s="6"/>
      <c r="DX24" s="6"/>
      <c r="DZ24" s="6"/>
      <c r="EA24" s="6"/>
      <c r="EC24" s="6"/>
      <c r="ED24" s="6"/>
      <c r="EF24" s="6"/>
      <c r="EG24" s="6"/>
      <c r="EI24" s="6"/>
      <c r="EJ24" s="6"/>
      <c r="EL24" s="6"/>
      <c r="EM24" s="6"/>
      <c r="EO24" s="6"/>
      <c r="EP24" s="6"/>
      <c r="ER24" s="6"/>
      <c r="ES24" s="6"/>
      <c r="EU24" s="6"/>
      <c r="EV24" s="6"/>
      <c r="EX24" s="6"/>
      <c r="EY24" s="6"/>
      <c r="FA24" s="6"/>
      <c r="FB24" s="6"/>
      <c r="FD24" s="6"/>
      <c r="FE24" s="6"/>
      <c r="FG24" s="6"/>
      <c r="FH24" s="6"/>
      <c r="FJ24" s="6"/>
      <c r="FK24" s="6"/>
      <c r="FM24" s="6"/>
      <c r="FN24" s="6"/>
      <c r="FP24" s="6"/>
      <c r="FQ24" s="6"/>
      <c r="FS24" s="6"/>
      <c r="FT24" s="6"/>
      <c r="FV24" s="6"/>
      <c r="FW24" s="6"/>
      <c r="FY24" s="6"/>
      <c r="FZ24" s="6"/>
      <c r="GB24" s="6"/>
      <c r="GC24" s="6"/>
      <c r="GE24" s="6"/>
      <c r="GF24" s="6"/>
      <c r="GH24" s="6"/>
      <c r="GI24" s="6"/>
      <c r="GK24" s="6"/>
      <c r="GL24" s="6"/>
      <c r="GN24" s="6"/>
      <c r="GO24" s="6"/>
      <c r="GQ24" s="6"/>
      <c r="GR24" s="6"/>
      <c r="GT24" s="6"/>
      <c r="GU24" s="6"/>
      <c r="GW24" s="6"/>
      <c r="GX24" s="6"/>
      <c r="GZ24" s="6"/>
      <c r="HA24" s="6"/>
      <c r="HC24" s="6"/>
      <c r="HD24" s="6"/>
      <c r="HF24" s="6"/>
      <c r="HG24" s="6"/>
      <c r="HI24" s="6"/>
      <c r="HJ24" s="6"/>
      <c r="HL24" s="6"/>
      <c r="HM24" s="6"/>
      <c r="HO24" s="6"/>
      <c r="HP24" s="6"/>
      <c r="HR24" s="6"/>
      <c r="HS24" s="6"/>
      <c r="HU24" s="6"/>
      <c r="HV24" s="6"/>
      <c r="HX24" s="6"/>
      <c r="HY24" s="6"/>
      <c r="IA24" s="6"/>
      <c r="IB24" s="6"/>
      <c r="ID24" s="6"/>
      <c r="IE24" s="6"/>
    </row>
    <row r="25" spans="1:240" x14ac:dyDescent="0.2">
      <c r="A25" s="6"/>
      <c r="B25" s="173" t="s">
        <v>450</v>
      </c>
      <c r="C25" s="3"/>
      <c r="D25" s="341"/>
      <c r="E25" s="6"/>
      <c r="G25" s="5"/>
      <c r="H25" s="3"/>
      <c r="J25" s="6"/>
      <c r="K25" s="6"/>
      <c r="M25" s="6"/>
      <c r="N25" s="6"/>
      <c r="P25" s="6"/>
      <c r="Q25" s="6"/>
      <c r="S25" s="6"/>
      <c r="T25" s="6"/>
      <c r="V25" s="6"/>
      <c r="W25" s="6"/>
      <c r="Y25" s="6"/>
      <c r="Z25" s="6"/>
      <c r="AB25" s="6"/>
      <c r="AC25" s="6"/>
      <c r="AE25" s="6"/>
      <c r="AF25" s="6"/>
      <c r="AG25" s="6"/>
      <c r="AI25" s="6"/>
      <c r="AJ25" s="6"/>
      <c r="AL25" s="6"/>
      <c r="AM25" s="6"/>
      <c r="AO25" s="6"/>
      <c r="AP25" s="6"/>
      <c r="AR25" s="6"/>
      <c r="AS25" s="6"/>
      <c r="AU25" s="6"/>
      <c r="AV25" s="6"/>
      <c r="AX25" s="6"/>
      <c r="AY25" s="6"/>
      <c r="BA25" s="6"/>
      <c r="BB25" s="6"/>
      <c r="BD25" s="6"/>
      <c r="BE25" s="6"/>
      <c r="BG25" s="6"/>
      <c r="BH25" s="6"/>
      <c r="BJ25" s="6"/>
      <c r="BK25" s="6"/>
      <c r="BM25" s="6"/>
      <c r="BN25" s="6"/>
      <c r="BP25" s="6"/>
      <c r="BQ25" s="6"/>
      <c r="BS25" s="6"/>
      <c r="BT25" s="6"/>
      <c r="BV25" s="6"/>
      <c r="BW25" s="6"/>
      <c r="BY25" s="6"/>
      <c r="BZ25" s="6"/>
      <c r="CB25" s="6"/>
      <c r="CC25" s="6"/>
      <c r="CE25" s="6"/>
      <c r="CF25" s="6"/>
      <c r="CH25" s="6"/>
      <c r="CI25" s="6"/>
      <c r="CK25" s="6"/>
      <c r="CL25" s="6"/>
      <c r="CN25" s="6"/>
      <c r="CO25" s="6"/>
      <c r="CQ25" s="6"/>
      <c r="CR25" s="6"/>
      <c r="CT25" s="6"/>
      <c r="CU25" s="6"/>
      <c r="CW25" s="6"/>
      <c r="CX25" s="6"/>
      <c r="CZ25" s="6"/>
      <c r="DA25" s="6"/>
      <c r="DC25" s="6"/>
      <c r="DD25" s="6"/>
      <c r="DF25" s="6"/>
      <c r="DG25" s="6"/>
      <c r="DI25" s="6"/>
      <c r="DJ25" s="6"/>
      <c r="DL25" s="6"/>
      <c r="DM25" s="6"/>
      <c r="DO25" s="6"/>
      <c r="DP25" s="6"/>
      <c r="DR25" s="6"/>
      <c r="DS25" s="6"/>
      <c r="DU25" s="6"/>
      <c r="DV25" s="6"/>
      <c r="DX25" s="6"/>
      <c r="DY25" s="6"/>
      <c r="EA25" s="6"/>
      <c r="EB25" s="6"/>
      <c r="ED25" s="6"/>
      <c r="EE25" s="6"/>
      <c r="EG25" s="6"/>
      <c r="EH25" s="6"/>
      <c r="EJ25" s="6"/>
      <c r="EK25" s="6"/>
      <c r="EM25" s="6"/>
      <c r="EN25" s="6"/>
      <c r="EP25" s="6"/>
      <c r="EQ25" s="6"/>
      <c r="ES25" s="6"/>
      <c r="ET25" s="6"/>
      <c r="EV25" s="6"/>
      <c r="EW25" s="6"/>
      <c r="EY25" s="6"/>
      <c r="EZ25" s="6"/>
      <c r="FB25" s="6"/>
      <c r="FC25" s="6"/>
      <c r="FE25" s="6"/>
      <c r="FF25" s="6"/>
      <c r="FH25" s="6"/>
      <c r="FI25" s="6"/>
      <c r="FK25" s="6"/>
      <c r="FL25" s="6"/>
      <c r="FN25" s="6"/>
      <c r="FO25" s="6"/>
      <c r="FQ25" s="6"/>
      <c r="FR25" s="6"/>
      <c r="FT25" s="6"/>
      <c r="FU25" s="6"/>
      <c r="FW25" s="6"/>
      <c r="FX25" s="6"/>
      <c r="FZ25" s="6"/>
      <c r="GA25" s="6"/>
      <c r="GC25" s="6"/>
      <c r="GD25" s="6"/>
      <c r="GF25" s="6"/>
      <c r="GG25" s="6"/>
      <c r="GI25" s="6"/>
      <c r="GJ25" s="6"/>
      <c r="GL25" s="6"/>
      <c r="GM25" s="6"/>
      <c r="GO25" s="6"/>
      <c r="GP25" s="6"/>
      <c r="GR25" s="6"/>
      <c r="GS25" s="6"/>
      <c r="GU25" s="6"/>
      <c r="GV25" s="6"/>
      <c r="GX25" s="6"/>
      <c r="GY25" s="6"/>
      <c r="HA25" s="6"/>
      <c r="HB25" s="6"/>
      <c r="HD25" s="6"/>
      <c r="HE25" s="6"/>
      <c r="HG25" s="6"/>
      <c r="HH25" s="6"/>
      <c r="HJ25" s="6"/>
      <c r="HK25" s="6"/>
      <c r="HM25" s="6"/>
      <c r="HN25" s="6"/>
      <c r="HP25" s="6"/>
      <c r="HQ25" s="6"/>
      <c r="HS25" s="6"/>
      <c r="HT25" s="6"/>
      <c r="HV25" s="6"/>
      <c r="HW25" s="6"/>
      <c r="HY25" s="6"/>
      <c r="HZ25" s="6"/>
      <c r="IB25" s="6"/>
      <c r="IC25" s="6"/>
      <c r="IE25" s="6"/>
      <c r="IF25" s="6"/>
    </row>
    <row r="26" spans="1:240" x14ac:dyDescent="0.2">
      <c r="A26" s="6"/>
      <c r="B26" s="429" t="s">
        <v>540</v>
      </c>
      <c r="C26" s="3"/>
      <c r="D26" s="341"/>
      <c r="E26" s="6"/>
      <c r="G26" s="5"/>
      <c r="H26" s="3"/>
      <c r="J26" s="6"/>
      <c r="K26" s="6"/>
      <c r="M26" s="6"/>
      <c r="N26" s="6"/>
      <c r="P26" s="6"/>
      <c r="Q26" s="6"/>
      <c r="S26" s="6"/>
      <c r="T26" s="6"/>
      <c r="V26" s="6"/>
      <c r="W26" s="6"/>
      <c r="Y26" s="6"/>
      <c r="Z26" s="6"/>
      <c r="AB26" s="6"/>
      <c r="AC26" s="6"/>
      <c r="AE26" s="6"/>
      <c r="AF26" s="6"/>
      <c r="AG26" s="6"/>
      <c r="AI26" s="6"/>
      <c r="AJ26" s="6"/>
      <c r="AL26" s="6"/>
      <c r="AM26" s="6"/>
      <c r="AO26" s="6"/>
      <c r="AP26" s="6"/>
      <c r="AR26" s="6"/>
      <c r="AS26" s="6"/>
      <c r="AU26" s="6"/>
      <c r="AV26" s="6"/>
      <c r="AX26" s="6"/>
      <c r="AY26" s="6"/>
      <c r="BA26" s="6"/>
      <c r="BB26" s="6"/>
      <c r="BD26" s="6"/>
      <c r="BE26" s="6"/>
      <c r="BG26" s="6"/>
      <c r="BH26" s="6"/>
      <c r="BJ26" s="6"/>
      <c r="BK26" s="6"/>
      <c r="BM26" s="6"/>
      <c r="BN26" s="6"/>
      <c r="BP26" s="6"/>
      <c r="BQ26" s="6"/>
      <c r="BS26" s="6"/>
      <c r="BT26" s="6"/>
      <c r="BV26" s="6"/>
      <c r="BW26" s="6"/>
      <c r="BY26" s="6"/>
      <c r="BZ26" s="6"/>
      <c r="CB26" s="6"/>
      <c r="CC26" s="6"/>
      <c r="CE26" s="6"/>
      <c r="CF26" s="6"/>
      <c r="CH26" s="6"/>
      <c r="CI26" s="6"/>
      <c r="CK26" s="6"/>
      <c r="CL26" s="6"/>
      <c r="CN26" s="6"/>
      <c r="CO26" s="6"/>
      <c r="CQ26" s="6"/>
      <c r="CR26" s="6"/>
      <c r="CT26" s="6"/>
      <c r="CU26" s="6"/>
      <c r="CW26" s="6"/>
      <c r="CX26" s="6"/>
      <c r="CZ26" s="6"/>
      <c r="DA26" s="6"/>
      <c r="DC26" s="6"/>
      <c r="DD26" s="6"/>
      <c r="DF26" s="6"/>
      <c r="DG26" s="6"/>
      <c r="DI26" s="6"/>
      <c r="DJ26" s="6"/>
      <c r="DL26" s="6"/>
      <c r="DM26" s="6"/>
      <c r="DO26" s="6"/>
      <c r="DP26" s="6"/>
      <c r="DR26" s="6"/>
      <c r="DS26" s="6"/>
      <c r="DU26" s="6"/>
      <c r="DV26" s="6"/>
      <c r="DX26" s="6"/>
      <c r="DY26" s="6"/>
      <c r="EA26" s="6"/>
      <c r="EB26" s="6"/>
      <c r="ED26" s="6"/>
      <c r="EE26" s="6"/>
      <c r="EG26" s="6"/>
      <c r="EH26" s="6"/>
      <c r="EJ26" s="6"/>
      <c r="EK26" s="6"/>
      <c r="EM26" s="6"/>
      <c r="EN26" s="6"/>
      <c r="EP26" s="6"/>
      <c r="EQ26" s="6"/>
      <c r="ES26" s="6"/>
      <c r="ET26" s="6"/>
      <c r="EV26" s="6"/>
      <c r="EW26" s="6"/>
      <c r="EY26" s="6"/>
      <c r="EZ26" s="6"/>
      <c r="FB26" s="6"/>
      <c r="FC26" s="6"/>
      <c r="FE26" s="6"/>
      <c r="FF26" s="6"/>
      <c r="FH26" s="6"/>
      <c r="FI26" s="6"/>
      <c r="FK26" s="6"/>
      <c r="FL26" s="6"/>
      <c r="FN26" s="6"/>
      <c r="FO26" s="6"/>
      <c r="FQ26" s="6"/>
      <c r="FR26" s="6"/>
      <c r="FT26" s="6"/>
      <c r="FU26" s="6"/>
      <c r="FW26" s="6"/>
      <c r="FX26" s="6"/>
      <c r="FZ26" s="6"/>
      <c r="GA26" s="6"/>
      <c r="GC26" s="6"/>
      <c r="GD26" s="6"/>
      <c r="GF26" s="6"/>
      <c r="GG26" s="6"/>
      <c r="GI26" s="6"/>
      <c r="GJ26" s="6"/>
      <c r="GL26" s="6"/>
      <c r="GM26" s="6"/>
      <c r="GO26" s="6"/>
      <c r="GP26" s="6"/>
      <c r="GR26" s="6"/>
      <c r="GS26" s="6"/>
      <c r="GU26" s="6"/>
      <c r="GV26" s="6"/>
      <c r="GX26" s="6"/>
      <c r="GY26" s="6"/>
      <c r="HA26" s="6"/>
      <c r="HB26" s="6"/>
      <c r="HD26" s="6"/>
      <c r="HE26" s="6"/>
      <c r="HG26" s="6"/>
      <c r="HH26" s="6"/>
      <c r="HJ26" s="6"/>
      <c r="HK26" s="6"/>
      <c r="HM26" s="6"/>
      <c r="HN26" s="6"/>
      <c r="HP26" s="6"/>
      <c r="HQ26" s="6"/>
      <c r="HS26" s="6"/>
      <c r="HT26" s="6"/>
      <c r="HV26" s="6"/>
      <c r="HW26" s="6"/>
      <c r="HY26" s="6"/>
      <c r="HZ26" s="6"/>
      <c r="IB26" s="6"/>
      <c r="IC26" s="6"/>
      <c r="IE26" s="6"/>
      <c r="IF26" s="6"/>
    </row>
    <row r="27" spans="1:240" ht="24.75" customHeight="1" x14ac:dyDescent="0.2">
      <c r="A27" s="6"/>
      <c r="D27" s="104"/>
      <c r="E27" s="6"/>
      <c r="G27" s="5"/>
      <c r="J27" s="6"/>
      <c r="K27" s="6"/>
      <c r="M27" s="6"/>
      <c r="N27" s="6"/>
      <c r="P27" s="6"/>
      <c r="Q27" s="6"/>
      <c r="S27" s="6"/>
      <c r="T27" s="6"/>
      <c r="V27" s="6"/>
      <c r="W27" s="6"/>
      <c r="Y27" s="6"/>
      <c r="Z27" s="6"/>
      <c r="AB27" s="6"/>
      <c r="AC27" s="6"/>
      <c r="AE27" s="6"/>
      <c r="AF27" s="6"/>
      <c r="AG27" s="6"/>
      <c r="AI27" s="6"/>
      <c r="AJ27" s="6"/>
      <c r="AL27" s="6"/>
      <c r="AM27" s="6"/>
      <c r="AO27" s="6"/>
      <c r="AP27" s="6"/>
      <c r="AR27" s="6"/>
      <c r="AS27" s="6"/>
      <c r="AU27" s="6"/>
      <c r="AV27" s="6"/>
      <c r="AX27" s="6"/>
      <c r="AY27" s="6"/>
      <c r="BA27" s="6"/>
      <c r="BB27" s="6"/>
      <c r="BD27" s="6"/>
      <c r="BE27" s="6"/>
      <c r="BG27" s="6"/>
      <c r="BH27" s="6"/>
      <c r="BJ27" s="6"/>
      <c r="BK27" s="6"/>
      <c r="BM27" s="6"/>
      <c r="BN27" s="6"/>
      <c r="BP27" s="6"/>
      <c r="BQ27" s="6"/>
      <c r="BS27" s="6"/>
      <c r="BT27" s="6"/>
      <c r="BV27" s="6"/>
      <c r="BW27" s="6"/>
      <c r="BY27" s="6"/>
      <c r="BZ27" s="6"/>
      <c r="CB27" s="6"/>
      <c r="CC27" s="6"/>
      <c r="CE27" s="6"/>
      <c r="CF27" s="6"/>
      <c r="CH27" s="6"/>
      <c r="CI27" s="6"/>
      <c r="CK27" s="6"/>
      <c r="CL27" s="6"/>
      <c r="CN27" s="6"/>
      <c r="CO27" s="6"/>
      <c r="CQ27" s="6"/>
      <c r="CR27" s="6"/>
      <c r="CT27" s="6"/>
      <c r="CU27" s="6"/>
      <c r="CW27" s="6"/>
      <c r="CX27" s="6"/>
      <c r="CZ27" s="6"/>
      <c r="DA27" s="6"/>
      <c r="DC27" s="6"/>
      <c r="DD27" s="6"/>
      <c r="DF27" s="6"/>
      <c r="DG27" s="6"/>
      <c r="DI27" s="6"/>
      <c r="DJ27" s="6"/>
      <c r="DL27" s="6"/>
      <c r="DM27" s="6"/>
      <c r="DO27" s="6"/>
      <c r="DP27" s="6"/>
      <c r="DR27" s="6"/>
      <c r="DS27" s="6"/>
      <c r="DU27" s="6"/>
      <c r="DV27" s="6"/>
      <c r="DX27" s="6"/>
      <c r="DY27" s="6"/>
      <c r="EA27" s="6"/>
      <c r="EB27" s="6"/>
      <c r="ED27" s="6"/>
      <c r="EE27" s="6"/>
      <c r="EG27" s="6"/>
      <c r="EH27" s="6"/>
      <c r="EJ27" s="6"/>
      <c r="EK27" s="6"/>
      <c r="EM27" s="6"/>
      <c r="EN27" s="6"/>
      <c r="EP27" s="6"/>
      <c r="EQ27" s="6"/>
      <c r="ES27" s="6"/>
      <c r="ET27" s="6"/>
      <c r="EV27" s="6"/>
      <c r="EW27" s="6"/>
      <c r="EY27" s="6"/>
      <c r="EZ27" s="6"/>
      <c r="FB27" s="6"/>
      <c r="FC27" s="6"/>
      <c r="FE27" s="6"/>
      <c r="FF27" s="6"/>
      <c r="FH27" s="6"/>
      <c r="FI27" s="6"/>
      <c r="FK27" s="6"/>
      <c r="FL27" s="6"/>
      <c r="FN27" s="6"/>
      <c r="FO27" s="6"/>
      <c r="FQ27" s="6"/>
      <c r="FR27" s="6"/>
      <c r="FT27" s="6"/>
      <c r="FU27" s="6"/>
      <c r="FW27" s="6"/>
      <c r="FX27" s="6"/>
      <c r="FZ27" s="6"/>
      <c r="GA27" s="6"/>
      <c r="GC27" s="6"/>
      <c r="GD27" s="6"/>
      <c r="GF27" s="6"/>
      <c r="GG27" s="6"/>
      <c r="GI27" s="6"/>
      <c r="GJ27" s="6"/>
      <c r="GL27" s="6"/>
      <c r="GM27" s="6"/>
      <c r="GO27" s="6"/>
      <c r="GP27" s="6"/>
      <c r="GR27" s="6"/>
      <c r="GS27" s="6"/>
      <c r="GU27" s="6"/>
      <c r="GV27" s="6"/>
      <c r="GX27" s="6"/>
      <c r="GY27" s="6"/>
      <c r="HA27" s="6"/>
      <c r="HB27" s="6"/>
      <c r="HD27" s="6"/>
      <c r="HE27" s="6"/>
      <c r="HG27" s="6"/>
      <c r="HH27" s="6"/>
      <c r="HJ27" s="6"/>
      <c r="HK27" s="6"/>
      <c r="HM27" s="6"/>
      <c r="HN27" s="6"/>
      <c r="HP27" s="6"/>
      <c r="HQ27" s="6"/>
      <c r="HS27" s="6"/>
      <c r="HT27" s="6"/>
      <c r="HV27" s="6"/>
      <c r="HW27" s="6"/>
      <c r="HY27" s="6"/>
      <c r="HZ27" s="6"/>
      <c r="IB27" s="6"/>
      <c r="IC27" s="6"/>
      <c r="IE27" s="6"/>
      <c r="IF27" s="6"/>
    </row>
    <row r="28" spans="1:240" x14ac:dyDescent="0.2">
      <c r="A28" s="289" t="s">
        <v>221</v>
      </c>
      <c r="B28" s="290" t="s">
        <v>222</v>
      </c>
      <c r="C28" s="291" t="s">
        <v>223</v>
      </c>
      <c r="D28" s="290" t="s">
        <v>224</v>
      </c>
      <c r="E28" s="290" t="s">
        <v>225</v>
      </c>
      <c r="F28" s="290" t="s">
        <v>226</v>
      </c>
      <c r="G28" s="290" t="s">
        <v>227</v>
      </c>
      <c r="H28" s="290" t="s">
        <v>228</v>
      </c>
      <c r="I28" s="290" t="s">
        <v>229</v>
      </c>
      <c r="J28" s="290" t="s">
        <v>230</v>
      </c>
      <c r="K28" s="290" t="s">
        <v>231</v>
      </c>
      <c r="L28" s="290" t="s">
        <v>232</v>
      </c>
      <c r="M28" s="290" t="s">
        <v>233</v>
      </c>
      <c r="N28" s="290" t="s">
        <v>234</v>
      </c>
      <c r="O28" s="290" t="s">
        <v>235</v>
      </c>
      <c r="P28" s="290" t="s">
        <v>175</v>
      </c>
      <c r="Q28" s="290" t="s">
        <v>236</v>
      </c>
      <c r="R28" s="290" t="s">
        <v>1</v>
      </c>
      <c r="S28" s="291" t="s">
        <v>276</v>
      </c>
    </row>
    <row r="29" spans="1:240" x14ac:dyDescent="0.2">
      <c r="A29" s="286" t="s">
        <v>178</v>
      </c>
      <c r="B29" s="284" t="s">
        <v>247</v>
      </c>
      <c r="C29" s="287" t="s">
        <v>249</v>
      </c>
      <c r="D29" s="284" t="s">
        <v>254</v>
      </c>
      <c r="E29" s="284" t="s">
        <v>256</v>
      </c>
      <c r="F29" s="284" t="s">
        <v>257</v>
      </c>
      <c r="G29" s="284" t="s">
        <v>258</v>
      </c>
      <c r="H29" s="284" t="s">
        <v>260</v>
      </c>
      <c r="I29" s="284" t="s">
        <v>262</v>
      </c>
      <c r="J29" s="284" t="s">
        <v>264</v>
      </c>
      <c r="K29" s="284" t="s">
        <v>268</v>
      </c>
      <c r="L29" s="284" t="s">
        <v>269</v>
      </c>
      <c r="M29" s="284" t="s">
        <v>270</v>
      </c>
      <c r="N29" s="284" t="s">
        <v>198</v>
      </c>
      <c r="O29" s="284" t="s">
        <v>273</v>
      </c>
      <c r="P29" s="284" t="s">
        <v>275</v>
      </c>
      <c r="Q29" s="338" t="s">
        <v>379</v>
      </c>
      <c r="R29" s="284" t="s">
        <v>380</v>
      </c>
      <c r="S29" s="339" t="s">
        <v>382</v>
      </c>
    </row>
    <row r="30" spans="1:240" x14ac:dyDescent="0.2">
      <c r="A30" s="286" t="s">
        <v>180</v>
      </c>
      <c r="B30" s="284" t="s">
        <v>199</v>
      </c>
      <c r="C30" s="287" t="s">
        <v>254</v>
      </c>
      <c r="D30" s="284" t="s">
        <v>255</v>
      </c>
      <c r="E30" s="284" t="s">
        <v>12</v>
      </c>
      <c r="F30" s="284" t="s">
        <v>12</v>
      </c>
      <c r="G30" s="284" t="s">
        <v>259</v>
      </c>
      <c r="H30" s="284" t="s">
        <v>216</v>
      </c>
      <c r="I30" s="284" t="s">
        <v>182</v>
      </c>
      <c r="J30" s="284" t="s">
        <v>179</v>
      </c>
      <c r="K30" s="284" t="s">
        <v>209</v>
      </c>
      <c r="L30" s="284" t="s">
        <v>205</v>
      </c>
      <c r="M30" s="284" t="s">
        <v>271</v>
      </c>
      <c r="N30" s="284" t="s">
        <v>203</v>
      </c>
      <c r="O30" s="284" t="s">
        <v>274</v>
      </c>
      <c r="P30" s="284" t="s">
        <v>176</v>
      </c>
      <c r="Q30" s="284" t="s">
        <v>13</v>
      </c>
      <c r="R30" s="285" t="s">
        <v>13</v>
      </c>
      <c r="S30" s="287" t="s">
        <v>13</v>
      </c>
    </row>
    <row r="31" spans="1:240" ht="12" customHeight="1" x14ac:dyDescent="0.2">
      <c r="A31" s="286" t="s">
        <v>181</v>
      </c>
      <c r="B31" s="284" t="s">
        <v>200</v>
      </c>
      <c r="C31" s="287" t="s">
        <v>250</v>
      </c>
      <c r="D31" s="284" t="s">
        <v>244</v>
      </c>
      <c r="E31" s="284" t="s">
        <v>13</v>
      </c>
      <c r="F31" s="284" t="s">
        <v>13</v>
      </c>
      <c r="G31" s="284" t="s">
        <v>197</v>
      </c>
      <c r="H31" s="284" t="s">
        <v>217</v>
      </c>
      <c r="I31" s="284" t="s">
        <v>263</v>
      </c>
      <c r="J31" s="284" t="s">
        <v>265</v>
      </c>
      <c r="K31" s="284" t="s">
        <v>215</v>
      </c>
      <c r="L31" s="284" t="s">
        <v>12</v>
      </c>
      <c r="M31" s="284" t="s">
        <v>210</v>
      </c>
      <c r="N31" s="284" t="s">
        <v>211</v>
      </c>
      <c r="O31" s="284" t="s">
        <v>208</v>
      </c>
      <c r="P31" s="284" t="s">
        <v>201</v>
      </c>
      <c r="Q31" s="285"/>
      <c r="R31" s="285"/>
      <c r="S31" s="288"/>
    </row>
    <row r="32" spans="1:240" x14ac:dyDescent="0.2">
      <c r="A32" s="286" t="s">
        <v>245</v>
      </c>
      <c r="B32" s="284" t="s">
        <v>213</v>
      </c>
      <c r="C32" s="287" t="s">
        <v>251</v>
      </c>
      <c r="D32" s="284" t="s">
        <v>12</v>
      </c>
      <c r="E32" s="284" t="s">
        <v>14</v>
      </c>
      <c r="F32" s="284" t="s">
        <v>14</v>
      </c>
      <c r="G32" s="284" t="s">
        <v>207</v>
      </c>
      <c r="H32" s="284" t="s">
        <v>261</v>
      </c>
      <c r="I32" s="284" t="s">
        <v>202</v>
      </c>
      <c r="J32" s="284" t="s">
        <v>266</v>
      </c>
      <c r="K32" s="284" t="s">
        <v>12</v>
      </c>
      <c r="L32" s="284" t="s">
        <v>13</v>
      </c>
      <c r="M32" s="284" t="s">
        <v>105</v>
      </c>
      <c r="N32" s="284" t="s">
        <v>244</v>
      </c>
      <c r="O32" s="284" t="s">
        <v>12</v>
      </c>
      <c r="P32" s="284" t="s">
        <v>206</v>
      </c>
      <c r="Q32" s="285"/>
      <c r="R32" s="285"/>
      <c r="S32" s="288"/>
    </row>
    <row r="33" spans="1:19" x14ac:dyDescent="0.2">
      <c r="A33" s="286" t="s">
        <v>246</v>
      </c>
      <c r="B33" s="284" t="s">
        <v>248</v>
      </c>
      <c r="C33" s="287" t="s">
        <v>252</v>
      </c>
      <c r="D33" s="284" t="s">
        <v>13</v>
      </c>
      <c r="E33" s="284"/>
      <c r="F33" s="284"/>
      <c r="G33" s="284" t="s">
        <v>212</v>
      </c>
      <c r="H33" s="284" t="s">
        <v>244</v>
      </c>
      <c r="I33" s="284" t="s">
        <v>204</v>
      </c>
      <c r="J33" s="284" t="s">
        <v>267</v>
      </c>
      <c r="K33" s="284" t="s">
        <v>13</v>
      </c>
      <c r="L33" s="284" t="s">
        <v>14</v>
      </c>
      <c r="M33" s="284" t="s">
        <v>272</v>
      </c>
      <c r="N33" s="285" t="s">
        <v>12</v>
      </c>
      <c r="O33" s="284" t="s">
        <v>13</v>
      </c>
      <c r="P33" s="284" t="s">
        <v>219</v>
      </c>
      <c r="Q33" s="285"/>
      <c r="R33" s="285"/>
      <c r="S33" s="288"/>
    </row>
    <row r="34" spans="1:19" x14ac:dyDescent="0.2">
      <c r="A34" s="286" t="s">
        <v>183</v>
      </c>
      <c r="B34" s="284" t="s">
        <v>214</v>
      </c>
      <c r="C34" s="287" t="s">
        <v>253</v>
      </c>
      <c r="D34" s="284" t="s">
        <v>14</v>
      </c>
      <c r="E34" s="285"/>
      <c r="F34" s="285"/>
      <c r="G34" s="284" t="s">
        <v>12</v>
      </c>
      <c r="H34" s="284" t="s">
        <v>12</v>
      </c>
      <c r="I34" s="284" t="s">
        <v>106</v>
      </c>
      <c r="J34" s="284" t="s">
        <v>188</v>
      </c>
      <c r="K34" s="284" t="s">
        <v>14</v>
      </c>
      <c r="L34" s="284"/>
      <c r="M34" s="284" t="s">
        <v>244</v>
      </c>
      <c r="N34" s="285" t="s">
        <v>13</v>
      </c>
      <c r="O34" s="284" t="s">
        <v>14</v>
      </c>
      <c r="P34" s="284" t="s">
        <v>218</v>
      </c>
      <c r="Q34" s="285"/>
      <c r="R34" s="285"/>
      <c r="S34" s="288"/>
    </row>
    <row r="35" spans="1:19" x14ac:dyDescent="0.2">
      <c r="A35" s="286" t="s">
        <v>184</v>
      </c>
      <c r="B35" s="284" t="s">
        <v>220</v>
      </c>
      <c r="C35" s="287" t="s">
        <v>244</v>
      </c>
      <c r="D35" s="285"/>
      <c r="E35" s="285"/>
      <c r="F35" s="285"/>
      <c r="G35" s="284" t="s">
        <v>13</v>
      </c>
      <c r="H35" s="284" t="s">
        <v>13</v>
      </c>
      <c r="I35" s="284" t="s">
        <v>12</v>
      </c>
      <c r="J35" s="284" t="s">
        <v>12</v>
      </c>
      <c r="K35" s="284"/>
      <c r="L35" s="285"/>
      <c r="M35" s="284" t="s">
        <v>12</v>
      </c>
      <c r="N35" s="285" t="s">
        <v>14</v>
      </c>
      <c r="O35" s="284"/>
      <c r="P35" s="284" t="s">
        <v>244</v>
      </c>
      <c r="Q35" s="285"/>
      <c r="R35" s="285"/>
      <c r="S35" s="288"/>
    </row>
    <row r="36" spans="1:19" x14ac:dyDescent="0.2">
      <c r="A36" s="286" t="s">
        <v>185</v>
      </c>
      <c r="B36" s="284" t="s">
        <v>12</v>
      </c>
      <c r="C36" s="287" t="s">
        <v>12</v>
      </c>
      <c r="D36" s="285"/>
      <c r="E36" s="285"/>
      <c r="F36" s="285"/>
      <c r="G36" s="284" t="s">
        <v>14</v>
      </c>
      <c r="H36" s="284" t="s">
        <v>14</v>
      </c>
      <c r="I36" s="284" t="s">
        <v>13</v>
      </c>
      <c r="J36" s="284" t="s">
        <v>13</v>
      </c>
      <c r="K36" s="285"/>
      <c r="L36" s="285"/>
      <c r="M36" s="284" t="s">
        <v>13</v>
      </c>
      <c r="N36" s="285"/>
      <c r="O36" s="285"/>
      <c r="P36" s="284" t="s">
        <v>12</v>
      </c>
      <c r="Q36" s="285"/>
      <c r="R36" s="285"/>
      <c r="S36" s="288"/>
    </row>
    <row r="37" spans="1:19" x14ac:dyDescent="0.2">
      <c r="A37" s="286" t="s">
        <v>186</v>
      </c>
      <c r="B37" s="284" t="s">
        <v>13</v>
      </c>
      <c r="C37" s="287" t="s">
        <v>13</v>
      </c>
      <c r="D37" s="285"/>
      <c r="E37" s="285"/>
      <c r="F37" s="285"/>
      <c r="G37" s="284"/>
      <c r="H37" s="285"/>
      <c r="I37" s="284" t="s">
        <v>14</v>
      </c>
      <c r="J37" s="284" t="s">
        <v>14</v>
      </c>
      <c r="K37" s="285"/>
      <c r="L37" s="285"/>
      <c r="M37" s="285" t="s">
        <v>14</v>
      </c>
      <c r="N37" s="284"/>
      <c r="O37" s="284"/>
      <c r="P37" s="284" t="s">
        <v>13</v>
      </c>
      <c r="Q37" s="285"/>
      <c r="R37" s="285"/>
      <c r="S37" s="288"/>
    </row>
    <row r="38" spans="1:19" x14ac:dyDescent="0.2">
      <c r="A38" s="286" t="s">
        <v>187</v>
      </c>
      <c r="B38" s="284" t="s">
        <v>14</v>
      </c>
      <c r="C38" s="287" t="s">
        <v>14</v>
      </c>
      <c r="D38" s="285"/>
      <c r="E38" s="285"/>
      <c r="F38" s="285"/>
      <c r="G38" s="285"/>
      <c r="H38" s="285"/>
      <c r="I38" s="285"/>
      <c r="J38" s="284"/>
      <c r="K38" s="285"/>
      <c r="L38" s="285"/>
      <c r="M38" s="285"/>
      <c r="N38" s="285"/>
      <c r="O38" s="285"/>
      <c r="P38" s="284" t="s">
        <v>14</v>
      </c>
      <c r="Q38" s="285"/>
      <c r="R38" s="285"/>
      <c r="S38" s="288"/>
    </row>
    <row r="39" spans="1:19" x14ac:dyDescent="0.2">
      <c r="A39" s="286" t="s">
        <v>189</v>
      </c>
      <c r="B39" s="284"/>
      <c r="C39" s="288"/>
      <c r="D39" s="285"/>
      <c r="E39" s="285"/>
      <c r="F39" s="285"/>
      <c r="G39" s="285"/>
      <c r="H39" s="285"/>
      <c r="I39" s="285"/>
      <c r="J39" s="285"/>
      <c r="K39" s="285"/>
      <c r="L39" s="285"/>
      <c r="M39" s="285"/>
      <c r="N39" s="285"/>
      <c r="O39" s="285"/>
      <c r="P39" s="285"/>
      <c r="Q39" s="285"/>
      <c r="R39" s="285"/>
      <c r="S39" s="288"/>
    </row>
    <row r="40" spans="1:19" x14ac:dyDescent="0.2">
      <c r="A40" s="286" t="s">
        <v>190</v>
      </c>
      <c r="B40" s="285"/>
      <c r="C40" s="288"/>
      <c r="D40" s="285"/>
      <c r="E40" s="285"/>
      <c r="F40" s="285"/>
      <c r="G40" s="285"/>
      <c r="H40" s="285"/>
      <c r="I40" s="285"/>
      <c r="J40" s="285"/>
      <c r="K40" s="285"/>
      <c r="L40" s="285"/>
      <c r="M40" s="285"/>
      <c r="N40" s="285"/>
      <c r="O40" s="285"/>
      <c r="P40" s="285"/>
      <c r="Q40" s="285"/>
      <c r="R40" s="285"/>
      <c r="S40" s="288"/>
    </row>
    <row r="41" spans="1:19" x14ac:dyDescent="0.2">
      <c r="A41" s="286" t="s">
        <v>191</v>
      </c>
      <c r="B41" s="285"/>
      <c r="C41" s="288"/>
      <c r="D41" s="285"/>
      <c r="E41" s="285"/>
      <c r="F41" s="285"/>
      <c r="G41" s="285"/>
      <c r="H41" s="285"/>
      <c r="I41" s="285"/>
      <c r="J41" s="285"/>
      <c r="K41" s="285"/>
      <c r="L41" s="285"/>
      <c r="M41" s="285"/>
      <c r="N41" s="285"/>
      <c r="O41" s="285"/>
      <c r="P41" s="285"/>
      <c r="Q41" s="285"/>
      <c r="R41" s="285"/>
      <c r="S41" s="288"/>
    </row>
    <row r="42" spans="1:19" x14ac:dyDescent="0.2">
      <c r="A42" s="286" t="s">
        <v>192</v>
      </c>
      <c r="B42" s="285"/>
      <c r="C42" s="288"/>
      <c r="D42" s="285"/>
      <c r="E42" s="285"/>
      <c r="F42" s="285"/>
      <c r="G42" s="285"/>
      <c r="H42" s="285"/>
      <c r="I42" s="285"/>
      <c r="J42" s="285"/>
      <c r="K42" s="285"/>
      <c r="L42" s="285"/>
      <c r="M42" s="285"/>
      <c r="N42" s="285"/>
      <c r="O42" s="285"/>
      <c r="P42" s="285"/>
      <c r="Q42" s="285"/>
      <c r="R42" s="285"/>
      <c r="S42" s="288"/>
    </row>
    <row r="43" spans="1:19" x14ac:dyDescent="0.2">
      <c r="A43" s="286" t="s">
        <v>193</v>
      </c>
      <c r="B43" s="285"/>
      <c r="C43" s="288"/>
      <c r="D43" s="285"/>
      <c r="E43" s="285"/>
      <c r="F43" s="285"/>
      <c r="G43" s="285"/>
      <c r="H43" s="285"/>
      <c r="I43" s="285"/>
      <c r="J43" s="285"/>
      <c r="K43" s="285"/>
      <c r="L43" s="285"/>
      <c r="M43" s="285"/>
      <c r="N43" s="285"/>
      <c r="O43" s="285"/>
      <c r="P43" s="285"/>
      <c r="Q43" s="285"/>
      <c r="R43" s="285"/>
      <c r="S43" s="288"/>
    </row>
    <row r="44" spans="1:19" x14ac:dyDescent="0.2">
      <c r="A44" s="286" t="s">
        <v>194</v>
      </c>
      <c r="B44" s="285"/>
      <c r="C44" s="288"/>
      <c r="D44" s="285"/>
      <c r="E44" s="285"/>
      <c r="F44" s="285"/>
      <c r="G44" s="285"/>
      <c r="H44" s="285"/>
      <c r="I44" s="285"/>
      <c r="J44" s="285"/>
      <c r="K44" s="285"/>
      <c r="L44" s="285"/>
      <c r="M44" s="285"/>
      <c r="N44" s="285"/>
      <c r="O44" s="285"/>
      <c r="P44" s="285"/>
      <c r="Q44" s="285"/>
      <c r="R44" s="285"/>
      <c r="S44" s="288"/>
    </row>
    <row r="45" spans="1:19" x14ac:dyDescent="0.2">
      <c r="A45" s="286" t="s">
        <v>195</v>
      </c>
      <c r="B45" s="285"/>
      <c r="C45" s="288"/>
      <c r="D45" s="285"/>
      <c r="E45" s="285"/>
      <c r="F45" s="285"/>
      <c r="G45" s="285"/>
      <c r="H45" s="285"/>
      <c r="I45" s="285"/>
      <c r="J45" s="285"/>
      <c r="K45" s="285"/>
      <c r="L45" s="285"/>
      <c r="M45" s="285"/>
      <c r="N45" s="285"/>
      <c r="O45" s="285"/>
      <c r="P45" s="285"/>
      <c r="Q45" s="285"/>
      <c r="R45" s="285"/>
      <c r="S45" s="288"/>
    </row>
    <row r="46" spans="1:19" x14ac:dyDescent="0.2">
      <c r="A46" s="286" t="s">
        <v>196</v>
      </c>
      <c r="B46" s="285"/>
      <c r="C46" s="288"/>
      <c r="D46" s="285"/>
      <c r="E46" s="285"/>
      <c r="F46" s="285"/>
      <c r="G46" s="285"/>
      <c r="H46" s="285"/>
      <c r="I46" s="285"/>
      <c r="J46" s="285"/>
      <c r="K46" s="285"/>
      <c r="L46" s="285"/>
      <c r="M46" s="285"/>
      <c r="N46" s="285"/>
      <c r="O46" s="285"/>
      <c r="P46" s="285"/>
      <c r="Q46" s="285"/>
      <c r="R46" s="285"/>
      <c r="S46" s="288"/>
    </row>
    <row r="47" spans="1:19" x14ac:dyDescent="0.2">
      <c r="A47" s="286" t="s">
        <v>12</v>
      </c>
      <c r="B47" s="285"/>
      <c r="C47" s="288"/>
      <c r="D47" s="285"/>
      <c r="E47" s="285"/>
      <c r="F47" s="285"/>
      <c r="G47" s="285"/>
      <c r="H47" s="285"/>
      <c r="I47" s="285"/>
      <c r="J47" s="285"/>
      <c r="K47" s="285"/>
      <c r="L47" s="285"/>
      <c r="M47" s="285"/>
      <c r="N47" s="285"/>
      <c r="O47" s="285"/>
      <c r="P47" s="285"/>
      <c r="Q47" s="285"/>
      <c r="R47" s="285"/>
      <c r="S47" s="288"/>
    </row>
    <row r="48" spans="1:19" x14ac:dyDescent="0.2">
      <c r="A48" s="286" t="s">
        <v>13</v>
      </c>
      <c r="B48" s="285"/>
      <c r="C48" s="288"/>
      <c r="D48" s="285"/>
      <c r="E48" s="285"/>
      <c r="F48" s="285"/>
      <c r="G48" s="285"/>
      <c r="H48" s="285"/>
      <c r="I48" s="285"/>
      <c r="J48" s="285"/>
      <c r="K48" s="285"/>
      <c r="L48" s="285"/>
      <c r="M48" s="285"/>
      <c r="N48" s="285"/>
      <c r="O48" s="285"/>
      <c r="P48" s="285"/>
      <c r="Q48" s="285"/>
      <c r="R48" s="285"/>
      <c r="S48" s="288"/>
    </row>
    <row r="49" spans="1:19" x14ac:dyDescent="0.2">
      <c r="A49" s="292" t="s">
        <v>14</v>
      </c>
      <c r="B49" s="293"/>
      <c r="C49" s="294"/>
      <c r="D49" s="285"/>
      <c r="E49" s="285"/>
      <c r="F49" s="285"/>
      <c r="G49" s="285"/>
      <c r="H49" s="285"/>
      <c r="I49" s="285"/>
      <c r="J49" s="285"/>
      <c r="K49" s="285"/>
      <c r="L49" s="285"/>
      <c r="M49" s="285"/>
      <c r="N49" s="285"/>
      <c r="O49" s="285"/>
      <c r="P49" s="285"/>
      <c r="Q49" s="285"/>
      <c r="R49" s="285"/>
      <c r="S49" s="288"/>
    </row>
    <row r="50" spans="1:19" x14ac:dyDescent="0.2">
      <c r="A50" s="6"/>
      <c r="B50" s="4"/>
      <c r="C50" s="4"/>
      <c r="D50" s="104"/>
      <c r="E50" s="4"/>
      <c r="F50" s="256"/>
    </row>
    <row r="51" spans="1:19" x14ac:dyDescent="0.2">
      <c r="A51" s="6"/>
      <c r="B51" s="4"/>
      <c r="C51" s="4"/>
      <c r="D51" s="104"/>
      <c r="E51" s="4"/>
      <c r="F51" s="256"/>
      <c r="I51" s="4"/>
    </row>
    <row r="52" spans="1:19" x14ac:dyDescent="0.2">
      <c r="A52" s="6" t="s">
        <v>139</v>
      </c>
      <c r="B52" s="4" t="s">
        <v>816</v>
      </c>
      <c r="C52" s="4"/>
      <c r="D52" s="104"/>
      <c r="E52" s="4"/>
      <c r="F52" s="256"/>
    </row>
    <row r="53" spans="1:19" x14ac:dyDescent="0.2">
      <c r="A53" s="6"/>
      <c r="B53" s="4" t="s">
        <v>863</v>
      </c>
      <c r="C53" s="4"/>
      <c r="D53" s="104"/>
      <c r="E53" s="4"/>
      <c r="F53" s="256"/>
    </row>
    <row r="54" spans="1:19" x14ac:dyDescent="0.2">
      <c r="A54" s="6"/>
      <c r="B54" s="4"/>
      <c r="C54" s="4"/>
      <c r="D54" s="104"/>
      <c r="E54" s="4"/>
      <c r="F54" s="256"/>
    </row>
    <row r="55" spans="1:19" x14ac:dyDescent="0.2">
      <c r="A55" s="6"/>
      <c r="B55" s="4"/>
      <c r="D55" s="104"/>
    </row>
    <row r="56" spans="1:19" x14ac:dyDescent="0.2">
      <c r="A56" s="6"/>
      <c r="B56" s="6"/>
      <c r="D56" s="104"/>
    </row>
    <row r="57" spans="1:19" x14ac:dyDescent="0.2">
      <c r="A57" s="7" t="s">
        <v>243</v>
      </c>
      <c r="B57" s="11" t="s">
        <v>542</v>
      </c>
      <c r="D57" s="104"/>
    </row>
    <row r="58" spans="1:19" x14ac:dyDescent="0.2">
      <c r="B58" s="7" t="s">
        <v>543</v>
      </c>
      <c r="D58" s="104"/>
    </row>
    <row r="59" spans="1:19" x14ac:dyDescent="0.2">
      <c r="B59" s="7" t="s">
        <v>544</v>
      </c>
      <c r="D59" s="104"/>
    </row>
    <row r="60" spans="1:19" ht="13.5" customHeight="1" x14ac:dyDescent="0.2">
      <c r="B60" s="7" t="s">
        <v>545</v>
      </c>
      <c r="D60" s="104"/>
    </row>
    <row r="61" spans="1:19" x14ac:dyDescent="0.2">
      <c r="B61" s="7" t="s">
        <v>546</v>
      </c>
      <c r="D61" s="104"/>
    </row>
    <row r="62" spans="1:19" x14ac:dyDescent="0.2">
      <c r="D62" s="104"/>
    </row>
    <row r="63" spans="1:19" x14ac:dyDescent="0.2">
      <c r="D63" s="104"/>
    </row>
    <row r="64" spans="1:19" x14ac:dyDescent="0.2">
      <c r="D64" s="104"/>
      <c r="F64" s="326" t="s">
        <v>432</v>
      </c>
    </row>
    <row r="65" spans="1:12" x14ac:dyDescent="0.2">
      <c r="A65" s="36" t="s">
        <v>173</v>
      </c>
      <c r="B65" s="36" t="s">
        <v>332</v>
      </c>
      <c r="C65" s="36" t="s">
        <v>339</v>
      </c>
      <c r="D65" s="36" t="s">
        <v>174</v>
      </c>
      <c r="E65" s="36"/>
      <c r="F65" s="257" t="s">
        <v>282</v>
      </c>
      <c r="H65" s="36"/>
      <c r="I65" s="36"/>
      <c r="J65" s="36"/>
      <c r="K65" s="36"/>
    </row>
    <row r="66" spans="1:12" x14ac:dyDescent="0.2">
      <c r="A66" s="59" t="str">
        <f>IF('Basic data'!B6="","",'Basic data'!B6)</f>
        <v/>
      </c>
      <c r="B66" s="82" t="str">
        <f>IF($A$66="","",VLOOKUP($A$66,$A$69:$J$69,2,FALSE))</f>
        <v/>
      </c>
      <c r="C66" s="82" t="str">
        <f>IF($A$66="","",VLOOKUP($A$66,$A$69:$J$69,3,FALSE))</f>
        <v/>
      </c>
      <c r="D66" s="82" t="str">
        <f>IF($A$66="","",VLOOKUP($A$66,$A$69:$J$69,4,FALSE))</f>
        <v/>
      </c>
      <c r="F66" s="107" t="str">
        <f>IF($A$66="","",VLOOKUP($A$66,$A$69:$J$69,6,FALSE))</f>
        <v/>
      </c>
      <c r="J66" s="106"/>
      <c r="K66" s="106"/>
    </row>
    <row r="68" spans="1:12" ht="14.25" customHeight="1" x14ac:dyDescent="0.2">
      <c r="A68" s="36" t="s">
        <v>173</v>
      </c>
      <c r="B68" s="36" t="s">
        <v>332</v>
      </c>
      <c r="C68" s="36" t="s">
        <v>339</v>
      </c>
      <c r="D68" s="36" t="s">
        <v>174</v>
      </c>
      <c r="E68" s="36"/>
      <c r="F68" s="257" t="s">
        <v>282</v>
      </c>
      <c r="H68" s="36"/>
      <c r="I68" s="36"/>
      <c r="J68" s="36"/>
      <c r="K68" s="36"/>
      <c r="L68" s="36"/>
    </row>
    <row r="69" spans="1:12" ht="15" x14ac:dyDescent="0.25">
      <c r="A69" s="11" t="s">
        <v>450</v>
      </c>
      <c r="B69" s="82" t="s">
        <v>21</v>
      </c>
      <c r="C69" s="82" t="s">
        <v>21</v>
      </c>
      <c r="D69" s="82" t="s">
        <v>21</v>
      </c>
      <c r="E69"/>
      <c r="F69" s="424" t="s">
        <v>21</v>
      </c>
    </row>
    <row r="70" spans="1:12" ht="15" x14ac:dyDescent="0.25">
      <c r="E70"/>
      <c r="F70" s="328"/>
    </row>
    <row r="71" spans="1:12" ht="15" x14ac:dyDescent="0.25">
      <c r="E71"/>
    </row>
    <row r="72" spans="1:12" x14ac:dyDescent="0.2">
      <c r="A72" s="430" t="s">
        <v>547</v>
      </c>
    </row>
    <row r="73" spans="1:12" x14ac:dyDescent="0.2">
      <c r="A73" s="430" t="s">
        <v>548</v>
      </c>
    </row>
    <row r="74" spans="1:12" x14ac:dyDescent="0.2">
      <c r="A74" s="430" t="s">
        <v>549</v>
      </c>
    </row>
    <row r="75" spans="1:12" x14ac:dyDescent="0.2">
      <c r="A75" s="430" t="s">
        <v>550</v>
      </c>
    </row>
    <row r="76" spans="1:12" x14ac:dyDescent="0.2">
      <c r="A76" s="430" t="s">
        <v>551</v>
      </c>
    </row>
    <row r="77" spans="1:12" x14ac:dyDescent="0.2">
      <c r="A77" s="430" t="s">
        <v>552</v>
      </c>
    </row>
    <row r="78" spans="1:12" x14ac:dyDescent="0.2">
      <c r="A78" s="430" t="s">
        <v>553</v>
      </c>
    </row>
    <row r="79" spans="1:12" x14ac:dyDescent="0.2">
      <c r="A79" s="430" t="s">
        <v>554</v>
      </c>
    </row>
    <row r="80" spans="1:12" x14ac:dyDescent="0.2">
      <c r="A80" s="430" t="s">
        <v>555</v>
      </c>
    </row>
    <row r="81" spans="1:1" x14ac:dyDescent="0.2">
      <c r="A81" s="430" t="s">
        <v>556</v>
      </c>
    </row>
    <row r="82" spans="1:1" x14ac:dyDescent="0.2">
      <c r="A82" s="430" t="s">
        <v>557</v>
      </c>
    </row>
    <row r="83" spans="1:1" x14ac:dyDescent="0.2">
      <c r="A83" s="430" t="s">
        <v>558</v>
      </c>
    </row>
    <row r="84" spans="1:1" x14ac:dyDescent="0.2">
      <c r="A84" s="430" t="s">
        <v>559</v>
      </c>
    </row>
    <row r="85" spans="1:1" x14ac:dyDescent="0.2">
      <c r="A85" s="430" t="s">
        <v>560</v>
      </c>
    </row>
    <row r="86" spans="1:1" x14ac:dyDescent="0.2">
      <c r="A86" s="430" t="s">
        <v>561</v>
      </c>
    </row>
    <row r="87" spans="1:1" x14ac:dyDescent="0.2">
      <c r="A87" s="430" t="s">
        <v>562</v>
      </c>
    </row>
    <row r="88" spans="1:1" x14ac:dyDescent="0.2">
      <c r="A88" s="430" t="s">
        <v>563</v>
      </c>
    </row>
    <row r="89" spans="1:1" x14ac:dyDescent="0.2">
      <c r="A89" s="430" t="s">
        <v>564</v>
      </c>
    </row>
    <row r="90" spans="1:1" x14ac:dyDescent="0.2">
      <c r="A90" s="430" t="s">
        <v>565</v>
      </c>
    </row>
    <row r="91" spans="1:1" x14ac:dyDescent="0.2">
      <c r="A91" s="430" t="s">
        <v>566</v>
      </c>
    </row>
    <row r="92" spans="1:1" x14ac:dyDescent="0.2">
      <c r="A92" s="430" t="s">
        <v>567</v>
      </c>
    </row>
    <row r="93" spans="1:1" x14ac:dyDescent="0.2">
      <c r="A93" s="430" t="s">
        <v>568</v>
      </c>
    </row>
    <row r="94" spans="1:1" x14ac:dyDescent="0.2">
      <c r="A94" s="430" t="s">
        <v>569</v>
      </c>
    </row>
    <row r="95" spans="1:1" x14ac:dyDescent="0.2">
      <c r="A95" s="430" t="s">
        <v>570</v>
      </c>
    </row>
    <row r="96" spans="1:1" x14ac:dyDescent="0.2">
      <c r="A96" s="430" t="s">
        <v>571</v>
      </c>
    </row>
    <row r="97" spans="1:1" x14ac:dyDescent="0.2">
      <c r="A97" s="430" t="s">
        <v>572</v>
      </c>
    </row>
    <row r="98" spans="1:1" x14ac:dyDescent="0.2">
      <c r="A98" s="430" t="s">
        <v>573</v>
      </c>
    </row>
    <row r="99" spans="1:1" x14ac:dyDescent="0.2">
      <c r="A99" s="430" t="s">
        <v>574</v>
      </c>
    </row>
    <row r="100" spans="1:1" x14ac:dyDescent="0.2">
      <c r="A100" s="430" t="s">
        <v>575</v>
      </c>
    </row>
    <row r="101" spans="1:1" x14ac:dyDescent="0.2">
      <c r="A101" s="430" t="s">
        <v>576</v>
      </c>
    </row>
    <row r="102" spans="1:1" x14ac:dyDescent="0.2">
      <c r="A102" s="430" t="s">
        <v>577</v>
      </c>
    </row>
    <row r="103" spans="1:1" x14ac:dyDescent="0.2">
      <c r="A103" s="430" t="s">
        <v>578</v>
      </c>
    </row>
    <row r="104" spans="1:1" x14ac:dyDescent="0.2">
      <c r="A104" s="430" t="s">
        <v>579</v>
      </c>
    </row>
    <row r="105" spans="1:1" x14ac:dyDescent="0.2">
      <c r="A105" s="430" t="s">
        <v>580</v>
      </c>
    </row>
    <row r="106" spans="1:1" x14ac:dyDescent="0.2">
      <c r="A106" s="430" t="s">
        <v>581</v>
      </c>
    </row>
    <row r="107" spans="1:1" x14ac:dyDescent="0.2">
      <c r="A107" s="430" t="s">
        <v>582</v>
      </c>
    </row>
    <row r="108" spans="1:1" x14ac:dyDescent="0.2">
      <c r="A108" s="430" t="s">
        <v>583</v>
      </c>
    </row>
    <row r="109" spans="1:1" x14ac:dyDescent="0.2">
      <c r="A109" s="430" t="s">
        <v>584</v>
      </c>
    </row>
    <row r="110" spans="1:1" x14ac:dyDescent="0.2">
      <c r="A110" s="430" t="s">
        <v>585</v>
      </c>
    </row>
    <row r="111" spans="1:1" x14ac:dyDescent="0.2">
      <c r="A111" s="430" t="s">
        <v>586</v>
      </c>
    </row>
    <row r="112" spans="1:1" x14ac:dyDescent="0.2">
      <c r="A112" s="430" t="s">
        <v>587</v>
      </c>
    </row>
    <row r="113" spans="1:1" x14ac:dyDescent="0.2">
      <c r="A113" s="430" t="s">
        <v>588</v>
      </c>
    </row>
    <row r="114" spans="1:1" x14ac:dyDescent="0.2">
      <c r="A114" s="430" t="s">
        <v>589</v>
      </c>
    </row>
    <row r="115" spans="1:1" x14ac:dyDescent="0.2">
      <c r="A115" s="430" t="s">
        <v>590</v>
      </c>
    </row>
    <row r="116" spans="1:1" x14ac:dyDescent="0.2">
      <c r="A116" s="430" t="s">
        <v>591</v>
      </c>
    </row>
    <row r="117" spans="1:1" x14ac:dyDescent="0.2">
      <c r="A117" s="430" t="s">
        <v>592</v>
      </c>
    </row>
    <row r="118" spans="1:1" x14ac:dyDescent="0.2">
      <c r="A118" s="430" t="s">
        <v>593</v>
      </c>
    </row>
    <row r="119" spans="1:1" x14ac:dyDescent="0.2">
      <c r="A119" s="430" t="s">
        <v>594</v>
      </c>
    </row>
    <row r="120" spans="1:1" x14ac:dyDescent="0.2">
      <c r="A120" s="430" t="s">
        <v>595</v>
      </c>
    </row>
    <row r="121" spans="1:1" x14ac:dyDescent="0.2">
      <c r="A121" s="430" t="s">
        <v>596</v>
      </c>
    </row>
    <row r="122" spans="1:1" x14ac:dyDescent="0.2">
      <c r="A122" s="430" t="s">
        <v>597</v>
      </c>
    </row>
    <row r="123" spans="1:1" x14ac:dyDescent="0.2">
      <c r="A123" s="430" t="s">
        <v>598</v>
      </c>
    </row>
    <row r="124" spans="1:1" x14ac:dyDescent="0.2">
      <c r="A124" s="430" t="s">
        <v>599</v>
      </c>
    </row>
    <row r="125" spans="1:1" x14ac:dyDescent="0.2">
      <c r="A125" s="430" t="s">
        <v>600</v>
      </c>
    </row>
    <row r="126" spans="1:1" x14ac:dyDescent="0.2">
      <c r="A126" s="430" t="s">
        <v>601</v>
      </c>
    </row>
    <row r="127" spans="1:1" x14ac:dyDescent="0.2">
      <c r="A127" s="430" t="s">
        <v>602</v>
      </c>
    </row>
    <row r="128" spans="1:1" x14ac:dyDescent="0.2">
      <c r="A128" s="430" t="s">
        <v>603</v>
      </c>
    </row>
    <row r="129" spans="1:1" x14ac:dyDescent="0.2">
      <c r="A129" s="430" t="s">
        <v>604</v>
      </c>
    </row>
    <row r="130" spans="1:1" x14ac:dyDescent="0.2">
      <c r="A130" s="430" t="s">
        <v>605</v>
      </c>
    </row>
    <row r="131" spans="1:1" x14ac:dyDescent="0.2">
      <c r="A131" s="430" t="s">
        <v>606</v>
      </c>
    </row>
    <row r="132" spans="1:1" x14ac:dyDescent="0.2">
      <c r="A132" s="430" t="s">
        <v>607</v>
      </c>
    </row>
    <row r="133" spans="1:1" x14ac:dyDescent="0.2">
      <c r="A133" s="430" t="s">
        <v>608</v>
      </c>
    </row>
    <row r="134" spans="1:1" x14ac:dyDescent="0.2">
      <c r="A134" s="430" t="s">
        <v>609</v>
      </c>
    </row>
    <row r="135" spans="1:1" x14ac:dyDescent="0.2">
      <c r="A135" s="430" t="s">
        <v>610</v>
      </c>
    </row>
    <row r="136" spans="1:1" x14ac:dyDescent="0.2">
      <c r="A136" s="430" t="s">
        <v>611</v>
      </c>
    </row>
    <row r="137" spans="1:1" x14ac:dyDescent="0.2">
      <c r="A137" s="430" t="s">
        <v>612</v>
      </c>
    </row>
    <row r="138" spans="1:1" x14ac:dyDescent="0.2">
      <c r="A138" s="430" t="s">
        <v>613</v>
      </c>
    </row>
    <row r="139" spans="1:1" x14ac:dyDescent="0.2">
      <c r="A139" s="430" t="s">
        <v>614</v>
      </c>
    </row>
    <row r="140" spans="1:1" x14ac:dyDescent="0.2">
      <c r="A140" s="430" t="s">
        <v>615</v>
      </c>
    </row>
    <row r="141" spans="1:1" x14ac:dyDescent="0.2">
      <c r="A141" s="430" t="s">
        <v>616</v>
      </c>
    </row>
    <row r="142" spans="1:1" x14ac:dyDescent="0.2">
      <c r="A142" s="430" t="s">
        <v>617</v>
      </c>
    </row>
    <row r="143" spans="1:1" x14ac:dyDescent="0.2">
      <c r="A143" s="430" t="s">
        <v>618</v>
      </c>
    </row>
    <row r="144" spans="1:1" x14ac:dyDescent="0.2">
      <c r="A144" s="430" t="s">
        <v>619</v>
      </c>
    </row>
    <row r="145" spans="1:1" x14ac:dyDescent="0.2">
      <c r="A145" s="430" t="s">
        <v>620</v>
      </c>
    </row>
    <row r="146" spans="1:1" x14ac:dyDescent="0.2">
      <c r="A146" s="430" t="s">
        <v>621</v>
      </c>
    </row>
    <row r="147" spans="1:1" x14ac:dyDescent="0.2">
      <c r="A147" s="430" t="s">
        <v>622</v>
      </c>
    </row>
    <row r="148" spans="1:1" x14ac:dyDescent="0.2">
      <c r="A148" s="430" t="s">
        <v>623</v>
      </c>
    </row>
    <row r="149" spans="1:1" x14ac:dyDescent="0.2">
      <c r="A149" s="430" t="s">
        <v>624</v>
      </c>
    </row>
    <row r="150" spans="1:1" x14ac:dyDescent="0.2">
      <c r="A150" s="430" t="s">
        <v>625</v>
      </c>
    </row>
    <row r="151" spans="1:1" x14ac:dyDescent="0.2">
      <c r="A151" s="430" t="s">
        <v>626</v>
      </c>
    </row>
    <row r="152" spans="1:1" x14ac:dyDescent="0.2">
      <c r="A152" s="430" t="s">
        <v>627</v>
      </c>
    </row>
    <row r="153" spans="1:1" x14ac:dyDescent="0.2">
      <c r="A153" s="430" t="s">
        <v>628</v>
      </c>
    </row>
    <row r="154" spans="1:1" x14ac:dyDescent="0.2">
      <c r="A154" s="430" t="s">
        <v>629</v>
      </c>
    </row>
    <row r="155" spans="1:1" x14ac:dyDescent="0.2">
      <c r="A155" s="430" t="s">
        <v>630</v>
      </c>
    </row>
    <row r="156" spans="1:1" x14ac:dyDescent="0.2">
      <c r="A156" s="430" t="s">
        <v>631</v>
      </c>
    </row>
    <row r="157" spans="1:1" x14ac:dyDescent="0.2">
      <c r="A157" s="430" t="s">
        <v>632</v>
      </c>
    </row>
    <row r="158" spans="1:1" x14ac:dyDescent="0.2">
      <c r="A158" s="430" t="s">
        <v>633</v>
      </c>
    </row>
    <row r="159" spans="1:1" x14ac:dyDescent="0.2">
      <c r="A159" s="430" t="s">
        <v>634</v>
      </c>
    </row>
    <row r="160" spans="1:1" x14ac:dyDescent="0.2">
      <c r="A160" s="430" t="s">
        <v>635</v>
      </c>
    </row>
    <row r="161" spans="1:1" x14ac:dyDescent="0.2">
      <c r="A161" s="430" t="s">
        <v>636</v>
      </c>
    </row>
    <row r="162" spans="1:1" x14ac:dyDescent="0.2">
      <c r="A162" s="430" t="s">
        <v>637</v>
      </c>
    </row>
    <row r="163" spans="1:1" x14ac:dyDescent="0.2">
      <c r="A163" s="430" t="s">
        <v>638</v>
      </c>
    </row>
    <row r="164" spans="1:1" x14ac:dyDescent="0.2">
      <c r="A164" s="430" t="s">
        <v>639</v>
      </c>
    </row>
    <row r="165" spans="1:1" x14ac:dyDescent="0.2">
      <c r="A165" s="430" t="s">
        <v>640</v>
      </c>
    </row>
    <row r="166" spans="1:1" x14ac:dyDescent="0.2">
      <c r="A166" s="430" t="s">
        <v>641</v>
      </c>
    </row>
    <row r="167" spans="1:1" x14ac:dyDescent="0.2">
      <c r="A167" s="430" t="s">
        <v>642</v>
      </c>
    </row>
    <row r="168" spans="1:1" x14ac:dyDescent="0.2">
      <c r="A168" s="430" t="s">
        <v>643</v>
      </c>
    </row>
    <row r="169" spans="1:1" x14ac:dyDescent="0.2">
      <c r="A169" s="430" t="s">
        <v>644</v>
      </c>
    </row>
    <row r="170" spans="1:1" x14ac:dyDescent="0.2">
      <c r="A170" s="430" t="s">
        <v>645</v>
      </c>
    </row>
    <row r="171" spans="1:1" x14ac:dyDescent="0.2">
      <c r="A171" s="430" t="s">
        <v>646</v>
      </c>
    </row>
    <row r="172" spans="1:1" x14ac:dyDescent="0.2">
      <c r="A172" s="430" t="s">
        <v>647</v>
      </c>
    </row>
    <row r="173" spans="1:1" x14ac:dyDescent="0.2">
      <c r="A173" s="430" t="s">
        <v>648</v>
      </c>
    </row>
    <row r="174" spans="1:1" x14ac:dyDescent="0.2">
      <c r="A174" s="430" t="s">
        <v>649</v>
      </c>
    </row>
    <row r="175" spans="1:1" x14ac:dyDescent="0.2">
      <c r="A175" s="430" t="s">
        <v>650</v>
      </c>
    </row>
    <row r="176" spans="1:1" x14ac:dyDescent="0.2">
      <c r="A176" s="430" t="s">
        <v>651</v>
      </c>
    </row>
    <row r="177" spans="1:1" x14ac:dyDescent="0.2">
      <c r="A177" s="430" t="s">
        <v>652</v>
      </c>
    </row>
    <row r="178" spans="1:1" x14ac:dyDescent="0.2">
      <c r="A178" s="430" t="s">
        <v>653</v>
      </c>
    </row>
    <row r="179" spans="1:1" x14ac:dyDescent="0.2">
      <c r="A179" s="430" t="s">
        <v>654</v>
      </c>
    </row>
    <row r="180" spans="1:1" x14ac:dyDescent="0.2">
      <c r="A180" s="430" t="s">
        <v>655</v>
      </c>
    </row>
    <row r="181" spans="1:1" x14ac:dyDescent="0.2">
      <c r="A181" s="430" t="s">
        <v>656</v>
      </c>
    </row>
    <row r="182" spans="1:1" x14ac:dyDescent="0.2">
      <c r="A182" s="430" t="s">
        <v>657</v>
      </c>
    </row>
    <row r="183" spans="1:1" x14ac:dyDescent="0.2">
      <c r="A183" s="430" t="s">
        <v>658</v>
      </c>
    </row>
    <row r="184" spans="1:1" x14ac:dyDescent="0.2">
      <c r="A184" s="430" t="s">
        <v>659</v>
      </c>
    </row>
    <row r="185" spans="1:1" x14ac:dyDescent="0.2">
      <c r="A185" s="430" t="s">
        <v>660</v>
      </c>
    </row>
    <row r="186" spans="1:1" x14ac:dyDescent="0.2">
      <c r="A186" s="430" t="s">
        <v>661</v>
      </c>
    </row>
    <row r="187" spans="1:1" x14ac:dyDescent="0.2">
      <c r="A187" s="430" t="s">
        <v>662</v>
      </c>
    </row>
    <row r="188" spans="1:1" x14ac:dyDescent="0.2">
      <c r="A188" s="430" t="s">
        <v>663</v>
      </c>
    </row>
    <row r="189" spans="1:1" x14ac:dyDescent="0.2">
      <c r="A189" s="430" t="s">
        <v>664</v>
      </c>
    </row>
    <row r="190" spans="1:1" x14ac:dyDescent="0.2">
      <c r="A190" s="430" t="s">
        <v>665</v>
      </c>
    </row>
    <row r="191" spans="1:1" x14ac:dyDescent="0.2">
      <c r="A191" s="430" t="s">
        <v>666</v>
      </c>
    </row>
    <row r="192" spans="1:1" x14ac:dyDescent="0.2">
      <c r="A192" s="430" t="s">
        <v>667</v>
      </c>
    </row>
    <row r="193" spans="1:1" x14ac:dyDescent="0.2">
      <c r="A193" s="430" t="s">
        <v>668</v>
      </c>
    </row>
    <row r="194" spans="1:1" x14ac:dyDescent="0.2">
      <c r="A194" s="430" t="s">
        <v>669</v>
      </c>
    </row>
    <row r="195" spans="1:1" x14ac:dyDescent="0.2">
      <c r="A195" s="430" t="s">
        <v>670</v>
      </c>
    </row>
    <row r="196" spans="1:1" x14ac:dyDescent="0.2">
      <c r="A196" s="430" t="s">
        <v>671</v>
      </c>
    </row>
    <row r="197" spans="1:1" x14ac:dyDescent="0.2">
      <c r="A197" s="430" t="s">
        <v>672</v>
      </c>
    </row>
    <row r="198" spans="1:1" x14ac:dyDescent="0.2">
      <c r="A198" s="430" t="s">
        <v>673</v>
      </c>
    </row>
    <row r="199" spans="1:1" x14ac:dyDescent="0.2">
      <c r="A199" s="430" t="s">
        <v>674</v>
      </c>
    </row>
    <row r="200" spans="1:1" x14ac:dyDescent="0.2">
      <c r="A200" s="430" t="s">
        <v>675</v>
      </c>
    </row>
    <row r="201" spans="1:1" x14ac:dyDescent="0.2">
      <c r="A201" s="430" t="s">
        <v>676</v>
      </c>
    </row>
    <row r="202" spans="1:1" x14ac:dyDescent="0.2">
      <c r="A202" s="430" t="s">
        <v>677</v>
      </c>
    </row>
    <row r="203" spans="1:1" x14ac:dyDescent="0.2">
      <c r="A203" s="430" t="s">
        <v>678</v>
      </c>
    </row>
    <row r="204" spans="1:1" x14ac:dyDescent="0.2">
      <c r="A204" s="430" t="s">
        <v>679</v>
      </c>
    </row>
    <row r="205" spans="1:1" x14ac:dyDescent="0.2">
      <c r="A205" s="430" t="s">
        <v>680</v>
      </c>
    </row>
    <row r="206" spans="1:1" x14ac:dyDescent="0.2">
      <c r="A206" s="430" t="s">
        <v>681</v>
      </c>
    </row>
    <row r="207" spans="1:1" x14ac:dyDescent="0.2">
      <c r="A207" s="430" t="s">
        <v>682</v>
      </c>
    </row>
    <row r="208" spans="1:1" x14ac:dyDescent="0.2">
      <c r="A208" s="430" t="s">
        <v>683</v>
      </c>
    </row>
    <row r="209" spans="1:1" x14ac:dyDescent="0.2">
      <c r="A209" s="430" t="s">
        <v>684</v>
      </c>
    </row>
    <row r="210" spans="1:1" x14ac:dyDescent="0.2">
      <c r="A210" s="430" t="s">
        <v>685</v>
      </c>
    </row>
    <row r="211" spans="1:1" x14ac:dyDescent="0.2">
      <c r="A211" s="430" t="s">
        <v>686</v>
      </c>
    </row>
    <row r="212" spans="1:1" x14ac:dyDescent="0.2">
      <c r="A212" s="430" t="s">
        <v>687</v>
      </c>
    </row>
    <row r="213" spans="1:1" x14ac:dyDescent="0.2">
      <c r="A213" s="430" t="s">
        <v>688</v>
      </c>
    </row>
    <row r="214" spans="1:1" x14ac:dyDescent="0.2">
      <c r="A214" s="430" t="s">
        <v>689</v>
      </c>
    </row>
    <row r="215" spans="1:1" x14ac:dyDescent="0.2">
      <c r="A215" s="430" t="s">
        <v>690</v>
      </c>
    </row>
    <row r="216" spans="1:1" x14ac:dyDescent="0.2">
      <c r="A216" s="430" t="s">
        <v>691</v>
      </c>
    </row>
    <row r="217" spans="1:1" x14ac:dyDescent="0.2">
      <c r="A217" s="430" t="s">
        <v>692</v>
      </c>
    </row>
    <row r="218" spans="1:1" x14ac:dyDescent="0.2">
      <c r="A218" s="430" t="s">
        <v>693</v>
      </c>
    </row>
    <row r="219" spans="1:1" x14ac:dyDescent="0.2">
      <c r="A219" s="430" t="s">
        <v>694</v>
      </c>
    </row>
    <row r="220" spans="1:1" x14ac:dyDescent="0.2">
      <c r="A220" s="430" t="s">
        <v>695</v>
      </c>
    </row>
    <row r="221" spans="1:1" x14ac:dyDescent="0.2">
      <c r="A221" s="430" t="s">
        <v>696</v>
      </c>
    </row>
    <row r="222" spans="1:1" x14ac:dyDescent="0.2">
      <c r="A222" s="430" t="s">
        <v>697</v>
      </c>
    </row>
    <row r="223" spans="1:1" x14ac:dyDescent="0.2">
      <c r="A223" s="430" t="s">
        <v>698</v>
      </c>
    </row>
    <row r="224" spans="1:1" x14ac:dyDescent="0.2">
      <c r="A224" s="430" t="s">
        <v>699</v>
      </c>
    </row>
    <row r="225" spans="1:1" x14ac:dyDescent="0.2">
      <c r="A225" s="430" t="s">
        <v>700</v>
      </c>
    </row>
    <row r="226" spans="1:1" x14ac:dyDescent="0.2">
      <c r="A226" s="430" t="s">
        <v>701</v>
      </c>
    </row>
    <row r="227" spans="1:1" x14ac:dyDescent="0.2">
      <c r="A227" s="430" t="s">
        <v>702</v>
      </c>
    </row>
    <row r="228" spans="1:1" x14ac:dyDescent="0.2">
      <c r="A228" s="430" t="s">
        <v>703</v>
      </c>
    </row>
    <row r="229" spans="1:1" x14ac:dyDescent="0.2">
      <c r="A229" s="430" t="s">
        <v>704</v>
      </c>
    </row>
    <row r="230" spans="1:1" x14ac:dyDescent="0.2">
      <c r="A230" s="430" t="s">
        <v>705</v>
      </c>
    </row>
    <row r="231" spans="1:1" x14ac:dyDescent="0.2">
      <c r="A231" s="430" t="s">
        <v>706</v>
      </c>
    </row>
    <row r="232" spans="1:1" x14ac:dyDescent="0.2">
      <c r="A232" s="430" t="s">
        <v>707</v>
      </c>
    </row>
    <row r="233" spans="1:1" x14ac:dyDescent="0.2">
      <c r="A233" s="430" t="s">
        <v>708</v>
      </c>
    </row>
    <row r="234" spans="1:1" x14ac:dyDescent="0.2">
      <c r="A234" s="430" t="s">
        <v>709</v>
      </c>
    </row>
    <row r="235" spans="1:1" x14ac:dyDescent="0.2">
      <c r="A235" s="430" t="s">
        <v>710</v>
      </c>
    </row>
    <row r="236" spans="1:1" x14ac:dyDescent="0.2">
      <c r="A236" s="430" t="s">
        <v>711</v>
      </c>
    </row>
    <row r="237" spans="1:1" x14ac:dyDescent="0.2">
      <c r="A237" s="430" t="s">
        <v>712</v>
      </c>
    </row>
    <row r="238" spans="1:1" x14ac:dyDescent="0.2">
      <c r="A238" s="430" t="s">
        <v>713</v>
      </c>
    </row>
    <row r="239" spans="1:1" x14ac:dyDescent="0.2">
      <c r="A239" s="430" t="s">
        <v>714</v>
      </c>
    </row>
    <row r="240" spans="1:1" x14ac:dyDescent="0.2">
      <c r="A240" s="430" t="s">
        <v>715</v>
      </c>
    </row>
    <row r="241" spans="1:1" x14ac:dyDescent="0.2">
      <c r="A241" s="430" t="s">
        <v>716</v>
      </c>
    </row>
    <row r="242" spans="1:1" x14ac:dyDescent="0.2">
      <c r="A242" s="430" t="s">
        <v>717</v>
      </c>
    </row>
    <row r="243" spans="1:1" x14ac:dyDescent="0.2">
      <c r="A243" s="430" t="s">
        <v>718</v>
      </c>
    </row>
    <row r="244" spans="1:1" x14ac:dyDescent="0.2">
      <c r="A244" s="430" t="s">
        <v>719</v>
      </c>
    </row>
    <row r="245" spans="1:1" x14ac:dyDescent="0.2">
      <c r="A245" s="430" t="s">
        <v>720</v>
      </c>
    </row>
    <row r="246" spans="1:1" x14ac:dyDescent="0.2">
      <c r="A246" s="430" t="s">
        <v>721</v>
      </c>
    </row>
    <row r="247" spans="1:1" x14ac:dyDescent="0.2">
      <c r="A247" s="430" t="s">
        <v>722</v>
      </c>
    </row>
    <row r="248" spans="1:1" x14ac:dyDescent="0.2">
      <c r="A248" s="430" t="s">
        <v>723</v>
      </c>
    </row>
    <row r="249" spans="1:1" x14ac:dyDescent="0.2">
      <c r="A249" s="430" t="s">
        <v>724</v>
      </c>
    </row>
    <row r="250" spans="1:1" x14ac:dyDescent="0.2">
      <c r="A250" s="430" t="s">
        <v>725</v>
      </c>
    </row>
    <row r="251" spans="1:1" x14ac:dyDescent="0.2">
      <c r="A251" s="430" t="s">
        <v>726</v>
      </c>
    </row>
    <row r="252" spans="1:1" x14ac:dyDescent="0.2">
      <c r="A252" s="430" t="s">
        <v>727</v>
      </c>
    </row>
    <row r="253" spans="1:1" x14ac:dyDescent="0.2">
      <c r="A253" s="430" t="s">
        <v>728</v>
      </c>
    </row>
    <row r="254" spans="1:1" x14ac:dyDescent="0.2">
      <c r="A254" s="430" t="s">
        <v>729</v>
      </c>
    </row>
    <row r="255" spans="1:1" x14ac:dyDescent="0.2">
      <c r="A255" s="430" t="s">
        <v>730</v>
      </c>
    </row>
    <row r="256" spans="1:1" x14ac:dyDescent="0.2">
      <c r="A256" s="430" t="s">
        <v>731</v>
      </c>
    </row>
    <row r="257" spans="1:1" x14ac:dyDescent="0.2">
      <c r="A257" s="430" t="s">
        <v>732</v>
      </c>
    </row>
    <row r="258" spans="1:1" x14ac:dyDescent="0.2">
      <c r="A258" s="430" t="s">
        <v>733</v>
      </c>
    </row>
    <row r="259" spans="1:1" x14ac:dyDescent="0.2">
      <c r="A259" s="430" t="s">
        <v>734</v>
      </c>
    </row>
    <row r="260" spans="1:1" x14ac:dyDescent="0.2">
      <c r="A260" s="430" t="s">
        <v>735</v>
      </c>
    </row>
    <row r="261" spans="1:1" x14ac:dyDescent="0.2">
      <c r="A261" s="430" t="s">
        <v>736</v>
      </c>
    </row>
    <row r="262" spans="1:1" x14ac:dyDescent="0.2">
      <c r="A262" s="430" t="s">
        <v>737</v>
      </c>
    </row>
    <row r="263" spans="1:1" x14ac:dyDescent="0.2">
      <c r="A263" s="430" t="s">
        <v>738</v>
      </c>
    </row>
    <row r="264" spans="1:1" x14ac:dyDescent="0.2">
      <c r="A264" s="430" t="s">
        <v>739</v>
      </c>
    </row>
    <row r="265" spans="1:1" x14ac:dyDescent="0.2">
      <c r="A265" s="430" t="s">
        <v>740</v>
      </c>
    </row>
    <row r="266" spans="1:1" x14ac:dyDescent="0.2">
      <c r="A266" s="430" t="s">
        <v>741</v>
      </c>
    </row>
    <row r="267" spans="1:1" x14ac:dyDescent="0.2">
      <c r="A267" s="430" t="s">
        <v>742</v>
      </c>
    </row>
    <row r="268" spans="1:1" x14ac:dyDescent="0.2">
      <c r="A268" s="430" t="s">
        <v>743</v>
      </c>
    </row>
  </sheetData>
  <autoFilter ref="F68:F69" xr:uid="{00000000-0009-0000-0000-000003000000}"/>
  <phoneticPr fontId="75" type="noConversion"/>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8EA40-0408-48D4-AE56-CFE81EED2267}">
  <sheetPr>
    <pageSetUpPr fitToPage="1"/>
  </sheetPr>
  <dimension ref="A1:K40"/>
  <sheetViews>
    <sheetView showGridLines="0" zoomScaleNormal="100" workbookViewId="0">
      <selection activeCell="A11" sqref="A11"/>
    </sheetView>
  </sheetViews>
  <sheetFormatPr defaultColWidth="9.140625" defaultRowHeight="15" x14ac:dyDescent="0.25"/>
  <cols>
    <col min="1" max="1" width="46.7109375" customWidth="1"/>
    <col min="2" max="2" width="50.7109375" customWidth="1"/>
    <col min="3" max="3" width="20.5703125" customWidth="1"/>
    <col min="4" max="4" width="21" customWidth="1"/>
    <col min="5" max="5" width="20.7109375" customWidth="1"/>
    <col min="9" max="11" width="9.140625" style="480" hidden="1" customWidth="1"/>
  </cols>
  <sheetData>
    <row r="1" spans="1:11" ht="7.5" customHeight="1" x14ac:dyDescent="0.25"/>
    <row r="2" spans="1:11" x14ac:dyDescent="0.25">
      <c r="A2" s="481" t="str">
        <f>'Basic data'!A2</f>
        <v>Annex CR Version P1.1  (Audit year 2026 / Indicator year 2025)</v>
      </c>
    </row>
    <row r="3" spans="1:11" ht="15.75" x14ac:dyDescent="0.25">
      <c r="A3" s="482" t="s">
        <v>853</v>
      </c>
    </row>
    <row r="4" spans="1:11" ht="15.95" customHeight="1" thickBot="1" x14ac:dyDescent="0.3"/>
    <row r="5" spans="1:11" ht="18" customHeight="1" thickBot="1" x14ac:dyDescent="0.3">
      <c r="D5" s="483" t="s">
        <v>854</v>
      </c>
      <c r="E5" s="484">
        <f>SUM(K11:K40)</f>
        <v>0</v>
      </c>
    </row>
    <row r="6" spans="1:11" ht="21.75" customHeight="1" x14ac:dyDescent="0.25">
      <c r="A6" s="485" t="s">
        <v>855</v>
      </c>
    </row>
    <row r="7" spans="1:11" ht="21.75" customHeight="1" x14ac:dyDescent="0.25">
      <c r="A7" s="587" t="s">
        <v>856</v>
      </c>
      <c r="B7" s="588"/>
      <c r="C7" s="588"/>
      <c r="D7" s="588"/>
      <c r="E7" s="588"/>
    </row>
    <row r="8" spans="1:11" ht="10.5" customHeight="1" thickBot="1" x14ac:dyDescent="0.3"/>
    <row r="9" spans="1:11" ht="18.75" customHeight="1" x14ac:dyDescent="0.25">
      <c r="A9" s="589" t="s">
        <v>857</v>
      </c>
      <c r="B9" s="591" t="s">
        <v>858</v>
      </c>
      <c r="C9" s="591" t="s">
        <v>859</v>
      </c>
      <c r="D9" s="591"/>
      <c r="E9" s="593"/>
    </row>
    <row r="10" spans="1:11" ht="51.75" customHeight="1" thickBot="1" x14ac:dyDescent="0.3">
      <c r="A10" s="590"/>
      <c r="B10" s="592"/>
      <c r="C10" s="486" t="s">
        <v>860</v>
      </c>
      <c r="D10" s="486" t="s">
        <v>861</v>
      </c>
      <c r="E10" s="487" t="s">
        <v>862</v>
      </c>
    </row>
    <row r="11" spans="1:11" ht="26.1" customHeight="1" x14ac:dyDescent="0.25">
      <c r="A11" s="488"/>
      <c r="B11" s="489"/>
      <c r="C11" s="490"/>
      <c r="D11" s="490"/>
      <c r="E11" s="491"/>
      <c r="I11" s="480">
        <f>IF(A11&lt;&gt;"",1,0)</f>
        <v>0</v>
      </c>
      <c r="J11" s="480">
        <f>IF(B11&lt;&gt;"",1,0)</f>
        <v>0</v>
      </c>
      <c r="K11" s="480" t="str">
        <f>IF(AND(SUM($C$11:$C$40)&gt;=1,SUM(I11:J11)=2),SUM(C11:E11),"")</f>
        <v/>
      </c>
    </row>
    <row r="12" spans="1:11" ht="26.1" customHeight="1" x14ac:dyDescent="0.25">
      <c r="A12" s="488"/>
      <c r="B12" s="489"/>
      <c r="C12" s="490"/>
      <c r="D12" s="490"/>
      <c r="E12" s="491"/>
      <c r="I12" s="480">
        <f t="shared" ref="I12:I40" si="0">IF(A12&lt;&gt;"",1,0)</f>
        <v>0</v>
      </c>
      <c r="J12" s="480">
        <f t="shared" ref="J12:J40" si="1">IF(B12&lt;&gt;"",1,0)</f>
        <v>0</v>
      </c>
      <c r="K12" s="480" t="str">
        <f t="shared" ref="K12:K40" si="2">IF(AND(SUM($C$11:$C$40)&gt;=1,SUM(I12:J12)=2),SUM(C12:E12),"")</f>
        <v/>
      </c>
    </row>
    <row r="13" spans="1:11" ht="26.1" customHeight="1" x14ac:dyDescent="0.25">
      <c r="A13" s="488"/>
      <c r="B13" s="489"/>
      <c r="C13" s="490"/>
      <c r="D13" s="490"/>
      <c r="E13" s="491"/>
      <c r="I13" s="480">
        <f t="shared" si="0"/>
        <v>0</v>
      </c>
      <c r="J13" s="480">
        <f t="shared" si="1"/>
        <v>0</v>
      </c>
      <c r="K13" s="480" t="str">
        <f t="shared" si="2"/>
        <v/>
      </c>
    </row>
    <row r="14" spans="1:11" ht="26.1" customHeight="1" x14ac:dyDescent="0.25">
      <c r="A14" s="488"/>
      <c r="B14" s="489"/>
      <c r="C14" s="490"/>
      <c r="D14" s="490"/>
      <c r="E14" s="491"/>
      <c r="I14" s="480">
        <f t="shared" si="0"/>
        <v>0</v>
      </c>
      <c r="J14" s="480">
        <f t="shared" si="1"/>
        <v>0</v>
      </c>
      <c r="K14" s="480" t="str">
        <f t="shared" si="2"/>
        <v/>
      </c>
    </row>
    <row r="15" spans="1:11" ht="26.1" customHeight="1" x14ac:dyDescent="0.25">
      <c r="A15" s="488"/>
      <c r="B15" s="489"/>
      <c r="C15" s="490"/>
      <c r="D15" s="490"/>
      <c r="E15" s="491"/>
      <c r="I15" s="480">
        <f t="shared" si="0"/>
        <v>0</v>
      </c>
      <c r="J15" s="480">
        <f t="shared" si="1"/>
        <v>0</v>
      </c>
      <c r="K15" s="480" t="str">
        <f t="shared" si="2"/>
        <v/>
      </c>
    </row>
    <row r="16" spans="1:11" ht="26.1" customHeight="1" x14ac:dyDescent="0.25">
      <c r="A16" s="488"/>
      <c r="B16" s="489"/>
      <c r="C16" s="490"/>
      <c r="D16" s="490"/>
      <c r="E16" s="491"/>
      <c r="I16" s="480">
        <f t="shared" si="0"/>
        <v>0</v>
      </c>
      <c r="J16" s="480">
        <f t="shared" si="1"/>
        <v>0</v>
      </c>
      <c r="K16" s="480" t="str">
        <f t="shared" si="2"/>
        <v/>
      </c>
    </row>
    <row r="17" spans="1:11" ht="26.1" customHeight="1" x14ac:dyDescent="0.25">
      <c r="A17" s="488"/>
      <c r="B17" s="489"/>
      <c r="C17" s="490"/>
      <c r="D17" s="490"/>
      <c r="E17" s="491"/>
      <c r="I17" s="480">
        <f t="shared" si="0"/>
        <v>0</v>
      </c>
      <c r="J17" s="480">
        <f t="shared" si="1"/>
        <v>0</v>
      </c>
      <c r="K17" s="480" t="str">
        <f t="shared" si="2"/>
        <v/>
      </c>
    </row>
    <row r="18" spans="1:11" ht="26.1" customHeight="1" x14ac:dyDescent="0.25">
      <c r="A18" s="488"/>
      <c r="B18" s="489"/>
      <c r="C18" s="490"/>
      <c r="D18" s="490"/>
      <c r="E18" s="491"/>
      <c r="I18" s="480">
        <f t="shared" si="0"/>
        <v>0</v>
      </c>
      <c r="J18" s="480">
        <f t="shared" si="1"/>
        <v>0</v>
      </c>
      <c r="K18" s="480" t="str">
        <f t="shared" si="2"/>
        <v/>
      </c>
    </row>
    <row r="19" spans="1:11" ht="26.1" customHeight="1" x14ac:dyDescent="0.25">
      <c r="A19" s="488"/>
      <c r="B19" s="489"/>
      <c r="C19" s="490"/>
      <c r="D19" s="490"/>
      <c r="E19" s="491"/>
      <c r="I19" s="480">
        <f t="shared" si="0"/>
        <v>0</v>
      </c>
      <c r="J19" s="480">
        <f t="shared" si="1"/>
        <v>0</v>
      </c>
      <c r="K19" s="480" t="str">
        <f t="shared" si="2"/>
        <v/>
      </c>
    </row>
    <row r="20" spans="1:11" ht="26.1" customHeight="1" x14ac:dyDescent="0.25">
      <c r="A20" s="488"/>
      <c r="B20" s="489"/>
      <c r="C20" s="490"/>
      <c r="D20" s="490"/>
      <c r="E20" s="491"/>
      <c r="I20" s="480">
        <f t="shared" si="0"/>
        <v>0</v>
      </c>
      <c r="J20" s="480">
        <f t="shared" si="1"/>
        <v>0</v>
      </c>
      <c r="K20" s="480" t="str">
        <f t="shared" si="2"/>
        <v/>
      </c>
    </row>
    <row r="21" spans="1:11" ht="26.1" customHeight="1" x14ac:dyDescent="0.25">
      <c r="A21" s="488"/>
      <c r="B21" s="489"/>
      <c r="C21" s="490"/>
      <c r="D21" s="490"/>
      <c r="E21" s="491"/>
      <c r="I21" s="480">
        <f t="shared" si="0"/>
        <v>0</v>
      </c>
      <c r="J21" s="480">
        <f t="shared" si="1"/>
        <v>0</v>
      </c>
      <c r="K21" s="480" t="str">
        <f t="shared" si="2"/>
        <v/>
      </c>
    </row>
    <row r="22" spans="1:11" ht="26.1" customHeight="1" x14ac:dyDescent="0.25">
      <c r="A22" s="488"/>
      <c r="B22" s="489"/>
      <c r="C22" s="490"/>
      <c r="D22" s="490"/>
      <c r="E22" s="491"/>
      <c r="I22" s="480">
        <f t="shared" si="0"/>
        <v>0</v>
      </c>
      <c r="J22" s="480">
        <f t="shared" si="1"/>
        <v>0</v>
      </c>
      <c r="K22" s="480" t="str">
        <f t="shared" si="2"/>
        <v/>
      </c>
    </row>
    <row r="23" spans="1:11" ht="26.1" customHeight="1" x14ac:dyDescent="0.25">
      <c r="A23" s="488"/>
      <c r="B23" s="489"/>
      <c r="C23" s="490"/>
      <c r="D23" s="490"/>
      <c r="E23" s="491"/>
      <c r="I23" s="480">
        <f t="shared" si="0"/>
        <v>0</v>
      </c>
      <c r="J23" s="480">
        <f t="shared" si="1"/>
        <v>0</v>
      </c>
      <c r="K23" s="480" t="str">
        <f t="shared" si="2"/>
        <v/>
      </c>
    </row>
    <row r="24" spans="1:11" ht="26.1" customHeight="1" x14ac:dyDescent="0.25">
      <c r="A24" s="488"/>
      <c r="B24" s="489"/>
      <c r="C24" s="490"/>
      <c r="D24" s="490"/>
      <c r="E24" s="491"/>
      <c r="I24" s="480">
        <f t="shared" si="0"/>
        <v>0</v>
      </c>
      <c r="J24" s="480">
        <f t="shared" si="1"/>
        <v>0</v>
      </c>
      <c r="K24" s="480" t="str">
        <f t="shared" si="2"/>
        <v/>
      </c>
    </row>
    <row r="25" spans="1:11" ht="26.1" customHeight="1" x14ac:dyDescent="0.25">
      <c r="A25" s="488"/>
      <c r="B25" s="489"/>
      <c r="C25" s="490"/>
      <c r="D25" s="490"/>
      <c r="E25" s="491"/>
      <c r="I25" s="480">
        <f t="shared" si="0"/>
        <v>0</v>
      </c>
      <c r="J25" s="480">
        <f t="shared" si="1"/>
        <v>0</v>
      </c>
      <c r="K25" s="480" t="str">
        <f t="shared" si="2"/>
        <v/>
      </c>
    </row>
    <row r="26" spans="1:11" ht="26.1" customHeight="1" x14ac:dyDescent="0.25">
      <c r="A26" s="488"/>
      <c r="B26" s="489"/>
      <c r="C26" s="490"/>
      <c r="D26" s="490"/>
      <c r="E26" s="491"/>
      <c r="I26" s="480">
        <f t="shared" si="0"/>
        <v>0</v>
      </c>
      <c r="J26" s="480">
        <f t="shared" si="1"/>
        <v>0</v>
      </c>
      <c r="K26" s="480" t="str">
        <f t="shared" si="2"/>
        <v/>
      </c>
    </row>
    <row r="27" spans="1:11" ht="26.1" customHeight="1" x14ac:dyDescent="0.25">
      <c r="A27" s="488"/>
      <c r="B27" s="489"/>
      <c r="C27" s="490"/>
      <c r="D27" s="490"/>
      <c r="E27" s="491"/>
      <c r="I27" s="480">
        <f t="shared" si="0"/>
        <v>0</v>
      </c>
      <c r="J27" s="480">
        <f t="shared" si="1"/>
        <v>0</v>
      </c>
      <c r="K27" s="480" t="str">
        <f t="shared" si="2"/>
        <v/>
      </c>
    </row>
    <row r="28" spans="1:11" ht="26.1" customHeight="1" x14ac:dyDescent="0.25">
      <c r="A28" s="488"/>
      <c r="B28" s="489"/>
      <c r="C28" s="490"/>
      <c r="D28" s="490"/>
      <c r="E28" s="491"/>
      <c r="I28" s="480">
        <f t="shared" si="0"/>
        <v>0</v>
      </c>
      <c r="J28" s="480">
        <f t="shared" si="1"/>
        <v>0</v>
      </c>
      <c r="K28" s="480" t="str">
        <f t="shared" si="2"/>
        <v/>
      </c>
    </row>
    <row r="29" spans="1:11" ht="26.1" customHeight="1" x14ac:dyDescent="0.25">
      <c r="A29" s="488"/>
      <c r="B29" s="489"/>
      <c r="C29" s="490"/>
      <c r="D29" s="490"/>
      <c r="E29" s="491"/>
      <c r="I29" s="480">
        <f t="shared" si="0"/>
        <v>0</v>
      </c>
      <c r="J29" s="480">
        <f t="shared" si="1"/>
        <v>0</v>
      </c>
      <c r="K29" s="480" t="str">
        <f t="shared" si="2"/>
        <v/>
      </c>
    </row>
    <row r="30" spans="1:11" ht="26.1" customHeight="1" x14ac:dyDescent="0.25">
      <c r="A30" s="488"/>
      <c r="B30" s="489"/>
      <c r="C30" s="490"/>
      <c r="D30" s="490"/>
      <c r="E30" s="491"/>
      <c r="I30" s="480">
        <f t="shared" si="0"/>
        <v>0</v>
      </c>
      <c r="J30" s="480">
        <f t="shared" si="1"/>
        <v>0</v>
      </c>
      <c r="K30" s="480" t="str">
        <f t="shared" si="2"/>
        <v/>
      </c>
    </row>
    <row r="31" spans="1:11" ht="26.1" customHeight="1" x14ac:dyDescent="0.25">
      <c r="A31" s="488"/>
      <c r="B31" s="489"/>
      <c r="C31" s="490"/>
      <c r="D31" s="490"/>
      <c r="E31" s="491"/>
      <c r="I31" s="480">
        <f t="shared" si="0"/>
        <v>0</v>
      </c>
      <c r="J31" s="480">
        <f t="shared" si="1"/>
        <v>0</v>
      </c>
      <c r="K31" s="480" t="str">
        <f t="shared" si="2"/>
        <v/>
      </c>
    </row>
    <row r="32" spans="1:11" ht="26.1" customHeight="1" x14ac:dyDescent="0.25">
      <c r="A32" s="488"/>
      <c r="B32" s="489"/>
      <c r="C32" s="490"/>
      <c r="D32" s="490"/>
      <c r="E32" s="491"/>
      <c r="I32" s="480">
        <f t="shared" si="0"/>
        <v>0</v>
      </c>
      <c r="J32" s="480">
        <f t="shared" si="1"/>
        <v>0</v>
      </c>
      <c r="K32" s="480" t="str">
        <f t="shared" si="2"/>
        <v/>
      </c>
    </row>
    <row r="33" spans="1:11" ht="26.1" customHeight="1" x14ac:dyDescent="0.25">
      <c r="A33" s="488"/>
      <c r="B33" s="489"/>
      <c r="C33" s="490"/>
      <c r="D33" s="490"/>
      <c r="E33" s="491"/>
      <c r="I33" s="480">
        <f t="shared" si="0"/>
        <v>0</v>
      </c>
      <c r="J33" s="480">
        <f t="shared" si="1"/>
        <v>0</v>
      </c>
      <c r="K33" s="480" t="str">
        <f t="shared" si="2"/>
        <v/>
      </c>
    </row>
    <row r="34" spans="1:11" ht="26.1" customHeight="1" x14ac:dyDescent="0.25">
      <c r="A34" s="488"/>
      <c r="B34" s="489"/>
      <c r="C34" s="490"/>
      <c r="D34" s="490"/>
      <c r="E34" s="491"/>
      <c r="I34" s="480">
        <f t="shared" si="0"/>
        <v>0</v>
      </c>
      <c r="J34" s="480">
        <f t="shared" si="1"/>
        <v>0</v>
      </c>
      <c r="K34" s="480" t="str">
        <f t="shared" si="2"/>
        <v/>
      </c>
    </row>
    <row r="35" spans="1:11" ht="26.1" customHeight="1" x14ac:dyDescent="0.25">
      <c r="A35" s="492"/>
      <c r="B35" s="493"/>
      <c r="C35" s="494"/>
      <c r="D35" s="494"/>
      <c r="E35" s="495"/>
      <c r="I35" s="480">
        <f t="shared" si="0"/>
        <v>0</v>
      </c>
      <c r="J35" s="480">
        <f t="shared" si="1"/>
        <v>0</v>
      </c>
      <c r="K35" s="480" t="str">
        <f t="shared" si="2"/>
        <v/>
      </c>
    </row>
    <row r="36" spans="1:11" ht="26.1" customHeight="1" x14ac:dyDescent="0.25">
      <c r="A36" s="492"/>
      <c r="B36" s="493"/>
      <c r="C36" s="494"/>
      <c r="D36" s="494"/>
      <c r="E36" s="495"/>
      <c r="I36" s="480">
        <f t="shared" si="0"/>
        <v>0</v>
      </c>
      <c r="J36" s="480">
        <f t="shared" si="1"/>
        <v>0</v>
      </c>
      <c r="K36" s="480" t="str">
        <f t="shared" si="2"/>
        <v/>
      </c>
    </row>
    <row r="37" spans="1:11" ht="26.1" customHeight="1" x14ac:dyDescent="0.25">
      <c r="A37" s="492"/>
      <c r="B37" s="493"/>
      <c r="C37" s="494"/>
      <c r="D37" s="494"/>
      <c r="E37" s="495"/>
      <c r="I37" s="480">
        <f t="shared" si="0"/>
        <v>0</v>
      </c>
      <c r="J37" s="480">
        <f t="shared" si="1"/>
        <v>0</v>
      </c>
      <c r="K37" s="480" t="str">
        <f t="shared" si="2"/>
        <v/>
      </c>
    </row>
    <row r="38" spans="1:11" ht="26.1" customHeight="1" x14ac:dyDescent="0.25">
      <c r="A38" s="492"/>
      <c r="B38" s="493"/>
      <c r="C38" s="494"/>
      <c r="D38" s="494"/>
      <c r="E38" s="495"/>
      <c r="I38" s="480">
        <f t="shared" si="0"/>
        <v>0</v>
      </c>
      <c r="J38" s="480">
        <f t="shared" si="1"/>
        <v>0</v>
      </c>
      <c r="K38" s="480" t="str">
        <f t="shared" si="2"/>
        <v/>
      </c>
    </row>
    <row r="39" spans="1:11" ht="26.1" customHeight="1" x14ac:dyDescent="0.25">
      <c r="A39" s="492"/>
      <c r="B39" s="493"/>
      <c r="C39" s="494"/>
      <c r="D39" s="494"/>
      <c r="E39" s="495"/>
      <c r="I39" s="480">
        <f t="shared" si="0"/>
        <v>0</v>
      </c>
      <c r="J39" s="480">
        <f t="shared" si="1"/>
        <v>0</v>
      </c>
      <c r="K39" s="480" t="str">
        <f t="shared" si="2"/>
        <v/>
      </c>
    </row>
    <row r="40" spans="1:11" ht="26.1" customHeight="1" thickBot="1" x14ac:dyDescent="0.3">
      <c r="A40" s="496"/>
      <c r="B40" s="523"/>
      <c r="C40" s="497"/>
      <c r="D40" s="497"/>
      <c r="E40" s="498"/>
      <c r="I40" s="480">
        <f t="shared" si="0"/>
        <v>0</v>
      </c>
      <c r="J40" s="480">
        <f t="shared" si="1"/>
        <v>0</v>
      </c>
      <c r="K40" s="480" t="str">
        <f t="shared" si="2"/>
        <v/>
      </c>
    </row>
  </sheetData>
  <sheetProtection algorithmName="SHA-512" hashValue="zNfld7731IFL114HHiAeACrK8RlxLrld93Jkp8Zo0cWK/9liUPekrjZpVsew4/ZmrgCOsetbx6G26Eu/0D6RMw==" saltValue="wdEgtI3BprzoBeavjU3D/g==" spinCount="100000" sheet="1" objects="1" scenarios="1" selectLockedCells="1"/>
  <mergeCells count="4">
    <mergeCell ref="A7:E7"/>
    <mergeCell ref="A9:A10"/>
    <mergeCell ref="B9:B10"/>
    <mergeCell ref="C9:E9"/>
  </mergeCells>
  <phoneticPr fontId="141" type="noConversion"/>
  <conditionalFormatting sqref="A11:E40">
    <cfRule type="expression" dxfId="241" priority="2" stopIfTrue="1">
      <formula>LEN(TRIM(A11))=0</formula>
    </cfRule>
  </conditionalFormatting>
  <conditionalFormatting sqref="B11:B40">
    <cfRule type="duplicateValues" dxfId="240" priority="1"/>
  </conditionalFormatting>
  <dataValidations count="5">
    <dataValidation type="textLength" showInputMessage="1" showErrorMessage="1" errorTitle="Zeichenlänge" error="Nur Texteingabe bis 200 Zeichen möglich." sqref="B36:B40" xr:uid="{462AE272-69D7-48FF-951B-6AFC2B3F8539}">
      <formula1>2</formula1>
      <formula2>200</formula2>
    </dataValidation>
    <dataValidation type="textLength" showInputMessage="1" showErrorMessage="1" errorTitle="Character length" error="Only text input up to 200 characters possible." sqref="A11:A40" xr:uid="{D45855CD-1D05-4B6C-9985-63438D91008A}">
      <formula1>2</formula1>
      <formula2>200</formula2>
    </dataValidation>
    <dataValidation allowBlank="1" showInputMessage="1" showErrorMessage="1" errorTitle="Character length" error="Only text input up to 200 characters possible." sqref="B11:B35" xr:uid="{0DA39D65-4892-4EDD-A20D-6DA6B8D17A14}"/>
    <dataValidation type="whole" allowBlank="1" showInputMessage="1" showErrorMessage="1" errorTitle="Input data error" error="Whole number between 0 and 5000." sqref="C11:C34 C36:C40" xr:uid="{FE05E00A-074C-4790-B96D-377A4EC8E934}">
      <formula1>0</formula1>
      <formula2>5000</formula2>
    </dataValidation>
    <dataValidation type="whole" showInputMessage="1" showErrorMessage="1" errorTitle="Input data error" error="Whole number between 0 and 5000." sqref="C35:E35 D11:E34 D36:E40" xr:uid="{F9116F04-03E6-48F9-8423-F1153AAC2697}">
      <formula1>0</formula1>
      <formula2>5000</formula2>
    </dataValidation>
  </dataValidations>
  <pageMargins left="0.7" right="0.7" top="0.75" bottom="0.75" header="0.3" footer="0.3"/>
  <pageSetup scale="56"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B738E-4FB1-4E3A-B9D0-483ED549BC82}">
  <dimension ref="A1:M31"/>
  <sheetViews>
    <sheetView workbookViewId="0">
      <selection activeCell="E2" sqref="E2"/>
    </sheetView>
  </sheetViews>
  <sheetFormatPr defaultColWidth="9.140625" defaultRowHeight="15" x14ac:dyDescent="0.25"/>
  <cols>
    <col min="1" max="5" width="37.7109375" customWidth="1"/>
  </cols>
  <sheetData>
    <row r="1" spans="1:13" ht="41.25" customHeight="1" x14ac:dyDescent="0.25">
      <c r="A1" s="499" t="s">
        <v>864</v>
      </c>
      <c r="B1" s="499" t="s">
        <v>865</v>
      </c>
      <c r="C1" s="499" t="s">
        <v>866</v>
      </c>
      <c r="D1" s="499" t="s">
        <v>867</v>
      </c>
      <c r="E1" s="499" t="s">
        <v>868</v>
      </c>
      <c r="F1" s="500" t="s">
        <v>869</v>
      </c>
      <c r="G1" s="500" t="s">
        <v>870</v>
      </c>
      <c r="H1" s="500" t="s">
        <v>871</v>
      </c>
      <c r="I1" s="500" t="s">
        <v>872</v>
      </c>
      <c r="J1" s="500" t="s">
        <v>873</v>
      </c>
      <c r="K1" s="500" t="s">
        <v>874</v>
      </c>
      <c r="L1" s="500" t="s">
        <v>875</v>
      </c>
      <c r="M1" s="500" t="s">
        <v>876</v>
      </c>
    </row>
    <row r="2" spans="1:13" x14ac:dyDescent="0.25">
      <c r="A2" s="501" t="str">
        <f>IF(AND(SUM(Studies!I11:J11)=2,Studies!K11&lt;&gt;0),Studies!A11,"")</f>
        <v/>
      </c>
      <c r="B2" s="501" t="str">
        <f>IF(AND(SUM(Studies!I11:J11)=2,Studies!K11&lt;&gt;0),Studies!B11,"")</f>
        <v/>
      </c>
      <c r="C2" s="501" t="str">
        <f>IF(AND(SUM(Studies!I11:J11)=2,Studies!K11&lt;&gt;0),Studies!C11,"")</f>
        <v/>
      </c>
      <c r="D2" s="501" t="str">
        <f>IF(AND(SUM(Studies!I11:J11)=2,Studies!K11&lt;&gt;0),Studies!D11,"")</f>
        <v/>
      </c>
      <c r="E2" s="501" t="str">
        <f>IF(AND(SUM(Studies!I11:J11)=2,Studies!K11&lt;&gt;0),Studies!E11,"")</f>
        <v/>
      </c>
      <c r="F2" s="502"/>
      <c r="G2" s="502"/>
      <c r="H2" s="502"/>
      <c r="I2" s="502"/>
      <c r="J2" s="502"/>
      <c r="K2" s="502"/>
      <c r="L2" s="502"/>
      <c r="M2" s="502"/>
    </row>
    <row r="3" spans="1:13" x14ac:dyDescent="0.25">
      <c r="A3" s="501" t="str">
        <f>IF(AND(SUM(Studies!I12:J12)=2,Studies!K12&lt;&gt;0),Studies!A12,"")</f>
        <v/>
      </c>
      <c r="B3" s="501" t="str">
        <f>IF(AND(SUM(Studies!I12:J12)=2,Studies!K12&lt;&gt;0),Studies!B12,"")</f>
        <v/>
      </c>
      <c r="C3" s="501" t="str">
        <f>IF(AND(SUM(Studies!I12:J12)=2,Studies!K12&lt;&gt;0),Studies!C12,"")</f>
        <v/>
      </c>
      <c r="D3" s="501" t="str">
        <f>IF(AND(SUM(Studies!I12:J12)=2,Studies!K12&lt;&gt;0),Studies!D12,"")</f>
        <v/>
      </c>
      <c r="E3" s="501" t="str">
        <f>IF(AND(SUM(Studies!I12:J12)=2,Studies!K12&lt;&gt;0),Studies!E12,"")</f>
        <v/>
      </c>
      <c r="F3" s="502"/>
      <c r="G3" s="502"/>
      <c r="H3" s="502"/>
      <c r="I3" s="502"/>
      <c r="J3" s="502"/>
      <c r="K3" s="502"/>
      <c r="L3" s="502"/>
      <c r="M3" s="502"/>
    </row>
    <row r="4" spans="1:13" x14ac:dyDescent="0.25">
      <c r="A4" s="501" t="str">
        <f>IF(AND(SUM(Studies!I13:J13)=2,Studies!K13&lt;&gt;0),Studies!A13,"")</f>
        <v/>
      </c>
      <c r="B4" s="501" t="str">
        <f>IF(AND(SUM(Studies!I13:J13)=2,Studies!K13&lt;&gt;0),Studies!B13,"")</f>
        <v/>
      </c>
      <c r="C4" s="501" t="str">
        <f>IF(AND(SUM(Studies!I13:J13)=2,Studies!K13&lt;&gt;0),Studies!C13,"")</f>
        <v/>
      </c>
      <c r="D4" s="501" t="str">
        <f>IF(AND(SUM(Studies!I13:J13)=2,Studies!K13&lt;&gt;0),Studies!D13,"")</f>
        <v/>
      </c>
      <c r="E4" s="501" t="str">
        <f>IF(AND(SUM(Studies!I13:J13)=2,Studies!K13&lt;&gt;0),Studies!E13,"")</f>
        <v/>
      </c>
      <c r="F4" s="502"/>
      <c r="G4" s="502"/>
      <c r="H4" s="502"/>
      <c r="I4" s="502"/>
      <c r="J4" s="502"/>
      <c r="K4" s="502"/>
      <c r="L4" s="502"/>
      <c r="M4" s="502"/>
    </row>
    <row r="5" spans="1:13" x14ac:dyDescent="0.25">
      <c r="A5" s="501" t="str">
        <f>IF(AND(SUM(Studies!I14:J14)=2,Studies!K14&lt;&gt;0),Studies!A14,"")</f>
        <v/>
      </c>
      <c r="B5" s="501" t="str">
        <f>IF(AND(SUM(Studies!I14:J14)=2,Studies!K14&lt;&gt;0),Studies!B14,"")</f>
        <v/>
      </c>
      <c r="C5" s="501" t="str">
        <f>IF(AND(SUM(Studies!I14:J14)=2,Studies!K14&lt;&gt;0),Studies!C14,"")</f>
        <v/>
      </c>
      <c r="D5" s="501" t="str">
        <f>IF(AND(SUM(Studies!I14:J14)=2,Studies!K14&lt;&gt;0),Studies!D14,"")</f>
        <v/>
      </c>
      <c r="E5" s="501" t="str">
        <f>IF(AND(SUM(Studies!I14:J14)=2,Studies!K14&lt;&gt;0),Studies!E14,"")</f>
        <v/>
      </c>
      <c r="F5" s="502"/>
      <c r="G5" s="502"/>
      <c r="H5" s="502"/>
      <c r="I5" s="502"/>
      <c r="J5" s="502"/>
      <c r="K5" s="502"/>
      <c r="L5" s="502"/>
      <c r="M5" s="502"/>
    </row>
    <row r="6" spans="1:13" x14ac:dyDescent="0.25">
      <c r="A6" s="501" t="str">
        <f>IF(AND(SUM(Studies!I15:J15)=2,Studies!K15&lt;&gt;0),Studies!A15,"")</f>
        <v/>
      </c>
      <c r="B6" s="501" t="str">
        <f>IF(AND(SUM(Studies!I15:J15)=2,Studies!K15&lt;&gt;0),Studies!B15,"")</f>
        <v/>
      </c>
      <c r="C6" s="501" t="str">
        <f>IF(AND(SUM(Studies!I15:J15)=2,Studies!K15&lt;&gt;0),Studies!C15,"")</f>
        <v/>
      </c>
      <c r="D6" s="501" t="str">
        <f>IF(AND(SUM(Studies!I15:J15)=2,Studies!K15&lt;&gt;0),Studies!D15,"")</f>
        <v/>
      </c>
      <c r="E6" s="501" t="str">
        <f>IF(AND(SUM(Studies!I15:J15)=2,Studies!K15&lt;&gt;0),Studies!E15,"")</f>
        <v/>
      </c>
      <c r="F6" s="502"/>
      <c r="G6" s="502"/>
      <c r="H6" s="502"/>
      <c r="I6" s="502"/>
      <c r="J6" s="502"/>
      <c r="K6" s="502"/>
      <c r="L6" s="502"/>
      <c r="M6" s="502"/>
    </row>
    <row r="7" spans="1:13" x14ac:dyDescent="0.25">
      <c r="A7" s="501" t="str">
        <f>IF(AND(SUM(Studies!I16:J16)=2,Studies!K16&lt;&gt;0),Studies!A16,"")</f>
        <v/>
      </c>
      <c r="B7" s="501" t="str">
        <f>IF(AND(SUM(Studies!I16:J16)=2,Studies!K16&lt;&gt;0),Studies!B16,"")</f>
        <v/>
      </c>
      <c r="C7" s="501" t="str">
        <f>IF(AND(SUM(Studies!I16:J16)=2,Studies!K16&lt;&gt;0),Studies!C16,"")</f>
        <v/>
      </c>
      <c r="D7" s="501" t="str">
        <f>IF(AND(SUM(Studies!I16:J16)=2,Studies!K16&lt;&gt;0),Studies!D16,"")</f>
        <v/>
      </c>
      <c r="E7" s="501" t="str">
        <f>IF(AND(SUM(Studies!I16:J16)=2,Studies!K16&lt;&gt;0),Studies!E16,"")</f>
        <v/>
      </c>
      <c r="F7" s="502"/>
      <c r="G7" s="502"/>
      <c r="H7" s="502"/>
      <c r="I7" s="502"/>
      <c r="J7" s="502"/>
      <c r="K7" s="502"/>
      <c r="L7" s="502"/>
      <c r="M7" s="502"/>
    </row>
    <row r="8" spans="1:13" x14ac:dyDescent="0.25">
      <c r="A8" s="501" t="str">
        <f>IF(AND(SUM(Studies!I17:J17)=2,Studies!K17&lt;&gt;0),Studies!A17,"")</f>
        <v/>
      </c>
      <c r="B8" s="501" t="str">
        <f>IF(AND(SUM(Studies!I17:J17)=2,Studies!K17&lt;&gt;0),Studies!B17,"")</f>
        <v/>
      </c>
      <c r="C8" s="501" t="str">
        <f>IF(AND(SUM(Studies!I17:J17)=2,Studies!K17&lt;&gt;0),Studies!C17,"")</f>
        <v/>
      </c>
      <c r="D8" s="501" t="str">
        <f>IF(AND(SUM(Studies!I17:J17)=2,Studies!K17&lt;&gt;0),Studies!D17,"")</f>
        <v/>
      </c>
      <c r="E8" s="501" t="str">
        <f>IF(AND(SUM(Studies!I17:J17)=2,Studies!K17&lt;&gt;0),Studies!E17,"")</f>
        <v/>
      </c>
      <c r="F8" s="502"/>
      <c r="G8" s="502"/>
      <c r="H8" s="502"/>
      <c r="I8" s="502"/>
      <c r="J8" s="502"/>
      <c r="K8" s="502"/>
      <c r="L8" s="502"/>
      <c r="M8" s="502"/>
    </row>
    <row r="9" spans="1:13" x14ac:dyDescent="0.25">
      <c r="A9" s="501" t="str">
        <f>IF(AND(SUM(Studies!I18:J18)=2,Studies!K18&lt;&gt;0),Studies!A18,"")</f>
        <v/>
      </c>
      <c r="B9" s="501" t="str">
        <f>IF(AND(SUM(Studies!I18:J18)=2,Studies!K18&lt;&gt;0),Studies!B18,"")</f>
        <v/>
      </c>
      <c r="C9" s="501" t="str">
        <f>IF(AND(SUM(Studies!I18:J18)=2,Studies!K18&lt;&gt;0),Studies!C18,"")</f>
        <v/>
      </c>
      <c r="D9" s="501" t="str">
        <f>IF(AND(SUM(Studies!I18:J18)=2,Studies!K18&lt;&gt;0),Studies!D18,"")</f>
        <v/>
      </c>
      <c r="E9" s="501" t="str">
        <f>IF(AND(SUM(Studies!I18:J18)=2,Studies!K18&lt;&gt;0),Studies!E18,"")</f>
        <v/>
      </c>
      <c r="F9" s="502"/>
      <c r="G9" s="502"/>
      <c r="H9" s="502"/>
      <c r="I9" s="502"/>
      <c r="J9" s="502"/>
      <c r="K9" s="502"/>
      <c r="L9" s="502"/>
      <c r="M9" s="502"/>
    </row>
    <row r="10" spans="1:13" x14ac:dyDescent="0.25">
      <c r="A10" s="501" t="str">
        <f>IF(AND(SUM(Studies!I19:J19)=2,Studies!K19&lt;&gt;0),Studies!A19,"")</f>
        <v/>
      </c>
      <c r="B10" s="501" t="str">
        <f>IF(AND(SUM(Studies!I19:J19)=2,Studies!K19&lt;&gt;0),Studies!B19,"")</f>
        <v/>
      </c>
      <c r="C10" s="501" t="str">
        <f>IF(AND(SUM(Studies!I19:J19)=2,Studies!K19&lt;&gt;0),Studies!C19,"")</f>
        <v/>
      </c>
      <c r="D10" s="501" t="str">
        <f>IF(AND(SUM(Studies!I19:J19)=2,Studies!K19&lt;&gt;0),Studies!D19,"")</f>
        <v/>
      </c>
      <c r="E10" s="501" t="str">
        <f>IF(AND(SUM(Studies!I19:J19)=2,Studies!K19&lt;&gt;0),Studies!E19,"")</f>
        <v/>
      </c>
      <c r="F10" s="502"/>
      <c r="G10" s="502"/>
      <c r="H10" s="502"/>
      <c r="I10" s="502"/>
      <c r="J10" s="502"/>
      <c r="K10" s="502"/>
      <c r="L10" s="502"/>
      <c r="M10" s="502"/>
    </row>
    <row r="11" spans="1:13" x14ac:dyDescent="0.25">
      <c r="A11" s="501" t="str">
        <f>IF(AND(SUM(Studies!I20:J20)=2,Studies!K20&lt;&gt;0),Studies!A20,"")</f>
        <v/>
      </c>
      <c r="B11" s="501" t="str">
        <f>IF(AND(SUM(Studies!I20:J20)=2,Studies!K20&lt;&gt;0),Studies!B20,"")</f>
        <v/>
      </c>
      <c r="C11" s="501" t="str">
        <f>IF(AND(SUM(Studies!I20:J20)=2,Studies!K20&lt;&gt;0),Studies!C20,"")</f>
        <v/>
      </c>
      <c r="D11" s="501" t="str">
        <f>IF(AND(SUM(Studies!I20:J20)=2,Studies!K20&lt;&gt;0),Studies!D20,"")</f>
        <v/>
      </c>
      <c r="E11" s="501" t="str">
        <f>IF(AND(SUM(Studies!I20:J20)=2,Studies!K20&lt;&gt;0),Studies!E20,"")</f>
        <v/>
      </c>
      <c r="F11" s="502"/>
      <c r="G11" s="502"/>
      <c r="H11" s="502"/>
      <c r="I11" s="502"/>
      <c r="J11" s="502"/>
      <c r="K11" s="502"/>
      <c r="L11" s="502"/>
      <c r="M11" s="502"/>
    </row>
    <row r="12" spans="1:13" x14ac:dyDescent="0.25">
      <c r="A12" s="501" t="str">
        <f>IF(AND(SUM(Studies!I21:J21)=2,Studies!K21&lt;&gt;0),Studies!A21,"")</f>
        <v/>
      </c>
      <c r="B12" s="501" t="str">
        <f>IF(AND(SUM(Studies!I21:J21)=2,Studies!K21&lt;&gt;0),Studies!B21,"")</f>
        <v/>
      </c>
      <c r="C12" s="501" t="str">
        <f>IF(AND(SUM(Studies!I21:J21)=2,Studies!K21&lt;&gt;0),Studies!C21,"")</f>
        <v/>
      </c>
      <c r="D12" s="501" t="str">
        <f>IF(AND(SUM(Studies!I21:J21)=2,Studies!K21&lt;&gt;0),Studies!D21,"")</f>
        <v/>
      </c>
      <c r="E12" s="501" t="str">
        <f>IF(AND(SUM(Studies!I21:J21)=2,Studies!K21&lt;&gt;0),Studies!E21,"")</f>
        <v/>
      </c>
      <c r="F12" s="502"/>
      <c r="G12" s="502"/>
      <c r="H12" s="502"/>
      <c r="I12" s="502"/>
      <c r="J12" s="502"/>
      <c r="K12" s="502"/>
      <c r="L12" s="502"/>
      <c r="M12" s="502"/>
    </row>
    <row r="13" spans="1:13" x14ac:dyDescent="0.25">
      <c r="A13" s="501" t="str">
        <f>IF(AND(SUM(Studies!I22:J22)=2,Studies!K22&lt;&gt;0),Studies!A22,"")</f>
        <v/>
      </c>
      <c r="B13" s="501" t="str">
        <f>IF(AND(SUM(Studies!I22:J22)=2,Studies!K22&lt;&gt;0),Studies!B22,"")</f>
        <v/>
      </c>
      <c r="C13" s="501" t="str">
        <f>IF(AND(SUM(Studies!I22:J22)=2,Studies!K22&lt;&gt;0),Studies!C22,"")</f>
        <v/>
      </c>
      <c r="D13" s="501" t="str">
        <f>IF(AND(SUM(Studies!I22:J22)=2,Studies!K22&lt;&gt;0),Studies!D22,"")</f>
        <v/>
      </c>
      <c r="E13" s="501" t="str">
        <f>IF(AND(SUM(Studies!I22:J22)=2,Studies!K22&lt;&gt;0),Studies!E22,"")</f>
        <v/>
      </c>
      <c r="F13" s="502"/>
      <c r="G13" s="502"/>
      <c r="H13" s="502"/>
      <c r="I13" s="502"/>
      <c r="J13" s="502"/>
      <c r="K13" s="502"/>
      <c r="L13" s="502"/>
      <c r="M13" s="502"/>
    </row>
    <row r="14" spans="1:13" x14ac:dyDescent="0.25">
      <c r="A14" s="501" t="str">
        <f>IF(AND(SUM(Studies!I23:J23)=2,Studies!K23&lt;&gt;0),Studies!A23,"")</f>
        <v/>
      </c>
      <c r="B14" s="501" t="str">
        <f>IF(AND(SUM(Studies!I23:J23)=2,Studies!K23&lt;&gt;0),Studies!B23,"")</f>
        <v/>
      </c>
      <c r="C14" s="501" t="str">
        <f>IF(AND(SUM(Studies!I23:J23)=2,Studies!K23&lt;&gt;0),Studies!C23,"")</f>
        <v/>
      </c>
      <c r="D14" s="501" t="str">
        <f>IF(AND(SUM(Studies!I23:J23)=2,Studies!K23&lt;&gt;0),Studies!D23,"")</f>
        <v/>
      </c>
      <c r="E14" s="501" t="str">
        <f>IF(AND(SUM(Studies!I23:J23)=2,Studies!K23&lt;&gt;0),Studies!E23,"")</f>
        <v/>
      </c>
      <c r="F14" s="502"/>
      <c r="G14" s="502"/>
      <c r="H14" s="502"/>
      <c r="I14" s="502"/>
      <c r="J14" s="502"/>
      <c r="K14" s="502"/>
      <c r="L14" s="502"/>
      <c r="M14" s="502"/>
    </row>
    <row r="15" spans="1:13" x14ac:dyDescent="0.25">
      <c r="A15" s="501" t="str">
        <f>IF(AND(SUM(Studies!I24:J24)=2,Studies!K24&lt;&gt;0),Studies!A24,"")</f>
        <v/>
      </c>
      <c r="B15" s="501" t="str">
        <f>IF(AND(SUM(Studies!I24:J24)=2,Studies!K24&lt;&gt;0),Studies!B24,"")</f>
        <v/>
      </c>
      <c r="C15" s="501" t="str">
        <f>IF(AND(SUM(Studies!I24:J24)=2,Studies!K24&lt;&gt;0),Studies!C24,"")</f>
        <v/>
      </c>
      <c r="D15" s="501" t="str">
        <f>IF(AND(SUM(Studies!I24:J24)=2,Studies!K24&lt;&gt;0),Studies!D24,"")</f>
        <v/>
      </c>
      <c r="E15" s="501" t="str">
        <f>IF(AND(SUM(Studies!I24:J24)=2,Studies!K24&lt;&gt;0),Studies!E24,"")</f>
        <v/>
      </c>
      <c r="F15" s="502"/>
      <c r="G15" s="502"/>
      <c r="H15" s="502"/>
      <c r="I15" s="502"/>
      <c r="J15" s="502"/>
      <c r="K15" s="502"/>
      <c r="L15" s="502"/>
      <c r="M15" s="502"/>
    </row>
    <row r="16" spans="1:13" x14ac:dyDescent="0.25">
      <c r="A16" s="501" t="str">
        <f>IF(AND(SUM(Studies!I25:J25)=2,Studies!K25&lt;&gt;0),Studies!A25,"")</f>
        <v/>
      </c>
      <c r="B16" s="501" t="str">
        <f>IF(AND(SUM(Studies!I25:J25)=2,Studies!K25&lt;&gt;0),Studies!B25,"")</f>
        <v/>
      </c>
      <c r="C16" s="501" t="str">
        <f>IF(AND(SUM(Studies!I25:J25)=2,Studies!K25&lt;&gt;0),Studies!C25,"")</f>
        <v/>
      </c>
      <c r="D16" s="501" t="str">
        <f>IF(AND(SUM(Studies!I25:J25)=2,Studies!K25&lt;&gt;0),Studies!D25,"")</f>
        <v/>
      </c>
      <c r="E16" s="501" t="str">
        <f>IF(AND(SUM(Studies!I25:J25)=2,Studies!K25&lt;&gt;0),Studies!E25,"")</f>
        <v/>
      </c>
      <c r="F16" s="502"/>
      <c r="G16" s="502"/>
      <c r="H16" s="502"/>
      <c r="I16" s="502"/>
      <c r="J16" s="502"/>
      <c r="K16" s="502"/>
      <c r="L16" s="502"/>
      <c r="M16" s="502"/>
    </row>
    <row r="17" spans="1:13" x14ac:dyDescent="0.25">
      <c r="A17" s="501" t="str">
        <f>IF(AND(SUM(Studies!I26:J26)=2,Studies!K26&lt;&gt;0),Studies!A26,"")</f>
        <v/>
      </c>
      <c r="B17" s="501" t="str">
        <f>IF(AND(SUM(Studies!I26:J26)=2,Studies!K26&lt;&gt;0),Studies!B26,"")</f>
        <v/>
      </c>
      <c r="C17" s="501" t="str">
        <f>IF(AND(SUM(Studies!I26:J26)=2,Studies!K26&lt;&gt;0),Studies!C26,"")</f>
        <v/>
      </c>
      <c r="D17" s="501" t="str">
        <f>IF(AND(SUM(Studies!I26:J26)=2,Studies!K26&lt;&gt;0),Studies!D26,"")</f>
        <v/>
      </c>
      <c r="E17" s="501" t="str">
        <f>IF(AND(SUM(Studies!I26:J26)=2,Studies!K26&lt;&gt;0),Studies!E26,"")</f>
        <v/>
      </c>
      <c r="F17" s="502"/>
      <c r="G17" s="502"/>
      <c r="H17" s="502"/>
      <c r="I17" s="502"/>
      <c r="J17" s="502"/>
      <c r="K17" s="502"/>
      <c r="L17" s="502"/>
      <c r="M17" s="502"/>
    </row>
    <row r="18" spans="1:13" x14ac:dyDescent="0.25">
      <c r="A18" s="501" t="str">
        <f>IF(AND(SUM(Studies!I27:J27)=2,Studies!K27&lt;&gt;0),Studies!A27,"")</f>
        <v/>
      </c>
      <c r="B18" s="501" t="str">
        <f>IF(AND(SUM(Studies!I27:J27)=2,Studies!K27&lt;&gt;0),Studies!B27,"")</f>
        <v/>
      </c>
      <c r="C18" s="501" t="str">
        <f>IF(AND(SUM(Studies!I27:J27)=2,Studies!K27&lt;&gt;0),Studies!C27,"")</f>
        <v/>
      </c>
      <c r="D18" s="501" t="str">
        <f>IF(AND(SUM(Studies!I27:J27)=2,Studies!K27&lt;&gt;0),Studies!D27,"")</f>
        <v/>
      </c>
      <c r="E18" s="501" t="str">
        <f>IF(AND(SUM(Studies!I27:J27)=2,Studies!K27&lt;&gt;0),Studies!E27,"")</f>
        <v/>
      </c>
      <c r="F18" s="502"/>
      <c r="G18" s="502"/>
      <c r="H18" s="502"/>
      <c r="I18" s="502"/>
      <c r="J18" s="502"/>
      <c r="K18" s="502"/>
      <c r="L18" s="502"/>
      <c r="M18" s="502"/>
    </row>
    <row r="19" spans="1:13" x14ac:dyDescent="0.25">
      <c r="A19" s="501" t="str">
        <f>IF(AND(SUM(Studies!I28:J28)=2,Studies!K28&lt;&gt;0),Studies!A28,"")</f>
        <v/>
      </c>
      <c r="B19" s="501" t="str">
        <f>IF(AND(SUM(Studies!I28:J28)=2,Studies!K28&lt;&gt;0),Studies!B28,"")</f>
        <v/>
      </c>
      <c r="C19" s="501" t="str">
        <f>IF(AND(SUM(Studies!I28:J28)=2,Studies!K28&lt;&gt;0),Studies!C28,"")</f>
        <v/>
      </c>
      <c r="D19" s="501" t="str">
        <f>IF(AND(SUM(Studies!I28:J28)=2,Studies!K28&lt;&gt;0),Studies!D28,"")</f>
        <v/>
      </c>
      <c r="E19" s="501" t="str">
        <f>IF(AND(SUM(Studies!I28:J28)=2,Studies!K28&lt;&gt;0),Studies!E28,"")</f>
        <v/>
      </c>
      <c r="F19" s="502"/>
      <c r="G19" s="502"/>
      <c r="H19" s="502"/>
      <c r="I19" s="502"/>
      <c r="J19" s="502"/>
      <c r="K19" s="502"/>
      <c r="L19" s="502"/>
      <c r="M19" s="502"/>
    </row>
    <row r="20" spans="1:13" x14ac:dyDescent="0.25">
      <c r="A20" s="501" t="str">
        <f>IF(AND(SUM(Studies!I29:J29)=2,Studies!K29&lt;&gt;0),Studies!A29,"")</f>
        <v/>
      </c>
      <c r="B20" s="501" t="str">
        <f>IF(AND(SUM(Studies!I29:J29)=2,Studies!K29&lt;&gt;0),Studies!B29,"")</f>
        <v/>
      </c>
      <c r="C20" s="501" t="str">
        <f>IF(AND(SUM(Studies!I29:J29)=2,Studies!K29&lt;&gt;0),Studies!C29,"")</f>
        <v/>
      </c>
      <c r="D20" s="501" t="str">
        <f>IF(AND(SUM(Studies!I29:J29)=2,Studies!K29&lt;&gt;0),Studies!D29,"")</f>
        <v/>
      </c>
      <c r="E20" s="501" t="str">
        <f>IF(AND(SUM(Studies!I29:J29)=2,Studies!K29&lt;&gt;0),Studies!E29,"")</f>
        <v/>
      </c>
      <c r="F20" s="502"/>
      <c r="G20" s="502"/>
      <c r="H20" s="502"/>
      <c r="I20" s="502"/>
      <c r="J20" s="502"/>
      <c r="K20" s="502"/>
      <c r="L20" s="502"/>
      <c r="M20" s="502"/>
    </row>
    <row r="21" spans="1:13" x14ac:dyDescent="0.25">
      <c r="A21" s="501" t="str">
        <f>IF(AND(SUM(Studies!I30:J30)=2,Studies!K30&lt;&gt;0),Studies!A30,"")</f>
        <v/>
      </c>
      <c r="B21" s="501" t="str">
        <f>IF(AND(SUM(Studies!I30:J30)=2,Studies!K30&lt;&gt;0),Studies!B30,"")</f>
        <v/>
      </c>
      <c r="C21" s="501" t="str">
        <f>IF(AND(SUM(Studies!I30:J30)=2,Studies!K30&lt;&gt;0),Studies!C30,"")</f>
        <v/>
      </c>
      <c r="D21" s="501" t="str">
        <f>IF(AND(SUM(Studies!I30:J30)=2,Studies!K30&lt;&gt;0),Studies!D30,"")</f>
        <v/>
      </c>
      <c r="E21" s="501" t="str">
        <f>IF(AND(SUM(Studies!I30:J30)=2,Studies!K30&lt;&gt;0),Studies!E30,"")</f>
        <v/>
      </c>
      <c r="F21" s="502"/>
      <c r="G21" s="502"/>
      <c r="H21" s="502"/>
      <c r="I21" s="502"/>
      <c r="J21" s="502"/>
      <c r="K21" s="502"/>
      <c r="L21" s="502"/>
      <c r="M21" s="502"/>
    </row>
    <row r="22" spans="1:13" x14ac:dyDescent="0.25">
      <c r="A22" s="501" t="str">
        <f>IF(AND(SUM(Studies!I31:J31)=2,Studies!K31&lt;&gt;0),Studies!A31,"")</f>
        <v/>
      </c>
      <c r="B22" s="501" t="str">
        <f>IF(AND(SUM(Studies!I31:J31)=2,Studies!K31&lt;&gt;0),Studies!B31,"")</f>
        <v/>
      </c>
      <c r="C22" s="501" t="str">
        <f>IF(AND(SUM(Studies!I31:J31)=2,Studies!K31&lt;&gt;0),Studies!C31,"")</f>
        <v/>
      </c>
      <c r="D22" s="501" t="str">
        <f>IF(AND(SUM(Studies!I31:J31)=2,Studies!K31&lt;&gt;0),Studies!D31,"")</f>
        <v/>
      </c>
      <c r="E22" s="501" t="str">
        <f>IF(AND(SUM(Studies!I31:J31)=2,Studies!K31&lt;&gt;0),Studies!E31,"")</f>
        <v/>
      </c>
      <c r="F22" s="502"/>
      <c r="G22" s="502"/>
      <c r="H22" s="502"/>
      <c r="I22" s="502"/>
      <c r="J22" s="502"/>
      <c r="K22" s="502"/>
      <c r="L22" s="502"/>
      <c r="M22" s="502"/>
    </row>
    <row r="23" spans="1:13" x14ac:dyDescent="0.25">
      <c r="A23" s="501" t="str">
        <f>IF(AND(SUM(Studies!I32:J32)=2,Studies!K32&lt;&gt;0),Studies!A32,"")</f>
        <v/>
      </c>
      <c r="B23" s="501" t="str">
        <f>IF(AND(SUM(Studies!I32:J32)=2,Studies!K32&lt;&gt;0),Studies!B32,"")</f>
        <v/>
      </c>
      <c r="C23" s="501" t="str">
        <f>IF(AND(SUM(Studies!I32:J32)=2,Studies!K32&lt;&gt;0),Studies!C32,"")</f>
        <v/>
      </c>
      <c r="D23" s="501" t="str">
        <f>IF(AND(SUM(Studies!I32:J32)=2,Studies!K32&lt;&gt;0),Studies!D32,"")</f>
        <v/>
      </c>
      <c r="E23" s="501" t="str">
        <f>IF(AND(SUM(Studies!I32:J32)=2,Studies!K32&lt;&gt;0),Studies!E32,"")</f>
        <v/>
      </c>
      <c r="F23" s="502"/>
      <c r="G23" s="502"/>
      <c r="H23" s="502"/>
      <c r="I23" s="502"/>
      <c r="J23" s="502"/>
      <c r="K23" s="502"/>
      <c r="L23" s="502"/>
      <c r="M23" s="502"/>
    </row>
    <row r="24" spans="1:13" x14ac:dyDescent="0.25">
      <c r="A24" s="501" t="str">
        <f>IF(AND(SUM(Studies!I33:J33)=2,Studies!K33&lt;&gt;0),Studies!A33,"")</f>
        <v/>
      </c>
      <c r="B24" s="501" t="str">
        <f>IF(AND(SUM(Studies!I33:J33)=2,Studies!K33&lt;&gt;0),Studies!B33,"")</f>
        <v/>
      </c>
      <c r="C24" s="501" t="str">
        <f>IF(AND(SUM(Studies!I33:J33)=2,Studies!K33&lt;&gt;0),Studies!C33,"")</f>
        <v/>
      </c>
      <c r="D24" s="501" t="str">
        <f>IF(AND(SUM(Studies!I33:J33)=2,Studies!K33&lt;&gt;0),Studies!D33,"")</f>
        <v/>
      </c>
      <c r="E24" s="501" t="str">
        <f>IF(AND(SUM(Studies!I33:J33)=2,Studies!K33&lt;&gt;0),Studies!E33,"")</f>
        <v/>
      </c>
      <c r="F24" s="502"/>
      <c r="G24" s="502"/>
      <c r="H24" s="502"/>
      <c r="I24" s="502"/>
      <c r="J24" s="502"/>
      <c r="K24" s="502"/>
      <c r="L24" s="502"/>
      <c r="M24" s="502"/>
    </row>
    <row r="25" spans="1:13" x14ac:dyDescent="0.25">
      <c r="A25" s="501" t="str">
        <f>IF(AND(SUM(Studies!I34:J34)=2,Studies!K34&lt;&gt;0),Studies!A34,"")</f>
        <v/>
      </c>
      <c r="B25" s="501" t="str">
        <f>IF(AND(SUM(Studies!I34:J34)=2,Studies!K34&lt;&gt;0),Studies!B34,"")</f>
        <v/>
      </c>
      <c r="C25" s="501" t="str">
        <f>IF(AND(SUM(Studies!I34:J34)=2,Studies!K34&lt;&gt;0),Studies!C34,"")</f>
        <v/>
      </c>
      <c r="D25" s="501" t="str">
        <f>IF(AND(SUM(Studies!I34:J34)=2,Studies!K34&lt;&gt;0),Studies!D34,"")</f>
        <v/>
      </c>
      <c r="E25" s="501" t="str">
        <f>IF(AND(SUM(Studies!I34:J34)=2,Studies!K34&lt;&gt;0),Studies!E34,"")</f>
        <v/>
      </c>
      <c r="F25" s="502"/>
      <c r="G25" s="502"/>
      <c r="H25" s="502"/>
      <c r="I25" s="502"/>
      <c r="J25" s="502"/>
      <c r="K25" s="502"/>
      <c r="L25" s="502"/>
      <c r="M25" s="502"/>
    </row>
    <row r="26" spans="1:13" x14ac:dyDescent="0.25">
      <c r="A26" s="501" t="str">
        <f>IF(AND(SUM(Studies!I35:J35)=2,Studies!K35&lt;&gt;0),Studies!A35,"")</f>
        <v/>
      </c>
      <c r="B26" s="501" t="str">
        <f>IF(AND(SUM(Studies!I35:J35)=2,Studies!K35&lt;&gt;0),Studies!B35,"")</f>
        <v/>
      </c>
      <c r="C26" s="501" t="str">
        <f>IF(AND(SUM(Studies!I35:J35)=2,Studies!K35&lt;&gt;0),Studies!C35,"")</f>
        <v/>
      </c>
      <c r="D26" s="501" t="str">
        <f>IF(AND(SUM(Studies!I35:J35)=2,Studies!K35&lt;&gt;0),Studies!D35,"")</f>
        <v/>
      </c>
      <c r="E26" s="501" t="str">
        <f>IF(AND(SUM(Studies!I35:J35)=2,Studies!K35&lt;&gt;0),Studies!E35,"")</f>
        <v/>
      </c>
      <c r="F26" s="502"/>
      <c r="G26" s="502"/>
      <c r="H26" s="502"/>
      <c r="I26" s="502"/>
      <c r="J26" s="502"/>
      <c r="K26" s="502"/>
      <c r="L26" s="502"/>
      <c r="M26" s="502"/>
    </row>
    <row r="27" spans="1:13" x14ac:dyDescent="0.25">
      <c r="A27" s="501" t="str">
        <f>IF(AND(SUM(Studies!I36:J36)=2,Studies!K36&lt;&gt;0),Studies!A36,"")</f>
        <v/>
      </c>
      <c r="B27" s="501" t="str">
        <f>IF(AND(SUM(Studies!I36:J36)=2,Studies!K36&lt;&gt;0),Studies!B36,"")</f>
        <v/>
      </c>
      <c r="C27" s="501" t="str">
        <f>IF(AND(SUM(Studies!I36:J36)=2,Studies!K36&lt;&gt;0),Studies!C36,"")</f>
        <v/>
      </c>
      <c r="D27" s="501" t="str">
        <f>IF(AND(SUM(Studies!I36:J36)=2,Studies!K36&lt;&gt;0),Studies!D36,"")</f>
        <v/>
      </c>
      <c r="E27" s="501" t="str">
        <f>IF(AND(SUM(Studies!I36:J36)=2,Studies!K36&lt;&gt;0),Studies!E36,"")</f>
        <v/>
      </c>
      <c r="F27" s="502"/>
      <c r="G27" s="502"/>
      <c r="H27" s="502"/>
      <c r="I27" s="502"/>
      <c r="J27" s="502"/>
      <c r="K27" s="502"/>
      <c r="L27" s="502"/>
      <c r="M27" s="502"/>
    </row>
    <row r="28" spans="1:13" x14ac:dyDescent="0.25">
      <c r="A28" s="501" t="str">
        <f>IF(AND(SUM(Studies!I37:J37)=2,Studies!K37&lt;&gt;0),Studies!A37,"")</f>
        <v/>
      </c>
      <c r="B28" s="501" t="str">
        <f>IF(AND(SUM(Studies!I37:J37)=2,Studies!K37&lt;&gt;0),Studies!B37,"")</f>
        <v/>
      </c>
      <c r="C28" s="501" t="str">
        <f>IF(AND(SUM(Studies!I37:J37)=2,Studies!K37&lt;&gt;0),Studies!C37,"")</f>
        <v/>
      </c>
      <c r="D28" s="501" t="str">
        <f>IF(AND(SUM(Studies!I37:J37)=2,Studies!K37&lt;&gt;0),Studies!D37,"")</f>
        <v/>
      </c>
      <c r="E28" s="501" t="str">
        <f>IF(AND(SUM(Studies!I37:J37)=2,Studies!K37&lt;&gt;0),Studies!E37,"")</f>
        <v/>
      </c>
      <c r="F28" s="502"/>
      <c r="G28" s="502"/>
      <c r="H28" s="502"/>
      <c r="I28" s="502"/>
      <c r="J28" s="502"/>
      <c r="K28" s="502"/>
      <c r="L28" s="502"/>
      <c r="M28" s="502"/>
    </row>
    <row r="29" spans="1:13" x14ac:dyDescent="0.25">
      <c r="A29" s="501" t="str">
        <f>IF(AND(SUM(Studies!I38:J38)=2,Studies!K38&lt;&gt;0),Studies!A38,"")</f>
        <v/>
      </c>
      <c r="B29" s="501" t="str">
        <f>IF(AND(SUM(Studies!I38:J38)=2,Studies!K38&lt;&gt;0),Studies!B38,"")</f>
        <v/>
      </c>
      <c r="C29" s="501" t="str">
        <f>IF(AND(SUM(Studies!I38:J38)=2,Studies!K38&lt;&gt;0),Studies!C38,"")</f>
        <v/>
      </c>
      <c r="D29" s="501" t="str">
        <f>IF(AND(SUM(Studies!I38:J38)=2,Studies!K38&lt;&gt;0),Studies!D38,"")</f>
        <v/>
      </c>
      <c r="E29" s="501" t="str">
        <f>IF(AND(SUM(Studies!I38:J38)=2,Studies!K38&lt;&gt;0),Studies!E38,"")</f>
        <v/>
      </c>
      <c r="F29" s="502"/>
      <c r="G29" s="502"/>
      <c r="H29" s="502"/>
      <c r="I29" s="502"/>
      <c r="J29" s="502"/>
      <c r="K29" s="502"/>
      <c r="L29" s="502"/>
      <c r="M29" s="502"/>
    </row>
    <row r="30" spans="1:13" x14ac:dyDescent="0.25">
      <c r="A30" s="501" t="str">
        <f>IF(AND(SUM(Studies!I39:J39)=2,Studies!K39&lt;&gt;0),Studies!A39,"")</f>
        <v/>
      </c>
      <c r="B30" s="501" t="str">
        <f>IF(AND(SUM(Studies!I39:J39)=2,Studies!K39&lt;&gt;0),Studies!B39,"")</f>
        <v/>
      </c>
      <c r="C30" s="501" t="str">
        <f>IF(AND(SUM(Studies!I39:J39)=2,Studies!K39&lt;&gt;0),Studies!C39,"")</f>
        <v/>
      </c>
      <c r="D30" s="501" t="str">
        <f>IF(AND(SUM(Studies!I39:J39)=2,Studies!K39&lt;&gt;0),Studies!D39,"")</f>
        <v/>
      </c>
      <c r="E30" s="501" t="str">
        <f>IF(AND(SUM(Studies!I39:J39)=2,Studies!K39&lt;&gt;0),Studies!E39,"")</f>
        <v/>
      </c>
      <c r="F30" s="502"/>
      <c r="G30" s="502"/>
      <c r="H30" s="502"/>
      <c r="I30" s="502"/>
      <c r="J30" s="502"/>
      <c r="K30" s="502"/>
      <c r="L30" s="502"/>
      <c r="M30" s="502"/>
    </row>
    <row r="31" spans="1:13" x14ac:dyDescent="0.25">
      <c r="A31" s="501" t="str">
        <f>IF(AND(SUM(Studies!I40:J40)=2,Studies!K40&lt;&gt;0),Studies!A40,"")</f>
        <v/>
      </c>
      <c r="B31" s="501" t="str">
        <f>IF(AND(SUM(Studies!I40:J40)=2,Studies!K40&lt;&gt;0),Studies!B40,"")</f>
        <v/>
      </c>
      <c r="C31" s="501" t="str">
        <f>IF(AND(SUM(Studies!I40:J40)=2,Studies!K40&lt;&gt;0),Studies!C40,"")</f>
        <v/>
      </c>
      <c r="D31" s="501" t="str">
        <f>IF(AND(SUM(Studies!I40:J40)=2,Studies!K40&lt;&gt;0),Studies!D40,"")</f>
        <v/>
      </c>
      <c r="E31" s="501" t="str">
        <f>IF(AND(SUM(Studies!I40:J40)=2,Studies!K40&lt;&gt;0),Studies!E40,"")</f>
        <v/>
      </c>
      <c r="F31" s="502"/>
      <c r="G31" s="502"/>
      <c r="H31" s="502"/>
      <c r="I31" s="502"/>
      <c r="J31" s="502"/>
      <c r="K31" s="502"/>
      <c r="L31" s="502"/>
      <c r="M31" s="50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511E6-A64E-463C-8386-7ACF597E0402}">
  <sheetPr>
    <pageSetUpPr fitToPage="1"/>
  </sheetPr>
  <dimension ref="A1:K22"/>
  <sheetViews>
    <sheetView showGridLines="0" zoomScaleNormal="100" workbookViewId="0">
      <selection activeCell="A7" sqref="A7"/>
    </sheetView>
  </sheetViews>
  <sheetFormatPr defaultColWidth="9.140625" defaultRowHeight="15" x14ac:dyDescent="0.25"/>
  <cols>
    <col min="1" max="1" width="31.140625" customWidth="1"/>
    <col min="2" max="2" width="13.140625" customWidth="1"/>
    <col min="3" max="3" width="20.42578125" customWidth="1"/>
    <col min="4" max="4" width="46.28515625" customWidth="1"/>
    <col min="5" max="5" width="15.7109375" customWidth="1"/>
    <col min="6" max="6" width="21.7109375" customWidth="1"/>
    <col min="7" max="7" width="22.42578125" customWidth="1"/>
    <col min="8" max="8" width="45.7109375" customWidth="1"/>
    <col min="11" max="11" width="14.28515625" hidden="1" customWidth="1"/>
  </cols>
  <sheetData>
    <row r="1" spans="1:11" ht="7.5" customHeight="1" x14ac:dyDescent="0.25"/>
    <row r="2" spans="1:11" x14ac:dyDescent="0.25">
      <c r="A2" s="481" t="str">
        <f>'Basic data'!A2</f>
        <v>Annex CR Version P1.1  (Audit year 2026 / Indicator year 2025)</v>
      </c>
      <c r="B2" s="481"/>
      <c r="C2" s="481"/>
    </row>
    <row r="3" spans="1:11" ht="15.75" x14ac:dyDescent="0.25">
      <c r="A3" s="482" t="s">
        <v>877</v>
      </c>
      <c r="B3" s="482"/>
      <c r="C3" s="482"/>
      <c r="K3" s="170" t="s">
        <v>897</v>
      </c>
    </row>
    <row r="4" spans="1:11" ht="17.25" customHeight="1" x14ac:dyDescent="0.25">
      <c r="A4" s="524" t="s">
        <v>878</v>
      </c>
      <c r="K4" s="170" t="s">
        <v>898</v>
      </c>
    </row>
    <row r="5" spans="1:11" ht="2.25" customHeight="1" thickBot="1" x14ac:dyDescent="0.3"/>
    <row r="6" spans="1:11" ht="51.75" customHeight="1" thickBot="1" x14ac:dyDescent="0.3">
      <c r="A6" s="503" t="s">
        <v>879</v>
      </c>
      <c r="B6" s="504" t="s">
        <v>881</v>
      </c>
      <c r="C6" s="504" t="s">
        <v>882</v>
      </c>
      <c r="D6" s="505" t="s">
        <v>883</v>
      </c>
      <c r="E6" s="505" t="s">
        <v>884</v>
      </c>
      <c r="F6" s="505" t="s">
        <v>885</v>
      </c>
      <c r="G6" s="505" t="s">
        <v>886</v>
      </c>
      <c r="H6" s="506" t="s">
        <v>887</v>
      </c>
    </row>
    <row r="7" spans="1:11" ht="26.1" customHeight="1" x14ac:dyDescent="0.25">
      <c r="A7" s="507"/>
      <c r="B7" s="508"/>
      <c r="C7" s="509"/>
      <c r="D7" s="510"/>
      <c r="E7" s="511"/>
      <c r="F7" s="512"/>
      <c r="G7" s="512"/>
      <c r="H7" s="525"/>
    </row>
    <row r="8" spans="1:11" ht="26.1" customHeight="1" x14ac:dyDescent="0.25">
      <c r="A8" s="507"/>
      <c r="B8" s="508"/>
      <c r="C8" s="509"/>
      <c r="D8" s="510"/>
      <c r="E8" s="511"/>
      <c r="F8" s="512"/>
      <c r="G8" s="512"/>
      <c r="H8" s="525"/>
    </row>
    <row r="9" spans="1:11" ht="26.1" customHeight="1" x14ac:dyDescent="0.25">
      <c r="A9" s="507"/>
      <c r="B9" s="508"/>
      <c r="C9" s="509"/>
      <c r="D9" s="510"/>
      <c r="E9" s="511"/>
      <c r="F9" s="512"/>
      <c r="G9" s="512"/>
      <c r="H9" s="525"/>
    </row>
    <row r="10" spans="1:11" ht="26.1" customHeight="1" x14ac:dyDescent="0.25">
      <c r="A10" s="507"/>
      <c r="B10" s="508"/>
      <c r="C10" s="509"/>
      <c r="D10" s="510"/>
      <c r="E10" s="511"/>
      <c r="F10" s="512"/>
      <c r="G10" s="512"/>
      <c r="H10" s="525"/>
    </row>
    <row r="11" spans="1:11" ht="26.1" customHeight="1" x14ac:dyDescent="0.25">
      <c r="A11" s="507"/>
      <c r="B11" s="508"/>
      <c r="C11" s="509"/>
      <c r="D11" s="510"/>
      <c r="E11" s="511"/>
      <c r="F11" s="512"/>
      <c r="G11" s="512"/>
      <c r="H11" s="525"/>
    </row>
    <row r="12" spans="1:11" ht="26.1" customHeight="1" x14ac:dyDescent="0.25">
      <c r="A12" s="507"/>
      <c r="B12" s="508"/>
      <c r="C12" s="509"/>
      <c r="D12" s="510"/>
      <c r="E12" s="511"/>
      <c r="F12" s="512"/>
      <c r="G12" s="512"/>
      <c r="H12" s="525"/>
    </row>
    <row r="13" spans="1:11" ht="26.1" customHeight="1" x14ac:dyDescent="0.25">
      <c r="A13" s="507"/>
      <c r="B13" s="508"/>
      <c r="C13" s="509"/>
      <c r="D13" s="510"/>
      <c r="E13" s="511"/>
      <c r="F13" s="512"/>
      <c r="G13" s="512"/>
      <c r="H13" s="525"/>
    </row>
    <row r="14" spans="1:11" ht="26.1" customHeight="1" x14ac:dyDescent="0.25">
      <c r="A14" s="507"/>
      <c r="B14" s="508"/>
      <c r="C14" s="509"/>
      <c r="D14" s="510"/>
      <c r="E14" s="511"/>
      <c r="F14" s="512"/>
      <c r="G14" s="512"/>
      <c r="H14" s="525"/>
    </row>
    <row r="15" spans="1:11" ht="26.1" customHeight="1" x14ac:dyDescent="0.25">
      <c r="A15" s="507"/>
      <c r="B15" s="508"/>
      <c r="C15" s="509"/>
      <c r="D15" s="510"/>
      <c r="E15" s="511"/>
      <c r="F15" s="512"/>
      <c r="G15" s="512"/>
      <c r="H15" s="525"/>
    </row>
    <row r="16" spans="1:11" ht="26.1" customHeight="1" x14ac:dyDescent="0.25">
      <c r="A16" s="507"/>
      <c r="B16" s="508"/>
      <c r="C16" s="509"/>
      <c r="D16" s="510"/>
      <c r="E16" s="511"/>
      <c r="F16" s="512"/>
      <c r="G16" s="512"/>
      <c r="H16" s="525"/>
    </row>
    <row r="17" spans="1:8" ht="26.1" customHeight="1" x14ac:dyDescent="0.25">
      <c r="A17" s="507"/>
      <c r="B17" s="508"/>
      <c r="C17" s="509"/>
      <c r="D17" s="510"/>
      <c r="E17" s="511"/>
      <c r="F17" s="512"/>
      <c r="G17" s="512"/>
      <c r="H17" s="525"/>
    </row>
    <row r="18" spans="1:8" ht="26.1" customHeight="1" x14ac:dyDescent="0.25">
      <c r="A18" s="507"/>
      <c r="B18" s="508"/>
      <c r="C18" s="509"/>
      <c r="D18" s="510"/>
      <c r="E18" s="511"/>
      <c r="F18" s="512"/>
      <c r="G18" s="512"/>
      <c r="H18" s="525"/>
    </row>
    <row r="19" spans="1:8" ht="26.1" customHeight="1" x14ac:dyDescent="0.25">
      <c r="A19" s="507"/>
      <c r="B19" s="508"/>
      <c r="C19" s="509"/>
      <c r="D19" s="510"/>
      <c r="E19" s="511"/>
      <c r="F19" s="512"/>
      <c r="G19" s="512"/>
      <c r="H19" s="525"/>
    </row>
    <row r="20" spans="1:8" ht="26.1" customHeight="1" x14ac:dyDescent="0.25">
      <c r="A20" s="507"/>
      <c r="B20" s="508"/>
      <c r="C20" s="509"/>
      <c r="D20" s="510"/>
      <c r="E20" s="511"/>
      <c r="F20" s="512"/>
      <c r="G20" s="512"/>
      <c r="H20" s="525"/>
    </row>
    <row r="21" spans="1:8" ht="26.1" customHeight="1" x14ac:dyDescent="0.25">
      <c r="A21" s="507"/>
      <c r="B21" s="508"/>
      <c r="C21" s="509"/>
      <c r="D21" s="510"/>
      <c r="E21" s="511"/>
      <c r="F21" s="512"/>
      <c r="G21" s="512"/>
      <c r="H21" s="525"/>
    </row>
    <row r="22" spans="1:8" ht="26.1" customHeight="1" thickBot="1" x14ac:dyDescent="0.3">
      <c r="A22" s="513"/>
      <c r="B22" s="514"/>
      <c r="C22" s="515"/>
      <c r="D22" s="516"/>
      <c r="E22" s="517"/>
      <c r="F22" s="518"/>
      <c r="G22" s="518"/>
      <c r="H22" s="526"/>
    </row>
  </sheetData>
  <sheetProtection algorithmName="SHA-512" hashValue="NFXNmjlXqwzItgeetz+vWJRytNmaPTuKvTZJbsop6zn35B9LAWCixI0jLCcJTyFn4VsByQPGdumJc0byTMTmQw==" saltValue="hVKb59GAINjCRSTGoo//bg==" spinCount="100000" sheet="1" objects="1" scenarios="1" selectLockedCells="1"/>
  <phoneticPr fontId="141" type="noConversion"/>
  <conditionalFormatting sqref="A7:H22">
    <cfRule type="expression" dxfId="239" priority="4" stopIfTrue="1">
      <formula>LEN(TRIM(A7))=0</formula>
    </cfRule>
  </conditionalFormatting>
  <conditionalFormatting sqref="F7:F22">
    <cfRule type="cellIs" dxfId="238" priority="6" operator="lessThan">
      <formula>200</formula>
    </cfRule>
  </conditionalFormatting>
  <conditionalFormatting sqref="G7:G22">
    <cfRule type="cellIs" dxfId="237" priority="5" operator="lessThan">
      <formula>25</formula>
    </cfRule>
  </conditionalFormatting>
  <conditionalFormatting sqref="H7:H22">
    <cfRule type="expression" dxfId="236" priority="1">
      <formula>AND($C7="Designated examiner",$F7&gt;=200,$G7&gt;=25)</formula>
    </cfRule>
  </conditionalFormatting>
  <dataValidations count="9">
    <dataValidation type="textLength" showInputMessage="1" showErrorMessage="1" errorTitle="Character length" error="Only text input up to 200 characters possible." sqref="A7:A22 D7:D22" xr:uid="{D6F7EA82-6F59-443B-A469-8793EBF8D7A3}">
      <formula1>2</formula1>
      <formula2>200</formula2>
    </dataValidation>
    <dataValidation type="list" showInputMessage="1" showErrorMessage="1" errorTitle="Input data error" error="Only values from the dropdown list are allowed." sqref="B7:B22" xr:uid="{E377B909-BA26-4C6D-8996-46FB4B13332D}">
      <formula1>OncoBox</formula1>
    </dataValidation>
    <dataValidation type="whole" allowBlank="1" showInputMessage="1" showErrorMessage="1" errorTitle="Input data error" error="Whole number between 0 and 5000._x000a_" sqref="F22" xr:uid="{C58CA823-CD65-4312-9929-803AE57FDD11}">
      <formula1>0</formula1>
      <formula2>5000</formula2>
    </dataValidation>
    <dataValidation type="whole" showInputMessage="1" showErrorMessage="1" errorTitle="Input data error" error="Whole number between 0 and 5000._x000a_" sqref="G7:G22" xr:uid="{1CF8ECD7-3378-422E-BAF9-6E520FB8C179}">
      <formula1>0</formula1>
      <formula2>5000</formula2>
    </dataValidation>
    <dataValidation type="whole" allowBlank="1" showInputMessage="1" showErrorMessage="1" errorTitle="Input data error" error="Whole number between 0 and 5000." sqref="F7:F21" xr:uid="{EDF5EE69-CD0D-4DE5-A6ED-337A63F46061}">
      <formula1>0</formula1>
      <formula2>5000</formula2>
    </dataValidation>
    <dataValidation type="textLength" showInputMessage="1" showErrorMessage="1" errorTitle="Character length" error="Only text input up to 500 characters possible._x000a_" sqref="H22" xr:uid="{9705F678-048D-4259-B422-DA483D7D197C}">
      <formula1>2</formula1>
      <formula2>500</formula2>
    </dataValidation>
    <dataValidation type="textLength" showInputMessage="1" showErrorMessage="1" errorTitle="Character length" error="Only text input up to 500 characters possible." sqref="H7:H21" xr:uid="{B35E09F2-EED8-4CA7-938F-DC440B6520D1}">
      <formula1>2</formula1>
      <formula2>500</formula2>
    </dataValidation>
    <dataValidation type="list" showInputMessage="1" showErrorMessage="1" errorTitle="Input data error" error="Only values from the dropdown list are allowed." sqref="C7:C22" xr:uid="{2FFE248A-07E4-43E2-9189-3D2A4EE1DB75}">
      <formula1>$K$3:$K$4</formula1>
    </dataValidation>
    <dataValidation type="textLength" showInputMessage="1" showErrorMessage="1" errorTitle="Note" error="Please enter the period from ... to the key figure year." sqref="E7:E22" xr:uid="{E392832C-C041-45D6-B2FF-4ECAE131AE3C}">
      <formula1>2</formula1>
      <formula2>200</formula2>
    </dataValidation>
  </dataValidations>
  <pageMargins left="0.7" right="0.7" top="0.75" bottom="0.75" header="0.3" footer="0.3"/>
  <pageSetup scale="56" orientation="landscape" r:id="rId1"/>
  <headerFooter>
    <oddFooter>&amp;L&amp;"Arial,Regular"&amp;7&amp;F&amp;C&amp;"Arial,Regular"&amp;7© DKG  All rights reserved&amp;R&amp;"Arial,Regular"&amp;7&amp;P</oddFooter>
  </headerFooter>
  <colBreaks count="1" manualBreakCount="1">
    <brk id="8"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16D32-7893-4666-9BE0-CD5432212BEA}">
  <sheetPr>
    <pageSetUpPr fitToPage="1"/>
  </sheetPr>
  <dimension ref="A1:J23"/>
  <sheetViews>
    <sheetView showGridLines="0" zoomScaleNormal="100" workbookViewId="0">
      <selection activeCell="A7" sqref="A7"/>
    </sheetView>
  </sheetViews>
  <sheetFormatPr defaultColWidth="9.140625" defaultRowHeight="15" x14ac:dyDescent="0.25"/>
  <cols>
    <col min="1" max="1" width="32.5703125" customWidth="1"/>
    <col min="2" max="2" width="15.85546875" customWidth="1"/>
    <col min="3" max="3" width="20.7109375" customWidth="1"/>
    <col min="4" max="4" width="49.7109375" customWidth="1"/>
    <col min="5" max="5" width="13.42578125" customWidth="1"/>
    <col min="6" max="7" width="11.85546875" customWidth="1"/>
    <col min="8" max="8" width="50.140625" customWidth="1"/>
    <col min="10" max="10" width="9.140625" hidden="1" customWidth="1"/>
  </cols>
  <sheetData>
    <row r="1" spans="1:10" ht="7.5" customHeight="1" x14ac:dyDescent="0.25"/>
    <row r="2" spans="1:10" x14ac:dyDescent="0.25">
      <c r="A2" s="481" t="str">
        <f>'Basic data'!A2</f>
        <v>Annex CR Version P1.1  (Audit year 2026 / Indicator year 2025)</v>
      </c>
      <c r="B2" s="481"/>
      <c r="C2" s="481"/>
    </row>
    <row r="3" spans="1:10" ht="15.75" x14ac:dyDescent="0.25">
      <c r="A3" s="482" t="s">
        <v>892</v>
      </c>
      <c r="B3" s="482"/>
      <c r="C3" s="482"/>
      <c r="J3" t="s">
        <v>888</v>
      </c>
    </row>
    <row r="4" spans="1:10" ht="15.95" customHeight="1" x14ac:dyDescent="0.25">
      <c r="A4" s="519" t="s">
        <v>891</v>
      </c>
      <c r="J4" t="s">
        <v>889</v>
      </c>
    </row>
    <row r="5" spans="1:10" ht="12.75" customHeight="1" thickBot="1" x14ac:dyDescent="0.3">
      <c r="J5" t="s">
        <v>899</v>
      </c>
    </row>
    <row r="6" spans="1:10" ht="51.75" customHeight="1" thickBot="1" x14ac:dyDescent="0.3">
      <c r="A6" s="503" t="s">
        <v>879</v>
      </c>
      <c r="B6" s="504" t="s">
        <v>880</v>
      </c>
      <c r="C6" s="504" t="s">
        <v>893</v>
      </c>
      <c r="D6" s="505" t="s">
        <v>894</v>
      </c>
      <c r="E6" s="505" t="s">
        <v>884</v>
      </c>
      <c r="F6" s="505" t="s">
        <v>895</v>
      </c>
      <c r="G6" s="505" t="s">
        <v>896</v>
      </c>
      <c r="H6" s="506" t="s">
        <v>887</v>
      </c>
    </row>
    <row r="7" spans="1:10" ht="26.1" customHeight="1" x14ac:dyDescent="0.25">
      <c r="A7" s="507"/>
      <c r="B7" s="508"/>
      <c r="C7" s="509"/>
      <c r="D7" s="510"/>
      <c r="E7" s="511"/>
      <c r="F7" s="512"/>
      <c r="G7" s="512"/>
      <c r="H7" s="525"/>
    </row>
    <row r="8" spans="1:10" ht="26.1" customHeight="1" x14ac:dyDescent="0.25">
      <c r="A8" s="507"/>
      <c r="B8" s="508"/>
      <c r="C8" s="509"/>
      <c r="D8" s="510"/>
      <c r="E8" s="511"/>
      <c r="F8" s="512"/>
      <c r="G8" s="512"/>
      <c r="H8" s="525"/>
    </row>
    <row r="9" spans="1:10" ht="26.1" customHeight="1" x14ac:dyDescent="0.25">
      <c r="A9" s="507"/>
      <c r="B9" s="508"/>
      <c r="C9" s="509"/>
      <c r="D9" s="510"/>
      <c r="E9" s="511"/>
      <c r="F9" s="512"/>
      <c r="G9" s="512"/>
      <c r="H9" s="525"/>
    </row>
    <row r="10" spans="1:10" ht="26.1" customHeight="1" x14ac:dyDescent="0.25">
      <c r="A10" s="507"/>
      <c r="B10" s="508"/>
      <c r="C10" s="509"/>
      <c r="D10" s="510"/>
      <c r="E10" s="511"/>
      <c r="F10" s="512"/>
      <c r="G10" s="512"/>
      <c r="H10" s="525"/>
    </row>
    <row r="11" spans="1:10" ht="26.1" customHeight="1" x14ac:dyDescent="0.25">
      <c r="A11" s="507"/>
      <c r="B11" s="508"/>
      <c r="C11" s="509"/>
      <c r="D11" s="510"/>
      <c r="E11" s="511"/>
      <c r="F11" s="512"/>
      <c r="G11" s="512"/>
      <c r="H11" s="525"/>
    </row>
    <row r="12" spans="1:10" ht="26.1" customHeight="1" x14ac:dyDescent="0.25">
      <c r="A12" s="507"/>
      <c r="B12" s="508"/>
      <c r="C12" s="509"/>
      <c r="D12" s="510"/>
      <c r="E12" s="511"/>
      <c r="F12" s="512"/>
      <c r="G12" s="512"/>
      <c r="H12" s="525"/>
    </row>
    <row r="13" spans="1:10" ht="26.1" customHeight="1" x14ac:dyDescent="0.25">
      <c r="A13" s="507"/>
      <c r="B13" s="508"/>
      <c r="C13" s="509"/>
      <c r="D13" s="510"/>
      <c r="E13" s="511"/>
      <c r="F13" s="512"/>
      <c r="G13" s="512"/>
      <c r="H13" s="525"/>
    </row>
    <row r="14" spans="1:10" ht="26.1" customHeight="1" x14ac:dyDescent="0.25">
      <c r="A14" s="507"/>
      <c r="B14" s="508"/>
      <c r="C14" s="509"/>
      <c r="D14" s="510"/>
      <c r="E14" s="511"/>
      <c r="F14" s="512"/>
      <c r="G14" s="512"/>
      <c r="H14" s="525"/>
    </row>
    <row r="15" spans="1:10" ht="26.1" customHeight="1" x14ac:dyDescent="0.25">
      <c r="A15" s="507"/>
      <c r="B15" s="508"/>
      <c r="C15" s="509"/>
      <c r="D15" s="510"/>
      <c r="E15" s="511"/>
      <c r="F15" s="512"/>
      <c r="G15" s="512"/>
      <c r="H15" s="525"/>
    </row>
    <row r="16" spans="1:10" ht="26.1" customHeight="1" x14ac:dyDescent="0.25">
      <c r="A16" s="507"/>
      <c r="B16" s="508"/>
      <c r="C16" s="509"/>
      <c r="D16" s="510"/>
      <c r="E16" s="511"/>
      <c r="F16" s="512"/>
      <c r="G16" s="512"/>
      <c r="H16" s="525"/>
    </row>
    <row r="17" spans="1:8" ht="26.1" customHeight="1" x14ac:dyDescent="0.25">
      <c r="A17" s="507"/>
      <c r="B17" s="508"/>
      <c r="C17" s="509"/>
      <c r="D17" s="510"/>
      <c r="E17" s="511"/>
      <c r="F17" s="512"/>
      <c r="G17" s="512"/>
      <c r="H17" s="525"/>
    </row>
    <row r="18" spans="1:8" ht="26.1" customHeight="1" x14ac:dyDescent="0.25">
      <c r="A18" s="507"/>
      <c r="B18" s="508"/>
      <c r="C18" s="509"/>
      <c r="D18" s="510"/>
      <c r="E18" s="511"/>
      <c r="F18" s="512"/>
      <c r="G18" s="512"/>
      <c r="H18" s="525"/>
    </row>
    <row r="19" spans="1:8" ht="26.1" customHeight="1" x14ac:dyDescent="0.25">
      <c r="A19" s="507"/>
      <c r="B19" s="508"/>
      <c r="C19" s="509"/>
      <c r="D19" s="510"/>
      <c r="E19" s="511"/>
      <c r="F19" s="512"/>
      <c r="G19" s="512"/>
      <c r="H19" s="525"/>
    </row>
    <row r="20" spans="1:8" ht="26.1" customHeight="1" x14ac:dyDescent="0.25">
      <c r="A20" s="507"/>
      <c r="B20" s="508"/>
      <c r="C20" s="509"/>
      <c r="D20" s="510"/>
      <c r="E20" s="511"/>
      <c r="F20" s="512"/>
      <c r="G20" s="512"/>
      <c r="H20" s="525"/>
    </row>
    <row r="21" spans="1:8" ht="26.1" customHeight="1" x14ac:dyDescent="0.25">
      <c r="A21" s="507"/>
      <c r="B21" s="508"/>
      <c r="C21" s="509"/>
      <c r="D21" s="510"/>
      <c r="E21" s="511"/>
      <c r="F21" s="512"/>
      <c r="G21" s="512"/>
      <c r="H21" s="525"/>
    </row>
    <row r="22" spans="1:8" ht="26.1" customHeight="1" thickBot="1" x14ac:dyDescent="0.3">
      <c r="A22" s="513"/>
      <c r="B22" s="514"/>
      <c r="C22" s="515"/>
      <c r="D22" s="516"/>
      <c r="E22" s="517"/>
      <c r="F22" s="518"/>
      <c r="G22" s="518"/>
      <c r="H22" s="526"/>
    </row>
    <row r="23" spans="1:8" ht="26.1" customHeight="1" thickBot="1" x14ac:dyDescent="0.3">
      <c r="E23" s="520" t="s">
        <v>890</v>
      </c>
      <c r="F23" s="521">
        <f>SUM(F7:F22)</f>
        <v>0</v>
      </c>
      <c r="G23" s="522">
        <f>SUM(G7:G22)</f>
        <v>0</v>
      </c>
    </row>
  </sheetData>
  <sheetProtection algorithmName="SHA-512" hashValue="QTKEhPVy4ec1+3gKpimQDOrab6e3GJ3w6Jw3bq+bb8mIGhf9KMXxk56MOZ9n9FMxoKVvm4blz0ssfQJC9RYP7A==" saltValue="x3R/7g6BlK91hsSPx4vinw==" spinCount="100000" sheet="1" objects="1" scenarios="1" selectLockedCells="1"/>
  <phoneticPr fontId="141" type="noConversion"/>
  <conditionalFormatting sqref="A7:H22">
    <cfRule type="expression" dxfId="235" priority="8" stopIfTrue="1">
      <formula>LEN(TRIM(A7))=0</formula>
    </cfRule>
  </conditionalFormatting>
  <conditionalFormatting sqref="F7:F22">
    <cfRule type="expression" dxfId="234" priority="7">
      <formula>AND($C7="Designated surgeon",$F7&lt;&gt;0,$F7&lt;15)</formula>
    </cfRule>
    <cfRule type="expression" dxfId="233" priority="9">
      <formula>AND($C7="Non-designated surgeon",$F7&lt;&gt;0,$F7&lt;15)</formula>
    </cfRule>
  </conditionalFormatting>
  <conditionalFormatting sqref="F7:G22">
    <cfRule type="expression" dxfId="232" priority="2">
      <formula>AND($C7="Senior surgeon",$G7&lt;&gt;0,$G7&gt;=0)</formula>
    </cfRule>
  </conditionalFormatting>
  <conditionalFormatting sqref="G7:G22">
    <cfRule type="expression" dxfId="231" priority="5">
      <formula>AND($C7="Designated surgeon",$G7&lt;&gt;0,$G7&lt;10)</formula>
    </cfRule>
    <cfRule type="expression" dxfId="230" priority="6">
      <formula>AND($C7="Non-designated surgeon",$G7&lt;&gt;0,$G7&lt;10)</formula>
    </cfRule>
  </conditionalFormatting>
  <conditionalFormatting sqref="H7:H22">
    <cfRule type="expression" dxfId="229" priority="1">
      <formula>AND($C7="Senior surgeon",$F7&lt;&gt;"",$G7&lt;&gt;"")</formula>
    </cfRule>
    <cfRule type="expression" dxfId="228" priority="3">
      <formula>AND($C7="Designated surgeon",$F7&gt;=15,$G7&gt;=10)</formula>
    </cfRule>
    <cfRule type="expression" dxfId="227" priority="4">
      <formula>AND($C7="Non-designated surgeon",$F7&lt;&gt;0,$G7&lt;&gt;0,$H$7="")</formula>
    </cfRule>
  </conditionalFormatting>
  <dataValidations count="7">
    <dataValidation type="list" showInputMessage="1" showErrorMessage="1" errorTitle="Input data error" error="Only values from the dropdown list are allowed." sqref="B7:B22" xr:uid="{899C7926-E206-4ED3-B18C-1EF6B42ACC00}">
      <formula1>OncoBox</formula1>
    </dataValidation>
    <dataValidation type="list" showInputMessage="1" showErrorMessage="1" errorTitle="Input data error" error="Only values from the dropdown list are allowed." sqref="C7:C22" xr:uid="{AD854191-C813-46E3-9DC6-B7FC81A3A12D}">
      <formula1>$J$3:$J$5</formula1>
    </dataValidation>
    <dataValidation type="textLength" showInputMessage="1" showErrorMessage="1" errorTitle="Character length" error="Only text input up to 200 characters possible." sqref="A7:A22 D7:D22" xr:uid="{BE700347-3B63-4CA4-B2DA-4A97FA7EEE4E}">
      <formula1>2</formula1>
      <formula2>200</formula2>
    </dataValidation>
    <dataValidation type="textLength" showInputMessage="1" showErrorMessage="1" errorTitle="Character length" error="Only text input up to 500 characters possible." sqref="H7:H22" xr:uid="{6FE692B6-07D7-41EC-8FD5-44935C375B47}">
      <formula1>2</formula1>
      <formula2>500</formula2>
    </dataValidation>
    <dataValidation type="whole" allowBlank="1" showInputMessage="1" showErrorMessage="1" errorTitle="Input data error" error="Whole number between 0 and 5000." sqref="F7:F21" xr:uid="{C2EE4935-A86A-4B28-BA8C-3240D7F3BBC2}">
      <formula1>0</formula1>
      <formula2>5000</formula2>
    </dataValidation>
    <dataValidation type="whole" showInputMessage="1" showErrorMessage="1" errorTitle="Input data error" error="Whole number between 0 and 5000." sqref="F22 G7:G22" xr:uid="{5161D4FF-0F5C-453F-B683-9DB7D00787A9}">
      <formula1>0</formula1>
      <formula2>5000</formula2>
    </dataValidation>
    <dataValidation type="textLength" showInputMessage="1" showErrorMessage="1" errorTitle="Note" error="Please enter the period from ... to the key figure year." sqref="E7:E22" xr:uid="{A7A1BA79-A4E8-4F9E-89B4-77526BE27CF9}">
      <formula1>2</formula1>
      <formula2>200</formula2>
    </dataValidation>
  </dataValidations>
  <pageMargins left="0.7" right="0.7" top="0.75" bottom="0.75" header="0.3" footer="0.3"/>
  <pageSetup scale="59" orientation="landscape" r:id="rId1"/>
  <headerFooter>
    <oddFooter>&amp;L&amp;"Arial,Regular"&amp;7&amp;F&amp;C&amp;"Arial,Regular"&amp;7© DKG  All rights reserved&amp;R&amp;"Arial,Regular"&amp;7&amp;P</oddFooter>
  </headerFooter>
  <colBreaks count="1" manualBreakCount="1">
    <brk id="8"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dimension ref="A1:S116"/>
  <sheetViews>
    <sheetView showGridLines="0" showRuler="0" zoomScaleNormal="100" zoomScaleSheetLayoutView="90" workbookViewId="0">
      <selection activeCell="Q8" sqref="Q8:Q10"/>
    </sheetView>
  </sheetViews>
  <sheetFormatPr defaultColWidth="9.140625" defaultRowHeight="15" x14ac:dyDescent="0.25"/>
  <cols>
    <col min="1" max="1" width="7.42578125" customWidth="1"/>
    <col min="2" max="2" width="4.42578125" customWidth="1"/>
    <col min="3" max="3" width="20.42578125" customWidth="1"/>
    <col min="4" max="4" width="13.42578125" customWidth="1"/>
    <col min="5" max="5" width="12.7109375" customWidth="1"/>
    <col min="6" max="6" width="13.5703125" customWidth="1"/>
    <col min="7" max="7" width="14.140625" customWidth="1"/>
    <col min="8" max="8" width="13.85546875" customWidth="1"/>
    <col min="9" max="9" width="8.28515625" customWidth="1"/>
    <col min="10" max="10" width="7" customWidth="1"/>
    <col min="11" max="11" width="3.42578125" customWidth="1"/>
    <col min="12" max="12" width="3.28515625" customWidth="1"/>
    <col min="13" max="13" width="7" customWidth="1"/>
    <col min="14" max="14" width="9.28515625" customWidth="1"/>
    <col min="15" max="15" width="6.85546875" customWidth="1"/>
    <col min="16" max="16" width="8" customWidth="1"/>
    <col min="17" max="18" width="73" customWidth="1"/>
    <col min="19" max="19" width="5.42578125" style="330" customWidth="1"/>
  </cols>
  <sheetData>
    <row r="1" spans="1:19" ht="9.9499999999999993" customHeight="1" x14ac:dyDescent="0.25">
      <c r="A1" s="8"/>
      <c r="B1" s="8"/>
      <c r="C1" s="8"/>
      <c r="D1" s="8"/>
      <c r="E1" s="8"/>
      <c r="F1" s="8"/>
      <c r="G1" s="8"/>
      <c r="H1" s="8"/>
      <c r="I1" s="8"/>
      <c r="J1" s="8"/>
      <c r="K1" s="8"/>
      <c r="L1" s="8"/>
      <c r="M1" s="8"/>
      <c r="N1" s="8"/>
      <c r="O1" s="8"/>
      <c r="P1" s="8"/>
      <c r="Q1" s="8"/>
      <c r="R1" s="8"/>
    </row>
    <row r="2" spans="1:19" s="8" customFormat="1" ht="12.95" customHeight="1" x14ac:dyDescent="0.2">
      <c r="A2" s="17" t="str">
        <f>'Basic data'!A2</f>
        <v>Annex CR Version P1.1  (Audit year 2026 / Indicator year 2025)</v>
      </c>
      <c r="S2" s="331"/>
    </row>
    <row r="3" spans="1:19" ht="12.75" customHeight="1" x14ac:dyDescent="0.25">
      <c r="A3" s="22" t="s">
        <v>451</v>
      </c>
      <c r="B3" s="8"/>
      <c r="C3" s="8"/>
      <c r="D3" s="8"/>
      <c r="E3" s="8"/>
      <c r="F3" s="8"/>
      <c r="G3" s="8"/>
      <c r="H3" s="8"/>
      <c r="I3" s="8"/>
      <c r="J3" s="8"/>
      <c r="K3" s="8"/>
      <c r="L3" s="8"/>
      <c r="M3" s="8"/>
      <c r="N3" s="23"/>
      <c r="O3" s="8"/>
      <c r="P3" s="8"/>
      <c r="Q3" s="8"/>
      <c r="R3" s="8"/>
    </row>
    <row r="4" spans="1:19" s="26" customFormat="1" ht="15" customHeight="1" x14ac:dyDescent="0.2">
      <c r="A4" s="29" t="s">
        <v>436</v>
      </c>
      <c r="B4" s="29"/>
      <c r="C4" s="746" t="str">
        <f>IF('Basic data'!B6=0,"",'Basic data'!B6)</f>
        <v/>
      </c>
      <c r="D4" s="746"/>
      <c r="E4" s="479" t="s">
        <v>437</v>
      </c>
      <c r="F4" s="746" t="str">
        <f>IF('Basic data'!B8=0,"",'Basic data'!B8)</f>
        <v/>
      </c>
      <c r="G4" s="746"/>
      <c r="H4" s="746"/>
      <c r="I4" s="746"/>
      <c r="J4" s="746"/>
      <c r="K4" s="746"/>
      <c r="L4" s="746"/>
      <c r="M4" s="746"/>
      <c r="N4" s="8"/>
      <c r="O4" s="8"/>
      <c r="P4" s="8"/>
      <c r="Q4" s="8"/>
      <c r="R4" s="23"/>
      <c r="S4" s="332"/>
    </row>
    <row r="5" spans="1:19" s="26" customFormat="1" ht="11.25" customHeight="1" thickBot="1" x14ac:dyDescent="0.25">
      <c r="A5" s="10"/>
      <c r="B5" s="10"/>
      <c r="N5" s="8"/>
      <c r="O5" s="8"/>
      <c r="P5" s="8"/>
      <c r="Q5" s="8"/>
      <c r="S5" s="332"/>
    </row>
    <row r="6" spans="1:19" s="12" customFormat="1" ht="16.5" customHeight="1" thickBot="1" x14ac:dyDescent="0.3">
      <c r="A6" s="701" t="s">
        <v>815</v>
      </c>
      <c r="B6" s="701" t="s">
        <v>772</v>
      </c>
      <c r="C6" s="701" t="s">
        <v>469</v>
      </c>
      <c r="D6" s="681" t="s">
        <v>470</v>
      </c>
      <c r="E6" s="682"/>
      <c r="F6" s="681" t="s">
        <v>471</v>
      </c>
      <c r="G6" s="682"/>
      <c r="H6" s="685" t="s">
        <v>472</v>
      </c>
      <c r="I6" s="686"/>
      <c r="J6" s="690" t="s">
        <v>759</v>
      </c>
      <c r="K6" s="688" t="s">
        <v>473</v>
      </c>
      <c r="L6" s="689"/>
      <c r="M6" s="690" t="s">
        <v>760</v>
      </c>
      <c r="N6" s="681" t="s">
        <v>474</v>
      </c>
      <c r="O6" s="692"/>
      <c r="P6" s="701" t="s">
        <v>475</v>
      </c>
      <c r="Q6" s="679" t="s">
        <v>476</v>
      </c>
      <c r="R6" s="680"/>
      <c r="S6" s="333"/>
    </row>
    <row r="7" spans="1:19" s="12" customFormat="1" ht="25.5" customHeight="1" thickBot="1" x14ac:dyDescent="0.3">
      <c r="A7" s="703"/>
      <c r="B7" s="703"/>
      <c r="C7" s="703"/>
      <c r="D7" s="683"/>
      <c r="E7" s="684"/>
      <c r="F7" s="683"/>
      <c r="G7" s="684"/>
      <c r="H7" s="687"/>
      <c r="I7" s="686"/>
      <c r="J7" s="691"/>
      <c r="K7" s="689"/>
      <c r="L7" s="689"/>
      <c r="M7" s="691"/>
      <c r="N7" s="693"/>
      <c r="O7" s="694"/>
      <c r="P7" s="702"/>
      <c r="Q7" s="310" t="s">
        <v>477</v>
      </c>
      <c r="R7" s="310" t="s">
        <v>478</v>
      </c>
      <c r="S7" s="333"/>
    </row>
    <row r="8" spans="1:19" s="12" customFormat="1" ht="25.5" customHeight="1" thickBot="1" x14ac:dyDescent="0.3">
      <c r="A8" s="635">
        <v>1</v>
      </c>
      <c r="B8" s="635"/>
      <c r="C8" s="704" t="s">
        <v>773</v>
      </c>
      <c r="D8" s="707" t="s">
        <v>21</v>
      </c>
      <c r="E8" s="708"/>
      <c r="F8" s="713" t="s">
        <v>773</v>
      </c>
      <c r="G8" s="708"/>
      <c r="H8" s="707" t="s">
        <v>21</v>
      </c>
      <c r="I8" s="708"/>
      <c r="J8" s="625"/>
      <c r="K8" s="610" t="s">
        <v>745</v>
      </c>
      <c r="L8" s="622"/>
      <c r="M8" s="625"/>
      <c r="N8" s="695" t="s">
        <v>537</v>
      </c>
      <c r="O8" s="698"/>
      <c r="P8" s="609" t="str">
        <f>IF(O8="",Berechnung1!F5,IF(O8=0,Berechnung1!H5,IF(O8=Berechnung1!D25,Berechnung1!$F$5,IF(OR(O8&lt;Berechnung1!E25,O8&gt;Berechnung1!F25),Berechnung1!$G$5,IF(OR(ROUND(O8,4)&lt;Berechnung1!J25,ROUND(O8,4)&gt;Berechnung1!K25),Berechnung1!$D$5,IF(OR(ROUND(O8,4)&lt;Berechnung1!G25,ROUND(O8,4)&gt;Berechnung1!H25),Berechnung1!$E$5,Berechnung1!$C$5))))))</f>
        <v>Incomplete</v>
      </c>
      <c r="Q8" s="652"/>
      <c r="R8" s="660"/>
      <c r="S8" s="333"/>
    </row>
    <row r="9" spans="1:19" s="12" customFormat="1" ht="25.5" customHeight="1" thickBot="1" x14ac:dyDescent="0.3">
      <c r="A9" s="665"/>
      <c r="B9" s="665"/>
      <c r="C9" s="705"/>
      <c r="D9" s="709"/>
      <c r="E9" s="710"/>
      <c r="F9" s="709"/>
      <c r="G9" s="710"/>
      <c r="H9" s="709"/>
      <c r="I9" s="710"/>
      <c r="J9" s="626"/>
      <c r="K9" s="611"/>
      <c r="L9" s="623"/>
      <c r="M9" s="626"/>
      <c r="N9" s="696"/>
      <c r="O9" s="699"/>
      <c r="P9" s="609"/>
      <c r="Q9" s="653"/>
      <c r="R9" s="661"/>
      <c r="S9" s="333"/>
    </row>
    <row r="10" spans="1:19" s="12" customFormat="1" ht="25.5" customHeight="1" thickBot="1" x14ac:dyDescent="0.3">
      <c r="A10" s="666"/>
      <c r="B10" s="666"/>
      <c r="C10" s="706"/>
      <c r="D10" s="711"/>
      <c r="E10" s="712"/>
      <c r="F10" s="711"/>
      <c r="G10" s="712"/>
      <c r="H10" s="711"/>
      <c r="I10" s="712"/>
      <c r="J10" s="627"/>
      <c r="K10" s="612"/>
      <c r="L10" s="624"/>
      <c r="M10" s="627"/>
      <c r="N10" s="697"/>
      <c r="O10" s="700"/>
      <c r="P10" s="609"/>
      <c r="Q10" s="653"/>
      <c r="R10" s="661"/>
      <c r="S10" s="333"/>
    </row>
    <row r="11" spans="1:19" ht="30" customHeight="1" thickBot="1" x14ac:dyDescent="0.3">
      <c r="A11" s="635" t="s">
        <v>774</v>
      </c>
      <c r="B11" s="638" t="s">
        <v>776</v>
      </c>
      <c r="C11" s="632" t="s">
        <v>802</v>
      </c>
      <c r="D11" s="594" t="s">
        <v>841</v>
      </c>
      <c r="E11" s="595"/>
      <c r="F11" s="594" t="s">
        <v>479</v>
      </c>
      <c r="G11" s="595"/>
      <c r="H11" s="594" t="s">
        <v>844</v>
      </c>
      <c r="I11" s="595"/>
      <c r="J11" s="625"/>
      <c r="K11" s="610" t="s">
        <v>90</v>
      </c>
      <c r="L11" s="622"/>
      <c r="M11" s="625"/>
      <c r="N11" s="117" t="s">
        <v>471</v>
      </c>
      <c r="O11" s="476"/>
      <c r="P11" s="659" t="str">
        <f>IF(O13=Berechnung1!D28,Berechnung1!$F$5,IF(OR(O13&lt; Berechnung1!E28,O13&gt; Berechnung1!F28),Berechnung1!$G$5,IF(OR(ROUND(O13,4)&lt;Berechnung1!J28,ROUND(O13,4)&gt;Berechnung1!K28),Berechnung1!$D$5,IF(OR(ROUND(O13,4)&lt;Berechnung1!G28,ROUND(O13,4)&gt;Berechnung1!H28),Berechnung1!$E$5,Berechnung1!$C$5))))</f>
        <v>Incomplete</v>
      </c>
      <c r="Q11" s="652"/>
      <c r="R11" s="660"/>
    </row>
    <row r="12" spans="1:19" ht="30" customHeight="1" thickBot="1" x14ac:dyDescent="0.3">
      <c r="A12" s="636"/>
      <c r="B12" s="639"/>
      <c r="C12" s="633"/>
      <c r="D12" s="596"/>
      <c r="E12" s="597"/>
      <c r="F12" s="596"/>
      <c r="G12" s="597"/>
      <c r="H12" s="596"/>
      <c r="I12" s="597"/>
      <c r="J12" s="626"/>
      <c r="K12" s="611"/>
      <c r="L12" s="623"/>
      <c r="M12" s="626"/>
      <c r="N12" s="117" t="s">
        <v>536</v>
      </c>
      <c r="O12" s="477"/>
      <c r="P12" s="659"/>
      <c r="Q12" s="653"/>
      <c r="R12" s="661"/>
      <c r="S12" s="330">
        <f>IF('Basic data'!H28="",0,'Basic data'!H28)</f>
        <v>0</v>
      </c>
    </row>
    <row r="13" spans="1:19" ht="30" customHeight="1" thickBot="1" x14ac:dyDescent="0.3">
      <c r="A13" s="637"/>
      <c r="B13" s="640"/>
      <c r="C13" s="634"/>
      <c r="D13" s="598"/>
      <c r="E13" s="599"/>
      <c r="F13" s="598"/>
      <c r="G13" s="599"/>
      <c r="H13" s="598"/>
      <c r="I13" s="599"/>
      <c r="J13" s="627"/>
      <c r="K13" s="612"/>
      <c r="L13" s="624"/>
      <c r="M13" s="627"/>
      <c r="N13" s="117" t="s">
        <v>79</v>
      </c>
      <c r="O13" s="469" t="str">
        <f>IF(O11="","n.d.",IF(O12="","n.d.",IF(O12=0,"",O11/O12)))</f>
        <v>n.d.</v>
      </c>
      <c r="P13" s="659"/>
      <c r="Q13" s="653"/>
      <c r="R13" s="661"/>
    </row>
    <row r="14" spans="1:19" ht="30" customHeight="1" thickBot="1" x14ac:dyDescent="0.3">
      <c r="A14" s="635" t="s">
        <v>775</v>
      </c>
      <c r="B14" s="638"/>
      <c r="C14" s="632" t="s">
        <v>803</v>
      </c>
      <c r="D14" s="594" t="s">
        <v>804</v>
      </c>
      <c r="E14" s="595"/>
      <c r="F14" s="594" t="s">
        <v>805</v>
      </c>
      <c r="G14" s="595"/>
      <c r="H14" s="594" t="s">
        <v>778</v>
      </c>
      <c r="I14" s="595"/>
      <c r="J14" s="625"/>
      <c r="K14" s="610" t="s">
        <v>90</v>
      </c>
      <c r="L14" s="622"/>
      <c r="M14" s="625"/>
      <c r="N14" s="468" t="s">
        <v>471</v>
      </c>
      <c r="O14" s="477"/>
      <c r="P14" s="609" t="str">
        <f>IF(AND(O14&lt;&gt;"",O15&lt;&gt;"",O14=0,O15=0),Berechnung1!$H$5,IF(O16="",Berechnung1!$D$5,IF(O16=Berechnung1!D31,Berechnung1!$F$5,IF(OR(O16&lt; Berechnung1!E31,O16&gt; Berechnung1!F31),Berechnung1!$G$5,IF(OR(ROUND(O16,4)&lt;Berechnung1!J31,ROUND(O16,4)&gt;Berechnung1!K31),Berechnung1!$D$5,IF(OR(ROUND(O16,4)&lt;Berechnung1!G31,ROUND(O16,4)&gt;Berechnung1!H31),Berechnung1!$E$5,Berechnung1!$C$5))))))</f>
        <v>Incomplete</v>
      </c>
      <c r="Q14" s="652"/>
      <c r="R14" s="660"/>
    </row>
    <row r="15" spans="1:19" ht="30" customHeight="1" thickBot="1" x14ac:dyDescent="0.3">
      <c r="A15" s="636"/>
      <c r="B15" s="639"/>
      <c r="C15" s="633"/>
      <c r="D15" s="596"/>
      <c r="E15" s="597"/>
      <c r="F15" s="596"/>
      <c r="G15" s="597"/>
      <c r="H15" s="596"/>
      <c r="I15" s="597"/>
      <c r="J15" s="626"/>
      <c r="K15" s="611"/>
      <c r="L15" s="623"/>
      <c r="M15" s="626"/>
      <c r="N15" s="117" t="s">
        <v>536</v>
      </c>
      <c r="O15" s="470">
        <f>O8</f>
        <v>0</v>
      </c>
      <c r="P15" s="659"/>
      <c r="Q15" s="653"/>
      <c r="R15" s="661"/>
    </row>
    <row r="16" spans="1:19" ht="30" customHeight="1" thickBot="1" x14ac:dyDescent="0.3">
      <c r="A16" s="637"/>
      <c r="B16" s="640"/>
      <c r="C16" s="634"/>
      <c r="D16" s="598"/>
      <c r="E16" s="599"/>
      <c r="F16" s="598"/>
      <c r="G16" s="599"/>
      <c r="H16" s="598"/>
      <c r="I16" s="599"/>
      <c r="J16" s="627"/>
      <c r="K16" s="612"/>
      <c r="L16" s="624"/>
      <c r="M16" s="627"/>
      <c r="N16" s="117" t="s">
        <v>79</v>
      </c>
      <c r="O16" s="324" t="str">
        <f>IF(O14="","n.d.",IF(O15="","n.d.",IF(O15=0,"",O14/O15)))</f>
        <v>n.d.</v>
      </c>
      <c r="P16" s="659"/>
      <c r="Q16" s="653"/>
      <c r="R16" s="661"/>
    </row>
    <row r="17" spans="1:19" ht="30" customHeight="1" thickBot="1" x14ac:dyDescent="0.3">
      <c r="A17" s="635">
        <v>3</v>
      </c>
      <c r="B17" s="638"/>
      <c r="C17" s="632" t="s">
        <v>480</v>
      </c>
      <c r="D17" s="594" t="s">
        <v>806</v>
      </c>
      <c r="E17" s="595"/>
      <c r="F17" s="594" t="s">
        <v>807</v>
      </c>
      <c r="G17" s="595"/>
      <c r="H17" s="594" t="s">
        <v>481</v>
      </c>
      <c r="I17" s="595"/>
      <c r="J17" s="625"/>
      <c r="K17" s="610" t="s">
        <v>90</v>
      </c>
      <c r="L17" s="622"/>
      <c r="M17" s="625"/>
      <c r="N17" s="117" t="s">
        <v>471</v>
      </c>
      <c r="O17" s="477"/>
      <c r="P17" s="619" t="str">
        <f>IF(O19=Berechnung1!D34,Berechnung1!$F$5,IF(OR(O19&lt; Berechnung1!E34,O19&gt; Berechnung1!F34),Berechnung1!$G$5,IF(OR(ROUND(O19,4)&lt;Berechnung1!J34,ROUND(O19,4)&gt;Berechnung1!K34),Berechnung1!$D$5,IF(OR(ROUND(O19,4)&lt;Berechnung1!G34,ROUND(O19,4)&gt;Berechnung1!H34),Berechnung1!$E$5,Berechnung1!$C$5))))</f>
        <v>Incomplete</v>
      </c>
      <c r="Q17" s="652"/>
      <c r="R17" s="660"/>
    </row>
    <row r="18" spans="1:19" ht="30" customHeight="1" thickBot="1" x14ac:dyDescent="0.3">
      <c r="A18" s="636"/>
      <c r="B18" s="639"/>
      <c r="C18" s="633"/>
      <c r="D18" s="596"/>
      <c r="E18" s="597"/>
      <c r="F18" s="596"/>
      <c r="G18" s="597"/>
      <c r="H18" s="596"/>
      <c r="I18" s="597"/>
      <c r="J18" s="626"/>
      <c r="K18" s="611"/>
      <c r="L18" s="623"/>
      <c r="M18" s="626"/>
      <c r="N18" s="117" t="s">
        <v>536</v>
      </c>
      <c r="O18" s="118">
        <f>IF(SUM('Basic data'!$B$28:$E$28) = "","",SUM('Basic data'!$B$28:$E$28))</f>
        <v>0</v>
      </c>
      <c r="P18" s="620"/>
      <c r="Q18" s="653"/>
      <c r="R18" s="661"/>
    </row>
    <row r="19" spans="1:19" ht="30" customHeight="1" thickBot="1" x14ac:dyDescent="0.3">
      <c r="A19" s="637"/>
      <c r="B19" s="640"/>
      <c r="C19" s="634"/>
      <c r="D19" s="598"/>
      <c r="E19" s="599"/>
      <c r="F19" s="598"/>
      <c r="G19" s="599"/>
      <c r="H19" s="598"/>
      <c r="I19" s="599"/>
      <c r="J19" s="627"/>
      <c r="K19" s="612"/>
      <c r="L19" s="624"/>
      <c r="M19" s="627"/>
      <c r="N19" s="117" t="s">
        <v>79</v>
      </c>
      <c r="O19" s="469" t="str">
        <f>IF(O17="","n.d.",IF(O18="","n.d.",IF(O18=0,"",O17/O18)))</f>
        <v>n.d.</v>
      </c>
      <c r="P19" s="621"/>
      <c r="Q19" s="653"/>
      <c r="R19" s="661"/>
    </row>
    <row r="20" spans="1:19" ht="30" customHeight="1" thickBot="1" x14ac:dyDescent="0.3">
      <c r="A20" s="635">
        <v>4</v>
      </c>
      <c r="B20" s="638"/>
      <c r="C20" s="632" t="s">
        <v>842</v>
      </c>
      <c r="D20" s="594" t="s">
        <v>817</v>
      </c>
      <c r="E20" s="595"/>
      <c r="F20" s="594" t="s">
        <v>849</v>
      </c>
      <c r="G20" s="595"/>
      <c r="H20" s="594" t="s">
        <v>779</v>
      </c>
      <c r="I20" s="595"/>
      <c r="J20" s="625"/>
      <c r="K20" s="610" t="s">
        <v>818</v>
      </c>
      <c r="L20" s="622"/>
      <c r="M20" s="625"/>
      <c r="N20" s="471" t="s">
        <v>471</v>
      </c>
      <c r="O20" s="478"/>
      <c r="P20" s="619" t="str">
        <f>IF(O22=Berechnung1!D37,Berechnung1!$F$5,IF(OR(O22&lt; Berechnung1!E37,O22&gt; Berechnung1!F37),Berechnung1!$G$5,IF(OR(ROUND(O22,4)&lt;Berechnung1!J37,ROUND(O22,4)&gt;Berechnung1!K37),Berechnung1!$D$5,IF(OR(ROUND(O22,4)&lt;Berechnung1!G37,ROUND(O22,4)&gt;Berechnung1!H37),Berechnung1!$E$5,Berechnung1!$C$5))))</f>
        <v>Incomplete</v>
      </c>
      <c r="Q20" s="678"/>
      <c r="R20" s="677"/>
    </row>
    <row r="21" spans="1:19" ht="30" customHeight="1" thickBot="1" x14ac:dyDescent="0.3">
      <c r="A21" s="636"/>
      <c r="B21" s="639"/>
      <c r="C21" s="633"/>
      <c r="D21" s="596"/>
      <c r="E21" s="597"/>
      <c r="F21" s="596"/>
      <c r="G21" s="597"/>
      <c r="H21" s="596"/>
      <c r="I21" s="597"/>
      <c r="J21" s="626"/>
      <c r="K21" s="611"/>
      <c r="L21" s="623"/>
      <c r="M21" s="626"/>
      <c r="N21" s="259" t="s">
        <v>536</v>
      </c>
      <c r="O21" s="467">
        <f>IF(OR('Basic data'!$H$28 = "",O8=""),0,'Basic data'!$H$28+O8)</f>
        <v>0</v>
      </c>
      <c r="P21" s="620"/>
      <c r="Q21" s="653"/>
      <c r="R21" s="661"/>
    </row>
    <row r="22" spans="1:19" ht="30" customHeight="1" thickBot="1" x14ac:dyDescent="0.3">
      <c r="A22" s="637"/>
      <c r="B22" s="640"/>
      <c r="C22" s="634"/>
      <c r="D22" s="598"/>
      <c r="E22" s="599"/>
      <c r="F22" s="598"/>
      <c r="G22" s="599"/>
      <c r="H22" s="598"/>
      <c r="I22" s="599"/>
      <c r="J22" s="627"/>
      <c r="K22" s="612"/>
      <c r="L22" s="624"/>
      <c r="M22" s="627"/>
      <c r="N22" s="259" t="s">
        <v>79</v>
      </c>
      <c r="O22" s="325" t="str">
        <f>IF(O20="","n.d.",IF(O21="","n.d.",IF(O21=0,"",O20/O21)))</f>
        <v>n.d.</v>
      </c>
      <c r="P22" s="621"/>
      <c r="Q22" s="653"/>
      <c r="R22" s="661"/>
    </row>
    <row r="23" spans="1:19" ht="30" customHeight="1" thickBot="1" x14ac:dyDescent="0.3">
      <c r="A23" s="635">
        <v>5</v>
      </c>
      <c r="B23" s="638"/>
      <c r="C23" s="632" t="s">
        <v>482</v>
      </c>
      <c r="D23" s="594" t="s">
        <v>819</v>
      </c>
      <c r="E23" s="595"/>
      <c r="F23" s="594" t="s">
        <v>780</v>
      </c>
      <c r="G23" s="595"/>
      <c r="H23" s="594" t="s">
        <v>781</v>
      </c>
      <c r="I23" s="595"/>
      <c r="J23" s="625" t="s">
        <v>419</v>
      </c>
      <c r="K23" s="610" t="s">
        <v>745</v>
      </c>
      <c r="L23" s="622"/>
      <c r="M23" s="628"/>
      <c r="N23" s="468" t="s">
        <v>471</v>
      </c>
      <c r="O23" s="476"/>
      <c r="P23" s="630" t="str">
        <f>IF(O25=Berechnung1!D40,Berechnung1!$F$5,IF(OR(O25&lt; Berechnung1!E40,O25&gt; Berechnung1!F40),Berechnung1!$G$5,IF(OR(ROUND(O25,4)&lt;Berechnung1!J40,ROUND(O25,4)&gt;Berechnung1!K40),Berechnung1!$D$5,IF(OR(ROUND(O25,4)&lt;Berechnung1!G40,ROUND(O25,4)&gt;Berechnung1!H40),Berechnung1!$E$5,Berechnung1!$C$5))))</f>
        <v>Incomplete</v>
      </c>
      <c r="Q23" s="652"/>
      <c r="R23" s="660"/>
    </row>
    <row r="24" spans="1:19" ht="30" customHeight="1" thickBot="1" x14ac:dyDescent="0.3">
      <c r="A24" s="636"/>
      <c r="B24" s="639"/>
      <c r="C24" s="633"/>
      <c r="D24" s="596"/>
      <c r="E24" s="597"/>
      <c r="F24" s="596"/>
      <c r="G24" s="597"/>
      <c r="H24" s="596"/>
      <c r="I24" s="597"/>
      <c r="J24" s="626"/>
      <c r="K24" s="611"/>
      <c r="L24" s="623"/>
      <c r="M24" s="626"/>
      <c r="N24" s="117" t="s">
        <v>536</v>
      </c>
      <c r="O24" s="470">
        <f>IF(OR('Basic data'!$H$28 = "",O8=""),0,'Basic data'!$H$28+O8)</f>
        <v>0</v>
      </c>
      <c r="P24" s="620"/>
      <c r="Q24" s="653"/>
      <c r="R24" s="661"/>
    </row>
    <row r="25" spans="1:19" ht="30" customHeight="1" thickBot="1" x14ac:dyDescent="0.3">
      <c r="A25" s="637"/>
      <c r="B25" s="640"/>
      <c r="C25" s="634"/>
      <c r="D25" s="598"/>
      <c r="E25" s="599"/>
      <c r="F25" s="598"/>
      <c r="G25" s="599"/>
      <c r="H25" s="598"/>
      <c r="I25" s="599"/>
      <c r="J25" s="627"/>
      <c r="K25" s="612"/>
      <c r="L25" s="624"/>
      <c r="M25" s="627"/>
      <c r="N25" s="117" t="s">
        <v>79</v>
      </c>
      <c r="O25" s="469" t="str">
        <f>IF(O23="","n.d.",IF(O24="","n.d.",IF(O24=0,"",O23/O24)))</f>
        <v>n.d.</v>
      </c>
      <c r="P25" s="621"/>
      <c r="Q25" s="653"/>
      <c r="R25" s="661"/>
    </row>
    <row r="26" spans="1:19" ht="30" customHeight="1" thickBot="1" x14ac:dyDescent="0.3">
      <c r="A26" s="635">
        <v>6</v>
      </c>
      <c r="B26" s="644" t="s">
        <v>748</v>
      </c>
      <c r="C26" s="632" t="s">
        <v>840</v>
      </c>
      <c r="D26" s="594" t="s">
        <v>483</v>
      </c>
      <c r="E26" s="595"/>
      <c r="F26" s="594" t="s">
        <v>839</v>
      </c>
      <c r="G26" s="595"/>
      <c r="H26" s="594" t="s">
        <v>484</v>
      </c>
      <c r="I26" s="595"/>
      <c r="J26" s="625"/>
      <c r="K26" s="610" t="s">
        <v>377</v>
      </c>
      <c r="L26" s="622"/>
      <c r="M26" s="625"/>
      <c r="N26" s="468" t="s">
        <v>471</v>
      </c>
      <c r="O26" s="118">
        <f>IF(Studies!$E$5 = "",0,Studies!$E$5)</f>
        <v>0</v>
      </c>
      <c r="P26" s="630" t="str">
        <f>IF(O28=Berechnung1!D43,Berechnung1!$F$5,IF(OR(O28&lt; Berechnung1!E43,O28&gt; Berechnung1!F43),Berechnung1!$G$5,IF(OR(ROUND(O28,4)&lt;Berechnung1!J43,ROUND(O28,4)&gt;Berechnung1!K43),Berechnung1!$D$5,IF(OR(ROUND(O28,4)&lt;Berechnung1!G43,ROUND(O28,4)&gt;Berechnung1!H43),Berechnung1!$E$5,Berechnung1!$C$5))))</f>
        <v>Incomplete</v>
      </c>
      <c r="Q26" s="652"/>
      <c r="R26" s="660"/>
    </row>
    <row r="27" spans="1:19" ht="30" customHeight="1" thickBot="1" x14ac:dyDescent="0.3">
      <c r="A27" s="636"/>
      <c r="B27" s="645"/>
      <c r="C27" s="633"/>
      <c r="D27" s="596"/>
      <c r="E27" s="597"/>
      <c r="F27" s="596"/>
      <c r="G27" s="597"/>
      <c r="H27" s="596"/>
      <c r="I27" s="597"/>
      <c r="J27" s="626"/>
      <c r="K27" s="611"/>
      <c r="L27" s="623"/>
      <c r="M27" s="626"/>
      <c r="N27" s="117" t="s">
        <v>536</v>
      </c>
      <c r="O27" s="470">
        <f>IF('Basic data'!$H$28 = "",0,'Basic data'!$H$28)</f>
        <v>0</v>
      </c>
      <c r="P27" s="620"/>
      <c r="Q27" s="653"/>
      <c r="R27" s="661"/>
    </row>
    <row r="28" spans="1:19" ht="30" customHeight="1" thickBot="1" x14ac:dyDescent="0.3">
      <c r="A28" s="637"/>
      <c r="B28" s="646"/>
      <c r="C28" s="634"/>
      <c r="D28" s="598"/>
      <c r="E28" s="599"/>
      <c r="F28" s="598"/>
      <c r="G28" s="599"/>
      <c r="H28" s="598"/>
      <c r="I28" s="599"/>
      <c r="J28" s="627"/>
      <c r="K28" s="612"/>
      <c r="L28" s="624"/>
      <c r="M28" s="627"/>
      <c r="N28" s="117" t="s">
        <v>79</v>
      </c>
      <c r="O28" s="324" t="str">
        <f>IF(O26="","n.d.",IF(O27="","n.d.",IF(O27=0,"n.d.",O26/O27)))</f>
        <v>n.d.</v>
      </c>
      <c r="P28" s="621"/>
      <c r="Q28" s="653"/>
      <c r="R28" s="661"/>
    </row>
    <row r="29" spans="1:19" ht="33" customHeight="1" thickBot="1" x14ac:dyDescent="0.3">
      <c r="A29" s="635">
        <v>7</v>
      </c>
      <c r="B29" s="644" t="s">
        <v>776</v>
      </c>
      <c r="C29" s="632" t="s">
        <v>485</v>
      </c>
      <c r="D29" s="594" t="s">
        <v>782</v>
      </c>
      <c r="E29" s="595"/>
      <c r="F29" s="594" t="s">
        <v>843</v>
      </c>
      <c r="G29" s="595"/>
      <c r="H29" s="594" t="s">
        <v>484</v>
      </c>
      <c r="I29" s="595"/>
      <c r="J29" s="625"/>
      <c r="K29" s="610" t="s">
        <v>80</v>
      </c>
      <c r="L29" s="622"/>
      <c r="M29" s="628"/>
      <c r="N29" s="117" t="s">
        <v>471</v>
      </c>
      <c r="O29" s="477"/>
      <c r="P29" s="619" t="str">
        <f>IF(O31=Berechnung1!D46,Berechnung1!$F$5,IF(OR(O31&lt; Berechnung1!E46,O31&gt; Berechnung1!F46),Berechnung1!$G$5,IF(OR(ROUND(O31,4)&lt;Berechnung1!J46,ROUND(O31,4)&gt;Berechnung1!K46),Berechnung1!$D$5,IF(OR(ROUND(O31,4)&lt;Berechnung1!G46,ROUND(O31,4)&gt;Berechnung1!H46),Berechnung1!$E$5,Berechnung1!$C$5))))</f>
        <v>Incomplete</v>
      </c>
      <c r="Q29" s="652"/>
      <c r="R29" s="660"/>
      <c r="S29" s="359"/>
    </row>
    <row r="30" spans="1:19" ht="33" customHeight="1" thickBot="1" x14ac:dyDescent="0.3">
      <c r="A30" s="636"/>
      <c r="B30" s="645"/>
      <c r="C30" s="633"/>
      <c r="D30" s="596"/>
      <c r="E30" s="597"/>
      <c r="F30" s="596"/>
      <c r="G30" s="597"/>
      <c r="H30" s="596"/>
      <c r="I30" s="597"/>
      <c r="J30" s="626"/>
      <c r="K30" s="611"/>
      <c r="L30" s="623"/>
      <c r="M30" s="626"/>
      <c r="N30" s="117" t="s">
        <v>536</v>
      </c>
      <c r="O30" s="361">
        <f>IF('Basic data'!$H$28 = "",0,'Basic data'!$H$28)</f>
        <v>0</v>
      </c>
      <c r="P30" s="620"/>
      <c r="Q30" s="653"/>
      <c r="R30" s="661"/>
      <c r="S30" s="359"/>
    </row>
    <row r="31" spans="1:19" ht="33" customHeight="1" thickBot="1" x14ac:dyDescent="0.3">
      <c r="A31" s="637"/>
      <c r="B31" s="646"/>
      <c r="C31" s="634"/>
      <c r="D31" s="598"/>
      <c r="E31" s="599"/>
      <c r="F31" s="598"/>
      <c r="G31" s="599"/>
      <c r="H31" s="598"/>
      <c r="I31" s="599"/>
      <c r="J31" s="627"/>
      <c r="K31" s="612"/>
      <c r="L31" s="624"/>
      <c r="M31" s="627"/>
      <c r="N31" s="360" t="s">
        <v>79</v>
      </c>
      <c r="O31" s="362" t="str">
        <f>IF(O29="","n.d.",IF(O30="","n.d.",IF(O30=0,"",O29/O30)))</f>
        <v>n.d.</v>
      </c>
      <c r="P31" s="621"/>
      <c r="Q31" s="653"/>
      <c r="R31" s="661"/>
      <c r="S31" s="359"/>
    </row>
    <row r="32" spans="1:19" ht="33" customHeight="1" thickBot="1" x14ac:dyDescent="0.3">
      <c r="A32" s="668" t="s">
        <v>912</v>
      </c>
      <c r="B32" s="732"/>
      <c r="C32" s="671" t="s">
        <v>486</v>
      </c>
      <c r="D32" s="600" t="s">
        <v>783</v>
      </c>
      <c r="E32" s="601"/>
      <c r="F32" s="600" t="s">
        <v>487</v>
      </c>
      <c r="G32" s="601"/>
      <c r="H32" s="600" t="s">
        <v>900</v>
      </c>
      <c r="I32" s="601"/>
      <c r="J32" s="606"/>
      <c r="K32" s="613" t="s">
        <v>80</v>
      </c>
      <c r="L32" s="614"/>
      <c r="M32" s="629"/>
      <c r="N32" s="360" t="s">
        <v>471</v>
      </c>
      <c r="O32" s="528"/>
      <c r="P32" s="737" t="str">
        <f>IF(AND(O32&lt;&gt;"",O33&lt;&gt;"",O32=0,O33=0),Berechnung1!$H$5,IF(O34="",Berechnung1!$D$5,IF(O34=Berechnung1!D49,Berechnung1!$F$5,IF(OR(O34&lt;Berechnung1!E49,O34&gt;Berechnung1!F49),Berechnung1!$G$5,IF(OR(ROUND(O34,4)&lt;Berechnung1!J49,ROUND(O34,4)&gt;Berechnung1!K49),Berechnung1!$D$5,IF(OR(ROUND(O34,4)&lt;Berechnung1!G49,ROUND(O34,4)&gt;Berechnung1!H49),Berechnung1!$E$5,Berechnung1!$C$5))))))</f>
        <v>Incomplete</v>
      </c>
      <c r="Q32" s="740"/>
      <c r="R32" s="735"/>
      <c r="S32" s="359"/>
    </row>
    <row r="33" spans="1:19" ht="33" customHeight="1" thickBot="1" x14ac:dyDescent="0.3">
      <c r="A33" s="669"/>
      <c r="B33" s="733"/>
      <c r="C33" s="672"/>
      <c r="D33" s="602"/>
      <c r="E33" s="603"/>
      <c r="F33" s="602"/>
      <c r="G33" s="603"/>
      <c r="H33" s="602"/>
      <c r="I33" s="603"/>
      <c r="J33" s="607"/>
      <c r="K33" s="615"/>
      <c r="L33" s="616"/>
      <c r="M33" s="607"/>
      <c r="N33" s="360" t="s">
        <v>536</v>
      </c>
      <c r="O33" s="528"/>
      <c r="P33" s="738"/>
      <c r="Q33" s="741"/>
      <c r="R33" s="736"/>
      <c r="S33" s="359"/>
    </row>
    <row r="34" spans="1:19" ht="33" customHeight="1" thickBot="1" x14ac:dyDescent="0.3">
      <c r="A34" s="670"/>
      <c r="B34" s="734"/>
      <c r="C34" s="673"/>
      <c r="D34" s="604"/>
      <c r="E34" s="605"/>
      <c r="F34" s="604"/>
      <c r="G34" s="605"/>
      <c r="H34" s="604"/>
      <c r="I34" s="605"/>
      <c r="J34" s="608"/>
      <c r="K34" s="617"/>
      <c r="L34" s="618"/>
      <c r="M34" s="608"/>
      <c r="N34" s="360" t="s">
        <v>79</v>
      </c>
      <c r="O34" s="362" t="str">
        <f>IF(O32="","n.d.",IF(O33="","n.d.",IF(O33=0,"",O32/O33)))</f>
        <v>n.d.</v>
      </c>
      <c r="P34" s="739"/>
      <c r="Q34" s="742"/>
      <c r="R34" s="736"/>
      <c r="S34" s="359"/>
    </row>
    <row r="35" spans="1:19" ht="30" customHeight="1" thickBot="1" x14ac:dyDescent="0.3">
      <c r="A35" s="668" t="s">
        <v>913</v>
      </c>
      <c r="B35" s="674"/>
      <c r="C35" s="671" t="s">
        <v>901</v>
      </c>
      <c r="D35" s="600" t="s">
        <v>902</v>
      </c>
      <c r="E35" s="601"/>
      <c r="F35" s="600" t="s">
        <v>903</v>
      </c>
      <c r="G35" s="601"/>
      <c r="H35" s="600" t="s">
        <v>904</v>
      </c>
      <c r="I35" s="601"/>
      <c r="J35" s="606"/>
      <c r="K35" s="613" t="s">
        <v>80</v>
      </c>
      <c r="L35" s="614"/>
      <c r="M35" s="606"/>
      <c r="N35" s="360" t="s">
        <v>471</v>
      </c>
      <c r="O35" s="528"/>
      <c r="P35" s="737" t="str">
        <f>IF(O37=Berechnung1!D52,Berechnung1!$F$5,IF(OR(O37&lt; Berechnung1!E52,O37&gt; Berechnung1!F52),Berechnung1!$G$5,IF(OR(ROUND(O37,4)&lt;Berechnung1!J52,ROUND(O37,4)&gt;Berechnung1!K52),Berechnung1!$D$5,IF(OR(ROUND(O37,4)&lt;Berechnung1!G52,ROUND(O37,4)&gt;Berechnung1!H52),Berechnung1!$E$5,Berechnung1!$C$5))))</f>
        <v>Incomplete</v>
      </c>
      <c r="Q35" s="740"/>
      <c r="R35" s="735"/>
    </row>
    <row r="36" spans="1:19" ht="30" customHeight="1" thickBot="1" x14ac:dyDescent="0.3">
      <c r="A36" s="669"/>
      <c r="B36" s="675"/>
      <c r="C36" s="672"/>
      <c r="D36" s="602"/>
      <c r="E36" s="603"/>
      <c r="F36" s="602"/>
      <c r="G36" s="603"/>
      <c r="H36" s="602"/>
      <c r="I36" s="603"/>
      <c r="J36" s="607"/>
      <c r="K36" s="615"/>
      <c r="L36" s="616"/>
      <c r="M36" s="607"/>
      <c r="N36" s="360" t="s">
        <v>536</v>
      </c>
      <c r="O36" s="528"/>
      <c r="P36" s="738"/>
      <c r="Q36" s="741"/>
      <c r="R36" s="736"/>
      <c r="S36" s="330">
        <f>IF('Basic data'!H28="",0,'Basic data'!H28)</f>
        <v>0</v>
      </c>
    </row>
    <row r="37" spans="1:19" ht="30" customHeight="1" thickBot="1" x14ac:dyDescent="0.3">
      <c r="A37" s="670"/>
      <c r="B37" s="676"/>
      <c r="C37" s="673"/>
      <c r="D37" s="604"/>
      <c r="E37" s="605"/>
      <c r="F37" s="604"/>
      <c r="G37" s="605"/>
      <c r="H37" s="604"/>
      <c r="I37" s="605"/>
      <c r="J37" s="608"/>
      <c r="K37" s="617"/>
      <c r="L37" s="618"/>
      <c r="M37" s="608"/>
      <c r="N37" s="360" t="s">
        <v>79</v>
      </c>
      <c r="O37" s="529" t="str">
        <f>IF(O35="","n.d.",IF(O36="","n.d.",IF(O36=0,"",O35/O36)))</f>
        <v>n.d.</v>
      </c>
      <c r="P37" s="739"/>
      <c r="Q37" s="742"/>
      <c r="R37" s="736"/>
    </row>
    <row r="38" spans="1:19" ht="30" customHeight="1" thickBot="1" x14ac:dyDescent="0.3">
      <c r="A38" s="635">
        <v>10</v>
      </c>
      <c r="B38" s="638" t="s">
        <v>776</v>
      </c>
      <c r="C38" s="632" t="s">
        <v>488</v>
      </c>
      <c r="D38" s="594" t="s">
        <v>784</v>
      </c>
      <c r="E38" s="595"/>
      <c r="F38" s="594" t="s">
        <v>905</v>
      </c>
      <c r="G38" s="595"/>
      <c r="H38" s="594" t="s">
        <v>824</v>
      </c>
      <c r="I38" s="595"/>
      <c r="J38" s="610"/>
      <c r="K38" s="610" t="s">
        <v>834</v>
      </c>
      <c r="L38" s="622"/>
      <c r="M38" s="625"/>
      <c r="N38" s="471" t="s">
        <v>471</v>
      </c>
      <c r="O38" s="478"/>
      <c r="P38" s="630" t="str">
        <f>IF(AND(O38&lt;&gt;"",O39&lt;&gt;"",O38=0,O39=0),Berechnung1!$H$5,IF(OR(O38="",O39=""),Berechnung1!$F$5,IF(AND(O38=0,O39=0),Berechnung1!$D$5,IF(O40=Berechnung1!D55,Berechnung1!$F$5,IF(OR(O40&lt;Berechnung1!E55,O40&gt;Berechnung1!F55),Berechnung1!$G$5,IF(OR(ROUND(O40,4)&lt;Berechnung1!J55,ROUND(O40,4)&gt;Berechnung1!K55),Berechnung1!$D$5,IF(OR(ROUND(O40,4)&lt;Berechnung1!G55,ROUND(O40,4)&gt;Berechnung1!H55),Berechnung1!$E$5,Berechnung1!$C$5)))))))</f>
        <v>Incomplete</v>
      </c>
      <c r="Q38" s="652"/>
      <c r="R38" s="660"/>
    </row>
    <row r="39" spans="1:19" ht="30" customHeight="1" thickBot="1" x14ac:dyDescent="0.3">
      <c r="A39" s="636"/>
      <c r="B39" s="639"/>
      <c r="C39" s="633"/>
      <c r="D39" s="596"/>
      <c r="E39" s="597"/>
      <c r="F39" s="596"/>
      <c r="G39" s="597"/>
      <c r="H39" s="596"/>
      <c r="I39" s="597"/>
      <c r="J39" s="611"/>
      <c r="K39" s="611"/>
      <c r="L39" s="623"/>
      <c r="M39" s="626"/>
      <c r="N39" s="471" t="s">
        <v>536</v>
      </c>
      <c r="O39" s="478"/>
      <c r="P39" s="745"/>
      <c r="Q39" s="653"/>
      <c r="R39" s="661"/>
    </row>
    <row r="40" spans="1:19" ht="30" customHeight="1" thickBot="1" x14ac:dyDescent="0.3">
      <c r="A40" s="637"/>
      <c r="B40" s="640"/>
      <c r="C40" s="634"/>
      <c r="D40" s="598"/>
      <c r="E40" s="599"/>
      <c r="F40" s="598"/>
      <c r="G40" s="599"/>
      <c r="H40" s="598"/>
      <c r="I40" s="599"/>
      <c r="J40" s="612"/>
      <c r="K40" s="612"/>
      <c r="L40" s="624"/>
      <c r="M40" s="627"/>
      <c r="N40" s="259" t="s">
        <v>79</v>
      </c>
      <c r="O40" s="325" t="str">
        <f>IF(O38="","n.d.",IF(O39="","n.d.",IF(O39=0,"",O38/O39)))</f>
        <v>n.d.</v>
      </c>
      <c r="P40" s="621"/>
      <c r="Q40" s="653"/>
      <c r="R40" s="661"/>
    </row>
    <row r="41" spans="1:19" ht="30" customHeight="1" thickBot="1" x14ac:dyDescent="0.3">
      <c r="A41" s="668" t="s">
        <v>915</v>
      </c>
      <c r="B41" s="674"/>
      <c r="C41" s="671" t="s">
        <v>489</v>
      </c>
      <c r="D41" s="600" t="s">
        <v>785</v>
      </c>
      <c r="E41" s="601"/>
      <c r="F41" s="600" t="s">
        <v>490</v>
      </c>
      <c r="G41" s="601"/>
      <c r="H41" s="600" t="s">
        <v>906</v>
      </c>
      <c r="I41" s="601"/>
      <c r="J41" s="606" t="s">
        <v>137</v>
      </c>
      <c r="K41" s="613" t="s">
        <v>91</v>
      </c>
      <c r="L41" s="614"/>
      <c r="M41" s="606"/>
      <c r="N41" s="530" t="s">
        <v>471</v>
      </c>
      <c r="O41" s="528"/>
      <c r="P41" s="750" t="str">
        <f>IF(O43=Berechnung1!D58,Berechnung1!$F$5,IF(OR(O43&lt; Berechnung1!E58,O43&gt; Berechnung1!F58),Berechnung1!$G$5,IF(OR(O43&lt;Berechnung1!J58,O43&gt;Berechnung1!K58),Berechnung1!$D$5,IF(OR(ROUND(O43,4)&lt;Berechnung1!G58,ROUND(O43,4)&gt;Berechnung1!H58),Berechnung1!$E$5,Berechnung1!$C$5))))</f>
        <v>Incomplete</v>
      </c>
      <c r="Q41" s="740"/>
      <c r="R41" s="735"/>
    </row>
    <row r="42" spans="1:19" ht="30" customHeight="1" thickBot="1" x14ac:dyDescent="0.3">
      <c r="A42" s="669"/>
      <c r="B42" s="675"/>
      <c r="C42" s="672"/>
      <c r="D42" s="602"/>
      <c r="E42" s="603"/>
      <c r="F42" s="602"/>
      <c r="G42" s="603"/>
      <c r="H42" s="602"/>
      <c r="I42" s="603"/>
      <c r="J42" s="607"/>
      <c r="K42" s="615"/>
      <c r="L42" s="616"/>
      <c r="M42" s="607"/>
      <c r="N42" s="530" t="s">
        <v>536</v>
      </c>
      <c r="O42" s="528"/>
      <c r="P42" s="751"/>
      <c r="Q42" s="741"/>
      <c r="R42" s="736"/>
    </row>
    <row r="43" spans="1:19" ht="30" customHeight="1" thickBot="1" x14ac:dyDescent="0.3">
      <c r="A43" s="670"/>
      <c r="B43" s="676"/>
      <c r="C43" s="673"/>
      <c r="D43" s="604"/>
      <c r="E43" s="605"/>
      <c r="F43" s="604"/>
      <c r="G43" s="605"/>
      <c r="H43" s="604"/>
      <c r="I43" s="605"/>
      <c r="J43" s="608"/>
      <c r="K43" s="617"/>
      <c r="L43" s="618"/>
      <c r="M43" s="608"/>
      <c r="N43" s="360" t="s">
        <v>79</v>
      </c>
      <c r="O43" s="531" t="str">
        <f>IF(O41="","n.d.",IF(O42="","n.d.",IF(O42=0,"",O41/O42)))</f>
        <v>n.d.</v>
      </c>
      <c r="P43" s="739"/>
      <c r="Q43" s="742"/>
      <c r="R43" s="736"/>
    </row>
    <row r="44" spans="1:19" s="119" customFormat="1" ht="30" customHeight="1" thickBot="1" x14ac:dyDescent="0.25">
      <c r="A44" s="635">
        <v>12</v>
      </c>
      <c r="B44" s="638" t="s">
        <v>776</v>
      </c>
      <c r="C44" s="632" t="s">
        <v>491</v>
      </c>
      <c r="D44" s="594" t="s">
        <v>492</v>
      </c>
      <c r="E44" s="595"/>
      <c r="F44" s="594" t="s">
        <v>493</v>
      </c>
      <c r="G44" s="595"/>
      <c r="H44" s="594" t="s">
        <v>494</v>
      </c>
      <c r="I44" s="595"/>
      <c r="J44" s="625"/>
      <c r="K44" s="610" t="s">
        <v>80</v>
      </c>
      <c r="L44" s="622"/>
      <c r="M44" s="628"/>
      <c r="N44" s="259" t="s">
        <v>471</v>
      </c>
      <c r="O44" s="478"/>
      <c r="P44" s="747" t="str">
        <f>IF(AND(O44&lt;&gt;"",O45&lt;&gt;"",O44=0,O45=0),Berechnung1!$H$5,IF(O46="",Berechnung1!$D$5,IF(O46=Berechnung1!D61,Berechnung1!$F$5,IF(OR(O46&lt;Berechnung1!E61,O46&gt;Berechnung1!F61),Berechnung1!$G$5,IF(OR(ROUND(O46,4)&lt;Berechnung1!J61,ROUND(O46,4)&gt;Berechnung1!K61),Berechnung1!$D$5,IF(OR(ROUND(O46,4)&lt;Berechnung1!G61,ROUND(O46,4)&gt;Berechnung1!H61),Berechnung1!$E$5,Berechnung1!$C$5))))))</f>
        <v>Incomplete</v>
      </c>
      <c r="Q44" s="652"/>
      <c r="R44" s="660"/>
      <c r="S44" s="331"/>
    </row>
    <row r="45" spans="1:19" s="119" customFormat="1" ht="30" customHeight="1" thickBot="1" x14ac:dyDescent="0.25">
      <c r="A45" s="636"/>
      <c r="B45" s="639"/>
      <c r="C45" s="633"/>
      <c r="D45" s="596"/>
      <c r="E45" s="597"/>
      <c r="F45" s="596"/>
      <c r="G45" s="597"/>
      <c r="H45" s="596"/>
      <c r="I45" s="597"/>
      <c r="J45" s="626"/>
      <c r="K45" s="611"/>
      <c r="L45" s="623"/>
      <c r="M45" s="626"/>
      <c r="N45" s="259" t="s">
        <v>536</v>
      </c>
      <c r="O45" s="478"/>
      <c r="P45" s="748"/>
      <c r="Q45" s="653"/>
      <c r="R45" s="661"/>
      <c r="S45" s="331">
        <f>IF(OR('Basic data'!H30="",'Basic data'!D30=""),0,('Basic data'!H30-'Basic data'!D30))</f>
        <v>0</v>
      </c>
    </row>
    <row r="46" spans="1:19" s="119" customFormat="1" ht="30" customHeight="1" thickBot="1" x14ac:dyDescent="0.25">
      <c r="A46" s="637"/>
      <c r="B46" s="640"/>
      <c r="C46" s="634"/>
      <c r="D46" s="598"/>
      <c r="E46" s="599"/>
      <c r="F46" s="598"/>
      <c r="G46" s="599"/>
      <c r="H46" s="598"/>
      <c r="I46" s="599"/>
      <c r="J46" s="627"/>
      <c r="K46" s="612"/>
      <c r="L46" s="624"/>
      <c r="M46" s="627"/>
      <c r="N46" s="259" t="s">
        <v>79</v>
      </c>
      <c r="O46" s="325" t="str">
        <f>IF(O44="","n.d.",IF(O45="","n.d.",IF(AND(O44=0,O45=0),"",IF(O45=0,"n.d.",O44/O45))))</f>
        <v>n.d.</v>
      </c>
      <c r="P46" s="749"/>
      <c r="Q46" s="653"/>
      <c r="R46" s="661"/>
      <c r="S46" s="331"/>
    </row>
    <row r="47" spans="1:19" ht="30" customHeight="1" thickBot="1" x14ac:dyDescent="0.3">
      <c r="A47" s="635">
        <v>13</v>
      </c>
      <c r="B47" s="644" t="s">
        <v>749</v>
      </c>
      <c r="C47" s="632" t="s">
        <v>495</v>
      </c>
      <c r="D47" s="594" t="s">
        <v>496</v>
      </c>
      <c r="E47" s="595"/>
      <c r="F47" s="594" t="s">
        <v>497</v>
      </c>
      <c r="G47" s="595"/>
      <c r="H47" s="594" t="s">
        <v>21</v>
      </c>
      <c r="I47" s="595"/>
      <c r="J47" s="625"/>
      <c r="K47" s="610" t="s">
        <v>95</v>
      </c>
      <c r="L47" s="622"/>
      <c r="M47" s="625"/>
      <c r="N47" s="731" t="s">
        <v>537</v>
      </c>
      <c r="O47" s="667">
        <f>'Basic data'!B29+'Basic data'!D29</f>
        <v>0</v>
      </c>
      <c r="P47" s="619" t="str">
        <f>IF(O47=Berechnung1!D64,Berechnung1!$F$5,IF(OR(O47&lt; Berechnung1!E64,O47&gt; Berechnung1!F64),Berechnung1!$G$5,IF(OR(ROUND(O47,4)&lt;Berechnung1!J64,ROUND(O47,4)&gt;Berechnung1!K64),Berechnung1!$D$5,IF(OR(ROUND(O47,4)&lt;Berechnung1!G64,ROUND(O47,4)&gt;Berechnung1!H64),Berechnung1!$E$5,Berechnung1!$C$5))))</f>
        <v>Incomplete</v>
      </c>
      <c r="Q47" s="652"/>
      <c r="R47" s="660"/>
    </row>
    <row r="48" spans="1:19" ht="30" customHeight="1" thickBot="1" x14ac:dyDescent="0.3">
      <c r="A48" s="636"/>
      <c r="B48" s="645"/>
      <c r="C48" s="633"/>
      <c r="D48" s="596"/>
      <c r="E48" s="597"/>
      <c r="F48" s="596"/>
      <c r="G48" s="597"/>
      <c r="H48" s="596"/>
      <c r="I48" s="597"/>
      <c r="J48" s="626"/>
      <c r="K48" s="611"/>
      <c r="L48" s="623"/>
      <c r="M48" s="626"/>
      <c r="N48" s="731"/>
      <c r="O48" s="641"/>
      <c r="P48" s="620"/>
      <c r="Q48" s="653"/>
      <c r="R48" s="661"/>
    </row>
    <row r="49" spans="1:18" ht="30" customHeight="1" thickBot="1" x14ac:dyDescent="0.3">
      <c r="A49" s="637"/>
      <c r="B49" s="646"/>
      <c r="C49" s="634"/>
      <c r="D49" s="598"/>
      <c r="E49" s="599"/>
      <c r="F49" s="598"/>
      <c r="G49" s="599"/>
      <c r="H49" s="598"/>
      <c r="I49" s="599"/>
      <c r="J49" s="627"/>
      <c r="K49" s="612"/>
      <c r="L49" s="624"/>
      <c r="M49" s="627"/>
      <c r="N49" s="731"/>
      <c r="O49" s="642"/>
      <c r="P49" s="621"/>
      <c r="Q49" s="653"/>
      <c r="R49" s="661"/>
    </row>
    <row r="50" spans="1:18" ht="30" customHeight="1" thickBot="1" x14ac:dyDescent="0.3">
      <c r="A50" s="635">
        <v>14</v>
      </c>
      <c r="B50" s="644" t="s">
        <v>749</v>
      </c>
      <c r="C50" s="632" t="s">
        <v>498</v>
      </c>
      <c r="D50" s="594" t="s">
        <v>496</v>
      </c>
      <c r="E50" s="595"/>
      <c r="F50" s="594" t="s">
        <v>499</v>
      </c>
      <c r="G50" s="595"/>
      <c r="H50" s="594" t="s">
        <v>21</v>
      </c>
      <c r="I50" s="595"/>
      <c r="J50" s="625"/>
      <c r="K50" s="610" t="s">
        <v>96</v>
      </c>
      <c r="L50" s="622"/>
      <c r="M50" s="625"/>
      <c r="N50" s="731" t="s">
        <v>537</v>
      </c>
      <c r="O50" s="667">
        <f>IF(SUM('Basic data'!$B$30:$D$30) = 0,0,SUM('Basic data'!$B$30:$D$30))</f>
        <v>0</v>
      </c>
      <c r="P50" s="619" t="str">
        <f>IF(O50=Berechnung1!D67,Berechnung1!$F$5,IF(OR(O50&lt; Berechnung1!E67,O50&gt; Berechnung1!F67),Berechnung1!$G$5,IF(OR(ROUND(O50,4)&lt;Berechnung1!J67,ROUND(O50,4)&gt;Berechnung1!K67),Berechnung1!$D$5,IF(OR(ROUND(O50,4)&lt;Berechnung1!G67,ROUND(O50,4)&gt;Berechnung1!H67),Berechnung1!$E$5,Berechnung1!$C$5))))</f>
        <v>Incomplete</v>
      </c>
      <c r="Q50" s="652"/>
      <c r="R50" s="660"/>
    </row>
    <row r="51" spans="1:18" ht="30" customHeight="1" thickBot="1" x14ac:dyDescent="0.3">
      <c r="A51" s="636"/>
      <c r="B51" s="645"/>
      <c r="C51" s="633"/>
      <c r="D51" s="596"/>
      <c r="E51" s="597"/>
      <c r="F51" s="596"/>
      <c r="G51" s="597"/>
      <c r="H51" s="596"/>
      <c r="I51" s="597"/>
      <c r="J51" s="626"/>
      <c r="K51" s="611"/>
      <c r="L51" s="623"/>
      <c r="M51" s="626"/>
      <c r="N51" s="731"/>
      <c r="O51" s="641"/>
      <c r="P51" s="620"/>
      <c r="Q51" s="653"/>
      <c r="R51" s="661"/>
    </row>
    <row r="52" spans="1:18" ht="30" customHeight="1" thickBot="1" x14ac:dyDescent="0.3">
      <c r="A52" s="637"/>
      <c r="B52" s="646"/>
      <c r="C52" s="634"/>
      <c r="D52" s="598"/>
      <c r="E52" s="599"/>
      <c r="F52" s="598"/>
      <c r="G52" s="599"/>
      <c r="H52" s="598"/>
      <c r="I52" s="599"/>
      <c r="J52" s="627"/>
      <c r="K52" s="612"/>
      <c r="L52" s="624"/>
      <c r="M52" s="627"/>
      <c r="N52" s="731"/>
      <c r="O52" s="642"/>
      <c r="P52" s="621"/>
      <c r="Q52" s="653"/>
      <c r="R52" s="661"/>
    </row>
    <row r="53" spans="1:18" ht="30" customHeight="1" thickBot="1" x14ac:dyDescent="0.3">
      <c r="A53" s="635">
        <v>15</v>
      </c>
      <c r="B53" s="638"/>
      <c r="C53" s="632" t="s">
        <v>500</v>
      </c>
      <c r="D53" s="594" t="s">
        <v>786</v>
      </c>
      <c r="E53" s="595"/>
      <c r="F53" s="594" t="s">
        <v>787</v>
      </c>
      <c r="G53" s="595"/>
      <c r="H53" s="594" t="s">
        <v>501</v>
      </c>
      <c r="I53" s="595"/>
      <c r="J53" s="625" t="s">
        <v>137</v>
      </c>
      <c r="K53" s="610" t="s">
        <v>93</v>
      </c>
      <c r="L53" s="622"/>
      <c r="M53" s="625" t="s">
        <v>390</v>
      </c>
      <c r="N53" s="259" t="s">
        <v>471</v>
      </c>
      <c r="O53" s="478"/>
      <c r="P53" s="659" t="str">
        <f>IF(O55=Berechnung1!D70,Berechnung1!$F$5,IF(OR(O55&lt; Berechnung1!E70,O55&gt; Berechnung1!F70),Berechnung1!$G$5,IF(OR(ROUND(O55,4)&lt;Berechnung1!G70,ROUND(O55,4)&gt;Berechnung1!H70),Berechnung1!$E$5,IF(OR(O55&lt;Berechnung1!J70,O55&gt;Berechnung1!K70),Berechnung1!$D$5,Berechnung1!$C$5))))</f>
        <v>Incomplete</v>
      </c>
      <c r="Q53" s="652"/>
      <c r="R53" s="660"/>
    </row>
    <row r="54" spans="1:18" ht="30" customHeight="1" thickBot="1" x14ac:dyDescent="0.3">
      <c r="A54" s="636"/>
      <c r="B54" s="639"/>
      <c r="C54" s="633"/>
      <c r="D54" s="596"/>
      <c r="E54" s="597"/>
      <c r="F54" s="596"/>
      <c r="G54" s="597"/>
      <c r="H54" s="596"/>
      <c r="I54" s="597"/>
      <c r="J54" s="626"/>
      <c r="K54" s="611"/>
      <c r="L54" s="623"/>
      <c r="M54" s="626"/>
      <c r="N54" s="259" t="s">
        <v>536</v>
      </c>
      <c r="O54" s="387">
        <f>IF('Basic data'!$B$29 = 0,0,'Basic data'!$B$29)</f>
        <v>0</v>
      </c>
      <c r="P54" s="659"/>
      <c r="Q54" s="653"/>
      <c r="R54" s="661"/>
    </row>
    <row r="55" spans="1:18" ht="30" customHeight="1" thickBot="1" x14ac:dyDescent="0.3">
      <c r="A55" s="637"/>
      <c r="B55" s="640"/>
      <c r="C55" s="634"/>
      <c r="D55" s="598"/>
      <c r="E55" s="599"/>
      <c r="F55" s="598"/>
      <c r="G55" s="599"/>
      <c r="H55" s="598"/>
      <c r="I55" s="599"/>
      <c r="J55" s="627"/>
      <c r="K55" s="612"/>
      <c r="L55" s="624"/>
      <c r="M55" s="627"/>
      <c r="N55" s="259" t="s">
        <v>79</v>
      </c>
      <c r="O55" s="325" t="str">
        <f>IF(O53="","n.d.",IF(O54="","n.d.",IF(O54=0,"",O53/O54)))</f>
        <v>n.d.</v>
      </c>
      <c r="P55" s="659"/>
      <c r="Q55" s="653"/>
      <c r="R55" s="661"/>
    </row>
    <row r="56" spans="1:18" ht="30" customHeight="1" thickBot="1" x14ac:dyDescent="0.3">
      <c r="A56" s="635">
        <v>16</v>
      </c>
      <c r="B56" s="638"/>
      <c r="C56" s="632" t="s">
        <v>502</v>
      </c>
      <c r="D56" s="594" t="s">
        <v>786</v>
      </c>
      <c r="E56" s="595"/>
      <c r="F56" s="594" t="s">
        <v>837</v>
      </c>
      <c r="G56" s="595"/>
      <c r="H56" s="594" t="s">
        <v>747</v>
      </c>
      <c r="I56" s="595"/>
      <c r="J56" s="625" t="s">
        <v>137</v>
      </c>
      <c r="K56" s="610" t="s">
        <v>93</v>
      </c>
      <c r="L56" s="622"/>
      <c r="M56" s="625" t="s">
        <v>390</v>
      </c>
      <c r="N56" s="259" t="s">
        <v>471</v>
      </c>
      <c r="O56" s="478"/>
      <c r="P56" s="659" t="str">
        <f>IF(O58=Berechnung1!D73,Berechnung1!$F$5,IF(OR(O58&lt; Berechnung1!E73,O58&gt; Berechnung1!F73),Berechnung1!$G$5,IF(OR(ROUND(O58,4)&lt;Berechnung1!G73,ROUND(O58,4)&gt;Berechnung1!H73),Berechnung1!$E$5,IF(OR(O58&lt;Berechnung1!J73,O58&gt;Berechnung1!K73),Berechnung1!$D$5,Berechnung1!$C$5))))</f>
        <v>Incomplete</v>
      </c>
      <c r="Q56" s="652"/>
      <c r="R56" s="660"/>
    </row>
    <row r="57" spans="1:18" ht="30" customHeight="1" thickBot="1" x14ac:dyDescent="0.3">
      <c r="A57" s="636"/>
      <c r="B57" s="639"/>
      <c r="C57" s="633"/>
      <c r="D57" s="596"/>
      <c r="E57" s="597"/>
      <c r="F57" s="596"/>
      <c r="G57" s="597"/>
      <c r="H57" s="596"/>
      <c r="I57" s="597"/>
      <c r="J57" s="626"/>
      <c r="K57" s="611"/>
      <c r="L57" s="623"/>
      <c r="M57" s="626"/>
      <c r="N57" s="259" t="s">
        <v>536</v>
      </c>
      <c r="O57" s="387">
        <f>IF('Basic data'!$B$30 = 0,0,'Basic data'!$B$30)</f>
        <v>0</v>
      </c>
      <c r="P57" s="659"/>
      <c r="Q57" s="653"/>
      <c r="R57" s="661"/>
    </row>
    <row r="58" spans="1:18" ht="30" customHeight="1" thickBot="1" x14ac:dyDescent="0.3">
      <c r="A58" s="637"/>
      <c r="B58" s="640"/>
      <c r="C58" s="634"/>
      <c r="D58" s="598"/>
      <c r="E58" s="599"/>
      <c r="F58" s="598"/>
      <c r="G58" s="599"/>
      <c r="H58" s="598"/>
      <c r="I58" s="599"/>
      <c r="J58" s="627"/>
      <c r="K58" s="612"/>
      <c r="L58" s="624"/>
      <c r="M58" s="627"/>
      <c r="N58" s="259" t="s">
        <v>79</v>
      </c>
      <c r="O58" s="325" t="str">
        <f>IF(O56="","n.d.",IF(O57="","n.d.",IF(O57=0,"",O56/O57)))</f>
        <v>n.d.</v>
      </c>
      <c r="P58" s="659"/>
      <c r="Q58" s="653"/>
      <c r="R58" s="661"/>
    </row>
    <row r="59" spans="1:18" ht="30" customHeight="1" thickBot="1" x14ac:dyDescent="0.3">
      <c r="A59" s="635">
        <v>17</v>
      </c>
      <c r="B59" s="638" t="s">
        <v>776</v>
      </c>
      <c r="C59" s="632" t="s">
        <v>503</v>
      </c>
      <c r="D59" s="594" t="s">
        <v>788</v>
      </c>
      <c r="E59" s="595"/>
      <c r="F59" s="594" t="s">
        <v>504</v>
      </c>
      <c r="G59" s="595"/>
      <c r="H59" s="594" t="s">
        <v>505</v>
      </c>
      <c r="I59" s="595"/>
      <c r="J59" s="625" t="s">
        <v>137</v>
      </c>
      <c r="K59" s="610" t="s">
        <v>94</v>
      </c>
      <c r="L59" s="622"/>
      <c r="M59" s="625"/>
      <c r="N59" s="259" t="s">
        <v>471</v>
      </c>
      <c r="O59" s="478"/>
      <c r="P59" s="619" t="str">
        <f>IF(O61=Berechnung1!D76,Berechnung1!$F$5,IF(OR(O61&lt; Berechnung1!E76,O61&gt; Berechnung1!F76),Berechnung1!$G$5,IF(OR(O61&lt;Berechnung1!J76,O61&gt;Berechnung1!K76),Berechnung1!$D$5,IF(OR(ROUND(O61,4)&lt;Berechnung1!G76,ROUND(O61,4)&gt;Berechnung1!H76),Berechnung1!$E$5,Berechnung1!$C$5))))</f>
        <v>Incomplete</v>
      </c>
      <c r="Q59" s="652"/>
      <c r="R59" s="660"/>
    </row>
    <row r="60" spans="1:18" ht="30" customHeight="1" thickBot="1" x14ac:dyDescent="0.3">
      <c r="A60" s="636"/>
      <c r="B60" s="639"/>
      <c r="C60" s="633"/>
      <c r="D60" s="596"/>
      <c r="E60" s="597"/>
      <c r="F60" s="596"/>
      <c r="G60" s="597"/>
      <c r="H60" s="596"/>
      <c r="I60" s="597"/>
      <c r="J60" s="626"/>
      <c r="K60" s="611"/>
      <c r="L60" s="623"/>
      <c r="M60" s="626"/>
      <c r="N60" s="259" t="s">
        <v>536</v>
      </c>
      <c r="O60" s="478"/>
      <c r="P60" s="620"/>
      <c r="Q60" s="653"/>
      <c r="R60" s="661"/>
    </row>
    <row r="61" spans="1:18" ht="30" customHeight="1" thickBot="1" x14ac:dyDescent="0.3">
      <c r="A61" s="637"/>
      <c r="B61" s="640"/>
      <c r="C61" s="634"/>
      <c r="D61" s="598"/>
      <c r="E61" s="599"/>
      <c r="F61" s="598"/>
      <c r="G61" s="599"/>
      <c r="H61" s="598"/>
      <c r="I61" s="599"/>
      <c r="J61" s="627"/>
      <c r="K61" s="612"/>
      <c r="L61" s="624"/>
      <c r="M61" s="627"/>
      <c r="N61" s="259" t="s">
        <v>79</v>
      </c>
      <c r="O61" s="325" t="str">
        <f>IF(O59="","n.d.",IF(O60="","n.d.",IF(O60=0,"",O59/O60)))</f>
        <v>n.d.</v>
      </c>
      <c r="P61" s="621"/>
      <c r="Q61" s="653"/>
      <c r="R61" s="661"/>
    </row>
    <row r="62" spans="1:18" ht="30" customHeight="1" thickBot="1" x14ac:dyDescent="0.3">
      <c r="A62" s="635">
        <v>18</v>
      </c>
      <c r="B62" s="638" t="s">
        <v>776</v>
      </c>
      <c r="C62" s="632" t="s">
        <v>506</v>
      </c>
      <c r="D62" s="594" t="s">
        <v>789</v>
      </c>
      <c r="E62" s="595"/>
      <c r="F62" s="594" t="s">
        <v>845</v>
      </c>
      <c r="G62" s="595"/>
      <c r="H62" s="594" t="s">
        <v>507</v>
      </c>
      <c r="I62" s="595"/>
      <c r="J62" s="625" t="s">
        <v>137</v>
      </c>
      <c r="K62" s="610" t="s">
        <v>93</v>
      </c>
      <c r="L62" s="622"/>
      <c r="M62" s="625"/>
      <c r="N62" s="259" t="s">
        <v>471</v>
      </c>
      <c r="O62" s="478"/>
      <c r="P62" s="619" t="str">
        <f>IF(O64=Berechnung1!D79,Berechnung1!$F$5,IF(OR(O64&lt; Berechnung1!E79,O64&gt; Berechnung1!F79),Berechnung1!$G$5,IF(OR(O64&lt;Berechnung1!J79,O64&gt;Berechnung1!K79),Berechnung1!$D$5,IF(OR(ROUND(O64,4)&lt;Berechnung1!G79,ROUND(O64,4)&gt;Berechnung1!H79),Berechnung1!$E$5,Berechnung1!$C$5))))</f>
        <v>Incomplete</v>
      </c>
      <c r="Q62" s="652"/>
      <c r="R62" s="660"/>
    </row>
    <row r="63" spans="1:18" ht="30" customHeight="1" thickBot="1" x14ac:dyDescent="0.3">
      <c r="A63" s="636"/>
      <c r="B63" s="639"/>
      <c r="C63" s="633"/>
      <c r="D63" s="596"/>
      <c r="E63" s="597"/>
      <c r="F63" s="596"/>
      <c r="G63" s="597"/>
      <c r="H63" s="596"/>
      <c r="I63" s="597"/>
      <c r="J63" s="626"/>
      <c r="K63" s="611"/>
      <c r="L63" s="623"/>
      <c r="M63" s="626"/>
      <c r="N63" s="259" t="s">
        <v>536</v>
      </c>
      <c r="O63" s="478"/>
      <c r="P63" s="620"/>
      <c r="Q63" s="653"/>
      <c r="R63" s="661"/>
    </row>
    <row r="64" spans="1:18" ht="30" customHeight="1" thickBot="1" x14ac:dyDescent="0.3">
      <c r="A64" s="637"/>
      <c r="B64" s="640"/>
      <c r="C64" s="634"/>
      <c r="D64" s="598"/>
      <c r="E64" s="599"/>
      <c r="F64" s="598"/>
      <c r="G64" s="599"/>
      <c r="H64" s="598"/>
      <c r="I64" s="599"/>
      <c r="J64" s="627"/>
      <c r="K64" s="612"/>
      <c r="L64" s="624"/>
      <c r="M64" s="627"/>
      <c r="N64" s="259" t="s">
        <v>79</v>
      </c>
      <c r="O64" s="325" t="str">
        <f>IF(O62="","n.d.",IF(O63="","n.d.",IF(O63=0,"",O62/O63)))</f>
        <v>n.d.</v>
      </c>
      <c r="P64" s="621"/>
      <c r="Q64" s="653"/>
      <c r="R64" s="661"/>
    </row>
    <row r="65" spans="1:19" ht="30" customHeight="1" thickBot="1" x14ac:dyDescent="0.3">
      <c r="A65" s="635">
        <v>19</v>
      </c>
      <c r="B65" s="638"/>
      <c r="C65" s="632" t="s">
        <v>508</v>
      </c>
      <c r="D65" s="594" t="s">
        <v>846</v>
      </c>
      <c r="E65" s="595"/>
      <c r="F65" s="594" t="s">
        <v>509</v>
      </c>
      <c r="G65" s="595"/>
      <c r="H65" s="594" t="s">
        <v>510</v>
      </c>
      <c r="I65" s="595"/>
      <c r="J65" s="625" t="s">
        <v>137</v>
      </c>
      <c r="K65" s="610" t="s">
        <v>97</v>
      </c>
      <c r="L65" s="622"/>
      <c r="M65" s="625"/>
      <c r="N65" s="259" t="s">
        <v>471</v>
      </c>
      <c r="O65" s="478"/>
      <c r="P65" s="659" t="str">
        <f>IF(O67=Berechnung1!D82,Berechnung1!$F$5,IF(OR(O67&lt; Berechnung1!E82,O67&gt; Berechnung1!F82),Berechnung1!$G$5,IF(OR(O67&lt;Berechnung1!J82,O67&gt;Berechnung1!K82),Berechnung1!$D$5,IF(OR(ROUND(O67,4)&lt;Berechnung1!G82,ROUND(O67,4)&gt;Berechnung1!H82),Berechnung1!$E$5,Berechnung1!$C$5))))</f>
        <v>Incomplete</v>
      </c>
      <c r="Q65" s="652"/>
      <c r="R65" s="660"/>
    </row>
    <row r="66" spans="1:19" ht="30" customHeight="1" thickBot="1" x14ac:dyDescent="0.3">
      <c r="A66" s="636"/>
      <c r="B66" s="639"/>
      <c r="C66" s="633"/>
      <c r="D66" s="596"/>
      <c r="E66" s="597"/>
      <c r="F66" s="596"/>
      <c r="G66" s="597"/>
      <c r="H66" s="596"/>
      <c r="I66" s="597"/>
      <c r="J66" s="626"/>
      <c r="K66" s="611"/>
      <c r="L66" s="623"/>
      <c r="M66" s="626"/>
      <c r="N66" s="259" t="s">
        <v>536</v>
      </c>
      <c r="O66" s="387">
        <f>IF('Basic data'!B28 = "",0,'Basic data'!B28)</f>
        <v>0</v>
      </c>
      <c r="P66" s="659"/>
      <c r="Q66" s="653"/>
      <c r="R66" s="661"/>
    </row>
    <row r="67" spans="1:19" ht="30" customHeight="1" thickBot="1" x14ac:dyDescent="0.3">
      <c r="A67" s="637"/>
      <c r="B67" s="640"/>
      <c r="C67" s="634"/>
      <c r="D67" s="598"/>
      <c r="E67" s="599"/>
      <c r="F67" s="598"/>
      <c r="G67" s="599"/>
      <c r="H67" s="598"/>
      <c r="I67" s="599"/>
      <c r="J67" s="627"/>
      <c r="K67" s="612"/>
      <c r="L67" s="624"/>
      <c r="M67" s="627"/>
      <c r="N67" s="259" t="s">
        <v>79</v>
      </c>
      <c r="O67" s="325" t="str">
        <f>IF(O65="","n.d.",IF(O66="","n.d.",IF(O66=0,"",O65/O66)))</f>
        <v>n.d.</v>
      </c>
      <c r="P67" s="659"/>
      <c r="Q67" s="653"/>
      <c r="R67" s="661"/>
    </row>
    <row r="68" spans="1:19" ht="30" customHeight="1" thickBot="1" x14ac:dyDescent="0.3">
      <c r="A68" s="635">
        <v>20</v>
      </c>
      <c r="B68" s="638"/>
      <c r="C68" s="632" t="s">
        <v>511</v>
      </c>
      <c r="D68" s="594" t="s">
        <v>790</v>
      </c>
      <c r="E68" s="595"/>
      <c r="F68" s="594" t="s">
        <v>512</v>
      </c>
      <c r="G68" s="595"/>
      <c r="H68" s="594" t="s">
        <v>513</v>
      </c>
      <c r="I68" s="595"/>
      <c r="J68" s="625"/>
      <c r="K68" s="610" t="s">
        <v>80</v>
      </c>
      <c r="L68" s="622"/>
      <c r="M68" s="625"/>
      <c r="N68" s="259" t="s">
        <v>471</v>
      </c>
      <c r="O68" s="478"/>
      <c r="P68" s="659" t="str">
        <f>IF(O70=Berechnung1!D85,Berechnung1!$F$5,IF(OR(O70&lt; Berechnung1!E85,O70&gt; Berechnung1!F85),Berechnung1!$G$5,IF(OR(ROUND(O70,4)&lt;Berechnung1!J85,ROUND(O70,4)&gt;Berechnung1!K85),Berechnung1!$D$5,IF(OR(ROUND(O70,4)&lt;Berechnung1!G85,ROUND(O70,4)&gt;Berechnung1!H85),Berechnung1!$E$5,Berechnung1!$C$5))))</f>
        <v>Incomplete</v>
      </c>
      <c r="Q68" s="652"/>
      <c r="R68" s="660"/>
    </row>
    <row r="69" spans="1:19" ht="30" customHeight="1" thickBot="1" x14ac:dyDescent="0.3">
      <c r="A69" s="636"/>
      <c r="B69" s="639"/>
      <c r="C69" s="633"/>
      <c r="D69" s="596"/>
      <c r="E69" s="597"/>
      <c r="F69" s="596"/>
      <c r="G69" s="597"/>
      <c r="H69" s="596"/>
      <c r="I69" s="597"/>
      <c r="J69" s="626"/>
      <c r="K69" s="611"/>
      <c r="L69" s="623"/>
      <c r="M69" s="626"/>
      <c r="N69" s="259" t="s">
        <v>536</v>
      </c>
      <c r="O69" s="387">
        <f>IF(SUM('Basic data'!$B$30) = "",0,SUM('Basic data'!$B$30))</f>
        <v>0</v>
      </c>
      <c r="P69" s="659"/>
      <c r="Q69" s="653"/>
      <c r="R69" s="661"/>
    </row>
    <row r="70" spans="1:19" ht="30" customHeight="1" thickBot="1" x14ac:dyDescent="0.3">
      <c r="A70" s="637"/>
      <c r="B70" s="640"/>
      <c r="C70" s="634"/>
      <c r="D70" s="598"/>
      <c r="E70" s="599"/>
      <c r="F70" s="598"/>
      <c r="G70" s="599"/>
      <c r="H70" s="598"/>
      <c r="I70" s="599"/>
      <c r="J70" s="627"/>
      <c r="K70" s="612"/>
      <c r="L70" s="624"/>
      <c r="M70" s="627"/>
      <c r="N70" s="259" t="s">
        <v>79</v>
      </c>
      <c r="O70" s="325" t="str">
        <f>IF(O68="","n.d.",IF(O69="","n.d.",IF(O69=0,"",O68/O69)))</f>
        <v>n.d.</v>
      </c>
      <c r="P70" s="659"/>
      <c r="Q70" s="653"/>
      <c r="R70" s="661"/>
    </row>
    <row r="71" spans="1:19" ht="30" customHeight="1" thickBot="1" x14ac:dyDescent="0.3">
      <c r="A71" s="635">
        <v>21</v>
      </c>
      <c r="B71" s="638" t="s">
        <v>776</v>
      </c>
      <c r="C71" s="632" t="s">
        <v>514</v>
      </c>
      <c r="D71" s="594" t="s">
        <v>791</v>
      </c>
      <c r="E71" s="595"/>
      <c r="F71" s="594" t="s">
        <v>515</v>
      </c>
      <c r="G71" s="595"/>
      <c r="H71" s="594" t="s">
        <v>516</v>
      </c>
      <c r="I71" s="595"/>
      <c r="J71" s="625"/>
      <c r="K71" s="610" t="s">
        <v>80</v>
      </c>
      <c r="L71" s="622"/>
      <c r="M71" s="628"/>
      <c r="N71" s="259" t="s">
        <v>471</v>
      </c>
      <c r="O71" s="478"/>
      <c r="P71" s="619" t="str">
        <f>IF(O73=Berechnung1!D88,Berechnung1!$F$5,IF(OR(O73&lt; Berechnung1!E88,O73&gt; Berechnung1!F88),Berechnung1!$G$5,IF(OR(ROUND(O73,4)&lt;Berechnung1!J88,ROUND(O73,4)&gt;Berechnung1!K88),Berechnung1!$D$5,IF(OR(ROUND(O73,4)&lt;Berechnung1!G88,ROUND(O73,4)&gt;Berechnung1!H88),Berechnung1!$E$5,Berechnung1!$C$5))))</f>
        <v>Incomplete</v>
      </c>
      <c r="Q71" s="652"/>
      <c r="R71" s="660"/>
    </row>
    <row r="72" spans="1:19" ht="30" customHeight="1" thickBot="1" x14ac:dyDescent="0.3">
      <c r="A72" s="636"/>
      <c r="B72" s="639"/>
      <c r="C72" s="633"/>
      <c r="D72" s="596"/>
      <c r="E72" s="597"/>
      <c r="F72" s="596"/>
      <c r="G72" s="597"/>
      <c r="H72" s="596"/>
      <c r="I72" s="597"/>
      <c r="J72" s="626"/>
      <c r="K72" s="611"/>
      <c r="L72" s="623"/>
      <c r="M72" s="626"/>
      <c r="N72" s="259" t="s">
        <v>536</v>
      </c>
      <c r="O72" s="478"/>
      <c r="P72" s="620"/>
      <c r="Q72" s="653"/>
      <c r="R72" s="661"/>
    </row>
    <row r="73" spans="1:19" ht="30" customHeight="1" thickBot="1" x14ac:dyDescent="0.3">
      <c r="A73" s="637"/>
      <c r="B73" s="640"/>
      <c r="C73" s="634"/>
      <c r="D73" s="598"/>
      <c r="E73" s="599"/>
      <c r="F73" s="598"/>
      <c r="G73" s="599"/>
      <c r="H73" s="598"/>
      <c r="I73" s="599"/>
      <c r="J73" s="627"/>
      <c r="K73" s="612"/>
      <c r="L73" s="624"/>
      <c r="M73" s="627"/>
      <c r="N73" s="259" t="s">
        <v>79</v>
      </c>
      <c r="O73" s="325" t="str">
        <f>IF(O71="","n.d.",IF(O72="","n.d.",IF(O72=0,"",O71/O72)))</f>
        <v>n.d.</v>
      </c>
      <c r="P73" s="621"/>
      <c r="Q73" s="653"/>
      <c r="R73" s="661"/>
    </row>
    <row r="74" spans="1:19" ht="66" customHeight="1" thickBot="1" x14ac:dyDescent="0.3">
      <c r="A74" s="635" t="s">
        <v>820</v>
      </c>
      <c r="B74" s="638"/>
      <c r="C74" s="632" t="s">
        <v>792</v>
      </c>
      <c r="D74" s="594" t="s">
        <v>793</v>
      </c>
      <c r="E74" s="595"/>
      <c r="F74" s="594" t="s">
        <v>794</v>
      </c>
      <c r="G74" s="595"/>
      <c r="H74" s="594" t="s">
        <v>850</v>
      </c>
      <c r="I74" s="595"/>
      <c r="J74" s="625" t="s">
        <v>136</v>
      </c>
      <c r="K74" s="610" t="s">
        <v>745</v>
      </c>
      <c r="L74" s="622"/>
      <c r="M74" s="625"/>
      <c r="N74" s="471" t="s">
        <v>471</v>
      </c>
      <c r="O74" s="478"/>
      <c r="P74" s="654" t="str">
        <f>IF(AND(O74&lt;&gt;"",O75&lt;&gt;"",O74=0,O75=0),Berechnung1!$H$5,IF(O76="",Berechnung1!$D$5,IF(O76=Berechnung1!D91,Berechnung1!$F$5,IF(OR(O76&lt; Berechnung1!E91,O76&gt; Berechnung1!F91),Berechnung1!$G$5,IF(OR(ROUND(O76,4)&lt;Berechnung1!J91,ROUND(O76,4)&gt;Berechnung1!K91),Berechnung1!$D$5,IF(OR(ROUND(O76,4)&lt;Berechnung1!G91,ROUND(O76,4)&gt;Berechnung1!H91),Berechnung1!$E$5,Berechnung1!$C$5))))))</f>
        <v>Incomplete</v>
      </c>
      <c r="Q74" s="652"/>
      <c r="R74" s="660"/>
    </row>
    <row r="75" spans="1:19" ht="66" customHeight="1" thickBot="1" x14ac:dyDescent="0.3">
      <c r="A75" s="636"/>
      <c r="B75" s="639"/>
      <c r="C75" s="633"/>
      <c r="D75" s="596"/>
      <c r="E75" s="597"/>
      <c r="F75" s="596"/>
      <c r="G75" s="597"/>
      <c r="H75" s="596"/>
      <c r="I75" s="597"/>
      <c r="J75" s="626"/>
      <c r="K75" s="611"/>
      <c r="L75" s="623"/>
      <c r="M75" s="626"/>
      <c r="N75" s="471" t="s">
        <v>536</v>
      </c>
      <c r="O75" s="478"/>
      <c r="P75" s="655"/>
      <c r="Q75" s="653"/>
      <c r="R75" s="661"/>
      <c r="S75" s="330">
        <f>IF(AND('Basic data'!H28="",'Basic data'!D30=""),0,'Basic data'!H28-'Basic data'!D30)</f>
        <v>0</v>
      </c>
    </row>
    <row r="76" spans="1:19" ht="66" customHeight="1" thickBot="1" x14ac:dyDescent="0.3">
      <c r="A76" s="637"/>
      <c r="B76" s="640"/>
      <c r="C76" s="634"/>
      <c r="D76" s="598"/>
      <c r="E76" s="599"/>
      <c r="F76" s="598"/>
      <c r="G76" s="599"/>
      <c r="H76" s="598"/>
      <c r="I76" s="599"/>
      <c r="J76" s="626"/>
      <c r="K76" s="611"/>
      <c r="L76" s="623"/>
      <c r="M76" s="626"/>
      <c r="N76" s="445" t="s">
        <v>79</v>
      </c>
      <c r="O76" s="474" t="str">
        <f>IF(O74="","n.d.",IF(O75="","n.d.",IF(O75=0,"",O74/O75)))</f>
        <v>n.d.</v>
      </c>
      <c r="P76" s="643"/>
      <c r="Q76" s="653"/>
      <c r="R76" s="661"/>
    </row>
    <row r="77" spans="1:19" ht="30" customHeight="1" thickBot="1" x14ac:dyDescent="0.3">
      <c r="A77" s="635" t="s">
        <v>821</v>
      </c>
      <c r="B77" s="638"/>
      <c r="C77" s="632" t="s">
        <v>795</v>
      </c>
      <c r="D77" s="594" t="s">
        <v>420</v>
      </c>
      <c r="E77" s="647"/>
      <c r="F77" s="594" t="s">
        <v>847</v>
      </c>
      <c r="G77" s="595"/>
      <c r="H77" s="594" t="s">
        <v>21</v>
      </c>
      <c r="I77" s="647"/>
      <c r="J77" s="625"/>
      <c r="K77" s="610" t="s">
        <v>745</v>
      </c>
      <c r="L77" s="622"/>
      <c r="M77" s="625"/>
      <c r="N77" s="662" t="s">
        <v>537</v>
      </c>
      <c r="O77" s="656"/>
      <c r="P77" s="654" t="str">
        <f>IF(O77="",Berechnung1!F5,IF(O77=Berechnung1!D94,Berechnung1!$F$5,IF(OR(O77&lt;Berechnung1!E94,O77&gt;Berechnung1!F94),Berechnung1!$G$5,IF(OR(ROUND(O77,4)&lt;Berechnung1!J94,ROUND(O77,4)&gt;Berechnung1!K94),Berechnung1!$D$5,IF(OR(ROUND(O77,4)&lt;Berechnung1!G94,ROUND(O77,4)&gt;Berechnung1!H94),Berechnung1!$E$5,Berechnung1!$C$5)))))</f>
        <v>Incomplete</v>
      </c>
      <c r="Q77" s="652"/>
      <c r="R77" s="660"/>
    </row>
    <row r="78" spans="1:19" ht="30" customHeight="1" thickBot="1" x14ac:dyDescent="0.3">
      <c r="A78" s="636"/>
      <c r="B78" s="639"/>
      <c r="C78" s="633"/>
      <c r="D78" s="648"/>
      <c r="E78" s="649"/>
      <c r="F78" s="596"/>
      <c r="G78" s="597"/>
      <c r="H78" s="648"/>
      <c r="I78" s="649"/>
      <c r="J78" s="626"/>
      <c r="K78" s="611"/>
      <c r="L78" s="623"/>
      <c r="M78" s="626"/>
      <c r="N78" s="663"/>
      <c r="O78" s="657"/>
      <c r="P78" s="655"/>
      <c r="Q78" s="653"/>
      <c r="R78" s="661"/>
    </row>
    <row r="79" spans="1:19" ht="30" customHeight="1" thickBot="1" x14ac:dyDescent="0.3">
      <c r="A79" s="637"/>
      <c r="B79" s="640"/>
      <c r="C79" s="634"/>
      <c r="D79" s="650"/>
      <c r="E79" s="651"/>
      <c r="F79" s="598"/>
      <c r="G79" s="599"/>
      <c r="H79" s="650"/>
      <c r="I79" s="651"/>
      <c r="J79" s="627"/>
      <c r="K79" s="612"/>
      <c r="L79" s="624"/>
      <c r="M79" s="627"/>
      <c r="N79" s="664"/>
      <c r="O79" s="658"/>
      <c r="P79" s="655"/>
      <c r="Q79" s="653"/>
      <c r="R79" s="661"/>
    </row>
    <row r="80" spans="1:19" ht="30" customHeight="1" thickBot="1" x14ac:dyDescent="0.3">
      <c r="A80" s="635" t="s">
        <v>822</v>
      </c>
      <c r="B80" s="638"/>
      <c r="C80" s="632" t="s">
        <v>796</v>
      </c>
      <c r="D80" s="594" t="s">
        <v>21</v>
      </c>
      <c r="E80" s="647"/>
      <c r="F80" s="594" t="s">
        <v>836</v>
      </c>
      <c r="G80" s="595"/>
      <c r="H80" s="594" t="s">
        <v>21</v>
      </c>
      <c r="I80" s="647"/>
      <c r="J80" s="625"/>
      <c r="K80" s="610" t="s">
        <v>745</v>
      </c>
      <c r="L80" s="622"/>
      <c r="M80" s="625"/>
      <c r="N80" s="635" t="s">
        <v>537</v>
      </c>
      <c r="O80" s="641">
        <f>IF(AND(O74&lt;&gt;"",O77&lt;&gt;"")=TRUE,O74-O77,0)</f>
        <v>0</v>
      </c>
      <c r="P80" s="638" t="str">
        <f>IF(OR(O74="",O77=""),Berechnung1!F5,IF(AND(O80=Berechnung1!D97,ISBLANK(O77)=FALSE)=TRUE,Berechnung1!$C$5,IF(O80=Berechnung1!D97,Berechnung1!$D$5,IF(OR(O80&lt;Berechnung1!E97,O80&gt;Berechnung1!F97),Berechnung1!$G$5,IF(OR(ROUND(O80,4)&lt;Berechnung1!J97,ROUND(O80,4)&gt;Berechnung1!K97),Berechnung1!$D$5,IF(OR(ROUND(O80,4)&lt;Berechnung1!G97,ROUND(O80,4)&gt;Berechnung1!H97),Berechnung1!$E$5,Berechnung1!$C$5))))))</f>
        <v>Incomplete</v>
      </c>
      <c r="Q80" s="652"/>
      <c r="R80" s="660"/>
    </row>
    <row r="81" spans="1:19" ht="30" customHeight="1" thickBot="1" x14ac:dyDescent="0.3">
      <c r="A81" s="636"/>
      <c r="B81" s="639"/>
      <c r="C81" s="633"/>
      <c r="D81" s="648"/>
      <c r="E81" s="649"/>
      <c r="F81" s="596"/>
      <c r="G81" s="597"/>
      <c r="H81" s="648"/>
      <c r="I81" s="649"/>
      <c r="J81" s="626"/>
      <c r="K81" s="611"/>
      <c r="L81" s="623"/>
      <c r="M81" s="626"/>
      <c r="N81" s="665"/>
      <c r="O81" s="641"/>
      <c r="P81" s="643"/>
      <c r="Q81" s="653"/>
      <c r="R81" s="661"/>
    </row>
    <row r="82" spans="1:19" ht="30" customHeight="1" thickBot="1" x14ac:dyDescent="0.3">
      <c r="A82" s="637"/>
      <c r="B82" s="640"/>
      <c r="C82" s="634"/>
      <c r="D82" s="650"/>
      <c r="E82" s="651"/>
      <c r="F82" s="598"/>
      <c r="G82" s="599"/>
      <c r="H82" s="650"/>
      <c r="I82" s="651"/>
      <c r="J82" s="627"/>
      <c r="K82" s="612"/>
      <c r="L82" s="624"/>
      <c r="M82" s="627"/>
      <c r="N82" s="666"/>
      <c r="O82" s="642"/>
      <c r="P82" s="643"/>
      <c r="Q82" s="653"/>
      <c r="R82" s="661"/>
    </row>
    <row r="83" spans="1:19" ht="30" customHeight="1" thickBot="1" x14ac:dyDescent="0.3">
      <c r="A83" s="635">
        <v>23</v>
      </c>
      <c r="B83" s="638" t="s">
        <v>776</v>
      </c>
      <c r="C83" s="632" t="s">
        <v>517</v>
      </c>
      <c r="D83" s="594" t="s">
        <v>848</v>
      </c>
      <c r="E83" s="595"/>
      <c r="F83" s="594" t="s">
        <v>518</v>
      </c>
      <c r="G83" s="595"/>
      <c r="H83" s="594" t="s">
        <v>519</v>
      </c>
      <c r="I83" s="595"/>
      <c r="J83" s="625"/>
      <c r="K83" s="610" t="s">
        <v>92</v>
      </c>
      <c r="L83" s="622"/>
      <c r="M83" s="628"/>
      <c r="N83" s="259" t="s">
        <v>471</v>
      </c>
      <c r="O83" s="478"/>
      <c r="P83" s="619" t="str">
        <f>IF(AND(O83&lt;&gt;"",O84&lt;&gt;"",O83=0,O84=0),Berechnung1!$H$5,IF(O85=Berechnung1!D100,Berechnung1!$F$5,IF(OR(O85&lt;Berechnung1!E100,O85&gt;Berechnung1!F100),Berechnung1!$G$5,IF(OR(ROUND(O85,4)&lt;Berechnung1!J100,ROUND(O85,4)&gt;Berechnung1!K100),Berechnung1!$D$5,IF(OR(ROUND(O85,4)&lt;Berechnung1!G100,ROUND(O85,4)&gt;Berechnung1!H100),Berechnung1!$E$5,Berechnung1!$C$5)))))</f>
        <v>Incomplete</v>
      </c>
      <c r="Q83" s="652"/>
      <c r="R83" s="660"/>
    </row>
    <row r="84" spans="1:19" ht="30" customHeight="1" thickBot="1" x14ac:dyDescent="0.3">
      <c r="A84" s="636"/>
      <c r="B84" s="639"/>
      <c r="C84" s="633"/>
      <c r="D84" s="596"/>
      <c r="E84" s="597"/>
      <c r="F84" s="596"/>
      <c r="G84" s="597"/>
      <c r="H84" s="596"/>
      <c r="I84" s="597"/>
      <c r="J84" s="626"/>
      <c r="K84" s="611"/>
      <c r="L84" s="623"/>
      <c r="M84" s="626"/>
      <c r="N84" s="259" t="s">
        <v>536</v>
      </c>
      <c r="O84" s="478"/>
      <c r="P84" s="620"/>
      <c r="Q84" s="653"/>
      <c r="R84" s="661"/>
    </row>
    <row r="85" spans="1:19" ht="30" customHeight="1" thickBot="1" x14ac:dyDescent="0.3">
      <c r="A85" s="637"/>
      <c r="B85" s="640"/>
      <c r="C85" s="634"/>
      <c r="D85" s="598"/>
      <c r="E85" s="599"/>
      <c r="F85" s="598"/>
      <c r="G85" s="599"/>
      <c r="H85" s="598"/>
      <c r="I85" s="599"/>
      <c r="J85" s="627"/>
      <c r="K85" s="612"/>
      <c r="L85" s="624"/>
      <c r="M85" s="627"/>
      <c r="N85" s="259" t="s">
        <v>79</v>
      </c>
      <c r="O85" s="325" t="str">
        <f>IF(O83="","n.d.",IF(O84="","n.d.",IF(O84=0,"",O83/O84)))</f>
        <v>n.d.</v>
      </c>
      <c r="P85" s="621"/>
      <c r="Q85" s="653"/>
      <c r="R85" s="661"/>
    </row>
    <row r="86" spans="1:19" ht="34.5" customHeight="1" thickBot="1" x14ac:dyDescent="0.3">
      <c r="A86" s="635">
        <v>24</v>
      </c>
      <c r="B86" s="638" t="s">
        <v>776</v>
      </c>
      <c r="C86" s="632" t="s">
        <v>520</v>
      </c>
      <c r="D86" s="594" t="s">
        <v>797</v>
      </c>
      <c r="E86" s="595"/>
      <c r="F86" s="594" t="s">
        <v>521</v>
      </c>
      <c r="G86" s="595"/>
      <c r="H86" s="594" t="s">
        <v>522</v>
      </c>
      <c r="I86" s="595"/>
      <c r="J86" s="625" t="s">
        <v>419</v>
      </c>
      <c r="K86" s="610" t="s">
        <v>745</v>
      </c>
      <c r="L86" s="622"/>
      <c r="M86" s="628"/>
      <c r="N86" s="471" t="s">
        <v>471</v>
      </c>
      <c r="O86" s="478"/>
      <c r="P86" s="630" t="str">
        <f>IF(AND(O86&lt;&gt;"",O87&lt;&gt;"",O86=0,O87=0),Berechnung1!$H$5,IF(OR(O86="",O87=""),Berechnung1!$F$5,IF(AND(O86=0,O87=0),Berechnung1!$D$5,IF(O88=Berechnung1!D103,Berechnung1!$F$5,IF(OR(O88&lt;Berechnung1!E103,O88&gt;Berechnung1!F103),Berechnung1!$G$5,IF(OR(ROUND(O88,4)&lt;Berechnung1!J103,ROUND(O88,4)&gt;Berechnung1!K103),Berechnung1!$D$5,IF(OR(ROUND(O88,4)&lt;Berechnung1!G103,ROUND(O88,4)&gt;Berechnung1!H103),Berechnung1!$E$5,Berechnung1!$C$5)))))))</f>
        <v>Incomplete</v>
      </c>
      <c r="Q86" s="652"/>
      <c r="R86" s="660"/>
    </row>
    <row r="87" spans="1:19" ht="34.5" customHeight="1" thickBot="1" x14ac:dyDescent="0.3">
      <c r="A87" s="636"/>
      <c r="B87" s="639"/>
      <c r="C87" s="633"/>
      <c r="D87" s="596"/>
      <c r="E87" s="597"/>
      <c r="F87" s="596"/>
      <c r="G87" s="597"/>
      <c r="H87" s="596"/>
      <c r="I87" s="597"/>
      <c r="J87" s="626"/>
      <c r="K87" s="611"/>
      <c r="L87" s="623"/>
      <c r="M87" s="743"/>
      <c r="N87" s="471" t="s">
        <v>536</v>
      </c>
      <c r="O87" s="478"/>
      <c r="P87" s="745"/>
      <c r="Q87" s="653"/>
      <c r="R87" s="661"/>
    </row>
    <row r="88" spans="1:19" ht="34.5" customHeight="1" thickBot="1" x14ac:dyDescent="0.3">
      <c r="A88" s="637"/>
      <c r="B88" s="640"/>
      <c r="C88" s="634"/>
      <c r="D88" s="598"/>
      <c r="E88" s="599"/>
      <c r="F88" s="598"/>
      <c r="G88" s="599"/>
      <c r="H88" s="598"/>
      <c r="I88" s="599"/>
      <c r="J88" s="627"/>
      <c r="K88" s="612"/>
      <c r="L88" s="624"/>
      <c r="M88" s="744"/>
      <c r="N88" s="259" t="s">
        <v>79</v>
      </c>
      <c r="O88" s="472" t="str">
        <f>IF(O86="","n.d.",IF(O87="","n.d.",IF(O87=0,"",O86/O87)))</f>
        <v>n.d.</v>
      </c>
      <c r="P88" s="621"/>
      <c r="Q88" s="653"/>
      <c r="R88" s="661"/>
    </row>
    <row r="89" spans="1:19" ht="30" customHeight="1" thickBot="1" x14ac:dyDescent="0.3">
      <c r="A89" s="635">
        <v>25</v>
      </c>
      <c r="B89" s="638" t="s">
        <v>776</v>
      </c>
      <c r="C89" s="632" t="s">
        <v>523</v>
      </c>
      <c r="D89" s="594" t="s">
        <v>524</v>
      </c>
      <c r="E89" s="595"/>
      <c r="F89" s="594" t="s">
        <v>525</v>
      </c>
      <c r="G89" s="595"/>
      <c r="H89" s="594" t="s">
        <v>825</v>
      </c>
      <c r="I89" s="595"/>
      <c r="J89" s="625"/>
      <c r="K89" s="610" t="s">
        <v>421</v>
      </c>
      <c r="L89" s="622"/>
      <c r="M89" s="628"/>
      <c r="N89" s="259" t="s">
        <v>471</v>
      </c>
      <c r="O89" s="478"/>
      <c r="P89" s="619" t="str">
        <f>IF(O91=Berechnung1!D106,Berechnung1!$F$5,IF(OR(O91&lt; Berechnung1!E106,O91&gt; Berechnung1!F106),Berechnung1!$G$5,IF(OR(ROUND(O91,4)&lt;Berechnung1!J106,ROUND(O91,4)&gt;Berechnung1!K106),Berechnung1!$D$5,IF(OR(ROUND(O91,4)&lt;Berechnung1!G106,ROUND(O91,4)&gt;Berechnung1!H106),Berechnung1!$E$5,Berechnung1!$C$5))))</f>
        <v>Incomplete</v>
      </c>
      <c r="Q89" s="652"/>
      <c r="R89" s="660"/>
    </row>
    <row r="90" spans="1:19" ht="30" customHeight="1" thickBot="1" x14ac:dyDescent="0.3">
      <c r="A90" s="636"/>
      <c r="B90" s="639"/>
      <c r="C90" s="633"/>
      <c r="D90" s="596"/>
      <c r="E90" s="597"/>
      <c r="F90" s="596"/>
      <c r="G90" s="597"/>
      <c r="H90" s="596"/>
      <c r="I90" s="597"/>
      <c r="J90" s="626"/>
      <c r="K90" s="611"/>
      <c r="L90" s="623"/>
      <c r="M90" s="626"/>
      <c r="N90" s="259" t="s">
        <v>536</v>
      </c>
      <c r="O90" s="478"/>
      <c r="P90" s="620"/>
      <c r="Q90" s="653"/>
      <c r="R90" s="661"/>
    </row>
    <row r="91" spans="1:19" ht="30" customHeight="1" thickBot="1" x14ac:dyDescent="0.3">
      <c r="A91" s="637"/>
      <c r="B91" s="640"/>
      <c r="C91" s="634"/>
      <c r="D91" s="598"/>
      <c r="E91" s="599"/>
      <c r="F91" s="598"/>
      <c r="G91" s="599"/>
      <c r="H91" s="598"/>
      <c r="I91" s="599"/>
      <c r="J91" s="627"/>
      <c r="K91" s="612"/>
      <c r="L91" s="624"/>
      <c r="M91" s="627"/>
      <c r="N91" s="259" t="s">
        <v>79</v>
      </c>
      <c r="O91" s="325" t="str">
        <f>IF(O89="","n.d.",IF(O90="","n.d.",IF(O90=0,"",O89/O90)))</f>
        <v>n.d.</v>
      </c>
      <c r="P91" s="621"/>
      <c r="Q91" s="653"/>
      <c r="R91" s="661"/>
    </row>
    <row r="92" spans="1:19" s="119" customFormat="1" ht="59.1" customHeight="1" thickBot="1" x14ac:dyDescent="0.25">
      <c r="A92" s="635">
        <v>26</v>
      </c>
      <c r="B92" s="638" t="s">
        <v>776</v>
      </c>
      <c r="C92" s="632" t="s">
        <v>526</v>
      </c>
      <c r="D92" s="594" t="s">
        <v>798</v>
      </c>
      <c r="E92" s="595"/>
      <c r="F92" s="594" t="s">
        <v>527</v>
      </c>
      <c r="G92" s="595"/>
      <c r="H92" s="594" t="s">
        <v>528</v>
      </c>
      <c r="I92" s="595"/>
      <c r="J92" s="625"/>
      <c r="K92" s="610" t="s">
        <v>90</v>
      </c>
      <c r="L92" s="622"/>
      <c r="M92" s="628"/>
      <c r="N92" s="259" t="s">
        <v>471</v>
      </c>
      <c r="O92" s="478"/>
      <c r="P92" s="619" t="str">
        <f>IF(O94=Berechnung1!D109,Berechnung1!$F$5,IF(OR(O94&lt; Berechnung1!E109,O94&gt; Berechnung1!F109),Berechnung1!$G$5,IF(OR(ROUND(O94,4)&lt;Berechnung1!J109,ROUND(O94,4)&gt;Berechnung1!K109),Berechnung1!$D$5,IF(OR(ROUND(O94,4)&lt;Berechnung1!G109,ROUND(O94,4)&gt;Berechnung1!H109),Berechnung1!$E$5,Berechnung1!$C$5))))</f>
        <v>Incomplete</v>
      </c>
      <c r="Q92" s="652"/>
      <c r="R92" s="660"/>
      <c r="S92" s="331"/>
    </row>
    <row r="93" spans="1:19" s="119" customFormat="1" ht="59.1" customHeight="1" thickBot="1" x14ac:dyDescent="0.25">
      <c r="A93" s="636"/>
      <c r="B93" s="639"/>
      <c r="C93" s="633"/>
      <c r="D93" s="596"/>
      <c r="E93" s="597"/>
      <c r="F93" s="596"/>
      <c r="G93" s="597"/>
      <c r="H93" s="596"/>
      <c r="I93" s="597"/>
      <c r="J93" s="626"/>
      <c r="K93" s="611"/>
      <c r="L93" s="623"/>
      <c r="M93" s="626"/>
      <c r="N93" s="259" t="s">
        <v>536</v>
      </c>
      <c r="O93" s="478"/>
      <c r="P93" s="620"/>
      <c r="Q93" s="653"/>
      <c r="R93" s="661"/>
      <c r="S93" s="331"/>
    </row>
    <row r="94" spans="1:19" s="119" customFormat="1" ht="59.1" customHeight="1" thickBot="1" x14ac:dyDescent="0.25">
      <c r="A94" s="637"/>
      <c r="B94" s="640"/>
      <c r="C94" s="634"/>
      <c r="D94" s="598"/>
      <c r="E94" s="599"/>
      <c r="F94" s="598"/>
      <c r="G94" s="599"/>
      <c r="H94" s="598"/>
      <c r="I94" s="599"/>
      <c r="J94" s="627"/>
      <c r="K94" s="612"/>
      <c r="L94" s="624"/>
      <c r="M94" s="627"/>
      <c r="N94" s="259" t="s">
        <v>79</v>
      </c>
      <c r="O94" s="325" t="str">
        <f>IF(O92="","n.d.",IF(O93="","n.d.",IF(O93=0,"",O92/O93)))</f>
        <v>n.d.</v>
      </c>
      <c r="P94" s="621"/>
      <c r="Q94" s="653"/>
      <c r="R94" s="661"/>
      <c r="S94" s="331"/>
    </row>
    <row r="95" spans="1:19" ht="30" customHeight="1" thickBot="1" x14ac:dyDescent="0.3">
      <c r="A95" s="635">
        <v>27</v>
      </c>
      <c r="B95" s="638" t="s">
        <v>776</v>
      </c>
      <c r="C95" s="632" t="s">
        <v>529</v>
      </c>
      <c r="D95" s="594" t="s">
        <v>530</v>
      </c>
      <c r="E95" s="595"/>
      <c r="F95" s="594" t="s">
        <v>531</v>
      </c>
      <c r="G95" s="595"/>
      <c r="H95" s="594" t="s">
        <v>532</v>
      </c>
      <c r="I95" s="595"/>
      <c r="J95" s="625"/>
      <c r="K95" s="610" t="s">
        <v>81</v>
      </c>
      <c r="L95" s="622"/>
      <c r="M95" s="628"/>
      <c r="N95" s="259" t="s">
        <v>471</v>
      </c>
      <c r="O95" s="478"/>
      <c r="P95" s="659" t="str">
        <f>IF(O97=Berechnung1!D112,Berechnung1!$F$5,IF(OR(O97&lt; Berechnung1!E112,O97&gt; Berechnung1!F112),Berechnung1!$G$5,IF(OR(ROUND(O97,4)&lt;Berechnung1!J112,ROUND(O97,4)&gt;Berechnung1!K112),Berechnung1!$D$5,IF(OR(ROUND(O97,4)&lt;Berechnung1!G112,ROUND(O97,4)&gt;Berechnung1!H112),Berechnung1!$E$5,Berechnung1!$C$5))))</f>
        <v>Incomplete</v>
      </c>
      <c r="Q95" s="652"/>
      <c r="R95" s="660"/>
    </row>
    <row r="96" spans="1:19" ht="30" customHeight="1" thickBot="1" x14ac:dyDescent="0.3">
      <c r="A96" s="636"/>
      <c r="B96" s="639"/>
      <c r="C96" s="633"/>
      <c r="D96" s="596"/>
      <c r="E96" s="597"/>
      <c r="F96" s="596"/>
      <c r="G96" s="597"/>
      <c r="H96" s="596"/>
      <c r="I96" s="597"/>
      <c r="J96" s="626"/>
      <c r="K96" s="611"/>
      <c r="L96" s="623"/>
      <c r="M96" s="626"/>
      <c r="N96" s="259" t="s">
        <v>536</v>
      </c>
      <c r="O96" s="478"/>
      <c r="P96" s="659"/>
      <c r="Q96" s="653"/>
      <c r="R96" s="661"/>
    </row>
    <row r="97" spans="1:19" ht="30" customHeight="1" thickBot="1" x14ac:dyDescent="0.3">
      <c r="A97" s="637"/>
      <c r="B97" s="640"/>
      <c r="C97" s="634"/>
      <c r="D97" s="598"/>
      <c r="E97" s="599"/>
      <c r="F97" s="598"/>
      <c r="G97" s="599"/>
      <c r="H97" s="598"/>
      <c r="I97" s="599"/>
      <c r="J97" s="627"/>
      <c r="K97" s="612"/>
      <c r="L97" s="624"/>
      <c r="M97" s="627"/>
      <c r="N97" s="259" t="s">
        <v>79</v>
      </c>
      <c r="O97" s="325" t="str">
        <f>IF(O95="","n.d.",IF(O96="","n.d.",IF(O96=0,"",O95/O96)))</f>
        <v>n.d.</v>
      </c>
      <c r="P97" s="659"/>
      <c r="Q97" s="653"/>
      <c r="R97" s="661"/>
    </row>
    <row r="98" spans="1:19" ht="30" customHeight="1" thickBot="1" x14ac:dyDescent="0.3">
      <c r="A98" s="635">
        <v>28</v>
      </c>
      <c r="B98" s="635"/>
      <c r="C98" s="632" t="s">
        <v>533</v>
      </c>
      <c r="D98" s="594" t="s">
        <v>534</v>
      </c>
      <c r="E98" s="595"/>
      <c r="F98" s="594" t="s">
        <v>535</v>
      </c>
      <c r="G98" s="595"/>
      <c r="H98" s="594" t="s">
        <v>826</v>
      </c>
      <c r="I98" s="595"/>
      <c r="J98" s="625"/>
      <c r="K98" s="610" t="s">
        <v>907</v>
      </c>
      <c r="L98" s="622"/>
      <c r="M98" s="628"/>
      <c r="N98" s="259" t="s">
        <v>471</v>
      </c>
      <c r="O98" s="478"/>
      <c r="P98" s="619" t="str">
        <f>IF(AND(O98&lt;&gt;"",O99&lt;&gt;"",O98=0,O99=0),Berechnung1!$H$5,IF(O100=Berechnung1!D115,Berechnung1!$F$5,IF(OR(O100&lt;Berechnung1!E115,O100&gt;Berechnung1!F115),Berechnung1!$G$5,IF(OR(ROUND(O100,4)&lt;Berechnung1!J115,ROUND(O100,4)&gt;Berechnung1!K115),Berechnung1!$D$5,IF(OR(ROUND(O100,4)&lt;Berechnung1!G115,ROUND(O100,4)&gt;Berechnung1!H115),Berechnung1!$E$5,Berechnung1!$C$5)))))</f>
        <v>Incomplete</v>
      </c>
      <c r="Q98" s="652"/>
      <c r="R98" s="660"/>
    </row>
    <row r="99" spans="1:19" ht="30" customHeight="1" thickBot="1" x14ac:dyDescent="0.3">
      <c r="A99" s="636"/>
      <c r="B99" s="636"/>
      <c r="C99" s="633"/>
      <c r="D99" s="596"/>
      <c r="E99" s="597"/>
      <c r="F99" s="596"/>
      <c r="G99" s="597"/>
      <c r="H99" s="596"/>
      <c r="I99" s="597"/>
      <c r="J99" s="626"/>
      <c r="K99" s="611"/>
      <c r="L99" s="623"/>
      <c r="M99" s="626"/>
      <c r="N99" s="259" t="s">
        <v>536</v>
      </c>
      <c r="O99" s="387">
        <f>IF(O83="",0,O83)</f>
        <v>0</v>
      </c>
      <c r="P99" s="620"/>
      <c r="Q99" s="653"/>
      <c r="R99" s="661"/>
    </row>
    <row r="100" spans="1:19" ht="30" customHeight="1" thickBot="1" x14ac:dyDescent="0.3">
      <c r="A100" s="637"/>
      <c r="B100" s="637"/>
      <c r="C100" s="634"/>
      <c r="D100" s="598"/>
      <c r="E100" s="599"/>
      <c r="F100" s="598"/>
      <c r="G100" s="599"/>
      <c r="H100" s="598"/>
      <c r="I100" s="599"/>
      <c r="J100" s="627"/>
      <c r="K100" s="612"/>
      <c r="L100" s="624"/>
      <c r="M100" s="627"/>
      <c r="N100" s="259" t="s">
        <v>79</v>
      </c>
      <c r="O100" s="473" t="str">
        <f>IF(O98="","n.d.",IF(O99="","n.d.",IF(O99=0,"",O98/O99)))</f>
        <v>n.d.</v>
      </c>
      <c r="P100" s="620"/>
      <c r="Q100" s="653"/>
      <c r="R100" s="661"/>
    </row>
    <row r="101" spans="1:19" s="459" customFormat="1" ht="30" customHeight="1" thickBot="1" x14ac:dyDescent="0.3">
      <c r="A101" s="635" t="s">
        <v>823</v>
      </c>
      <c r="B101" s="635"/>
      <c r="C101" s="632" t="s">
        <v>827</v>
      </c>
      <c r="D101" s="594" t="s">
        <v>799</v>
      </c>
      <c r="E101" s="595"/>
      <c r="F101" s="594" t="s">
        <v>838</v>
      </c>
      <c r="G101" s="595"/>
      <c r="H101" s="594" t="s">
        <v>828</v>
      </c>
      <c r="I101" s="595"/>
      <c r="J101" s="625"/>
      <c r="K101" s="610" t="s">
        <v>745</v>
      </c>
      <c r="L101" s="622"/>
      <c r="M101" s="628" t="s">
        <v>800</v>
      </c>
      <c r="N101" s="471" t="s">
        <v>471</v>
      </c>
      <c r="O101" s="478"/>
      <c r="P101" s="619" t="str">
        <f>IF(O103=Berechnung1!D118,Berechnung1!$F$5,IF(OR(O103&lt; Berechnung1!E118,O103&gt; Berechnung1!F118),Berechnung1!$G$5,IF(OR(ROUND(O103,4)&lt;Berechnung1!J118,ROUND(O103,4)&gt;Berechnung1!K118),Berechnung1!$D$5,IF(OR(ROUND(O103,4)&lt;Berechnung1!G118,ROUND(O103,4)&gt;Berechnung1!H118),Berechnung1!$E$5,Berechnung1!$C$5))))</f>
        <v>Incomplete</v>
      </c>
      <c r="Q101" s="652"/>
      <c r="R101" s="660"/>
      <c r="S101" s="458"/>
    </row>
    <row r="102" spans="1:19" s="459" customFormat="1" ht="30" customHeight="1" thickBot="1" x14ac:dyDescent="0.3">
      <c r="A102" s="636"/>
      <c r="B102" s="636"/>
      <c r="C102" s="633"/>
      <c r="D102" s="596"/>
      <c r="E102" s="597"/>
      <c r="F102" s="596"/>
      <c r="G102" s="597"/>
      <c r="H102" s="596"/>
      <c r="I102" s="597"/>
      <c r="J102" s="626"/>
      <c r="K102" s="611"/>
      <c r="L102" s="623"/>
      <c r="M102" s="626"/>
      <c r="N102" s="259" t="s">
        <v>536</v>
      </c>
      <c r="O102" s="467">
        <f>O66</f>
        <v>0</v>
      </c>
      <c r="P102" s="620"/>
      <c r="Q102" s="653"/>
      <c r="R102" s="661"/>
      <c r="S102" s="458"/>
    </row>
    <row r="103" spans="1:19" s="459" customFormat="1" ht="30" customHeight="1" thickBot="1" x14ac:dyDescent="0.3">
      <c r="A103" s="637"/>
      <c r="B103" s="637"/>
      <c r="C103" s="634"/>
      <c r="D103" s="598"/>
      <c r="E103" s="599"/>
      <c r="F103" s="598"/>
      <c r="G103" s="599"/>
      <c r="H103" s="598"/>
      <c r="I103" s="599"/>
      <c r="J103" s="627"/>
      <c r="K103" s="612"/>
      <c r="L103" s="624"/>
      <c r="M103" s="627"/>
      <c r="N103" s="259"/>
      <c r="O103" s="325" t="str">
        <f>IF(O101="","n.d.",IF(O102="","n.d.",IF(O102=0,"",O101/O102)))</f>
        <v>n.d.</v>
      </c>
      <c r="P103" s="621"/>
      <c r="Q103" s="653"/>
      <c r="R103" s="661"/>
      <c r="S103" s="458"/>
    </row>
    <row r="104" spans="1:19" ht="7.15" customHeight="1" x14ac:dyDescent="0.25">
      <c r="A104" s="464"/>
      <c r="B104" s="464"/>
      <c r="C104" s="465"/>
      <c r="D104" s="465"/>
      <c r="E104" s="465"/>
      <c r="F104" s="460"/>
      <c r="G104" s="460"/>
      <c r="H104" s="460"/>
      <c r="I104" s="460"/>
      <c r="J104" s="460"/>
      <c r="K104" s="460"/>
      <c r="L104" s="460"/>
      <c r="M104" s="460"/>
      <c r="N104" s="461"/>
      <c r="O104" s="462"/>
      <c r="P104" s="463"/>
      <c r="Q104" s="462"/>
      <c r="R104" s="462"/>
    </row>
    <row r="105" spans="1:19" ht="18" customHeight="1" thickBot="1" x14ac:dyDescent="0.3">
      <c r="A105" s="32" t="s">
        <v>835</v>
      </c>
      <c r="B105" s="32"/>
      <c r="C105" s="8"/>
      <c r="D105" s="15"/>
      <c r="E105" s="15"/>
      <c r="F105" s="15"/>
      <c r="G105" s="15"/>
      <c r="H105" s="460"/>
      <c r="I105" s="460"/>
      <c r="J105" s="460"/>
      <c r="K105" s="460"/>
      <c r="L105" s="460"/>
      <c r="M105" s="460"/>
      <c r="N105" s="461"/>
      <c r="O105" s="462"/>
      <c r="P105" s="463"/>
      <c r="Q105" s="462"/>
      <c r="R105" s="462"/>
    </row>
    <row r="106" spans="1:19" ht="18" customHeight="1" thickBot="1" x14ac:dyDescent="0.3">
      <c r="A106" s="446"/>
      <c r="B106" s="717" t="s">
        <v>452</v>
      </c>
      <c r="C106" s="718"/>
      <c r="D106" s="447" t="s">
        <v>453</v>
      </c>
      <c r="E106" s="448" t="str">
        <f>CONCATENATE(TEXT(Berechnung1!C9,"0,00%")," (",Berechnung1!C6,")")</f>
        <v>0,00% (0)</v>
      </c>
      <c r="F106" s="721" t="str">
        <f>CONCATENATE(TEXT(Berechnung1!D10,"0,00%")," (",Berechnung1!D7,")")</f>
        <v>0,00% (0)</v>
      </c>
      <c r="G106" s="722" t="s">
        <v>458</v>
      </c>
      <c r="H106" s="460"/>
      <c r="I106" s="460"/>
      <c r="J106" s="460"/>
      <c r="K106" s="460"/>
      <c r="L106" s="460"/>
      <c r="M106" s="460"/>
      <c r="N106" s="461"/>
      <c r="O106" s="462"/>
      <c r="P106" s="463"/>
      <c r="Q106" s="462"/>
      <c r="R106" s="462"/>
    </row>
    <row r="107" spans="1:19" ht="18" customHeight="1" thickBot="1" x14ac:dyDescent="0.3">
      <c r="A107" s="446"/>
      <c r="B107" s="719"/>
      <c r="C107" s="720"/>
      <c r="D107" s="449" t="s">
        <v>454</v>
      </c>
      <c r="E107" s="450" t="str">
        <f>CONCATENATE(TEXT(Berechnung1!K9,"0,00%")," (",Berechnung1!K6,")")</f>
        <v>0,00% (0)</v>
      </c>
      <c r="F107" s="721"/>
      <c r="G107" s="723"/>
      <c r="H107" s="460"/>
      <c r="I107" s="460"/>
      <c r="J107" s="460"/>
      <c r="K107" s="460"/>
      <c r="L107" s="460"/>
      <c r="M107" s="460"/>
      <c r="N107" s="461"/>
      <c r="O107" s="462"/>
      <c r="P107" s="463"/>
      <c r="Q107" s="462"/>
      <c r="R107" s="462"/>
    </row>
    <row r="108" spans="1:19" ht="18" customHeight="1" thickBot="1" x14ac:dyDescent="0.3">
      <c r="A108" s="451" t="s">
        <v>808</v>
      </c>
      <c r="B108" s="724" t="s">
        <v>809</v>
      </c>
      <c r="C108" s="725"/>
      <c r="D108" s="725"/>
      <c r="E108" s="726"/>
      <c r="F108" s="452" t="str">
        <f>CONCATENATE(TEXT(Berechnung1!E10,"0,00%")," (",Berechnung1!E7,")")</f>
        <v>0,00% (0)</v>
      </c>
      <c r="G108" s="453" t="str">
        <f>CONCATENATE(TEXT(Berechnung1!E11,"0,00%")," (",Berechnung1!E8,")")</f>
        <v>0,00% (0)</v>
      </c>
      <c r="H108" s="460"/>
      <c r="I108" s="460"/>
      <c r="J108" s="460"/>
      <c r="K108" s="460"/>
      <c r="L108" s="460"/>
      <c r="M108" s="460"/>
      <c r="N108" s="461"/>
      <c r="O108" s="462"/>
      <c r="P108" s="463"/>
      <c r="Q108" s="462"/>
      <c r="R108" s="462"/>
    </row>
    <row r="109" spans="1:19" ht="18" customHeight="1" thickBot="1" x14ac:dyDescent="0.3">
      <c r="A109" s="446"/>
      <c r="B109" s="727" t="s">
        <v>810</v>
      </c>
      <c r="C109" s="728"/>
      <c r="D109" s="454" t="s">
        <v>456</v>
      </c>
      <c r="E109" s="455" t="str">
        <f>CONCATENATE(TEXT(Berechnung1!G9,"0,00%")," (",Berechnung1!G6,")")</f>
        <v>0,00% (0)</v>
      </c>
      <c r="F109" s="721" t="str">
        <f>CONCATENATE(TEXT(Berechnung1!G10,"0,00%")," (",Berechnung1!G8,")")</f>
        <v>100,00% (32)</v>
      </c>
      <c r="G109" s="721"/>
      <c r="H109" s="460"/>
      <c r="I109" s="460"/>
      <c r="J109" s="460"/>
      <c r="K109" s="460"/>
      <c r="L109" s="460"/>
      <c r="M109" s="460"/>
      <c r="N109" s="461"/>
      <c r="O109" s="462"/>
      <c r="P109" s="463"/>
      <c r="Q109" s="462"/>
      <c r="R109" s="462"/>
    </row>
    <row r="110" spans="1:19" ht="18" customHeight="1" thickBot="1" x14ac:dyDescent="0.3">
      <c r="A110" s="446"/>
      <c r="B110" s="729"/>
      <c r="C110" s="730"/>
      <c r="D110" s="456" t="s">
        <v>457</v>
      </c>
      <c r="E110" s="457" t="str">
        <f>CONCATENATE(TEXT(Berechnung1!F9,"0,00%")," (",Berechnung1!F6,")")</f>
        <v>100,00% (32)</v>
      </c>
      <c r="F110" s="721"/>
      <c r="G110" s="721"/>
      <c r="H110" s="460"/>
      <c r="I110" s="460"/>
      <c r="J110" s="460"/>
      <c r="K110" s="460"/>
      <c r="L110" s="460"/>
      <c r="M110" s="460"/>
      <c r="N110" s="461"/>
      <c r="O110" s="462"/>
      <c r="P110" s="463"/>
      <c r="Q110" s="462"/>
      <c r="R110" s="462"/>
    </row>
    <row r="111" spans="1:19" ht="7.15" customHeight="1" x14ac:dyDescent="0.25"/>
    <row r="112" spans="1:19" ht="13.5" customHeight="1" x14ac:dyDescent="0.25">
      <c r="A112" s="90" t="s">
        <v>538</v>
      </c>
    </row>
    <row r="113" spans="1:19" s="11" customFormat="1" ht="27.75" customHeight="1" x14ac:dyDescent="0.2">
      <c r="A113" s="716" t="s">
        <v>814</v>
      </c>
      <c r="B113" s="716"/>
      <c r="C113" s="716"/>
      <c r="D113" s="716"/>
      <c r="E113" s="716"/>
      <c r="F113" s="716"/>
      <c r="G113" s="716"/>
      <c r="H113" s="716"/>
      <c r="I113" s="716"/>
      <c r="J113" s="716"/>
      <c r="K113" s="716"/>
      <c r="L113" s="716"/>
      <c r="M113" s="716"/>
      <c r="N113" s="716"/>
      <c r="O113" s="716"/>
      <c r="P113" s="716"/>
      <c r="S113" s="334"/>
    </row>
    <row r="114" spans="1:19" s="8" customFormat="1" ht="102.75" customHeight="1" x14ac:dyDescent="0.2">
      <c r="A114" s="714" t="s">
        <v>539</v>
      </c>
      <c r="B114" s="715"/>
      <c r="C114" s="715"/>
      <c r="D114" s="715"/>
      <c r="E114" s="715"/>
      <c r="F114" s="715"/>
      <c r="G114" s="715"/>
      <c r="H114" s="715"/>
      <c r="I114" s="715"/>
      <c r="J114" s="715"/>
      <c r="K114" s="715"/>
      <c r="L114" s="715"/>
      <c r="M114" s="715"/>
      <c r="N114" s="715"/>
      <c r="O114" s="715"/>
      <c r="P114" s="715"/>
      <c r="S114" s="331"/>
    </row>
    <row r="115" spans="1:19" x14ac:dyDescent="0.25">
      <c r="A115" s="36" t="s">
        <v>812</v>
      </c>
    </row>
    <row r="116" spans="1:19" x14ac:dyDescent="0.25">
      <c r="A116" s="631" t="s">
        <v>813</v>
      </c>
      <c r="B116" s="631"/>
      <c r="C116" s="631"/>
      <c r="D116" s="631"/>
      <c r="E116" s="631"/>
      <c r="F116" s="631"/>
      <c r="G116" s="631"/>
      <c r="H116" s="631"/>
      <c r="I116" s="631"/>
      <c r="J116" s="631"/>
      <c r="K116" s="631"/>
      <c r="L116" s="631"/>
      <c r="M116" s="631"/>
      <c r="N116" s="631"/>
      <c r="O116" s="631"/>
      <c r="P116" s="631"/>
    </row>
  </sheetData>
  <sheetProtection algorithmName="SHA-512" hashValue="/VbpsHOtu+35QUHpAv5kJWM1pxipESPZyt8c8UhxxefAo/OyILOc6He1VmffRHrydDsgwMM3+eLlk6foTW9FxA==" saltValue="SFMH7pkazUfwDNThd/gU2Q==" spinCount="100000" sheet="1" objects="1" scenarios="1" selectLockedCells="1"/>
  <dataConsolidate/>
  <mergeCells count="417">
    <mergeCell ref="Q68:Q70"/>
    <mergeCell ref="R71:R73"/>
    <mergeCell ref="R74:R76"/>
    <mergeCell ref="Q71:Q73"/>
    <mergeCell ref="P71:P73"/>
    <mergeCell ref="C4:D4"/>
    <mergeCell ref="F4:M4"/>
    <mergeCell ref="P44:P46"/>
    <mergeCell ref="R44:R46"/>
    <mergeCell ref="Q44:Q46"/>
    <mergeCell ref="M44:M46"/>
    <mergeCell ref="M41:M43"/>
    <mergeCell ref="P38:P40"/>
    <mergeCell ref="K38:L40"/>
    <mergeCell ref="K44:L46"/>
    <mergeCell ref="R26:R28"/>
    <mergeCell ref="P35:P37"/>
    <mergeCell ref="Q35:Q37"/>
    <mergeCell ref="K41:L43"/>
    <mergeCell ref="P41:P43"/>
    <mergeCell ref="Q41:Q43"/>
    <mergeCell ref="R41:R43"/>
    <mergeCell ref="Q26:Q28"/>
    <mergeCell ref="R35:R37"/>
    <mergeCell ref="M89:M91"/>
    <mergeCell ref="M92:M94"/>
    <mergeCell ref="P95:P97"/>
    <mergeCell ref="P92:P94"/>
    <mergeCell ref="F86:G88"/>
    <mergeCell ref="M86:M88"/>
    <mergeCell ref="Q89:Q91"/>
    <mergeCell ref="Q95:Q97"/>
    <mergeCell ref="Q86:Q88"/>
    <mergeCell ref="P86:P88"/>
    <mergeCell ref="K86:L88"/>
    <mergeCell ref="J92:J94"/>
    <mergeCell ref="K95:L97"/>
    <mergeCell ref="Q101:Q103"/>
    <mergeCell ref="R101:R103"/>
    <mergeCell ref="P98:P100"/>
    <mergeCell ref="Q98:Q100"/>
    <mergeCell ref="R98:R100"/>
    <mergeCell ref="R89:R91"/>
    <mergeCell ref="P77:P79"/>
    <mergeCell ref="R92:R94"/>
    <mergeCell ref="R95:R97"/>
    <mergeCell ref="P89:P91"/>
    <mergeCell ref="P83:P85"/>
    <mergeCell ref="Q92:Q94"/>
    <mergeCell ref="A98:A100"/>
    <mergeCell ref="B98:B100"/>
    <mergeCell ref="C98:C100"/>
    <mergeCell ref="D98:E100"/>
    <mergeCell ref="F98:G100"/>
    <mergeCell ref="H98:I100"/>
    <mergeCell ref="J98:J100"/>
    <mergeCell ref="K98:L100"/>
    <mergeCell ref="M98:M100"/>
    <mergeCell ref="Q38:Q40"/>
    <mergeCell ref="R38:R40"/>
    <mergeCell ref="R32:R34"/>
    <mergeCell ref="P29:P31"/>
    <mergeCell ref="P32:P34"/>
    <mergeCell ref="R29:R31"/>
    <mergeCell ref="Q62:Q64"/>
    <mergeCell ref="R56:R58"/>
    <mergeCell ref="R59:R61"/>
    <mergeCell ref="R47:R49"/>
    <mergeCell ref="R50:R52"/>
    <mergeCell ref="R62:R64"/>
    <mergeCell ref="P62:P64"/>
    <mergeCell ref="R53:R55"/>
    <mergeCell ref="Q53:Q55"/>
    <mergeCell ref="P50:P52"/>
    <mergeCell ref="Q29:Q31"/>
    <mergeCell ref="Q32:Q34"/>
    <mergeCell ref="P53:P55"/>
    <mergeCell ref="Q56:Q58"/>
    <mergeCell ref="P59:P61"/>
    <mergeCell ref="Q59:Q61"/>
    <mergeCell ref="P56:P58"/>
    <mergeCell ref="F41:G43"/>
    <mergeCell ref="B35:B37"/>
    <mergeCell ref="D44:E46"/>
    <mergeCell ref="F44:G46"/>
    <mergeCell ref="A32:A34"/>
    <mergeCell ref="B32:B34"/>
    <mergeCell ref="C32:C34"/>
    <mergeCell ref="D32:E34"/>
    <mergeCell ref="F32:G34"/>
    <mergeCell ref="B44:B46"/>
    <mergeCell ref="C44:C46"/>
    <mergeCell ref="D35:E37"/>
    <mergeCell ref="C53:C55"/>
    <mergeCell ref="Q50:Q52"/>
    <mergeCell ref="N50:N52"/>
    <mergeCell ref="M53:M55"/>
    <mergeCell ref="J53:J55"/>
    <mergeCell ref="Q47:Q49"/>
    <mergeCell ref="D53:E55"/>
    <mergeCell ref="F53:G55"/>
    <mergeCell ref="H53:I55"/>
    <mergeCell ref="K53:L55"/>
    <mergeCell ref="N47:N49"/>
    <mergeCell ref="M47:M49"/>
    <mergeCell ref="O50:O52"/>
    <mergeCell ref="J50:J52"/>
    <mergeCell ref="M50:M52"/>
    <mergeCell ref="K47:L49"/>
    <mergeCell ref="H50:I52"/>
    <mergeCell ref="J47:J49"/>
    <mergeCell ref="F47:G49"/>
    <mergeCell ref="F50:G52"/>
    <mergeCell ref="H47:I49"/>
    <mergeCell ref="A114:P114"/>
    <mergeCell ref="A113:P113"/>
    <mergeCell ref="K101:L103"/>
    <mergeCell ref="M101:M103"/>
    <mergeCell ref="P101:P103"/>
    <mergeCell ref="B106:C107"/>
    <mergeCell ref="F106:F107"/>
    <mergeCell ref="G106:G107"/>
    <mergeCell ref="B108:E108"/>
    <mergeCell ref="B109:C110"/>
    <mergeCell ref="F109:G110"/>
    <mergeCell ref="A101:A103"/>
    <mergeCell ref="B101:B103"/>
    <mergeCell ref="C101:C103"/>
    <mergeCell ref="D101:E103"/>
    <mergeCell ref="F101:G103"/>
    <mergeCell ref="H101:I103"/>
    <mergeCell ref="J101:J103"/>
    <mergeCell ref="R17:R19"/>
    <mergeCell ref="A17:A19"/>
    <mergeCell ref="B17:B19"/>
    <mergeCell ref="C17:C19"/>
    <mergeCell ref="D17:E19"/>
    <mergeCell ref="J17:J19"/>
    <mergeCell ref="M17:M19"/>
    <mergeCell ref="F17:G19"/>
    <mergeCell ref="H17:I19"/>
    <mergeCell ref="K17:L19"/>
    <mergeCell ref="Q17:Q19"/>
    <mergeCell ref="A6:A7"/>
    <mergeCell ref="B6:B7"/>
    <mergeCell ref="C6:C7"/>
    <mergeCell ref="M11:M13"/>
    <mergeCell ref="A14:A16"/>
    <mergeCell ref="B14:B16"/>
    <mergeCell ref="C14:C16"/>
    <mergeCell ref="D14:E16"/>
    <mergeCell ref="F14:G16"/>
    <mergeCell ref="H14:I16"/>
    <mergeCell ref="A11:A13"/>
    <mergeCell ref="D11:E13"/>
    <mergeCell ref="F11:G13"/>
    <mergeCell ref="H11:I13"/>
    <mergeCell ref="A8:A10"/>
    <mergeCell ref="B8:B10"/>
    <mergeCell ref="B11:B13"/>
    <mergeCell ref="C11:C13"/>
    <mergeCell ref="D6:E7"/>
    <mergeCell ref="C8:C10"/>
    <mergeCell ref="D8:E10"/>
    <mergeCell ref="F8:G10"/>
    <mergeCell ref="H8:I10"/>
    <mergeCell ref="J8:J10"/>
    <mergeCell ref="Q14:Q16"/>
    <mergeCell ref="J14:J16"/>
    <mergeCell ref="M14:M16"/>
    <mergeCell ref="P11:P13"/>
    <mergeCell ref="Q11:Q13"/>
    <mergeCell ref="Q6:R6"/>
    <mergeCell ref="F6:G7"/>
    <mergeCell ref="H6:I7"/>
    <mergeCell ref="K6:L7"/>
    <mergeCell ref="J6:J7"/>
    <mergeCell ref="M6:M7"/>
    <mergeCell ref="N6:O7"/>
    <mergeCell ref="K11:L13"/>
    <mergeCell ref="R11:R13"/>
    <mergeCell ref="M8:M10"/>
    <mergeCell ref="N8:N10"/>
    <mergeCell ref="O8:O10"/>
    <mergeCell ref="P14:P16"/>
    <mergeCell ref="P6:P7"/>
    <mergeCell ref="K14:L16"/>
    <mergeCell ref="R14:R16"/>
    <mergeCell ref="J11:J13"/>
    <mergeCell ref="R8:R10"/>
    <mergeCell ref="Q8:Q10"/>
    <mergeCell ref="Q23:Q25"/>
    <mergeCell ref="A20:A22"/>
    <mergeCell ref="B20:B22"/>
    <mergeCell ref="C20:C22"/>
    <mergeCell ref="D20:E22"/>
    <mergeCell ref="F20:G22"/>
    <mergeCell ref="H20:I22"/>
    <mergeCell ref="K20:L22"/>
    <mergeCell ref="P20:P22"/>
    <mergeCell ref="P23:P25"/>
    <mergeCell ref="Q20:Q22"/>
    <mergeCell ref="J23:J25"/>
    <mergeCell ref="R23:R25"/>
    <mergeCell ref="J20:J22"/>
    <mergeCell ref="O47:O49"/>
    <mergeCell ref="K50:L52"/>
    <mergeCell ref="A35:A37"/>
    <mergeCell ref="A50:A52"/>
    <mergeCell ref="B50:B52"/>
    <mergeCell ref="C50:C52"/>
    <mergeCell ref="D50:E52"/>
    <mergeCell ref="A47:A49"/>
    <mergeCell ref="B47:B49"/>
    <mergeCell ref="C47:C49"/>
    <mergeCell ref="D47:E49"/>
    <mergeCell ref="C35:C37"/>
    <mergeCell ref="A41:A43"/>
    <mergeCell ref="B41:B43"/>
    <mergeCell ref="C41:C43"/>
    <mergeCell ref="B38:B40"/>
    <mergeCell ref="A38:A40"/>
    <mergeCell ref="C38:C40"/>
    <mergeCell ref="D38:E40"/>
    <mergeCell ref="R20:R22"/>
    <mergeCell ref="P47:P49"/>
    <mergeCell ref="A44:A46"/>
    <mergeCell ref="A56:A58"/>
    <mergeCell ref="B56:B58"/>
    <mergeCell ref="C56:C58"/>
    <mergeCell ref="D56:E58"/>
    <mergeCell ref="F56:G58"/>
    <mergeCell ref="H56:I58"/>
    <mergeCell ref="D59:E61"/>
    <mergeCell ref="A59:A61"/>
    <mergeCell ref="B59:B61"/>
    <mergeCell ref="F59:G61"/>
    <mergeCell ref="Q65:Q67"/>
    <mergeCell ref="R86:R88"/>
    <mergeCell ref="A80:A82"/>
    <mergeCell ref="B80:B82"/>
    <mergeCell ref="M83:M85"/>
    <mergeCell ref="J71:J73"/>
    <mergeCell ref="A77:A79"/>
    <mergeCell ref="B77:B79"/>
    <mergeCell ref="F77:G79"/>
    <mergeCell ref="Q83:Q85"/>
    <mergeCell ref="Q77:Q79"/>
    <mergeCell ref="Q80:Q82"/>
    <mergeCell ref="R77:R79"/>
    <mergeCell ref="R80:R82"/>
    <mergeCell ref="N77:N79"/>
    <mergeCell ref="N80:N82"/>
    <mergeCell ref="H80:I82"/>
    <mergeCell ref="R83:R85"/>
    <mergeCell ref="R68:R70"/>
    <mergeCell ref="K68:L70"/>
    <mergeCell ref="R65:R67"/>
    <mergeCell ref="P68:P70"/>
    <mergeCell ref="K65:L67"/>
    <mergeCell ref="A65:A67"/>
    <mergeCell ref="B65:B67"/>
    <mergeCell ref="C65:C67"/>
    <mergeCell ref="D65:E67"/>
    <mergeCell ref="F68:G70"/>
    <mergeCell ref="J68:J70"/>
    <mergeCell ref="P65:P67"/>
    <mergeCell ref="A89:A91"/>
    <mergeCell ref="B89:B91"/>
    <mergeCell ref="C95:C97"/>
    <mergeCell ref="D95:E97"/>
    <mergeCell ref="F95:G97"/>
    <mergeCell ref="K89:L91"/>
    <mergeCell ref="K92:L94"/>
    <mergeCell ref="H92:I94"/>
    <mergeCell ref="F92:G94"/>
    <mergeCell ref="A92:A94"/>
    <mergeCell ref="B92:B94"/>
    <mergeCell ref="C92:C94"/>
    <mergeCell ref="C89:C91"/>
    <mergeCell ref="D89:E91"/>
    <mergeCell ref="F89:G91"/>
    <mergeCell ref="H89:I91"/>
    <mergeCell ref="J89:J91"/>
    <mergeCell ref="H95:I97"/>
    <mergeCell ref="Q74:Q76"/>
    <mergeCell ref="A83:A85"/>
    <mergeCell ref="B83:B85"/>
    <mergeCell ref="J77:J79"/>
    <mergeCell ref="K77:L79"/>
    <mergeCell ref="J74:J76"/>
    <mergeCell ref="A74:A76"/>
    <mergeCell ref="F74:G76"/>
    <mergeCell ref="H74:I76"/>
    <mergeCell ref="P74:P76"/>
    <mergeCell ref="K83:L85"/>
    <mergeCell ref="H83:I85"/>
    <mergeCell ref="J83:J85"/>
    <mergeCell ref="C83:C85"/>
    <mergeCell ref="D83:E85"/>
    <mergeCell ref="C74:C76"/>
    <mergeCell ref="D74:E76"/>
    <mergeCell ref="C80:C82"/>
    <mergeCell ref="D80:E82"/>
    <mergeCell ref="O77:O79"/>
    <mergeCell ref="M77:M79"/>
    <mergeCell ref="M80:M82"/>
    <mergeCell ref="F83:G85"/>
    <mergeCell ref="M74:M76"/>
    <mergeCell ref="K74:L76"/>
    <mergeCell ref="J86:J88"/>
    <mergeCell ref="A86:A88"/>
    <mergeCell ref="B86:B88"/>
    <mergeCell ref="C86:C88"/>
    <mergeCell ref="D86:E88"/>
    <mergeCell ref="B74:B76"/>
    <mergeCell ref="H86:I88"/>
    <mergeCell ref="F80:G82"/>
    <mergeCell ref="C77:C79"/>
    <mergeCell ref="D77:E79"/>
    <mergeCell ref="H77:I79"/>
    <mergeCell ref="J29:J31"/>
    <mergeCell ref="K29:L31"/>
    <mergeCell ref="J62:J64"/>
    <mergeCell ref="A71:A73"/>
    <mergeCell ref="B71:B73"/>
    <mergeCell ref="K71:L73"/>
    <mergeCell ref="C71:C73"/>
    <mergeCell ref="D71:E73"/>
    <mergeCell ref="F71:G73"/>
    <mergeCell ref="H71:I73"/>
    <mergeCell ref="A68:A70"/>
    <mergeCell ref="B68:B70"/>
    <mergeCell ref="C68:C70"/>
    <mergeCell ref="D68:E70"/>
    <mergeCell ref="H68:I70"/>
    <mergeCell ref="A62:A64"/>
    <mergeCell ref="B62:B64"/>
    <mergeCell ref="C59:C61"/>
    <mergeCell ref="K56:L58"/>
    <mergeCell ref="A53:A55"/>
    <mergeCell ref="B53:B55"/>
    <mergeCell ref="D41:E43"/>
    <mergeCell ref="J59:J61"/>
    <mergeCell ref="H59:I61"/>
    <mergeCell ref="M62:M64"/>
    <mergeCell ref="K59:L61"/>
    <mergeCell ref="M71:M73"/>
    <mergeCell ref="O80:O82"/>
    <mergeCell ref="P80:P82"/>
    <mergeCell ref="A23:A25"/>
    <mergeCell ref="B23:B25"/>
    <mergeCell ref="C23:C25"/>
    <mergeCell ref="D23:E25"/>
    <mergeCell ref="F23:G25"/>
    <mergeCell ref="H23:I25"/>
    <mergeCell ref="K23:L25"/>
    <mergeCell ref="A26:A28"/>
    <mergeCell ref="B26:B28"/>
    <mergeCell ref="C26:C28"/>
    <mergeCell ref="D26:E28"/>
    <mergeCell ref="F26:G28"/>
    <mergeCell ref="A29:A31"/>
    <mergeCell ref="B29:B31"/>
    <mergeCell ref="C29:C31"/>
    <mergeCell ref="D29:E31"/>
    <mergeCell ref="F29:G31"/>
    <mergeCell ref="H29:I31"/>
    <mergeCell ref="H32:I34"/>
    <mergeCell ref="M26:M28"/>
    <mergeCell ref="M23:M25"/>
    <mergeCell ref="A116:P116"/>
    <mergeCell ref="C62:C64"/>
    <mergeCell ref="D62:E64"/>
    <mergeCell ref="F62:G64"/>
    <mergeCell ref="J56:J58"/>
    <mergeCell ref="M56:M58"/>
    <mergeCell ref="J80:J82"/>
    <mergeCell ref="K80:L82"/>
    <mergeCell ref="J65:J67"/>
    <mergeCell ref="M65:M67"/>
    <mergeCell ref="F65:G67"/>
    <mergeCell ref="H65:I67"/>
    <mergeCell ref="M95:M97"/>
    <mergeCell ref="J95:J97"/>
    <mergeCell ref="A95:A97"/>
    <mergeCell ref="B95:B97"/>
    <mergeCell ref="D92:E94"/>
    <mergeCell ref="K62:L64"/>
    <mergeCell ref="M59:M61"/>
    <mergeCell ref="J44:J46"/>
    <mergeCell ref="H62:I64"/>
    <mergeCell ref="M68:M70"/>
    <mergeCell ref="H44:I46"/>
    <mergeCell ref="H41:I43"/>
    <mergeCell ref="J41:J43"/>
    <mergeCell ref="P8:P10"/>
    <mergeCell ref="F35:G37"/>
    <mergeCell ref="H35:I37"/>
    <mergeCell ref="H26:I28"/>
    <mergeCell ref="F38:G40"/>
    <mergeCell ref="H38:I40"/>
    <mergeCell ref="J38:J40"/>
    <mergeCell ref="M35:M37"/>
    <mergeCell ref="J35:J37"/>
    <mergeCell ref="K35:L37"/>
    <mergeCell ref="P17:P19"/>
    <mergeCell ref="K8:L10"/>
    <mergeCell ref="J26:J28"/>
    <mergeCell ref="M20:M22"/>
    <mergeCell ref="M38:M40"/>
    <mergeCell ref="K26:L28"/>
    <mergeCell ref="M29:M31"/>
    <mergeCell ref="M32:M34"/>
    <mergeCell ref="P26:P28"/>
    <mergeCell ref="J32:J34"/>
    <mergeCell ref="K32:L34"/>
  </mergeCells>
  <phoneticPr fontId="75" type="noConversion"/>
  <conditionalFormatting sqref="O8">
    <cfRule type="expression" dxfId="226" priority="53" stopIfTrue="1">
      <formula>LEN(TRIM(O8))=0</formula>
    </cfRule>
  </conditionalFormatting>
  <conditionalFormatting sqref="O11:O12">
    <cfRule type="expression" dxfId="225" priority="351" stopIfTrue="1">
      <formula>LEN(TRIM(O11))=0</formula>
    </cfRule>
  </conditionalFormatting>
  <conditionalFormatting sqref="O14">
    <cfRule type="expression" dxfId="224" priority="362" stopIfTrue="1">
      <formula>LEN(TRIM(O14))=0</formula>
    </cfRule>
  </conditionalFormatting>
  <conditionalFormatting sqref="O17">
    <cfRule type="expression" dxfId="223" priority="310" stopIfTrue="1">
      <formula>LEN(TRIM(O17))=0</formula>
    </cfRule>
  </conditionalFormatting>
  <conditionalFormatting sqref="O20">
    <cfRule type="expression" dxfId="222" priority="309" stopIfTrue="1">
      <formula>LEN(TRIM(O20))=0</formula>
    </cfRule>
  </conditionalFormatting>
  <conditionalFormatting sqref="O23">
    <cfRule type="expression" dxfId="221" priority="308" stopIfTrue="1">
      <formula>LEN(TRIM(O23))=0</formula>
    </cfRule>
  </conditionalFormatting>
  <conditionalFormatting sqref="O29">
    <cfRule type="expression" dxfId="220" priority="159" stopIfTrue="1">
      <formula>LEN(TRIM(O29))=0</formula>
    </cfRule>
  </conditionalFormatting>
  <conditionalFormatting sqref="O32:O33">
    <cfRule type="expression" dxfId="219" priority="158" stopIfTrue="1">
      <formula>LEN(TRIM(O32))=0</formula>
    </cfRule>
  </conditionalFormatting>
  <conditionalFormatting sqref="O35:O36">
    <cfRule type="expression" dxfId="218" priority="212" stopIfTrue="1">
      <formula>LEN(TRIM(O35))=0</formula>
    </cfRule>
  </conditionalFormatting>
  <conditionalFormatting sqref="O38:O39">
    <cfRule type="expression" dxfId="217" priority="121" stopIfTrue="1">
      <formula>LEN(TRIM(O38))=0</formula>
    </cfRule>
  </conditionalFormatting>
  <conditionalFormatting sqref="O41:O42">
    <cfRule type="expression" dxfId="216" priority="359" stopIfTrue="1">
      <formula>LEN(TRIM(O41))=0</formula>
    </cfRule>
  </conditionalFormatting>
  <conditionalFormatting sqref="O44:O45">
    <cfRule type="expression" dxfId="215" priority="184" stopIfTrue="1">
      <formula>LEN(TRIM(O44))=0</formula>
    </cfRule>
  </conditionalFormatting>
  <conditionalFormatting sqref="O53">
    <cfRule type="expression" dxfId="214" priority="239" stopIfTrue="1">
      <formula>LEN(TRIM(O53))=0</formula>
    </cfRule>
  </conditionalFormatting>
  <conditionalFormatting sqref="O56">
    <cfRule type="expression" dxfId="213" priority="238" stopIfTrue="1">
      <formula>LEN(TRIM(O56))=0</formula>
    </cfRule>
  </conditionalFormatting>
  <conditionalFormatting sqref="O59:O60">
    <cfRule type="expression" dxfId="212" priority="210" stopIfTrue="1">
      <formula>LEN(TRIM(O59))=0</formula>
    </cfRule>
  </conditionalFormatting>
  <conditionalFormatting sqref="O62:O63">
    <cfRule type="expression" dxfId="211" priority="193" stopIfTrue="1">
      <formula>LEN(TRIM(O62))=0</formula>
    </cfRule>
  </conditionalFormatting>
  <conditionalFormatting sqref="O65">
    <cfRule type="expression" dxfId="210" priority="236" stopIfTrue="1">
      <formula>LEN(TRIM(O65))=0</formula>
    </cfRule>
  </conditionalFormatting>
  <conditionalFormatting sqref="O68">
    <cfRule type="expression" dxfId="209" priority="234" stopIfTrue="1">
      <formula>LEN(TRIM(O68))=0</formula>
    </cfRule>
  </conditionalFormatting>
  <conditionalFormatting sqref="O71:O72">
    <cfRule type="expression" dxfId="208" priority="191" stopIfTrue="1">
      <formula>LEN(TRIM(O71))=0</formula>
    </cfRule>
  </conditionalFormatting>
  <conditionalFormatting sqref="O74:O75">
    <cfRule type="expression" dxfId="207" priority="252" stopIfTrue="1">
      <formula>LEN(TRIM(O74))=0</formula>
    </cfRule>
  </conditionalFormatting>
  <conditionalFormatting sqref="O77">
    <cfRule type="expression" dxfId="206" priority="120" stopIfTrue="1">
      <formula>LEN(TRIM(O77))=0</formula>
    </cfRule>
  </conditionalFormatting>
  <conditionalFormatting sqref="O83:O84">
    <cfRule type="expression" dxfId="205" priority="204" stopIfTrue="1">
      <formula>LEN(TRIM(O83))=0</formula>
    </cfRule>
  </conditionalFormatting>
  <conditionalFormatting sqref="O86:O87">
    <cfRule type="expression" dxfId="204" priority="202" stopIfTrue="1">
      <formula>LEN(TRIM(O86))=0</formula>
    </cfRule>
  </conditionalFormatting>
  <conditionalFormatting sqref="O89:O90">
    <cfRule type="expression" dxfId="203" priority="189" stopIfTrue="1">
      <formula>LEN(TRIM(O89))=0</formula>
    </cfRule>
  </conditionalFormatting>
  <conditionalFormatting sqref="O92:O93">
    <cfRule type="expression" dxfId="202" priority="187" stopIfTrue="1">
      <formula>LEN(TRIM(O92))=0</formula>
    </cfRule>
  </conditionalFormatting>
  <conditionalFormatting sqref="O95:O96">
    <cfRule type="expression" dxfId="201" priority="185" stopIfTrue="1">
      <formula>LEN(TRIM(O95))=0</formula>
    </cfRule>
  </conditionalFormatting>
  <conditionalFormatting sqref="O98">
    <cfRule type="expression" dxfId="200" priority="151" stopIfTrue="1">
      <formula>LEN(TRIM(O98))=0</formula>
    </cfRule>
  </conditionalFormatting>
  <conditionalFormatting sqref="O101">
    <cfRule type="expression" dxfId="199" priority="46" stopIfTrue="1">
      <formula>LEN(TRIM(O101))=0</formula>
    </cfRule>
  </conditionalFormatting>
  <conditionalFormatting sqref="P8:P10">
    <cfRule type="expression" dxfId="198" priority="47" stopIfTrue="1">
      <formula>OR(P8=$D$109,P8=$D$110)</formula>
    </cfRule>
  </conditionalFormatting>
  <conditionalFormatting sqref="P8:P16">
    <cfRule type="cellIs" dxfId="197" priority="305" stopIfTrue="1" operator="equal">
      <formula>"OK (Plausibility unclear)"</formula>
    </cfRule>
  </conditionalFormatting>
  <conditionalFormatting sqref="P8:P103">
    <cfRule type="cellIs" dxfId="196" priority="1" stopIfTrue="1" operator="equal">
      <formula>"Target value not met"</formula>
    </cfRule>
    <cfRule type="cellIs" dxfId="195" priority="2" stopIfTrue="1" operator="equal">
      <formula>"optional - Target value not met"</formula>
    </cfRule>
    <cfRule type="cellIs" dxfId="194" priority="3" stopIfTrue="1" operator="equal">
      <formula>"OK"</formula>
    </cfRule>
    <cfRule type="cellIs" dxfId="191" priority="86" stopIfTrue="1" operator="equal">
      <formula>"optional - OK (Plausibility unclear)"</formula>
    </cfRule>
    <cfRule type="expression" dxfId="190" priority="165" stopIfTrue="1">
      <formula>OR(P8=$D$109,P8=$D$110)</formula>
    </cfRule>
    <cfRule type="cellIs" dxfId="189" priority="163" stopIfTrue="1" operator="equal">
      <formula>"Exception (Plausibility unclear)"</formula>
    </cfRule>
    <cfRule type="cellIs" dxfId="187" priority="50" stopIfTrue="1" operator="equal">
      <formula>"OK (Plausibility unclear)"</formula>
    </cfRule>
  </conditionalFormatting>
  <conditionalFormatting sqref="P14:P16">
    <cfRule type="cellIs" dxfId="185" priority="304" stopIfTrue="1" operator="equal">
      <formula>"Exception (Plausibility unclear)"</formula>
    </cfRule>
  </conditionalFormatting>
  <conditionalFormatting sqref="P17:P22">
    <cfRule type="cellIs" dxfId="184" priority="293" stopIfTrue="1" operator="equal">
      <formula>"OK (Plausibility unclear)"</formula>
    </cfRule>
    <cfRule type="cellIs" dxfId="183" priority="295" stopIfTrue="1" operator="equal">
      <formula>"OK"</formula>
    </cfRule>
  </conditionalFormatting>
  <conditionalFormatting sqref="P20:P22">
    <cfRule type="cellIs" dxfId="182" priority="12" stopIfTrue="1" operator="equal">
      <formula>"optional - Target value not met"</formula>
    </cfRule>
  </conditionalFormatting>
  <conditionalFormatting sqref="P20:P103">
    <cfRule type="cellIs" dxfId="181" priority="4" stopIfTrue="1" operator="equal">
      <formula>"optional - OK"</formula>
    </cfRule>
  </conditionalFormatting>
  <conditionalFormatting sqref="P32:P37">
    <cfRule type="cellIs" dxfId="180" priority="162" operator="equal">
      <formula>"optional - Exception (Plausibility unclear)"</formula>
    </cfRule>
  </conditionalFormatting>
  <conditionalFormatting sqref="P35:P40">
    <cfRule type="cellIs" dxfId="179" priority="89" stopIfTrue="1" operator="equal">
      <formula>"OK"</formula>
    </cfRule>
    <cfRule type="cellIs" dxfId="178" priority="85" operator="equal">
      <formula>"Exception (Plausibility unclear)"</formula>
    </cfRule>
  </conditionalFormatting>
  <conditionalFormatting sqref="P35:P43">
    <cfRule type="cellIs" dxfId="177" priority="87" stopIfTrue="1" operator="equal">
      <formula>"OK (Plausibility unclear)"</formula>
    </cfRule>
  </conditionalFormatting>
  <conditionalFormatting sqref="P41:P46">
    <cfRule type="cellIs" dxfId="176" priority="183" stopIfTrue="1" operator="equal">
      <formula>"OK"</formula>
    </cfRule>
  </conditionalFormatting>
  <conditionalFormatting sqref="P44:P46">
    <cfRule type="cellIs" dxfId="175" priority="180" operator="equal">
      <formula>"Exception (Plausibility unclear)"</formula>
    </cfRule>
    <cfRule type="cellIs" dxfId="174" priority="181" stopIfTrue="1" operator="equal">
      <formula>"OK (Plausibility unclear)"</formula>
    </cfRule>
    <cfRule type="expression" dxfId="173" priority="95" stopIfTrue="1">
      <formula>OR(P44=$D$109,P44=$D$110)</formula>
    </cfRule>
  </conditionalFormatting>
  <conditionalFormatting sqref="P47:P73">
    <cfRule type="cellIs" dxfId="172" priority="217" stopIfTrue="1" operator="equal">
      <formula>"OK"</formula>
    </cfRule>
    <cfRule type="cellIs" dxfId="171" priority="215" stopIfTrue="1" operator="equal">
      <formula>"OK (Plausibility unclear)"</formula>
    </cfRule>
  </conditionalFormatting>
  <conditionalFormatting sqref="P47:P76">
    <cfRule type="expression" dxfId="170" priority="93" stopIfTrue="1">
      <formula>OR(P47=$D$109,P47=$D$110)</formula>
    </cfRule>
  </conditionalFormatting>
  <conditionalFormatting sqref="P74:P76">
    <cfRule type="cellIs" dxfId="169" priority="229" stopIfTrue="1" operator="equal">
      <formula>"OK"</formula>
    </cfRule>
    <cfRule type="cellIs" dxfId="168" priority="227" stopIfTrue="1" operator="equal">
      <formula>"OK (Plausibility unclear)"</formula>
    </cfRule>
    <cfRule type="cellIs" dxfId="167" priority="226" operator="equal">
      <formula>"Exception (Plausibility unclear)"</formula>
    </cfRule>
  </conditionalFormatting>
  <conditionalFormatting sqref="P77:P79">
    <cfRule type="cellIs" dxfId="166" priority="29" operator="equal">
      <formula>"Exception (Plausibility unclear)"</formula>
    </cfRule>
    <cfRule type="cellIs" dxfId="165" priority="30" stopIfTrue="1" operator="equal">
      <formula>"OK (Plausibility unclear)"</formula>
    </cfRule>
    <cfRule type="cellIs" dxfId="164" priority="32" stopIfTrue="1" operator="equal">
      <formula>"OK"</formula>
    </cfRule>
  </conditionalFormatting>
  <conditionalFormatting sqref="P77:P82">
    <cfRule type="expression" dxfId="163" priority="23" stopIfTrue="1">
      <formula>OR(P77=$D$109,P77=$D$110)</formula>
    </cfRule>
  </conditionalFormatting>
  <conditionalFormatting sqref="P80:P82">
    <cfRule type="cellIs" dxfId="162" priority="27" stopIfTrue="1" operator="equal">
      <formula>"OK"</formula>
    </cfRule>
    <cfRule type="cellIs" dxfId="161" priority="25" stopIfTrue="1" operator="equal">
      <formula>"OK (Plausibility unclear)"</formula>
    </cfRule>
  </conditionalFormatting>
  <conditionalFormatting sqref="P83:P85">
    <cfRule type="cellIs" dxfId="160" priority="61" operator="equal">
      <formula>"Exception (Plausibility unclear)"</formula>
    </cfRule>
  </conditionalFormatting>
  <conditionalFormatting sqref="P83:P88">
    <cfRule type="expression" dxfId="159" priority="60" stopIfTrue="1">
      <formula>OR(P83=$D$109,P83=$D$110)</formula>
    </cfRule>
    <cfRule type="cellIs" dxfId="158" priority="62" stopIfTrue="1" operator="equal">
      <formula>"OK (Plausibility unclear)"</formula>
    </cfRule>
    <cfRule type="cellIs" dxfId="157" priority="64" stopIfTrue="1" operator="equal">
      <formula>"OK"</formula>
    </cfRule>
  </conditionalFormatting>
  <conditionalFormatting sqref="P86:P88">
    <cfRule type="cellIs" dxfId="156" priority="54" operator="equal">
      <formula>"Exception (Plausibility unclear)"</formula>
    </cfRule>
  </conditionalFormatting>
  <conditionalFormatting sqref="P89:P91">
    <cfRule type="expression" dxfId="155" priority="34" stopIfTrue="1">
      <formula>OR(P89=$D$109,P89=$D$110)</formula>
    </cfRule>
    <cfRule type="cellIs" dxfId="154" priority="33" operator="equal">
      <formula>"Exception (Plausibility unclear)"</formula>
    </cfRule>
    <cfRule type="cellIs" dxfId="153" priority="37" stopIfTrue="1" operator="equal">
      <formula>"OK"</formula>
    </cfRule>
    <cfRule type="cellIs" dxfId="152" priority="35" stopIfTrue="1" operator="equal">
      <formula>"OK (Plausibility unclear)"</formula>
    </cfRule>
  </conditionalFormatting>
  <conditionalFormatting sqref="P92:P100">
    <cfRule type="cellIs" dxfId="151" priority="59" stopIfTrue="1" operator="equal">
      <formula>"OK"</formula>
    </cfRule>
    <cfRule type="cellIs" dxfId="150" priority="57" stopIfTrue="1" operator="equal">
      <formula>"OK (Plausibility unclear)"</formula>
    </cfRule>
    <cfRule type="expression" dxfId="149" priority="55" stopIfTrue="1">
      <formula>OR(P92=$D$109,P92=$D$110)</formula>
    </cfRule>
  </conditionalFormatting>
  <conditionalFormatting sqref="P98:P100">
    <cfRule type="cellIs" dxfId="148" priority="56" operator="equal">
      <formula>"Exception (Plausibility unclear)"</formula>
    </cfRule>
  </conditionalFormatting>
  <conditionalFormatting sqref="P101">
    <cfRule type="expression" dxfId="147" priority="41" stopIfTrue="1">
      <formula>OR(P101=#REF!,P101=#REF!)</formula>
    </cfRule>
  </conditionalFormatting>
  <conditionalFormatting sqref="P101:P103">
    <cfRule type="expression" dxfId="146" priority="13" stopIfTrue="1">
      <formula>OR(P101=$D$109,P101=$D$110)</formula>
    </cfRule>
    <cfRule type="cellIs" dxfId="145" priority="15" stopIfTrue="1" operator="equal">
      <formula>"OK (Plausibility unclear)"</formula>
    </cfRule>
    <cfRule type="cellIs" dxfId="144" priority="14" operator="equal">
      <formula>"Exception (Plausibility unclear)"</formula>
    </cfRule>
    <cfRule type="cellIs" dxfId="143" priority="43" stopIfTrue="1" operator="equal">
      <formula>"optional - OK (Plausibility unclear)"</formula>
    </cfRule>
    <cfRule type="cellIs" dxfId="142" priority="42" operator="equal">
      <formula>"Exception (Plausibility unclear)"</formula>
    </cfRule>
    <cfRule type="cellIs" dxfId="141" priority="44" stopIfTrue="1" operator="equal">
      <formula>"optional - Target value not met"</formula>
    </cfRule>
    <cfRule type="cellIs" dxfId="140" priority="45" stopIfTrue="1" operator="equal">
      <formula>"optional - OK"</formula>
    </cfRule>
    <cfRule type="cellIs" dxfId="139" priority="16" stopIfTrue="1" operator="equal">
      <formula>"OK"</formula>
    </cfRule>
  </conditionalFormatting>
  <conditionalFormatting sqref="P104:P110">
    <cfRule type="cellIs" dxfId="138" priority="139" stopIfTrue="1" operator="equal">
      <formula>"optional - OK (Plausibility unclear)"</formula>
    </cfRule>
    <cfRule type="cellIs" dxfId="137" priority="140" stopIfTrue="1" operator="equal">
      <formula>"optional - Target value not met"</formula>
    </cfRule>
    <cfRule type="cellIs" dxfId="136" priority="141" stopIfTrue="1" operator="equal">
      <formula>"optional - OK"</formula>
    </cfRule>
    <cfRule type="expression" dxfId="135" priority="128" stopIfTrue="1">
      <formula>OR(P104=#REF!,P104=#REF!)</formula>
    </cfRule>
    <cfRule type="cellIs" dxfId="134" priority="130" stopIfTrue="1" operator="equal">
      <formula>#REF!</formula>
    </cfRule>
    <cfRule type="cellIs" dxfId="133" priority="131" stopIfTrue="1" operator="equal">
      <formula>"I.O."</formula>
    </cfRule>
    <cfRule type="expression" dxfId="132" priority="138" stopIfTrue="1">
      <formula>OR(P104="optional - incorrect")</formula>
    </cfRule>
    <cfRule type="cellIs" dxfId="131" priority="129" stopIfTrue="1" operator="equal">
      <formula>"I.O. (Plausibilität unklar)"</formula>
    </cfRule>
  </conditionalFormatting>
  <conditionalFormatting sqref="Q8:Q103">
    <cfRule type="notContainsBlanks" dxfId="130" priority="5" stopIfTrue="1">
      <formula>LEN(TRIM(Q8))&gt;0</formula>
    </cfRule>
    <cfRule type="expression" dxfId="129" priority="7" stopIfTrue="1">
      <formula>OR($P8="optional - incomplete",$P8="optional - Target value not met",$P8="optional - OK (Plausibility unclear)",$P8="optional - Exception (Plausibility unclear)",$P8="Incomplete",$P8="Target value not met",$P8="OK (Plausibility unclear)",$P8="Exception (Plausibility unclear)")</formula>
    </cfRule>
  </conditionalFormatting>
  <dataValidations count="40">
    <dataValidation type="whole" showInputMessage="1" showErrorMessage="1" errorTitle="Input data error" error="1.Numerator has to be a positive whole number._x000a_2.Numerator cannot be bigger than denominator." sqref="O14 O74 O86 O92" xr:uid="{00000000-0002-0000-0400-000000000000}">
      <formula1>0</formula1>
      <formula2>IF(O15="",5000,O15)</formula2>
    </dataValidation>
    <dataValidation type="whole" showInputMessage="1" showErrorMessage="1" errorTitle="Input data error" error="1.Sheet „Basic data“ has to be filled out completely._x000a_2.Numerator has to be a positive whole number." sqref="O26" xr:uid="{00000000-0002-0000-0400-000001000000}">
      <formula1>0</formula1>
      <formula2>5000</formula2>
    </dataValidation>
    <dataValidation type="textLength" allowBlank="1" showInputMessage="1" showErrorMessage="1" errorTitle="Character length" error="Minimum 30 characters and maximum 500 characters." sqref="Q104:R110 Q11:Q101 R8:R103" xr:uid="{00000000-0002-0000-0400-000002000000}">
      <formula1>30</formula1>
      <formula2>500</formula2>
    </dataValidation>
    <dataValidation errorStyle="information" allowBlank="1" showInputMessage="1" showErrorMessage="1" sqref="P35:P38 P32 P11:P29 P74:P77 P80 P83 P86 P89 P92" xr:uid="{00000000-0002-0000-0400-000003000000}"/>
    <dataValidation errorStyle="information" allowBlank="1" showInputMessage="1" showErrorMessage="1" errorTitle="Kennzahl" promptTitle="Kennzahl" sqref="A6:B8" xr:uid="{00000000-0002-0000-0400-000004000000}"/>
    <dataValidation type="whole" showInputMessage="1" showErrorMessage="1" errorTitle="Input data error" error="1.Sheet „Basic data“ has to be filled out completely._x000a_2.Numerator has to be a positive whole number._x000a_3.Numerator cannot be bigger than denominator." sqref="O23 O17 O20 O29 O65 O53" xr:uid="{00000000-0002-0000-0400-000005000000}">
      <formula1>0</formula1>
      <formula2>IF(O18="",0,O18)</formula2>
    </dataValidation>
    <dataValidation type="whole" showInputMessage="1" showErrorMessage="1" errorTitle="Input data error" error="1.Numerator has to be a positive whole number._x000a_2.Numerator cannot be bigger than denominator." sqref="O41" xr:uid="{00000000-0002-0000-0400-000006000000}">
      <formula1>0</formula1>
      <formula2>IF(O42="",20000,O42)</formula2>
    </dataValidation>
    <dataValidation type="whole" showInputMessage="1" showErrorMessage="1" errorTitle="Input data error" error="1.Denominator has to be a positive whole number._x000a_2.Denominator cannot be smaller than numerator." sqref="O15" xr:uid="{00000000-0002-0000-0400-000007000000}">
      <formula1>IF(O14="",0,O14)</formula1>
      <formula2>5000</formula2>
    </dataValidation>
    <dataValidation type="whole" showInputMessage="1" showErrorMessage="1" errorTitle="Input data error" error="1.Denominator has to be a positive whole number._x000a_2.Denominator cannot be smaller than numerator." sqref="O75" xr:uid="{00000000-0002-0000-0400-000008000000}">
      <formula1>O74</formula1>
      <formula2>5000</formula2>
    </dataValidation>
    <dataValidation type="whole" showInputMessage="1" showErrorMessage="1" errorTitle="Input data error" error="Number cannot be bigger than Nominator IN 22a." sqref="O77:O79" xr:uid="{00000000-0002-0000-0400-000009000000}">
      <formula1>0</formula1>
      <formula2>IF(ISNUMBER(O74),O74,-1)</formula2>
    </dataValidation>
    <dataValidation type="whole" allowBlank="1" showErrorMessage="1" errorTitle="Input data error" error="1.Numerator has to be a positive whole number._x000a_2.Numerator cannot be bigger than denominator." sqref="O38" xr:uid="{00000000-0002-0000-0400-00000A000000}">
      <formula1>0</formula1>
      <formula2>IF(O39="",0,O39)</formula2>
    </dataValidation>
    <dataValidation type="custom" operator="equal" showErrorMessage="1" errorTitle="Input data error" error="1.Denominator has to be a positive whole number._x000a_2.Denominator cannot be smaller than numerator." sqref="O42" xr:uid="{00000000-0002-0000-0400-00000B000000}">
      <formula1>IF(ISNUMBER(O42),IF(O42&gt;0,IF(AND(O42&gt;=O41,O42&lt;=20000),O42,FALSE),FALSE),FALSE)</formula1>
    </dataValidation>
    <dataValidation type="whole" showInputMessage="1" showErrorMessage="1" errorTitle="Input data error" error="1.Denominator has to be a positive whole number._x000a_2. Denominator cannot be smaller than numerator." sqref="O87" xr:uid="{00000000-0002-0000-0400-00000E000000}">
      <formula1>IF(O86="",0,O86)</formula1>
      <formula2>5000</formula2>
    </dataValidation>
    <dataValidation type="whole" showErrorMessage="1" errorTitle="Input data error" error="1.Denominator has to be a positive whole number._x000a_2.Denominator cannot be smaller than numerator." sqref="O39" xr:uid="{00000000-0002-0000-0400-00000F000000}">
      <formula1>IF(O38="",0,O38)</formula1>
      <formula2>20000</formula2>
    </dataValidation>
    <dataValidation type="whole" allowBlank="1" showInputMessage="1" showErrorMessage="1" errorTitle="Input data error" error="Whole number between 0 and 5000." sqref="O8:O10" xr:uid="{00000000-0002-0000-0400-000010000000}">
      <formula1>0</formula1>
      <formula2>5000</formula2>
    </dataValidation>
    <dataValidation type="textLength" allowBlank="1" showInputMessage="1" showErrorMessage="1" errorTitle="Zeichenlänge" error="Minimal 30 Zeichen und max. 200 Zeichen." sqref="Q111:R111" xr:uid="{00000000-0002-0000-0400-000011000000}">
      <formula1>30</formula1>
      <formula2>200</formula2>
    </dataValidation>
    <dataValidation type="whole" showInputMessage="1" showErrorMessage="1" errorTitle="Input data error" error="1.Numerator has to be a positive whole number._x000a_2.Numerator cannot be bigger than denominator." sqref="O101 O98" xr:uid="{00000000-0002-0000-0400-000012000000}">
      <formula1>0</formula1>
      <formula2>O99</formula2>
    </dataValidation>
    <dataValidation type="textLength" allowBlank="1" showInputMessage="1" showErrorMessage="1" errorTitle="Characters" error="Minimum 30 characters and maximum 500 characters." promptTitle="Remark" prompt="If the value in the data quality box is not “OK”, the Indicator must be justified.                                 " sqref="Q8:Q10" xr:uid="{00000000-0002-0000-0400-000013000000}">
      <formula1>30</formula1>
      <formula2>500</formula2>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sqref="O11" xr:uid="{1B8D9AB6-A6FB-43B9-BD5B-7BD9441CFDDF}">
      <formula1>0</formula1>
      <formula2>IF(O12="",O66,O12)</formula2>
    </dataValidation>
    <dataValidation type="custom" showInputMessage="1" showErrorMessage="1" errorTitle="Input data error" error="1.Sheet „Basic data“ has to be filled out completely._x000a_2.Denominator has to be a positive whole number._x000a_3.Denominator cannot be smaller than numerator._x000a_4.Denominator cannot be bigger than total primary cases." sqref="O12" xr:uid="{2A1BB853-43A9-40D3-84F2-58148A3E3E03}">
      <formula1>IF(ISNUMBER(O12),IF(O12&gt;0,IF(AND(O12&gt;=O11,O12&lt;=$S$12),O12,FALSE),FALSE),FALSE)</formula1>
    </dataValidation>
    <dataValidation type="whole" allowBlank="1" showInputMessage="1" showErrorMessage="1" errorTitle="Input data error" error="1.Numerator has to be a positive whole number._x000a_2.Numerator cannot be bigger than denominator." sqref="O32" xr:uid="{00285679-CD0B-4C06-8B9E-67C3D35CF464}">
      <formula1>0</formula1>
      <formula2>IF(O33="",5000,O33)</formula2>
    </dataValidation>
    <dataValidation type="whole" allowBlank="1" showInputMessage="1" showErrorMessage="1" errorTitle="Input data error" error="1.Sheet „Basic data“ has to be filled out completely._x000a_2.Denominator has to be a positive whole number._x000a_3.Denominator cannot be smaller than numerator._x000a_4.Denominator cannot be bigger than numerator of indicator 7." sqref="O33" xr:uid="{8E7FEAB3-3949-4256-BFD7-54DBCEC3F432}">
      <formula1>IF(36="",0,O32)</formula1>
      <formula2>O29</formula2>
    </dataValidation>
    <dataValidation type="whole" allowBlank="1" showInputMessage="1" showErrorMessage="1" errorTitle="Input data error" error="1.Sheet „Basic data“ has to be filled out completely._x000a_2.Numerator has to be a positive whole number._x000a_3.Numerator cannot be bigger than denominator._x000a_4.Numerator cannot be bigger than total primary cases." sqref="O35" xr:uid="{C7BA3982-4191-442F-9E49-A9A846806E94}">
      <formula1>0</formula1>
      <formula2>IF(O36="",S36,O36)</formula2>
    </dataValidation>
    <dataValidation type="whole" showInputMessage="1" showErrorMessage="1" errorTitle="Input data error" error="1.Sheet „Basic data“ has to be filled out completely._x000a_2.Denominator has to be a positive whole number._x000a_3.Denominator cannot be smaller than numerator._x000a_4.Denominator cannot be bigger than total primary cases." sqref="O36" xr:uid="{9D97D740-9B8C-48CE-B48B-A14E871FB9C1}">
      <formula1>IF(O35="",0,O35)</formula1>
      <formula2>S36</formula2>
    </dataValidation>
    <dataValidation type="whole" showInputMessage="1" showErrorMessage="1" errorTitle="Input data error" error="1.Numerator has to be a positive whole number._x000a_2.Numerator cannot be bigger than denominator." sqref="O44" xr:uid="{2D683B01-F8F0-470B-A3E5-F399451E18C7}">
      <formula1>0</formula1>
      <formula2>IF(O45="",S45,O45)</formula2>
    </dataValidation>
    <dataValidation type="whole" showInputMessage="1" showErrorMessage="1" errorTitle="Input data error" error="1.Sheet „Basic data“ has to be filled out completely._x000a_2.Denominator has to be a positive whole number; it cannot be smaller than numerator._x000a_3.Denominator cannot be bigger than primary cases rectum (without emergencies)." sqref="O45" xr:uid="{8D01D910-12B4-4B43-9A31-3750BE1C0109}">
      <formula1>IF(O44="",0,O44)</formula1>
      <formula2>S45</formula2>
    </dataValidation>
    <dataValidation type="whole" allowBlank="1" showInputMessage="1" showErrorMessage="1" errorTitle="Input data error" error="1.Sheet „Basic data“ has to be filled out completely._x000a_2.Numerator has to be a positive whole number._x000a_3.Numerator cannot be bigger than denominator." sqref="O56 O68" xr:uid="{ECAFB88E-71ED-4C5A-8CD4-6C84114A1012}">
      <formula1>0</formula1>
      <formula2>IF(O57="",0,O57)</formula2>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colon." sqref="O59" xr:uid="{C185C43F-566B-4626-B769-AEA6DDD7C0DE}">
      <formula1>0</formula1>
      <formula2>IF(O60="",O54,O60)</formula2>
    </dataValidation>
    <dataValidation type="custom" showInputMessage="1" showErrorMessage="1" errorTitle="Input data error" error="1.Sheet „Basic data“ has to be filled out completely._x000a_2.Denominator has to be a positive whole number; it cannot be smaller than numerator._x000a_3.Denominator cannot be bigger than surgical (elective) primary cases colon." sqref="O60" xr:uid="{1218A961-C814-4452-92F4-CE3AF9D66BC3}">
      <formula1>IF(ISNUMBER(O60),IF(O60&gt;0,IF(AND(O60&gt;=O59,O60&lt;=O54),O60,FALSE),FALSE),FALSE)</formula1>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rectum." sqref="O62" xr:uid="{BD1C816C-235F-4D60-914A-992C17E9A835}">
      <formula1>0</formula1>
      <formula2>IF(O63="",O57,O63)</formula2>
    </dataValidation>
    <dataValidation type="custom" showInputMessage="1" showErrorMessage="1" errorTitle="Input data error" error="1.Sheet „Basic data“ has to be filled out completely._x000a_2.Denominator has to be a positive whole number; it cannot be smaller than numerator._x000a_3.Denominator cannot be bigger than surgical (elective) primary cases rectum." sqref="O63" xr:uid="{4D56933F-643E-42FD-B43F-408FF0170801}">
      <formula1>IF(ISNUMBER(O63),IF(O63&gt;0,IF(AND(O63&gt;=O62,O63&lt;=O57),O63,FALSE),FALSE),FALSE)</formula1>
    </dataValidation>
    <dataValidation type="whole" allowBlank="1"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rectum." sqref="O71" xr:uid="{265AAD92-BC88-434C-BEB4-69BD179AFD7B}">
      <formula1>0</formula1>
      <formula2>IF(O72="",O57,O72)</formula2>
    </dataValidation>
    <dataValidation type="custom" showInputMessage="1" showErrorMessage="1" errorTitle="Input data error" error="1.Sheet „Basic data“ has to be filled out completely._x000a_2.Denominator has to be a positive whole number; it cannot be smaller than numerator._x000a_3.Denominator cannot be bigger than surgical (elective) primary cases rectum." sqref="O72" xr:uid="{1E262DBC-9E33-4682-93DE-17A961C5BD05}">
      <formula1>IF(ISNUMBER(O72),IF(O72&gt;0,IF(AND(O72&gt;=O71,O72&lt;=O57),O72,FALSE),FALSE),FALSE)</formula1>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primary cases colon." sqref="O83" xr:uid="{439D98CE-FF97-4195-B8F2-A137A2C6D7FA}">
      <formula1>0</formula1>
      <formula2>IF(O84="",O47,O84)</formula2>
    </dataValidation>
    <dataValidation type="whole" showInputMessage="1" showErrorMessage="1" errorTitle="Input data error" error="1.Sheet „Basic data“ has to be filled out completely._x000a_2.Denominator has to be a positive whole number._x000a_3.Denominator cannot be smaller than numerator._x000a_4.Denominator cannot be bigger than surgical primary cases colon." sqref="O84" xr:uid="{2ECB13D4-84BB-4AC1-BD04-D68BDA225142}">
      <formula1>O83</formula1>
      <formula2>IF(ISNUMBER(O84),IF(O84&gt;0,IF(O84&gt;=O83,$O$47,FALSE),FALSE),FALSE)</formula2>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rectum." sqref="O89" xr:uid="{52297FF6-40A5-4E84-935B-BEB820398986}">
      <formula1>0</formula1>
      <formula2>IF(O90="",O57,O90)</formula2>
    </dataValidation>
    <dataValidation type="custom" showInputMessage="1" showErrorMessage="1" errorTitle="Input data error" error="1.Sheet „Basic data“ has to be filled out completely._x000a_2.Denominator has to be a positive whole number; it cannot be smaller than numerator._x000a_3.Denominator cannot be bigger than surgical (elective) primary cases rectum." sqref="O90" xr:uid="{C8F57F36-EC96-49BC-9409-B9AA4B3B5160}">
      <formula1>IF(ISNUMBER(O90),IF(O90&gt;0,IF(AND(O90&gt;=O89,O90&lt;=O57),O90,FALSE),FALSE),FALSE)</formula1>
    </dataValidation>
    <dataValidation type="custom" showInputMessage="1" showErrorMessage="1" errorTitle="Input data error" error="1.Denominator has to be a positive whole number._x000a_2.Denominator cannot be smaller than numerator." sqref="O93" xr:uid="{18D0C22B-63B1-4D2E-A454-BBA809EDEF65}">
      <formula1>IF(ISNUMBER(O93),IF(O93&gt;0,IF(AND(O93&gt;=O92,O93&lt;5001),O93,FALSE),FALSE),FALSE)</formula1>
    </dataValidation>
    <dataValidation type="whole" showInputMessage="1" showErrorMessage="1" errorTitle="Input data error" error="1.Sheet „Basic data“ has to be filled out completely._x000a_2.Numerator has to be a positive whole number._x000a_3.Numerator cannot be bigger than denominator._x000a_4.Numerator cannot be bigger than surgical (elective) primary cases." sqref="O95" xr:uid="{8E24A1FE-76D8-4A6A-A81A-F5F5C4D857B6}">
      <formula1>0</formula1>
      <formula2>IF(O96="",O66,O96)</formula2>
    </dataValidation>
    <dataValidation type="custom" showInputMessage="1" showErrorMessage="1" errorTitle="Input data error" error="1.Sheet „Basic data“ has to be filled out completely._x000a_2.Denominator has to be a positive whole number._x000a_3.Denominator cannot be smaller than numerator._x000a_4.Denominator cannot be bigger than surgical (elective) primary cases." sqref="O96" xr:uid="{35784079-C38A-474F-8AB7-D92EF8C89E20}">
      <formula1>IF(ISNUMBER(O96),IF(O96&gt;0,IF(AND(O96&gt;=O95,O96&lt;=O66),O96,FALSE),FALSE),FALSE)</formula1>
    </dataValidation>
  </dataValidations>
  <pageMargins left="0.15748031496062992" right="3.937007874015748E-2" top="0.27559055118110237" bottom="0.27559055118110237" header="0.11811023622047245" footer="0.11811023622047245"/>
  <pageSetup scale="86" orientation="landscape" r:id="rId1"/>
  <headerFooter>
    <oddFooter>&amp;L&amp;"Arial,Regular"&amp;7
&amp;F&amp;C&amp;"Arial,Regular"&amp;7© DKG  All rights reserved&amp;R&amp;"Arial,Regular"&amp;7
&amp;P</oddFooter>
  </headerFooter>
  <rowBreaks count="6" manualBreakCount="6">
    <brk id="22" max="15" man="1"/>
    <brk id="40" max="15" man="1"/>
    <brk id="55" max="15" man="1"/>
    <brk id="73" max="15" man="1"/>
    <brk id="85" max="15" man="1"/>
    <brk id="97" max="15" man="1"/>
  </rowBreaks>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containsText" priority="8" stopIfTrue="1" operator="containsText" id="{624A824D-9393-46FB-9183-B5B8486A0ABA}">
            <xm:f>NOT(ISERROR(SEARCH("optional - incomplete",P8)))</xm:f>
            <xm:f>"optional - incomplete"</xm:f>
            <x14:dxf>
              <fill>
                <patternFill patternType="solid">
                  <bgColor theme="0"/>
                </patternFill>
              </fill>
            </x14:dxf>
          </x14:cfRule>
          <x14:cfRule type="containsText" priority="9" stopIfTrue="1" operator="containsText" id="{2EE3E231-EAFA-489B-BE0D-93AF79A5835D}">
            <xm:f>NOT(ISERROR(SEARCH("Incorrect",P8)))</xm:f>
            <xm:f>"Incorrect"</xm:f>
            <x14:dxf>
              <fill>
                <patternFill>
                  <bgColor indexed="10"/>
                </patternFill>
              </fill>
            </x14:dxf>
          </x14:cfRule>
          <x14:cfRule type="containsText" priority="49" stopIfTrue="1" operator="containsText" id="{2D90760A-6E6F-43A8-BD0D-3A03D6AF521A}">
            <xm:f>NOT(ISERROR(SEARCH("Incomplete",P8)))</xm:f>
            <xm:f>"Incomplete"</xm:f>
            <x14:dxf>
              <fill>
                <patternFill>
                  <bgColor indexed="10"/>
                </patternFill>
              </fill>
            </x14:dxf>
          </x14:cfRule>
          <x14:cfRule type="containsText" priority="48" stopIfTrue="1" operator="containsText" id="{49D34213-CA6F-415C-9B88-7B225886A61C}">
            <xm:f>NOT(ISERROR(SEARCH("optional - incorrect",P8)))</xm:f>
            <xm:f>"optional - incorrect"</xm:f>
            <x14:dxf>
              <fill>
                <patternFill>
                  <bgColor indexed="10"/>
                </patternFill>
              </fill>
            </x14:dxf>
          </x14:cfRule>
          <xm:sqref>P8:P103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25</vt:i4>
      </vt:variant>
      <vt:variant>
        <vt:lpstr>Named Ranges</vt:lpstr>
      </vt:variant>
      <vt:variant>
        <vt:i4>19</vt:i4>
      </vt:variant>
    </vt:vector>
  </HeadingPairs>
  <TitlesOfParts>
    <vt:vector size="44" baseType="lpstr">
      <vt:lpstr>Basic data</vt:lpstr>
      <vt:lpstr>HilfstabelleB</vt:lpstr>
      <vt:lpstr>HilfstabelleSD</vt:lpstr>
      <vt:lpstr>Datenquelle</vt:lpstr>
      <vt:lpstr>Studies</vt:lpstr>
      <vt:lpstr>HilfstabelleStudien</vt:lpstr>
      <vt:lpstr>Examiner</vt:lpstr>
      <vt:lpstr>Surgeons</vt:lpstr>
      <vt:lpstr>Indicator sheet_(IS)</vt:lpstr>
      <vt:lpstr>HilfstabelleKB</vt:lpstr>
      <vt:lpstr>Berechnung1</vt:lpstr>
      <vt:lpstr>Hilfstabelle DatendefKB</vt:lpstr>
      <vt:lpstr>Data deficit_(IS)</vt:lpstr>
      <vt:lpstr>Matrix-Colon</vt:lpstr>
      <vt:lpstr>Berechnung2</vt:lpstr>
      <vt:lpstr>Berechnung3</vt:lpstr>
      <vt:lpstr>Data deficit_Matrix-Colon</vt:lpstr>
      <vt:lpstr>Matrix-Rectum</vt:lpstr>
      <vt:lpstr>Berechnung4</vt:lpstr>
      <vt:lpstr>Berechnung5</vt:lpstr>
      <vt:lpstr>Data deficit_Matrix-Rectum</vt:lpstr>
      <vt:lpstr>HilfstabelleMR</vt:lpstr>
      <vt:lpstr>HilfstabelleDMR</vt:lpstr>
      <vt:lpstr>HilfstabelleMK</vt:lpstr>
      <vt:lpstr>HilfstabelleDMK</vt:lpstr>
      <vt:lpstr>countries</vt:lpstr>
      <vt:lpstr>Keine_Zusammenarbeit</vt:lpstr>
      <vt:lpstr>KrebsregisterZusammenarbeit</vt:lpstr>
      <vt:lpstr>myCategory</vt:lpstr>
      <vt:lpstr>OncoBox</vt:lpstr>
      <vt:lpstr>'Basic data'!Print_Area</vt:lpstr>
      <vt:lpstr>Examiner!Print_Area</vt:lpstr>
      <vt:lpstr>'Indicator sheet_(IS)'!Print_Area</vt:lpstr>
      <vt:lpstr>'Matrix-Colon'!Print_Area</vt:lpstr>
      <vt:lpstr>'Matrix-Rectum'!Print_Area</vt:lpstr>
      <vt:lpstr>Studies!Print_Area</vt:lpstr>
      <vt:lpstr>Surgeons!Print_Area</vt:lpstr>
      <vt:lpstr>'Data deficit_(IS)'!Print_Titles</vt:lpstr>
      <vt:lpstr>'Data deficit_Matrix-Colon'!Print_Titles</vt:lpstr>
      <vt:lpstr>'Data deficit_Matrix-Rectum'!Print_Titles</vt:lpstr>
      <vt:lpstr>'Hilfstabelle DatendefKB'!Print_Titles</vt:lpstr>
      <vt:lpstr>'Indicator sheet_(IS)'!Print_Titles</vt:lpstr>
      <vt:lpstr>Tumordokumentation</vt:lpstr>
      <vt:lpstr>Zentrum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dc:creator>
  <cp:lastModifiedBy>OnkoZert - Roxana Rentea</cp:lastModifiedBy>
  <cp:lastPrinted>2025-12-05T10:50:23Z</cp:lastPrinted>
  <dcterms:created xsi:type="dcterms:W3CDTF">2012-04-12T09:13:43Z</dcterms:created>
  <dcterms:modified xsi:type="dcterms:W3CDTF">2025-12-05T10:57:56Z</dcterms:modified>
</cp:coreProperties>
</file>