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gyn\"/>
    </mc:Choice>
  </mc:AlternateContent>
  <xr:revisionPtr revIDLastSave="0" documentId="13_ncr:1_{8C1FD4EC-85D3-46BD-8E5D-086E7E78C855}" xr6:coauthVersionLast="47" xr6:coauthVersionMax="47" xr10:uidLastSave="{00000000-0000-0000-0000-000000000000}"/>
  <workbookProtection workbookAlgorithmName="SHA-512" workbookHashValue="bF89nSFGjVREvidQfwTR/B9Y6qeSpfow6gOkLcVBDtLktJ3L8AndvJ3IVX7KJ9fLlpPBKlxeMKb02GVQPYvjyw==" workbookSaltValue="CqsKP4xJbfzA/oTMagphCQ==" workbookSpinCount="100000" lockStructure="1"/>
  <bookViews>
    <workbookView xWindow="-120" yWindow="-120" windowWidth="29040" windowHeight="15840" tabRatio="786" xr2:uid="{00000000-000D-0000-FFFF-FFFF00000000}"/>
  </bookViews>
  <sheets>
    <sheet name="Basic Data" sheetId="11" r:id="rId1"/>
    <sheet name="Datenquelle" sheetId="13" state="hidden" r:id="rId2"/>
    <sheet name="HilfstabelleSD" sheetId="21" state="hidden" r:id="rId3"/>
    <sheet name="HilfstabelleB" sheetId="46" state="hidden" r:id="rId4"/>
    <sheet name="Studies" sheetId="50" r:id="rId5"/>
    <sheet name="HilfstabelleStudien" sheetId="51" state="hidden" r:id="rId6"/>
    <sheet name="Indicators Sheet_(IS)" sheetId="2" r:id="rId7"/>
    <sheet name="HilfstabelleKB" sheetId="45" state="hidden" r:id="rId8"/>
    <sheet name="Berechnung1" sheetId="24" state="hidden" r:id="rId9"/>
    <sheet name="Datendefizite_KB" sheetId="44" state="hidden" r:id="rId10"/>
    <sheet name="Hilfstabelle Datendef_KB" sheetId="49" state="hidden" r:id="rId11"/>
    <sheet name="Matrix" sheetId="12" state="hidden" r:id="rId12"/>
    <sheet name="Datendefizite_Matrix" sheetId="29" state="hidden" r:id="rId13"/>
    <sheet name="Berechnung2" sheetId="31" state="hidden" r:id="rId14"/>
    <sheet name="Berechnung3" sheetId="47" state="hidden" r:id="rId15"/>
    <sheet name="HilfstabelleM" sheetId="20" state="hidden" r:id="rId16"/>
    <sheet name="HilfstabelleDM" sheetId="48" state="hidden" r:id="rId17"/>
  </sheets>
  <externalReferences>
    <externalReference r:id="rId18"/>
  </externalReferences>
  <definedNames>
    <definedName name="_xlnm._FilterDatabase" localSheetId="13" hidden="1">Berechnung2!#REF!</definedName>
    <definedName name="Keine_Zusammenarbeit">Datenquelle!$B$91</definedName>
    <definedName name="myCategory">Datenquelle!$A$67:$S$67</definedName>
    <definedName name="myItem" localSheetId="5">OFFSET(HilfstabelleStudien!myItemList,0,0,COUNTA(HilfstabelleStudien!myItemList),1)</definedName>
    <definedName name="myItem" localSheetId="4">OFFSET(Studies!myItemList,0,0,COUNTA(Studies!myItemList),1)</definedName>
    <definedName name="myItem">OFFSET(myItemList,0,0,COUNTA(myItemList),1)</definedName>
    <definedName name="myItemList" localSheetId="5">INDEX([1]Datenquelle!$A$66:$S$86,0,MATCH([1]Datenquelle!$E$98,[1]Datenquelle!$A$65:$S$65,0))</definedName>
    <definedName name="myItemList" localSheetId="4">INDEX([1]Datenquelle!$A$66:$S$86,0,MATCH([1]Datenquelle!$E$98,[1]Datenquelle!$A$65:$S$65,0))</definedName>
    <definedName name="myItemList">INDEX(Datenquelle!$A$68:$S$88,0,MATCH(Datenquelle!#REF!,Datenquelle!$A$67:$S$67,0))</definedName>
    <definedName name="_xlnm.Print_Area" localSheetId="0">'Basic Data'!$A$1:$O$64</definedName>
    <definedName name="_xlnm.Print_Area" localSheetId="9">OFFSET(Datendefizite_KB!$A$1,0,0,SUMPRODUCT((Datendefizite_KB!$A$14:$A$35&lt;&gt;"")+0)+13,11)</definedName>
    <definedName name="_xlnm.Print_Area" localSheetId="6">'Indicators Sheet_(IS)'!$A$1:$P$96</definedName>
    <definedName name="_xlnm.Print_Area" localSheetId="4">Studies!$A$1:$E$60</definedName>
    <definedName name="_xlnm.Print_Titles" localSheetId="9">Datendefizite_KB!$12:$13</definedName>
    <definedName name="_xlnm.Print_Titles" localSheetId="12">Datendefizite_Matrix!$15:$16</definedName>
    <definedName name="_xlnm.Print_Titles" localSheetId="6">'Indicators Sheet_(IS)'!$6:$7</definedName>
    <definedName name="Tumordokumentation">Datenquelle!$B$1:$B$48</definedName>
    <definedName name="Zentrum1" localSheetId="5">[1]Datenquelle!$A$101:$A$293</definedName>
    <definedName name="Zentrum1" localSheetId="4">[1]Datenquelle!$A$101:$A$293</definedName>
    <definedName name="Zentrum1">Datenquelle!#REF!</definedName>
    <definedName name="zentrumsintern___ohne_Krebsregister">Datenquelle!$B$91:$B$95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4" i="11" l="1"/>
  <c r="N53" i="11"/>
  <c r="N52" i="11"/>
  <c r="N51" i="11"/>
  <c r="M54" i="11"/>
  <c r="M53" i="11"/>
  <c r="M52" i="11"/>
  <c r="M51" i="11"/>
  <c r="M39" i="11"/>
  <c r="N39" i="11"/>
  <c r="J38" i="11"/>
  <c r="G38" i="11"/>
  <c r="F38" i="11"/>
  <c r="E38" i="11"/>
  <c r="D38" i="11"/>
  <c r="N28" i="11" s="1"/>
  <c r="M28" i="11" l="1"/>
  <c r="K60" i="11" l="1"/>
  <c r="B109" i="2"/>
  <c r="D109" i="2"/>
  <c r="E109" i="2"/>
  <c r="F109" i="2"/>
  <c r="G109" i="2"/>
  <c r="J109" i="2"/>
  <c r="M94" i="24" l="1"/>
  <c r="M95" i="24"/>
  <c r="M97" i="24"/>
  <c r="M98" i="24"/>
  <c r="M88" i="24"/>
  <c r="M89" i="24"/>
  <c r="F6" i="21"/>
  <c r="E6" i="21"/>
  <c r="I12" i="50"/>
  <c r="J12" i="50"/>
  <c r="I13" i="50"/>
  <c r="J13" i="50"/>
  <c r="I14" i="50"/>
  <c r="J14" i="50"/>
  <c r="I15" i="50"/>
  <c r="J15" i="50"/>
  <c r="I16" i="50"/>
  <c r="J16" i="50"/>
  <c r="I17" i="50"/>
  <c r="J17" i="50"/>
  <c r="I18" i="50"/>
  <c r="J18" i="50"/>
  <c r="I19" i="50"/>
  <c r="J19" i="50"/>
  <c r="I20" i="50"/>
  <c r="J20" i="50"/>
  <c r="I21" i="50"/>
  <c r="J21" i="50"/>
  <c r="I22" i="50"/>
  <c r="J22" i="50"/>
  <c r="I23" i="50"/>
  <c r="J23" i="50"/>
  <c r="I24" i="50"/>
  <c r="J24" i="50"/>
  <c r="I25" i="50"/>
  <c r="J25" i="50"/>
  <c r="I26" i="50"/>
  <c r="J26" i="50"/>
  <c r="I27" i="50"/>
  <c r="J27" i="50"/>
  <c r="I28" i="50"/>
  <c r="J28" i="50"/>
  <c r="I29" i="50"/>
  <c r="J29" i="50"/>
  <c r="I30" i="50"/>
  <c r="J30" i="50"/>
  <c r="I31" i="50"/>
  <c r="J31" i="50"/>
  <c r="I32" i="50"/>
  <c r="J32" i="50"/>
  <c r="I33" i="50"/>
  <c r="J33" i="50"/>
  <c r="I34" i="50"/>
  <c r="J34" i="50"/>
  <c r="I35" i="50"/>
  <c r="J35" i="50"/>
  <c r="I36" i="50"/>
  <c r="J36" i="50"/>
  <c r="I37" i="50"/>
  <c r="J37" i="50"/>
  <c r="I38" i="50"/>
  <c r="J38" i="50"/>
  <c r="I39" i="50"/>
  <c r="J39" i="50"/>
  <c r="I40" i="50"/>
  <c r="J40" i="50"/>
  <c r="I41" i="50"/>
  <c r="J41" i="50"/>
  <c r="I42" i="50"/>
  <c r="J42" i="50"/>
  <c r="I43" i="50"/>
  <c r="J43" i="50"/>
  <c r="I44" i="50"/>
  <c r="J44" i="50"/>
  <c r="I45" i="50"/>
  <c r="J45" i="50"/>
  <c r="I46" i="50"/>
  <c r="J46" i="50"/>
  <c r="I47" i="50"/>
  <c r="J47" i="50"/>
  <c r="I48" i="50"/>
  <c r="J48" i="50"/>
  <c r="I49" i="50"/>
  <c r="J49" i="50"/>
  <c r="I50" i="50"/>
  <c r="J50" i="50"/>
  <c r="I51" i="50"/>
  <c r="J51" i="50"/>
  <c r="I52" i="50"/>
  <c r="J52" i="50"/>
  <c r="I53" i="50"/>
  <c r="J53" i="50"/>
  <c r="I54" i="50"/>
  <c r="J54" i="50"/>
  <c r="I55" i="50"/>
  <c r="J55" i="50"/>
  <c r="I56" i="50"/>
  <c r="J56" i="50"/>
  <c r="I57" i="50"/>
  <c r="K57" i="50" s="1"/>
  <c r="D48" i="51" s="1"/>
  <c r="J57" i="50"/>
  <c r="I58" i="50"/>
  <c r="J58" i="50"/>
  <c r="I59" i="50"/>
  <c r="K59" i="50" s="1"/>
  <c r="B50" i="51" s="1"/>
  <c r="J59" i="50"/>
  <c r="I60" i="50"/>
  <c r="J60" i="50"/>
  <c r="A2" i="50"/>
  <c r="J11" i="50"/>
  <c r="I11" i="50"/>
  <c r="K30" i="50" l="1"/>
  <c r="A21" i="51" s="1"/>
  <c r="K28" i="50"/>
  <c r="C19" i="51" s="1"/>
  <c r="K26" i="50"/>
  <c r="A17" i="51" s="1"/>
  <c r="K24" i="50"/>
  <c r="C15" i="51" s="1"/>
  <c r="K40" i="50"/>
  <c r="C31" i="51" s="1"/>
  <c r="E21" i="51"/>
  <c r="E17" i="51"/>
  <c r="K31" i="50"/>
  <c r="B22" i="51" s="1"/>
  <c r="K47" i="50"/>
  <c r="B38" i="51" s="1"/>
  <c r="K45" i="50"/>
  <c r="C36" i="51" s="1"/>
  <c r="K43" i="50"/>
  <c r="A34" i="51" s="1"/>
  <c r="K41" i="50"/>
  <c r="B32" i="51" s="1"/>
  <c r="K56" i="50"/>
  <c r="B47" i="51" s="1"/>
  <c r="K58" i="50"/>
  <c r="E49" i="51" s="1"/>
  <c r="K29" i="50"/>
  <c r="D20" i="51" s="1"/>
  <c r="K27" i="50"/>
  <c r="B18" i="51" s="1"/>
  <c r="K25" i="50"/>
  <c r="E16" i="51" s="1"/>
  <c r="K23" i="50"/>
  <c r="B14" i="51" s="1"/>
  <c r="K21" i="50"/>
  <c r="D12" i="51" s="1"/>
  <c r="K19" i="50"/>
  <c r="B10" i="51" s="1"/>
  <c r="K17" i="50"/>
  <c r="B8" i="51" s="1"/>
  <c r="A48" i="51"/>
  <c r="A20" i="51"/>
  <c r="B21" i="51"/>
  <c r="C50" i="51"/>
  <c r="D31" i="51"/>
  <c r="D19" i="51"/>
  <c r="E48" i="51"/>
  <c r="K60" i="50"/>
  <c r="D51" i="51" s="1"/>
  <c r="K46" i="50"/>
  <c r="B37" i="51" s="1"/>
  <c r="K44" i="50"/>
  <c r="C35" i="51" s="1"/>
  <c r="K42" i="50"/>
  <c r="C33" i="51" s="1"/>
  <c r="K16" i="50"/>
  <c r="C7" i="51" s="1"/>
  <c r="A31" i="51"/>
  <c r="A19" i="51"/>
  <c r="B48" i="51"/>
  <c r="B16" i="51"/>
  <c r="C21" i="51"/>
  <c r="D50" i="51"/>
  <c r="D10" i="51"/>
  <c r="E31" i="51"/>
  <c r="E19" i="51"/>
  <c r="A50" i="51"/>
  <c r="A18" i="51"/>
  <c r="A14" i="51"/>
  <c r="B19" i="51"/>
  <c r="C48" i="51"/>
  <c r="D21" i="51"/>
  <c r="E50" i="51"/>
  <c r="K55" i="50"/>
  <c r="B46" i="51" s="1"/>
  <c r="K53" i="50"/>
  <c r="D44" i="51" s="1"/>
  <c r="K51" i="50"/>
  <c r="B42" i="51" s="1"/>
  <c r="K49" i="50"/>
  <c r="D40" i="51" s="1"/>
  <c r="K38" i="50"/>
  <c r="C29" i="51" s="1"/>
  <c r="K36" i="50"/>
  <c r="C27" i="51" s="1"/>
  <c r="K34" i="50"/>
  <c r="K32" i="50"/>
  <c r="C23" i="51" s="1"/>
  <c r="K22" i="50"/>
  <c r="C13" i="51" s="1"/>
  <c r="K20" i="50"/>
  <c r="C11" i="51" s="1"/>
  <c r="K18" i="50"/>
  <c r="K54" i="50"/>
  <c r="A45" i="51" s="1"/>
  <c r="K52" i="50"/>
  <c r="C43" i="51" s="1"/>
  <c r="K50" i="50"/>
  <c r="C41" i="51" s="1"/>
  <c r="K48" i="50"/>
  <c r="B39" i="51" s="1"/>
  <c r="K39" i="50"/>
  <c r="D30" i="51" s="1"/>
  <c r="K37" i="50"/>
  <c r="B28" i="51" s="1"/>
  <c r="K35" i="50"/>
  <c r="A26" i="51" s="1"/>
  <c r="K33" i="50"/>
  <c r="C24" i="51" s="1"/>
  <c r="K12" i="50"/>
  <c r="C3" i="51" s="1"/>
  <c r="K13" i="50"/>
  <c r="D4" i="51" s="1"/>
  <c r="K15" i="50"/>
  <c r="C6" i="51" s="1"/>
  <c r="K14" i="50"/>
  <c r="K11" i="50"/>
  <c r="E2" i="51" l="1"/>
  <c r="E5" i="50"/>
  <c r="D34" i="51"/>
  <c r="C12" i="51"/>
  <c r="C20" i="51"/>
  <c r="B20" i="51"/>
  <c r="C49" i="51"/>
  <c r="C47" i="51"/>
  <c r="D14" i="51"/>
  <c r="B49" i="51"/>
  <c r="D33" i="51"/>
  <c r="E14" i="51"/>
  <c r="D49" i="51"/>
  <c r="C10" i="51"/>
  <c r="D37" i="51"/>
  <c r="C37" i="51"/>
  <c r="C14" i="51"/>
  <c r="D32" i="51"/>
  <c r="E15" i="51"/>
  <c r="D15" i="51"/>
  <c r="D17" i="51"/>
  <c r="B15" i="51"/>
  <c r="A22" i="51"/>
  <c r="A47" i="51"/>
  <c r="E47" i="51"/>
  <c r="C17" i="51"/>
  <c r="A15" i="51"/>
  <c r="B17" i="51"/>
  <c r="E8" i="51"/>
  <c r="C46" i="51"/>
  <c r="B29" i="51"/>
  <c r="C32" i="51"/>
  <c r="E34" i="51"/>
  <c r="C38" i="51"/>
  <c r="E40" i="51"/>
  <c r="E35" i="51"/>
  <c r="A12" i="51"/>
  <c r="C34" i="51"/>
  <c r="E36" i="51"/>
  <c r="E38" i="51"/>
  <c r="B31" i="51"/>
  <c r="E3" i="51"/>
  <c r="D42" i="51"/>
  <c r="E18" i="51"/>
  <c r="B51" i="51"/>
  <c r="E7" i="51"/>
  <c r="A10" i="51"/>
  <c r="A46" i="51"/>
  <c r="D18" i="51"/>
  <c r="E12" i="51"/>
  <c r="D7" i="51"/>
  <c r="D43" i="51"/>
  <c r="C18" i="51"/>
  <c r="B13" i="51"/>
  <c r="E32" i="51"/>
  <c r="B36" i="51"/>
  <c r="C39" i="51"/>
  <c r="A32" i="51"/>
  <c r="D36" i="51"/>
  <c r="E10" i="51"/>
  <c r="E51" i="51"/>
  <c r="D22" i="51"/>
  <c r="B12" i="51"/>
  <c r="A7" i="51"/>
  <c r="E20" i="51"/>
  <c r="D47" i="51"/>
  <c r="C22" i="51"/>
  <c r="A4" i="51"/>
  <c r="B7" i="51"/>
  <c r="E22" i="51"/>
  <c r="B34" i="51"/>
  <c r="A36" i="51"/>
  <c r="D38" i="51"/>
  <c r="A6" i="51"/>
  <c r="B35" i="51"/>
  <c r="E5" i="51"/>
  <c r="A5" i="51"/>
  <c r="E9" i="51"/>
  <c r="A9" i="51"/>
  <c r="E25" i="51"/>
  <c r="A25" i="51"/>
  <c r="C8" i="51"/>
  <c r="D46" i="51"/>
  <c r="C45" i="51"/>
  <c r="B44" i="51"/>
  <c r="A11" i="51"/>
  <c r="A27" i="51"/>
  <c r="A43" i="51"/>
  <c r="E33" i="51"/>
  <c r="A33" i="51"/>
  <c r="E4" i="51"/>
  <c r="D3" i="51"/>
  <c r="D39" i="51"/>
  <c r="C42" i="51"/>
  <c r="B9" i="51"/>
  <c r="B25" i="51"/>
  <c r="A16" i="51"/>
  <c r="A49" i="51"/>
  <c r="E45" i="51"/>
  <c r="C51" i="51"/>
  <c r="E24" i="51"/>
  <c r="B26" i="51"/>
  <c r="E26" i="51"/>
  <c r="D28" i="51"/>
  <c r="B30" i="51"/>
  <c r="A38" i="51"/>
  <c r="E46" i="51"/>
  <c r="B6" i="51"/>
  <c r="D9" i="51"/>
  <c r="D41" i="51"/>
  <c r="D23" i="51"/>
  <c r="C4" i="51"/>
  <c r="D24" i="51"/>
  <c r="C26" i="51"/>
  <c r="A28" i="51"/>
  <c r="C28" i="51"/>
  <c r="A30" i="51"/>
  <c r="B27" i="51"/>
  <c r="E6" i="51"/>
  <c r="B43" i="51"/>
  <c r="D8" i="51"/>
  <c r="D16" i="51"/>
  <c r="B11" i="51"/>
  <c r="D45" i="51"/>
  <c r="E13" i="51"/>
  <c r="A13" i="51"/>
  <c r="E29" i="51"/>
  <c r="A29" i="51"/>
  <c r="C16" i="51"/>
  <c r="A42" i="51"/>
  <c r="E23" i="51"/>
  <c r="E39" i="51"/>
  <c r="D6" i="51"/>
  <c r="C5" i="51"/>
  <c r="B4" i="51"/>
  <c r="A3" i="51"/>
  <c r="A35" i="51"/>
  <c r="A51" i="51"/>
  <c r="E37" i="51"/>
  <c r="A37" i="51"/>
  <c r="E44" i="51"/>
  <c r="D11" i="51"/>
  <c r="D27" i="51"/>
  <c r="B41" i="51"/>
  <c r="A8" i="51"/>
  <c r="A40" i="51"/>
  <c r="D13" i="51"/>
  <c r="E41" i="51"/>
  <c r="B24" i="51"/>
  <c r="D26" i="51"/>
  <c r="E28" i="51"/>
  <c r="C30" i="51"/>
  <c r="E30" i="51"/>
  <c r="C40" i="51"/>
  <c r="D35" i="51"/>
  <c r="C44" i="51"/>
  <c r="B3" i="51"/>
  <c r="D25" i="51"/>
  <c r="A41" i="51"/>
  <c r="E11" i="51"/>
  <c r="E27" i="51"/>
  <c r="E43" i="51"/>
  <c r="C9" i="51"/>
  <c r="C25" i="51"/>
  <c r="B40" i="51"/>
  <c r="A23" i="51"/>
  <c r="A39" i="51"/>
  <c r="B5" i="51"/>
  <c r="B45" i="51"/>
  <c r="A44" i="51"/>
  <c r="B23" i="51"/>
  <c r="A24" i="51"/>
  <c r="E42" i="51"/>
  <c r="D29" i="51"/>
  <c r="D5" i="51"/>
  <c r="B33" i="51"/>
  <c r="O17" i="2"/>
  <c r="D2" i="51"/>
  <c r="C2" i="51"/>
  <c r="B2" i="51"/>
  <c r="A2" i="51"/>
  <c r="D101" i="2" l="1"/>
  <c r="D102" i="2"/>
  <c r="D103" i="2"/>
  <c r="D104" i="2"/>
  <c r="D105" i="2"/>
  <c r="D106" i="2"/>
  <c r="D107" i="2"/>
  <c r="D108" i="2"/>
  <c r="D111" i="2"/>
  <c r="D112" i="2"/>
  <c r="D113" i="2"/>
  <c r="D114" i="2"/>
  <c r="D115" i="2"/>
  <c r="D116" i="2"/>
  <c r="D117" i="2"/>
  <c r="D118" i="2"/>
  <c r="D119" i="2"/>
  <c r="D120" i="2"/>
  <c r="D121" i="2"/>
  <c r="D123" i="2"/>
  <c r="D124" i="2"/>
  <c r="D125" i="2"/>
  <c r="D126" i="2"/>
  <c r="D100" i="2"/>
  <c r="O85" i="2"/>
  <c r="O82" i="2"/>
  <c r="O79" i="2"/>
  <c r="O99" i="24"/>
  <c r="O96" i="24"/>
  <c r="H35" i="45" s="1"/>
  <c r="O93" i="24"/>
  <c r="O90" i="24"/>
  <c r="O87" i="24"/>
  <c r="O84" i="24"/>
  <c r="O81" i="24"/>
  <c r="O78" i="24"/>
  <c r="H29" i="45" s="1"/>
  <c r="O75" i="24"/>
  <c r="O72" i="24"/>
  <c r="O69" i="24"/>
  <c r="H26" i="45" s="1"/>
  <c r="O66" i="24"/>
  <c r="H25" i="45" s="1"/>
  <c r="G36" i="45"/>
  <c r="G35" i="45"/>
  <c r="G34" i="45"/>
  <c r="G33" i="45"/>
  <c r="G32" i="45"/>
  <c r="G31" i="45"/>
  <c r="G30" i="45"/>
  <c r="G29" i="45"/>
  <c r="G28" i="45"/>
  <c r="G27" i="45"/>
  <c r="G26" i="45"/>
  <c r="G25" i="45"/>
  <c r="G24" i="45"/>
  <c r="G23" i="45"/>
  <c r="G22" i="45"/>
  <c r="G21" i="45"/>
  <c r="G20" i="45"/>
  <c r="G19" i="45"/>
  <c r="G18" i="45"/>
  <c r="G17" i="45"/>
  <c r="G16" i="45"/>
  <c r="G15" i="45"/>
  <c r="G14" i="45"/>
  <c r="G13" i="45"/>
  <c r="G12" i="45"/>
  <c r="F36" i="45"/>
  <c r="F35" i="45"/>
  <c r="F34" i="45"/>
  <c r="F33" i="45"/>
  <c r="F32" i="45"/>
  <c r="F31" i="45"/>
  <c r="F30" i="45"/>
  <c r="F29" i="45"/>
  <c r="F28" i="45"/>
  <c r="F27" i="45"/>
  <c r="F26" i="45"/>
  <c r="F25" i="45"/>
  <c r="F24" i="45"/>
  <c r="F23" i="45"/>
  <c r="F22" i="45"/>
  <c r="F21" i="45"/>
  <c r="F20" i="45"/>
  <c r="F19" i="45"/>
  <c r="F18" i="45"/>
  <c r="F17" i="45"/>
  <c r="F16" i="45"/>
  <c r="F15" i="45"/>
  <c r="F14" i="45"/>
  <c r="F13" i="45"/>
  <c r="F12" i="45"/>
  <c r="C36" i="45"/>
  <c r="C35" i="45"/>
  <c r="C34" i="45"/>
  <c r="C33" i="45"/>
  <c r="C30" i="45"/>
  <c r="C32" i="45"/>
  <c r="C31" i="45"/>
  <c r="C29" i="45"/>
  <c r="C28" i="45"/>
  <c r="C27" i="45"/>
  <c r="C26" i="45"/>
  <c r="B36" i="45"/>
  <c r="B35" i="45"/>
  <c r="B34" i="45"/>
  <c r="B33" i="45"/>
  <c r="B32" i="45"/>
  <c r="B31" i="45"/>
  <c r="B30" i="45"/>
  <c r="B29" i="45"/>
  <c r="B28" i="45"/>
  <c r="B27" i="45"/>
  <c r="B26" i="45"/>
  <c r="B25" i="45"/>
  <c r="B28" i="46"/>
  <c r="B14" i="46"/>
  <c r="B15" i="46"/>
  <c r="B16" i="46"/>
  <c r="B17" i="46"/>
  <c r="B18" i="46"/>
  <c r="B19" i="46"/>
  <c r="B20" i="46"/>
  <c r="B21" i="46"/>
  <c r="B22" i="46"/>
  <c r="B23" i="46"/>
  <c r="B25" i="46"/>
  <c r="B26" i="46"/>
  <c r="B27" i="46"/>
  <c r="B13" i="46"/>
  <c r="B4" i="46"/>
  <c r="B5" i="46"/>
  <c r="B6" i="46"/>
  <c r="B7" i="46"/>
  <c r="B8" i="46"/>
  <c r="B9" i="46"/>
  <c r="B10" i="46"/>
  <c r="B11" i="46"/>
  <c r="B3" i="46"/>
  <c r="D50" i="11"/>
  <c r="H36" i="45"/>
  <c r="O58" i="2"/>
  <c r="L72" i="24" s="1"/>
  <c r="U52" i="2" l="1"/>
  <c r="D55" i="11"/>
  <c r="D110" i="2"/>
  <c r="B24" i="46"/>
  <c r="D122" i="2"/>
  <c r="P77" i="2"/>
  <c r="M73" i="24"/>
  <c r="M74" i="24"/>
  <c r="M82" i="24"/>
  <c r="M83" i="24"/>
  <c r="M86" i="24"/>
  <c r="M85" i="24"/>
  <c r="M80" i="24"/>
  <c r="M79" i="24"/>
  <c r="P80" i="2"/>
  <c r="M77" i="24"/>
  <c r="M76" i="24"/>
  <c r="P83" i="2"/>
  <c r="D27" i="45"/>
  <c r="L93" i="24"/>
  <c r="L96" i="24"/>
  <c r="D35" i="45"/>
  <c r="D34" i="45"/>
  <c r="D36" i="45"/>
  <c r="P56" i="2"/>
  <c r="L99" i="24"/>
  <c r="B12" i="46"/>
  <c r="M93" i="24" l="1"/>
  <c r="M72" i="24"/>
  <c r="M81" i="24"/>
  <c r="M84" i="24"/>
  <c r="M99" i="24"/>
  <c r="N99" i="24" s="1"/>
  <c r="E36" i="45" s="1"/>
  <c r="M78" i="24"/>
  <c r="M96" i="24"/>
  <c r="M75" i="24"/>
  <c r="D127" i="2"/>
  <c r="B29" i="46"/>
  <c r="O45" i="24"/>
  <c r="H18" i="45" s="1"/>
  <c r="C3" i="46" l="1"/>
  <c r="D3" i="46"/>
  <c r="E3" i="46"/>
  <c r="H3" i="46"/>
  <c r="C4" i="46"/>
  <c r="D4" i="46"/>
  <c r="E4" i="46"/>
  <c r="H4" i="46"/>
  <c r="C5" i="46"/>
  <c r="D5" i="46"/>
  <c r="E5" i="46"/>
  <c r="H5" i="46"/>
  <c r="C6" i="46"/>
  <c r="D6" i="46"/>
  <c r="E6" i="46"/>
  <c r="H6" i="46"/>
  <c r="C7" i="46"/>
  <c r="D7" i="46"/>
  <c r="E7" i="46"/>
  <c r="H7" i="46"/>
  <c r="C8" i="46"/>
  <c r="D8" i="46"/>
  <c r="E8" i="46"/>
  <c r="H8" i="46"/>
  <c r="C9" i="46"/>
  <c r="D9" i="46"/>
  <c r="E9" i="46"/>
  <c r="H9" i="46"/>
  <c r="C10" i="46"/>
  <c r="D10" i="46"/>
  <c r="E10" i="46"/>
  <c r="H10" i="46"/>
  <c r="C11" i="46"/>
  <c r="D11" i="46"/>
  <c r="E11" i="46"/>
  <c r="H11" i="46"/>
  <c r="I12" i="46"/>
  <c r="J12" i="46"/>
  <c r="C13" i="46"/>
  <c r="D13" i="46"/>
  <c r="H13" i="46"/>
  <c r="I13" i="46"/>
  <c r="J13" i="46"/>
  <c r="F14" i="46"/>
  <c r="G14" i="46"/>
  <c r="H14" i="46"/>
  <c r="F15" i="46"/>
  <c r="G15" i="46"/>
  <c r="H15" i="46"/>
  <c r="F16" i="46"/>
  <c r="G16" i="46"/>
  <c r="H16" i="46"/>
  <c r="F17" i="46"/>
  <c r="G17" i="46"/>
  <c r="H17" i="46"/>
  <c r="F18" i="46"/>
  <c r="G18" i="46"/>
  <c r="H18" i="46"/>
  <c r="F19" i="46"/>
  <c r="G19" i="46"/>
  <c r="H19" i="46"/>
  <c r="F20" i="46"/>
  <c r="G20" i="46"/>
  <c r="H20" i="46"/>
  <c r="F21" i="46"/>
  <c r="G21" i="46"/>
  <c r="H21" i="46"/>
  <c r="F22" i="46"/>
  <c r="G22" i="46"/>
  <c r="H22" i="46"/>
  <c r="F23" i="46"/>
  <c r="G23" i="46"/>
  <c r="H23" i="46"/>
  <c r="I24" i="46"/>
  <c r="J24" i="46"/>
  <c r="F25" i="46"/>
  <c r="G25" i="46"/>
  <c r="H25" i="46"/>
  <c r="I25" i="46"/>
  <c r="J25" i="46"/>
  <c r="F26" i="46"/>
  <c r="G26" i="46"/>
  <c r="H26" i="46"/>
  <c r="I26" i="46"/>
  <c r="J26" i="46"/>
  <c r="F27" i="46"/>
  <c r="G27" i="46"/>
  <c r="H27" i="46"/>
  <c r="I27" i="46"/>
  <c r="J27" i="46"/>
  <c r="F28" i="46"/>
  <c r="G28" i="46"/>
  <c r="H28" i="46"/>
  <c r="I28" i="46"/>
  <c r="J28" i="46"/>
  <c r="J50" i="11" l="1"/>
  <c r="N40" i="11" s="1"/>
  <c r="I50" i="11"/>
  <c r="H50" i="11"/>
  <c r="M40" i="11" l="1"/>
  <c r="H24" i="46"/>
  <c r="U55" i="2"/>
  <c r="G24" i="46"/>
  <c r="U54" i="2"/>
  <c r="F24" i="46"/>
  <c r="U53" i="2"/>
  <c r="B5" i="20"/>
  <c r="D5" i="20"/>
  <c r="E5" i="20"/>
  <c r="F5" i="20"/>
  <c r="G5" i="20"/>
  <c r="H5" i="20"/>
  <c r="I5" i="20"/>
  <c r="J5" i="20"/>
  <c r="K5" i="20"/>
  <c r="L5" i="20"/>
  <c r="M5" i="20"/>
  <c r="O5" i="20"/>
  <c r="P5" i="20"/>
  <c r="Q5" i="20"/>
  <c r="U5" i="20"/>
  <c r="V5" i="20"/>
  <c r="W5" i="20"/>
  <c r="X5" i="20"/>
  <c r="Y5" i="20"/>
  <c r="Z5" i="20"/>
  <c r="AA5" i="20"/>
  <c r="AC5" i="20"/>
  <c r="AD5" i="20"/>
  <c r="AE26" i="12" l="1"/>
  <c r="AB5" i="20" s="1"/>
  <c r="U26" i="12"/>
  <c r="O26" i="12"/>
  <c r="C26" i="12"/>
  <c r="C5" i="20" s="1"/>
  <c r="B20" i="45"/>
  <c r="S26" i="12" l="1"/>
  <c r="R5" i="20" s="1"/>
  <c r="N5" i="20"/>
  <c r="V26" i="12"/>
  <c r="T5" i="20" s="1"/>
  <c r="S5" i="20"/>
  <c r="O51" i="24"/>
  <c r="H20" i="45" s="1"/>
  <c r="O76" i="2" l="1"/>
  <c r="P74" i="2" l="1"/>
  <c r="M70" i="24"/>
  <c r="M71" i="24"/>
  <c r="D33" i="45"/>
  <c r="L90" i="24"/>
  <c r="H34" i="45"/>
  <c r="M69" i="24" l="1"/>
  <c r="M90" i="24"/>
  <c r="A23" i="49"/>
  <c r="E23" i="49" s="1"/>
  <c r="O73" i="2"/>
  <c r="P71" i="2" l="1"/>
  <c r="M67" i="24"/>
  <c r="M68" i="24"/>
  <c r="K23" i="49"/>
  <c r="I23" i="49"/>
  <c r="C23" i="49"/>
  <c r="J23" i="49"/>
  <c r="G23" i="49"/>
  <c r="M23" i="49"/>
  <c r="H23" i="49"/>
  <c r="L23" i="49"/>
  <c r="D23" i="49"/>
  <c r="F23" i="49"/>
  <c r="L87" i="24"/>
  <c r="D32" i="45"/>
  <c r="N96" i="24"/>
  <c r="E35" i="45" s="1"/>
  <c r="M87" i="24" l="1"/>
  <c r="M66" i="24"/>
  <c r="A22" i="49"/>
  <c r="C22" i="49" s="1"/>
  <c r="N93" i="24"/>
  <c r="E34" i="45" s="1"/>
  <c r="D26" i="31"/>
  <c r="C26" i="31" s="1"/>
  <c r="E26" i="31"/>
  <c r="M22" i="49" l="1"/>
  <c r="F22" i="49"/>
  <c r="E22" i="49"/>
  <c r="H22" i="49"/>
  <c r="I22" i="49"/>
  <c r="L22" i="49"/>
  <c r="J22" i="49"/>
  <c r="D22" i="49"/>
  <c r="G22" i="49"/>
  <c r="K22" i="49"/>
  <c r="A2" i="12"/>
  <c r="A2" i="2"/>
  <c r="O70" i="2"/>
  <c r="D31" i="45" l="1"/>
  <c r="L84" i="24"/>
  <c r="P68" i="2"/>
  <c r="B12" i="45"/>
  <c r="AE23" i="12" l="1"/>
  <c r="K28" i="46" l="1"/>
  <c r="K27" i="46"/>
  <c r="K26" i="46"/>
  <c r="K25" i="46"/>
  <c r="K13" i="46" l="1"/>
  <c r="O94" i="12"/>
  <c r="H122" i="2" l="1"/>
  <c r="H55" i="11"/>
  <c r="F29" i="46" s="1"/>
  <c r="A21" i="49" l="1"/>
  <c r="G99" i="2"/>
  <c r="G100" i="2"/>
  <c r="G101" i="2"/>
  <c r="G102" i="2"/>
  <c r="G103" i="2"/>
  <c r="G104" i="2"/>
  <c r="G105" i="2"/>
  <c r="G106" i="2"/>
  <c r="G107" i="2"/>
  <c r="G108" i="2"/>
  <c r="M21" i="49" l="1"/>
  <c r="E21" i="49"/>
  <c r="L21" i="49"/>
  <c r="D21" i="49"/>
  <c r="K21" i="49"/>
  <c r="J21" i="49"/>
  <c r="H21" i="49"/>
  <c r="G21" i="49"/>
  <c r="F21" i="49"/>
  <c r="C21" i="49"/>
  <c r="I21" i="49"/>
  <c r="O46" i="2"/>
  <c r="B6" i="21" l="1"/>
  <c r="E12" i="46" l="1"/>
  <c r="G110" i="2"/>
  <c r="G55" i="11"/>
  <c r="H31" i="45"/>
  <c r="H30" i="45"/>
  <c r="H32" i="45"/>
  <c r="H33" i="45"/>
  <c r="O67" i="2"/>
  <c r="O64" i="2"/>
  <c r="O61" i="2"/>
  <c r="O55" i="2"/>
  <c r="L78" i="24" l="1"/>
  <c r="D29" i="45"/>
  <c r="P62" i="2"/>
  <c r="N78" i="24" s="1"/>
  <c r="E29" i="45" s="1"/>
  <c r="D28" i="45"/>
  <c r="L75" i="24"/>
  <c r="P59" i="2"/>
  <c r="P53" i="2"/>
  <c r="D26" i="45"/>
  <c r="L69" i="24"/>
  <c r="P65" i="2"/>
  <c r="D30" i="45"/>
  <c r="L81" i="24"/>
  <c r="G127" i="2"/>
  <c r="E29" i="46"/>
  <c r="N69" i="24" l="1"/>
  <c r="A20" i="49"/>
  <c r="A19" i="49"/>
  <c r="N81" i="24"/>
  <c r="E30" i="45" s="1"/>
  <c r="A18" i="49"/>
  <c r="N90" i="24"/>
  <c r="E33" i="45" s="1"/>
  <c r="N87" i="24"/>
  <c r="E32" i="45" s="1"/>
  <c r="N84" i="24"/>
  <c r="E31" i="45" s="1"/>
  <c r="M20" i="49" l="1"/>
  <c r="L20" i="49"/>
  <c r="H20" i="49"/>
  <c r="D20" i="49"/>
  <c r="K20" i="49"/>
  <c r="G20" i="49"/>
  <c r="C20" i="49"/>
  <c r="F20" i="49"/>
  <c r="I20" i="49"/>
  <c r="E20" i="49"/>
  <c r="J20" i="49"/>
  <c r="I19" i="49"/>
  <c r="E19" i="49"/>
  <c r="D19" i="49"/>
  <c r="K19" i="49"/>
  <c r="G19" i="49"/>
  <c r="J19" i="49"/>
  <c r="F19" i="49"/>
  <c r="M19" i="49"/>
  <c r="C19" i="49"/>
  <c r="L19" i="49"/>
  <c r="H19" i="49"/>
  <c r="I18" i="49"/>
  <c r="L18" i="49"/>
  <c r="D18" i="49"/>
  <c r="E18" i="49"/>
  <c r="F18" i="49"/>
  <c r="G18" i="49"/>
  <c r="J18" i="49"/>
  <c r="M18" i="49"/>
  <c r="H18" i="49"/>
  <c r="K18" i="49"/>
  <c r="C18" i="49"/>
  <c r="I87" i="12" l="1"/>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86" i="12"/>
  <c r="M29" i="12" l="1"/>
  <c r="L29" i="12"/>
  <c r="K29" i="12"/>
  <c r="J29" i="12"/>
  <c r="I29" i="12"/>
  <c r="H29" i="12"/>
  <c r="G29" i="12"/>
  <c r="F29" i="12"/>
  <c r="E29" i="12"/>
  <c r="D29" i="12"/>
  <c r="B107" i="2" l="1"/>
  <c r="B106" i="2"/>
  <c r="B105" i="2"/>
  <c r="B104" i="2"/>
  <c r="B103" i="2"/>
  <c r="B7" i="20"/>
  <c r="M8" i="20"/>
  <c r="J8" i="20"/>
  <c r="G8" i="20"/>
  <c r="F8" i="20"/>
  <c r="L8" i="20"/>
  <c r="E8" i="20"/>
  <c r="H8" i="20"/>
  <c r="K8" i="20"/>
  <c r="D8" i="20"/>
  <c r="L123" i="2"/>
  <c r="L124" i="2"/>
  <c r="L125" i="2"/>
  <c r="L126" i="2"/>
  <c r="K124" i="2"/>
  <c r="K125" i="2"/>
  <c r="K126" i="2"/>
  <c r="K123" i="2"/>
  <c r="L112" i="2"/>
  <c r="K112" i="2"/>
  <c r="L111" i="2"/>
  <c r="K111" i="2"/>
  <c r="L100" i="2"/>
  <c r="K100" i="2"/>
  <c r="H113" i="2"/>
  <c r="I113" i="2"/>
  <c r="J113" i="2"/>
  <c r="H114" i="2"/>
  <c r="I114" i="2"/>
  <c r="J114" i="2"/>
  <c r="H115" i="2"/>
  <c r="I115" i="2"/>
  <c r="J115" i="2"/>
  <c r="H116" i="2"/>
  <c r="I116" i="2"/>
  <c r="J116" i="2"/>
  <c r="H117" i="2"/>
  <c r="I117" i="2"/>
  <c r="J117" i="2"/>
  <c r="H118" i="2"/>
  <c r="I118" i="2"/>
  <c r="J118" i="2"/>
  <c r="H119" i="2"/>
  <c r="I119" i="2"/>
  <c r="J119" i="2"/>
  <c r="H120" i="2"/>
  <c r="I120" i="2"/>
  <c r="J120" i="2"/>
  <c r="H121" i="2"/>
  <c r="I121" i="2"/>
  <c r="J121" i="2"/>
  <c r="H123" i="2"/>
  <c r="I123" i="2"/>
  <c r="J123" i="2"/>
  <c r="H124" i="2"/>
  <c r="I124" i="2"/>
  <c r="J124" i="2"/>
  <c r="H125" i="2"/>
  <c r="I125" i="2"/>
  <c r="J125" i="2"/>
  <c r="H126" i="2"/>
  <c r="I126" i="2"/>
  <c r="J126" i="2"/>
  <c r="I112" i="2"/>
  <c r="J112" i="2"/>
  <c r="H112" i="2"/>
  <c r="J101" i="2"/>
  <c r="J102" i="2"/>
  <c r="J103" i="2"/>
  <c r="J104" i="2"/>
  <c r="J105" i="2"/>
  <c r="J106" i="2"/>
  <c r="J107" i="2"/>
  <c r="J108" i="2"/>
  <c r="J111" i="2"/>
  <c r="J100" i="2"/>
  <c r="F100" i="2"/>
  <c r="F101" i="2"/>
  <c r="F102" i="2"/>
  <c r="F103" i="2"/>
  <c r="F104" i="2"/>
  <c r="F105" i="2"/>
  <c r="F106" i="2"/>
  <c r="F107" i="2"/>
  <c r="F108" i="2"/>
  <c r="F111" i="2"/>
  <c r="E101" i="2"/>
  <c r="E102" i="2"/>
  <c r="E103" i="2"/>
  <c r="E104" i="2"/>
  <c r="E105" i="2"/>
  <c r="E106" i="2"/>
  <c r="E107" i="2"/>
  <c r="E108" i="2"/>
  <c r="O48" i="2" s="1"/>
  <c r="E111" i="2"/>
  <c r="E100" i="2"/>
  <c r="N99" i="2"/>
  <c r="M99" i="2"/>
  <c r="L99" i="2"/>
  <c r="K99" i="2"/>
  <c r="J99" i="2"/>
  <c r="I99" i="2"/>
  <c r="H99" i="2"/>
  <c r="F99" i="2"/>
  <c r="E99" i="2"/>
  <c r="B126" i="2"/>
  <c r="B122" i="2"/>
  <c r="B113" i="2"/>
  <c r="B114" i="2"/>
  <c r="B115" i="2"/>
  <c r="B116" i="2"/>
  <c r="B117" i="2"/>
  <c r="B118" i="2"/>
  <c r="B119" i="2"/>
  <c r="B120" i="2"/>
  <c r="B121" i="2"/>
  <c r="B112" i="2"/>
  <c r="B101" i="2"/>
  <c r="B102" i="2"/>
  <c r="B108" i="2"/>
  <c r="B110" i="2"/>
  <c r="B100" i="2"/>
  <c r="L55" i="11"/>
  <c r="K55" i="11"/>
  <c r="K24" i="46"/>
  <c r="M124" i="2"/>
  <c r="M125" i="2"/>
  <c r="L27" i="46"/>
  <c r="M123" i="2"/>
  <c r="M111" i="2"/>
  <c r="A98" i="13"/>
  <c r="I8" i="20"/>
  <c r="B125" i="2"/>
  <c r="B123" i="2"/>
  <c r="B124" i="2"/>
  <c r="B111" i="2"/>
  <c r="A1" i="20"/>
  <c r="B1" i="20"/>
  <c r="C1" i="20"/>
  <c r="D1" i="20"/>
  <c r="E1" i="20"/>
  <c r="F1" i="20"/>
  <c r="G1" i="20"/>
  <c r="H1" i="20"/>
  <c r="I1" i="20"/>
  <c r="J1" i="20"/>
  <c r="K1" i="20"/>
  <c r="L1" i="20"/>
  <c r="M1" i="20"/>
  <c r="N1" i="20"/>
  <c r="O1" i="20"/>
  <c r="P1" i="20"/>
  <c r="Q1" i="20"/>
  <c r="R1" i="20"/>
  <c r="S1" i="20"/>
  <c r="T1" i="20"/>
  <c r="U1" i="20"/>
  <c r="V1" i="20"/>
  <c r="W1" i="20"/>
  <c r="X1" i="20"/>
  <c r="Y1" i="20"/>
  <c r="Z1" i="20"/>
  <c r="AA1" i="20"/>
  <c r="AB1" i="20"/>
  <c r="AC1" i="20"/>
  <c r="AD1" i="20"/>
  <c r="B2" i="20"/>
  <c r="D2" i="20"/>
  <c r="E2" i="20"/>
  <c r="F2" i="20"/>
  <c r="G2" i="20"/>
  <c r="H2" i="20"/>
  <c r="I2" i="20"/>
  <c r="J2" i="20"/>
  <c r="K2" i="20"/>
  <c r="L2" i="20"/>
  <c r="M2" i="20"/>
  <c r="O2" i="20"/>
  <c r="P2" i="20"/>
  <c r="Q2" i="20"/>
  <c r="U2" i="20"/>
  <c r="V2" i="20"/>
  <c r="W2" i="20"/>
  <c r="X2" i="20"/>
  <c r="Y2" i="20"/>
  <c r="Z2" i="20"/>
  <c r="AA2" i="20"/>
  <c r="AC2" i="20"/>
  <c r="AD2" i="20"/>
  <c r="B3" i="20"/>
  <c r="D3" i="20"/>
  <c r="E3" i="20"/>
  <c r="F3" i="20"/>
  <c r="G3" i="20"/>
  <c r="H3" i="20"/>
  <c r="I3" i="20"/>
  <c r="J3" i="20"/>
  <c r="K3" i="20"/>
  <c r="L3" i="20"/>
  <c r="M3" i="20"/>
  <c r="O3" i="20"/>
  <c r="P3" i="20"/>
  <c r="Q3" i="20"/>
  <c r="U3" i="20"/>
  <c r="V3" i="20"/>
  <c r="W3" i="20"/>
  <c r="X3" i="20"/>
  <c r="Y3" i="20"/>
  <c r="Z3" i="20"/>
  <c r="AA3" i="20"/>
  <c r="AC3" i="20"/>
  <c r="AD3" i="20"/>
  <c r="B4" i="20"/>
  <c r="D4" i="20"/>
  <c r="E4" i="20"/>
  <c r="F4" i="20"/>
  <c r="G4" i="20"/>
  <c r="H4" i="20"/>
  <c r="I4" i="20"/>
  <c r="J4" i="20"/>
  <c r="K4" i="20"/>
  <c r="L4" i="20"/>
  <c r="M4" i="20"/>
  <c r="O4" i="20"/>
  <c r="P4" i="20"/>
  <c r="Q4" i="20"/>
  <c r="U4" i="20"/>
  <c r="V4" i="20"/>
  <c r="W4" i="20"/>
  <c r="X4" i="20"/>
  <c r="Y4" i="20"/>
  <c r="Z4" i="20"/>
  <c r="AA4" i="20"/>
  <c r="AC4" i="20"/>
  <c r="AD4" i="20"/>
  <c r="B6" i="20"/>
  <c r="D6" i="20"/>
  <c r="E6" i="20"/>
  <c r="F6" i="20"/>
  <c r="G6" i="20"/>
  <c r="H6" i="20"/>
  <c r="I6" i="20"/>
  <c r="J6" i="20"/>
  <c r="K6" i="20"/>
  <c r="L6" i="20"/>
  <c r="M6" i="20"/>
  <c r="O6" i="20"/>
  <c r="P6" i="20"/>
  <c r="Q6" i="20"/>
  <c r="U6" i="20"/>
  <c r="V6" i="20"/>
  <c r="W6" i="20"/>
  <c r="X6" i="20"/>
  <c r="Y6" i="20"/>
  <c r="Z6" i="20"/>
  <c r="AA6" i="20"/>
  <c r="AC6" i="20"/>
  <c r="AD6" i="20"/>
  <c r="D7" i="20"/>
  <c r="E7" i="20"/>
  <c r="F7" i="20"/>
  <c r="G7" i="20"/>
  <c r="H7" i="20"/>
  <c r="I7" i="20"/>
  <c r="J7" i="20"/>
  <c r="K7" i="20"/>
  <c r="L7" i="20"/>
  <c r="M7" i="20"/>
  <c r="O7" i="20"/>
  <c r="P7" i="20"/>
  <c r="Q7" i="20"/>
  <c r="U7" i="20"/>
  <c r="V7" i="20"/>
  <c r="W7" i="20"/>
  <c r="X7" i="20"/>
  <c r="Y7" i="20"/>
  <c r="Z7" i="20"/>
  <c r="AA7" i="20"/>
  <c r="AC7" i="20"/>
  <c r="AD7" i="20"/>
  <c r="B8" i="20"/>
  <c r="N8" i="20"/>
  <c r="O8" i="20"/>
  <c r="P8" i="20"/>
  <c r="Q8" i="20"/>
  <c r="R8" i="20"/>
  <c r="S8" i="20"/>
  <c r="T8" i="20"/>
  <c r="U8" i="20"/>
  <c r="V8" i="20"/>
  <c r="W8" i="20"/>
  <c r="X8" i="20"/>
  <c r="Y8" i="20"/>
  <c r="Z8" i="20"/>
  <c r="AA8" i="20"/>
  <c r="AB8" i="20"/>
  <c r="AC8" i="20"/>
  <c r="AD8" i="20"/>
  <c r="I69" i="31"/>
  <c r="J102" i="12" s="1"/>
  <c r="I70" i="31"/>
  <c r="J103" i="12" s="1"/>
  <c r="I71" i="31"/>
  <c r="J104" i="12" s="1"/>
  <c r="I72" i="31"/>
  <c r="J105" i="12" s="1"/>
  <c r="I73" i="31"/>
  <c r="J106" i="12" s="1"/>
  <c r="I74" i="31"/>
  <c r="J107" i="12" s="1"/>
  <c r="I75" i="31"/>
  <c r="J108" i="12" s="1"/>
  <c r="I78" i="31"/>
  <c r="J111" i="12" s="1"/>
  <c r="I79" i="31"/>
  <c r="J112" i="12" s="1"/>
  <c r="I80" i="31"/>
  <c r="J113" i="12" s="1"/>
  <c r="I81" i="31"/>
  <c r="J114" i="12" s="1"/>
  <c r="I82" i="31"/>
  <c r="J115" i="12" s="1"/>
  <c r="I83" i="31"/>
  <c r="J116" i="12" s="1"/>
  <c r="I84" i="31"/>
  <c r="J117" i="12" s="1"/>
  <c r="B8" i="29"/>
  <c r="F8" i="29"/>
  <c r="C8" i="12"/>
  <c r="U8" i="12"/>
  <c r="C23" i="12"/>
  <c r="C2" i="20" s="1"/>
  <c r="O23" i="12"/>
  <c r="U23" i="12"/>
  <c r="S2" i="20" s="1"/>
  <c r="AB2" i="20"/>
  <c r="C24" i="12"/>
  <c r="C3" i="20" s="1"/>
  <c r="O24" i="12"/>
  <c r="N3" i="20" s="1"/>
  <c r="U24" i="12"/>
  <c r="AE24" i="12"/>
  <c r="AB3" i="20" s="1"/>
  <c r="C25" i="12"/>
  <c r="C4" i="20" s="1"/>
  <c r="O25" i="12"/>
  <c r="U25" i="12"/>
  <c r="AE25" i="12"/>
  <c r="AB4" i="20" s="1"/>
  <c r="C27" i="12"/>
  <c r="C6" i="20" s="1"/>
  <c r="O27" i="12"/>
  <c r="U27" i="12"/>
  <c r="V27" i="12" s="1"/>
  <c r="T6" i="20" s="1"/>
  <c r="AE27" i="12"/>
  <c r="AB6" i="20" s="1"/>
  <c r="C28" i="12"/>
  <c r="C7" i="20" s="1"/>
  <c r="R7" i="20"/>
  <c r="AB7" i="20"/>
  <c r="V31" i="12"/>
  <c r="B85" i="12"/>
  <c r="A86" i="12"/>
  <c r="C86" i="12"/>
  <c r="D86" i="12"/>
  <c r="F86" i="12"/>
  <c r="G86" i="12"/>
  <c r="H86" i="12"/>
  <c r="J86" i="12"/>
  <c r="K86" i="12"/>
  <c r="L86" i="12"/>
  <c r="M86" i="12"/>
  <c r="N86" i="12"/>
  <c r="O86" i="12"/>
  <c r="A87" i="12"/>
  <c r="C87" i="12"/>
  <c r="D87" i="12"/>
  <c r="F87" i="12"/>
  <c r="G87" i="12"/>
  <c r="H87" i="12"/>
  <c r="J87" i="12"/>
  <c r="L87" i="12"/>
  <c r="M87" i="12"/>
  <c r="N87" i="12"/>
  <c r="A88" i="12"/>
  <c r="C88" i="12"/>
  <c r="D88" i="12"/>
  <c r="F88" i="12"/>
  <c r="G88" i="12"/>
  <c r="H88" i="12"/>
  <c r="J88" i="12"/>
  <c r="K88" i="12"/>
  <c r="L88" i="12"/>
  <c r="M88" i="12"/>
  <c r="N88" i="12"/>
  <c r="O88" i="12"/>
  <c r="A89" i="12"/>
  <c r="C89" i="12"/>
  <c r="D89" i="12"/>
  <c r="F89" i="12"/>
  <c r="G89" i="12"/>
  <c r="H89" i="12"/>
  <c r="J89" i="12"/>
  <c r="K89" i="12"/>
  <c r="L89" i="12"/>
  <c r="M89" i="12"/>
  <c r="N89" i="12"/>
  <c r="O89" i="12"/>
  <c r="A90" i="12"/>
  <c r="C90" i="12"/>
  <c r="D90" i="12"/>
  <c r="F90" i="12"/>
  <c r="G90" i="12"/>
  <c r="H90" i="12"/>
  <c r="J90" i="12"/>
  <c r="K90" i="12"/>
  <c r="L90" i="12"/>
  <c r="M90" i="12"/>
  <c r="N90" i="12"/>
  <c r="O90" i="12"/>
  <c r="A91" i="12"/>
  <c r="C91" i="12"/>
  <c r="D91" i="12"/>
  <c r="F91" i="12"/>
  <c r="G91" i="12"/>
  <c r="H91" i="12"/>
  <c r="J91" i="12"/>
  <c r="K91" i="12"/>
  <c r="L91" i="12"/>
  <c r="M91" i="12"/>
  <c r="N91" i="12"/>
  <c r="O91" i="12"/>
  <c r="A92" i="12"/>
  <c r="C92" i="12"/>
  <c r="D92" i="12"/>
  <c r="F92" i="12"/>
  <c r="G92" i="12"/>
  <c r="H92" i="12"/>
  <c r="J92" i="12"/>
  <c r="K92" i="12"/>
  <c r="L92" i="12"/>
  <c r="M92" i="12"/>
  <c r="N92" i="12"/>
  <c r="O92" i="12"/>
  <c r="A93" i="12"/>
  <c r="C93" i="12"/>
  <c r="D93" i="12"/>
  <c r="F93" i="12"/>
  <c r="G93" i="12"/>
  <c r="H93" i="12"/>
  <c r="J93" i="12"/>
  <c r="K93" i="12"/>
  <c r="L93" i="12"/>
  <c r="M93" i="12"/>
  <c r="N93" i="12"/>
  <c r="O93" i="12"/>
  <c r="A94" i="12"/>
  <c r="C94" i="12"/>
  <c r="D94" i="12"/>
  <c r="F94" i="12"/>
  <c r="G94" i="12"/>
  <c r="H94" i="12"/>
  <c r="J94" i="12"/>
  <c r="K94" i="12"/>
  <c r="L94" i="12"/>
  <c r="M94" i="12"/>
  <c r="N94" i="12"/>
  <c r="A95" i="12"/>
  <c r="C95" i="12"/>
  <c r="D95" i="12"/>
  <c r="F95" i="12"/>
  <c r="G95" i="12"/>
  <c r="H95" i="12"/>
  <c r="J95" i="12"/>
  <c r="K95" i="12"/>
  <c r="L95" i="12"/>
  <c r="M95" i="12"/>
  <c r="N95" i="12"/>
  <c r="O95" i="12"/>
  <c r="A96" i="12"/>
  <c r="C96" i="12"/>
  <c r="D96" i="12"/>
  <c r="F96" i="12"/>
  <c r="G96" i="12"/>
  <c r="H96" i="12"/>
  <c r="J96" i="12"/>
  <c r="K96" i="12"/>
  <c r="L96" i="12"/>
  <c r="M96" i="12"/>
  <c r="N96" i="12"/>
  <c r="O96" i="12"/>
  <c r="A97" i="12"/>
  <c r="C97" i="12"/>
  <c r="D97" i="12"/>
  <c r="F97" i="12"/>
  <c r="G97" i="12"/>
  <c r="H97" i="12"/>
  <c r="J97" i="12"/>
  <c r="K97" i="12"/>
  <c r="L97" i="12"/>
  <c r="M97" i="12"/>
  <c r="N97" i="12"/>
  <c r="O97" i="12"/>
  <c r="A98" i="12"/>
  <c r="C98" i="12"/>
  <c r="D98" i="12"/>
  <c r="F98" i="12"/>
  <c r="G98" i="12"/>
  <c r="H98" i="12"/>
  <c r="J98" i="12"/>
  <c r="K98" i="12"/>
  <c r="L98" i="12"/>
  <c r="M98" i="12"/>
  <c r="N98" i="12"/>
  <c r="O98" i="12"/>
  <c r="A99" i="12"/>
  <c r="C99" i="12"/>
  <c r="D99" i="12"/>
  <c r="F99" i="12"/>
  <c r="G99" i="12"/>
  <c r="H99" i="12"/>
  <c r="J99" i="12"/>
  <c r="K99" i="12"/>
  <c r="L99" i="12"/>
  <c r="M99" i="12"/>
  <c r="N99" i="12"/>
  <c r="O99" i="12"/>
  <c r="A100" i="12"/>
  <c r="C100" i="12"/>
  <c r="D100" i="12"/>
  <c r="F100" i="12"/>
  <c r="G100" i="12"/>
  <c r="H100" i="12"/>
  <c r="J100" i="12"/>
  <c r="K100" i="12"/>
  <c r="L100" i="12"/>
  <c r="M100" i="12"/>
  <c r="N100" i="12"/>
  <c r="O100" i="12"/>
  <c r="A101" i="12"/>
  <c r="C101" i="12"/>
  <c r="D101" i="12"/>
  <c r="F101" i="12"/>
  <c r="G101" i="12"/>
  <c r="H101" i="12"/>
  <c r="J101" i="12"/>
  <c r="K101" i="12"/>
  <c r="L101" i="12"/>
  <c r="M101" i="12"/>
  <c r="N101" i="12"/>
  <c r="O101" i="12"/>
  <c r="A102" i="12"/>
  <c r="C102" i="12"/>
  <c r="D102" i="12"/>
  <c r="F102" i="12"/>
  <c r="G102" i="12"/>
  <c r="H102" i="12"/>
  <c r="K102" i="12"/>
  <c r="L102" i="12"/>
  <c r="M102" i="12"/>
  <c r="N102" i="12"/>
  <c r="O102" i="12"/>
  <c r="A103" i="12"/>
  <c r="C103" i="12"/>
  <c r="D103" i="12"/>
  <c r="F103" i="12"/>
  <c r="G103" i="12"/>
  <c r="H103" i="12"/>
  <c r="K103" i="12"/>
  <c r="L103" i="12"/>
  <c r="M103" i="12"/>
  <c r="N103" i="12"/>
  <c r="O103" i="12"/>
  <c r="A104" i="12"/>
  <c r="C104" i="12"/>
  <c r="D104" i="12"/>
  <c r="F104" i="12"/>
  <c r="G104" i="12"/>
  <c r="H104" i="12"/>
  <c r="K104" i="12"/>
  <c r="L104" i="12"/>
  <c r="M104" i="12"/>
  <c r="N104" i="12"/>
  <c r="O104" i="12"/>
  <c r="A105" i="12"/>
  <c r="C105" i="12"/>
  <c r="D105" i="12"/>
  <c r="F105" i="12"/>
  <c r="G105" i="12"/>
  <c r="H105" i="12"/>
  <c r="K105" i="12"/>
  <c r="L105" i="12"/>
  <c r="M105" i="12"/>
  <c r="N105" i="12"/>
  <c r="O105" i="12"/>
  <c r="A106" i="12"/>
  <c r="C106" i="12"/>
  <c r="D106" i="12"/>
  <c r="F106" i="12"/>
  <c r="G106" i="12"/>
  <c r="H106" i="12"/>
  <c r="K106" i="12"/>
  <c r="L106" i="12"/>
  <c r="M106" i="12"/>
  <c r="N106" i="12"/>
  <c r="O106" i="12"/>
  <c r="A107" i="12"/>
  <c r="C107" i="12"/>
  <c r="D107" i="12"/>
  <c r="F107" i="12"/>
  <c r="G107" i="12"/>
  <c r="H107" i="12"/>
  <c r="K107" i="12"/>
  <c r="L107" i="12"/>
  <c r="M107" i="12"/>
  <c r="N107" i="12"/>
  <c r="O107" i="12"/>
  <c r="A108" i="12"/>
  <c r="C108" i="12"/>
  <c r="D108" i="12"/>
  <c r="F108" i="12"/>
  <c r="G108" i="12"/>
  <c r="H108" i="12"/>
  <c r="K108" i="12"/>
  <c r="L108" i="12"/>
  <c r="M108" i="12"/>
  <c r="N108" i="12"/>
  <c r="O108" i="12"/>
  <c r="A109" i="12"/>
  <c r="C109" i="12"/>
  <c r="D109" i="12"/>
  <c r="F109" i="12"/>
  <c r="G109" i="12"/>
  <c r="H109" i="12"/>
  <c r="J109" i="12"/>
  <c r="K109" i="12"/>
  <c r="L109" i="12"/>
  <c r="M109" i="12"/>
  <c r="N109" i="12"/>
  <c r="O109" i="12"/>
  <c r="A110" i="12"/>
  <c r="C110" i="12"/>
  <c r="D110" i="12"/>
  <c r="F110" i="12"/>
  <c r="G110" i="12"/>
  <c r="H110" i="12"/>
  <c r="J110" i="12"/>
  <c r="K110" i="12"/>
  <c r="L110" i="12"/>
  <c r="M110" i="12"/>
  <c r="N110" i="12"/>
  <c r="O110" i="12"/>
  <c r="A111" i="12"/>
  <c r="C111" i="12"/>
  <c r="D111" i="12"/>
  <c r="F111" i="12"/>
  <c r="G111" i="12"/>
  <c r="H111" i="12"/>
  <c r="K111" i="12"/>
  <c r="L111" i="12"/>
  <c r="M111" i="12"/>
  <c r="N111" i="12"/>
  <c r="O111" i="12"/>
  <c r="A112" i="12"/>
  <c r="C112" i="12"/>
  <c r="D112" i="12"/>
  <c r="F112" i="12"/>
  <c r="G112" i="12"/>
  <c r="H112" i="12"/>
  <c r="K112" i="12"/>
  <c r="L112" i="12"/>
  <c r="M112" i="12"/>
  <c r="N112" i="12"/>
  <c r="O112" i="12"/>
  <c r="A113" i="12"/>
  <c r="C113" i="12"/>
  <c r="D113" i="12"/>
  <c r="F113" i="12"/>
  <c r="G113" i="12"/>
  <c r="H113" i="12"/>
  <c r="K113" i="12"/>
  <c r="L113" i="12"/>
  <c r="M113" i="12"/>
  <c r="N113" i="12"/>
  <c r="O113" i="12"/>
  <c r="A114" i="12"/>
  <c r="C114" i="12"/>
  <c r="D114" i="12"/>
  <c r="F114" i="12"/>
  <c r="G114" i="12"/>
  <c r="H114" i="12"/>
  <c r="K114" i="12"/>
  <c r="L114" i="12"/>
  <c r="M114" i="12"/>
  <c r="N114" i="12"/>
  <c r="O114" i="12"/>
  <c r="A115" i="12"/>
  <c r="C115" i="12"/>
  <c r="D115" i="12"/>
  <c r="F115" i="12"/>
  <c r="G115" i="12"/>
  <c r="H115" i="12"/>
  <c r="K115" i="12"/>
  <c r="L115" i="12"/>
  <c r="M115" i="12"/>
  <c r="N115" i="12"/>
  <c r="O115" i="12"/>
  <c r="A116" i="12"/>
  <c r="C116" i="12"/>
  <c r="D116" i="12"/>
  <c r="F116" i="12"/>
  <c r="G116" i="12"/>
  <c r="H116" i="12"/>
  <c r="K116" i="12"/>
  <c r="L116" i="12"/>
  <c r="M116" i="12"/>
  <c r="N116" i="12"/>
  <c r="O116" i="12"/>
  <c r="A117" i="12"/>
  <c r="C117" i="12"/>
  <c r="D117" i="12"/>
  <c r="F117" i="12"/>
  <c r="G117" i="12"/>
  <c r="H117" i="12"/>
  <c r="K117" i="12"/>
  <c r="L117" i="12"/>
  <c r="M117" i="12"/>
  <c r="N117" i="12"/>
  <c r="O117" i="12"/>
  <c r="C8" i="44"/>
  <c r="J8" i="44"/>
  <c r="O27" i="24"/>
  <c r="H12" i="45" s="1"/>
  <c r="O30" i="24"/>
  <c r="H13" i="45" s="1"/>
  <c r="O33" i="24"/>
  <c r="H14" i="45" s="1"/>
  <c r="O36" i="24"/>
  <c r="H15" i="45" s="1"/>
  <c r="O39" i="24"/>
  <c r="H16" i="45" s="1"/>
  <c r="O42" i="24"/>
  <c r="H17" i="45" s="1"/>
  <c r="O48" i="24"/>
  <c r="H19" i="45" s="1"/>
  <c r="O54" i="24"/>
  <c r="H21" i="45" s="1"/>
  <c r="O57" i="24"/>
  <c r="H22" i="45" s="1"/>
  <c r="O60" i="24"/>
  <c r="H23" i="45" s="1"/>
  <c r="O63" i="24"/>
  <c r="H24" i="45" s="1"/>
  <c r="H27" i="45"/>
  <c r="H28" i="45"/>
  <c r="B2" i="45"/>
  <c r="B3" i="45"/>
  <c r="B13" i="45"/>
  <c r="B14" i="45"/>
  <c r="B15" i="45"/>
  <c r="B21" i="45"/>
  <c r="B22" i="45"/>
  <c r="B23" i="45"/>
  <c r="B24" i="45"/>
  <c r="C4" i="2"/>
  <c r="B1" i="21"/>
  <c r="B2" i="21"/>
  <c r="C6" i="21"/>
  <c r="D6" i="21"/>
  <c r="N7" i="20"/>
  <c r="J54" i="31"/>
  <c r="K87" i="12" s="1"/>
  <c r="T7" i="20"/>
  <c r="S7" i="20"/>
  <c r="C29" i="12"/>
  <c r="O42" i="2" l="1"/>
  <c r="I29" i="46"/>
  <c r="D12" i="46"/>
  <c r="F98" i="13"/>
  <c r="L14" i="11" s="1"/>
  <c r="H1" i="13" s="1"/>
  <c r="E98" i="13"/>
  <c r="D98" i="13"/>
  <c r="C98" i="13"/>
  <c r="C10" i="11" s="1"/>
  <c r="B98" i="13"/>
  <c r="C8" i="11" s="1"/>
  <c r="O51" i="2"/>
  <c r="O52" i="2" s="1"/>
  <c r="C12" i="46"/>
  <c r="E55" i="11"/>
  <c r="N123" i="2"/>
  <c r="L25" i="46"/>
  <c r="H12" i="46"/>
  <c r="L127" i="2"/>
  <c r="J29" i="46"/>
  <c r="N126" i="2"/>
  <c r="L28" i="46"/>
  <c r="N124" i="2"/>
  <c r="L26" i="46"/>
  <c r="N111" i="2"/>
  <c r="L13" i="46"/>
  <c r="C8" i="20"/>
  <c r="C22" i="45"/>
  <c r="K56" i="11"/>
  <c r="I55" i="11"/>
  <c r="G29" i="46" s="1"/>
  <c r="J110" i="2"/>
  <c r="J55" i="11"/>
  <c r="F110" i="2"/>
  <c r="C23" i="45" s="1"/>
  <c r="F55" i="11"/>
  <c r="E110" i="2"/>
  <c r="M126" i="2"/>
  <c r="N125" i="2"/>
  <c r="K127" i="2"/>
  <c r="J122" i="2"/>
  <c r="I122" i="2"/>
  <c r="N4" i="20"/>
  <c r="S25" i="12"/>
  <c r="R4" i="20" s="1"/>
  <c r="S24" i="12"/>
  <c r="R3" i="20" s="1"/>
  <c r="N75" i="24"/>
  <c r="E28" i="45" s="1"/>
  <c r="O36" i="2"/>
  <c r="O37" i="2" s="1"/>
  <c r="M112" i="2"/>
  <c r="S6" i="20"/>
  <c r="A6" i="21"/>
  <c r="V23" i="12"/>
  <c r="T2" i="20" s="1"/>
  <c r="A16" i="49"/>
  <c r="J16" i="49" s="1"/>
  <c r="E26" i="45"/>
  <c r="N6" i="20"/>
  <c r="S27" i="12"/>
  <c r="R6" i="20" s="1"/>
  <c r="N2" i="20"/>
  <c r="S23" i="12"/>
  <c r="R2" i="20" s="1"/>
  <c r="S3" i="20"/>
  <c r="V24" i="12"/>
  <c r="T3" i="20" s="1"/>
  <c r="H127" i="2"/>
  <c r="V25" i="12"/>
  <c r="T4" i="20" s="1"/>
  <c r="S4" i="20"/>
  <c r="M55" i="11" l="1"/>
  <c r="D56" i="11"/>
  <c r="L12" i="46"/>
  <c r="C29" i="46"/>
  <c r="O43" i="2"/>
  <c r="D23" i="45" s="1"/>
  <c r="D25" i="45"/>
  <c r="L66" i="24"/>
  <c r="H29" i="46"/>
  <c r="N55" i="11"/>
  <c r="O33" i="2"/>
  <c r="C20" i="45" s="1"/>
  <c r="P50" i="2"/>
  <c r="C25" i="45"/>
  <c r="I30" i="46"/>
  <c r="O26" i="2"/>
  <c r="N112" i="2"/>
  <c r="L24" i="46"/>
  <c r="F127" i="2"/>
  <c r="D29" i="46"/>
  <c r="M100" i="2"/>
  <c r="K12" i="46"/>
  <c r="J127" i="2"/>
  <c r="O40" i="2"/>
  <c r="P38" i="2" s="1"/>
  <c r="A10" i="49" s="1"/>
  <c r="J10" i="49" s="1"/>
  <c r="D21" i="45"/>
  <c r="P35" i="2"/>
  <c r="C6" i="12"/>
  <c r="E127" i="2"/>
  <c r="I127" i="2"/>
  <c r="N100" i="2"/>
  <c r="K128" i="2"/>
  <c r="C24" i="45"/>
  <c r="O49" i="2"/>
  <c r="C21" i="45"/>
  <c r="I16" i="49"/>
  <c r="E16" i="49"/>
  <c r="H16" i="49"/>
  <c r="G3" i="13"/>
  <c r="H3" i="13" s="1"/>
  <c r="B3" i="21"/>
  <c r="B6" i="29"/>
  <c r="C6" i="44"/>
  <c r="F4" i="2"/>
  <c r="K16" i="49"/>
  <c r="G16" i="49"/>
  <c r="M16" i="49"/>
  <c r="L16" i="49"/>
  <c r="C16" i="49"/>
  <c r="F16" i="49"/>
  <c r="D16" i="49"/>
  <c r="A12" i="49"/>
  <c r="J12" i="49" s="1"/>
  <c r="B30" i="46" l="1"/>
  <c r="L60" i="24"/>
  <c r="P41" i="2"/>
  <c r="M60" i="24" s="1"/>
  <c r="N60" i="24" s="1"/>
  <c r="E23" i="45" s="1"/>
  <c r="O34" i="2"/>
  <c r="P32" i="2" s="1"/>
  <c r="M51" i="24" s="1"/>
  <c r="P26" i="2"/>
  <c r="M45" i="24" s="1"/>
  <c r="N45" i="24" s="1"/>
  <c r="E18" i="45" s="1"/>
  <c r="L45" i="24"/>
  <c r="K29" i="46"/>
  <c r="M56" i="11"/>
  <c r="N66" i="24"/>
  <c r="B18" i="45"/>
  <c r="L29" i="46"/>
  <c r="L57" i="24"/>
  <c r="D22" i="45"/>
  <c r="M57" i="24"/>
  <c r="N57" i="24" s="1"/>
  <c r="E22" i="45" s="1"/>
  <c r="A3" i="47"/>
  <c r="A5" i="47"/>
  <c r="H12" i="47" s="1"/>
  <c r="A7" i="47"/>
  <c r="A2" i="47"/>
  <c r="A4" i="47"/>
  <c r="A6" i="47"/>
  <c r="A8" i="47"/>
  <c r="H8" i="47" s="1"/>
  <c r="A23" i="12"/>
  <c r="A2" i="20" s="1"/>
  <c r="A25" i="12"/>
  <c r="A4" i="20" s="1"/>
  <c r="A27" i="12"/>
  <c r="S31" i="12" s="1"/>
  <c r="A26" i="12"/>
  <c r="A5" i="20" s="1"/>
  <c r="A28" i="12"/>
  <c r="A7" i="20" s="1"/>
  <c r="A24" i="12"/>
  <c r="A3" i="20" s="1"/>
  <c r="M54" i="24"/>
  <c r="M127" i="2"/>
  <c r="O29" i="2"/>
  <c r="L48" i="24" s="1"/>
  <c r="M10" i="49"/>
  <c r="G10" i="49"/>
  <c r="N127" i="2"/>
  <c r="D10" i="49"/>
  <c r="F10" i="49"/>
  <c r="E10" i="49"/>
  <c r="L10" i="49"/>
  <c r="K10" i="49"/>
  <c r="H10" i="49"/>
  <c r="I10" i="49"/>
  <c r="C10" i="49"/>
  <c r="D128" i="2"/>
  <c r="O18" i="2"/>
  <c r="O19" i="2" s="1"/>
  <c r="L54" i="24"/>
  <c r="P47" i="2"/>
  <c r="D24" i="45"/>
  <c r="L63" i="24"/>
  <c r="A29" i="12"/>
  <c r="A8" i="20" s="1"/>
  <c r="I12" i="49"/>
  <c r="H12" i="49"/>
  <c r="K12" i="49"/>
  <c r="M12" i="49"/>
  <c r="D12" i="49"/>
  <c r="L12" i="49"/>
  <c r="E12" i="49"/>
  <c r="F12" i="49"/>
  <c r="G12" i="49"/>
  <c r="C12" i="49"/>
  <c r="O23" i="2"/>
  <c r="L42" i="24" s="1"/>
  <c r="K30" i="46" l="1"/>
  <c r="A11" i="49"/>
  <c r="M11" i="49" s="1"/>
  <c r="L51" i="24"/>
  <c r="D20" i="45"/>
  <c r="N51" i="24"/>
  <c r="E20" i="45" s="1"/>
  <c r="G8" i="47"/>
  <c r="F8" i="47"/>
  <c r="E8" i="47"/>
  <c r="J8" i="47"/>
  <c r="H7" i="47"/>
  <c r="E7" i="47" s="1"/>
  <c r="H30" i="47"/>
  <c r="H31" i="47"/>
  <c r="E31" i="47" s="1"/>
  <c r="H6" i="47"/>
  <c r="E6" i="47" s="1"/>
  <c r="H29" i="47"/>
  <c r="E29" i="47" s="1"/>
  <c r="H18" i="47"/>
  <c r="E18" i="47" s="1"/>
  <c r="H51" i="47"/>
  <c r="E51" i="47" s="1"/>
  <c r="H46" i="47"/>
  <c r="E46" i="47" s="1"/>
  <c r="H41" i="47"/>
  <c r="J41" i="47" s="1"/>
  <c r="H36" i="47"/>
  <c r="E36" i="47" s="1"/>
  <c r="H28" i="47"/>
  <c r="E28" i="47" s="1"/>
  <c r="H23" i="47"/>
  <c r="E23" i="47" s="1"/>
  <c r="H17" i="47"/>
  <c r="J17" i="47" s="1"/>
  <c r="H13" i="47"/>
  <c r="E13" i="47" s="1"/>
  <c r="H52" i="47"/>
  <c r="E52" i="47" s="1"/>
  <c r="H47" i="47"/>
  <c r="E47" i="47" s="1"/>
  <c r="H42" i="47"/>
  <c r="E42" i="47" s="1"/>
  <c r="H37" i="47"/>
  <c r="E37" i="47" s="1"/>
  <c r="H22" i="47"/>
  <c r="E22" i="47" s="1"/>
  <c r="H5" i="47"/>
  <c r="E5" i="47" s="1"/>
  <c r="N72" i="24"/>
  <c r="E27" i="45" s="1"/>
  <c r="A17" i="49"/>
  <c r="J17" i="49" s="1"/>
  <c r="O9" i="2"/>
  <c r="O10" i="2" s="1"/>
  <c r="O12" i="2"/>
  <c r="O13" i="2" s="1"/>
  <c r="P11" i="2" s="1"/>
  <c r="M30" i="24" s="1"/>
  <c r="O15" i="2"/>
  <c r="O16" i="2" s="1"/>
  <c r="D15" i="45"/>
  <c r="L36" i="24"/>
  <c r="P17" i="2"/>
  <c r="M128" i="2"/>
  <c r="H34" i="47"/>
  <c r="E34" i="47" s="1"/>
  <c r="H49" i="47"/>
  <c r="E49" i="47" s="1"/>
  <c r="H39" i="47"/>
  <c r="E39" i="47" s="1"/>
  <c r="H44" i="47"/>
  <c r="E44" i="47" s="1"/>
  <c r="H14" i="47"/>
  <c r="E14" i="47" s="1"/>
  <c r="H43" i="47"/>
  <c r="E43" i="47" s="1"/>
  <c r="H38" i="47"/>
  <c r="E38" i="47" s="1"/>
  <c r="H48" i="47"/>
  <c r="E48" i="47" s="1"/>
  <c r="H35" i="47"/>
  <c r="E35" i="47" s="1"/>
  <c r="H50" i="47"/>
  <c r="E50" i="47" s="1"/>
  <c r="H40" i="47"/>
  <c r="E40" i="47" s="1"/>
  <c r="H45" i="47"/>
  <c r="E45" i="47" s="1"/>
  <c r="H32" i="47"/>
  <c r="E32" i="47" s="1"/>
  <c r="H24" i="47"/>
  <c r="E24" i="47" s="1"/>
  <c r="A15" i="49"/>
  <c r="E25" i="45"/>
  <c r="N54" i="24"/>
  <c r="E21" i="45" s="1"/>
  <c r="A9" i="49"/>
  <c r="J9" i="49" s="1"/>
  <c r="M63" i="24"/>
  <c r="N63" i="24" s="1"/>
  <c r="E24" i="45" s="1"/>
  <c r="A13" i="49"/>
  <c r="H3" i="47"/>
  <c r="E3" i="47" s="1"/>
  <c r="H10" i="47"/>
  <c r="E10" i="47" s="1"/>
  <c r="H20" i="47"/>
  <c r="E20" i="47" s="1"/>
  <c r="A6" i="20"/>
  <c r="H2" i="47"/>
  <c r="H19" i="47"/>
  <c r="E19" i="47" s="1"/>
  <c r="H9" i="47"/>
  <c r="E9" i="47" s="1"/>
  <c r="H25" i="47"/>
  <c r="E25" i="47" s="1"/>
  <c r="H15" i="47"/>
  <c r="E15" i="47" s="1"/>
  <c r="H26" i="47"/>
  <c r="E26" i="47" s="1"/>
  <c r="H16" i="47"/>
  <c r="E16" i="47" s="1"/>
  <c r="H21" i="47"/>
  <c r="E21" i="47" s="1"/>
  <c r="H4" i="47"/>
  <c r="E4" i="47" s="1"/>
  <c r="H27" i="47"/>
  <c r="E27" i="47" s="1"/>
  <c r="H11" i="47"/>
  <c r="E11" i="47" s="1"/>
  <c r="C15" i="45"/>
  <c r="O20" i="2"/>
  <c r="L39" i="24" s="1"/>
  <c r="P23" i="2"/>
  <c r="B17" i="45"/>
  <c r="B19" i="45"/>
  <c r="P29" i="2"/>
  <c r="O35" i="47" a="1"/>
  <c r="C11" i="49" l="1"/>
  <c r="G11" i="49"/>
  <c r="E11" i="49"/>
  <c r="K11" i="49"/>
  <c r="L11" i="49"/>
  <c r="H11" i="49"/>
  <c r="J11" i="49"/>
  <c r="D11" i="49"/>
  <c r="I11" i="49"/>
  <c r="F11" i="49"/>
  <c r="F51" i="47"/>
  <c r="F41" i="47"/>
  <c r="G36" i="47"/>
  <c r="G41" i="47"/>
  <c r="J36" i="47"/>
  <c r="F46" i="47"/>
  <c r="J28" i="47"/>
  <c r="G51" i="47"/>
  <c r="D15" i="31"/>
  <c r="E17" i="47"/>
  <c r="E41" i="47"/>
  <c r="I41" i="47"/>
  <c r="I51" i="47"/>
  <c r="J51" i="47"/>
  <c r="F28" i="47"/>
  <c r="G5" i="47"/>
  <c r="B15" i="31"/>
  <c r="C15" i="31" s="1"/>
  <c r="O35" i="47"/>
  <c r="J12" i="47"/>
  <c r="J13" i="47"/>
  <c r="G12" i="47"/>
  <c r="F36" i="47"/>
  <c r="F12" i="47"/>
  <c r="J5" i="47"/>
  <c r="F5" i="47"/>
  <c r="E12" i="47"/>
  <c r="G22" i="47"/>
  <c r="G46" i="47"/>
  <c r="J46" i="47"/>
  <c r="F17" i="47"/>
  <c r="G17" i="47"/>
  <c r="J7" i="47"/>
  <c r="F7" i="47"/>
  <c r="I46" i="47"/>
  <c r="I28" i="47"/>
  <c r="G28" i="47"/>
  <c r="F22" i="47"/>
  <c r="I22" i="47"/>
  <c r="J22" i="47"/>
  <c r="G7" i="47"/>
  <c r="E2" i="47"/>
  <c r="E30" i="47"/>
  <c r="J30" i="47"/>
  <c r="I30" i="47"/>
  <c r="F30" i="47"/>
  <c r="G30" i="47"/>
  <c r="D17" i="49"/>
  <c r="H17" i="49"/>
  <c r="M17" i="49"/>
  <c r="I17" i="49"/>
  <c r="G17" i="49"/>
  <c r="K17" i="49"/>
  <c r="F17" i="49"/>
  <c r="E17" i="49"/>
  <c r="L17" i="49"/>
  <c r="C17" i="49"/>
  <c r="F48" i="47"/>
  <c r="J34" i="47"/>
  <c r="F10" i="47"/>
  <c r="F25" i="47"/>
  <c r="J20" i="47"/>
  <c r="F3" i="47"/>
  <c r="F43" i="47"/>
  <c r="I39" i="47"/>
  <c r="M36" i="24"/>
  <c r="N36" i="24" s="1"/>
  <c r="E15" i="45" s="1"/>
  <c r="A5" i="49"/>
  <c r="L30" i="24"/>
  <c r="D13" i="45"/>
  <c r="D12" i="45"/>
  <c r="L27" i="24"/>
  <c r="P8" i="2"/>
  <c r="J31" i="47"/>
  <c r="I31" i="47"/>
  <c r="G31" i="47"/>
  <c r="F31" i="47"/>
  <c r="G44" i="47"/>
  <c r="F34" i="47"/>
  <c r="G34" i="47"/>
  <c r="G6" i="47"/>
  <c r="I44" i="47"/>
  <c r="J6" i="47"/>
  <c r="F44" i="47"/>
  <c r="J3" i="47"/>
  <c r="G14" i="47"/>
  <c r="F6" i="47"/>
  <c r="J14" i="47"/>
  <c r="F14" i="47"/>
  <c r="J44" i="47"/>
  <c r="A14" i="49"/>
  <c r="E13" i="49"/>
  <c r="I13" i="49"/>
  <c r="C13" i="49"/>
  <c r="J13" i="49"/>
  <c r="D13" i="49"/>
  <c r="M13" i="49"/>
  <c r="H13" i="49"/>
  <c r="G13" i="49"/>
  <c r="L13" i="49"/>
  <c r="F13" i="49"/>
  <c r="K13" i="49"/>
  <c r="G9" i="49"/>
  <c r="L9" i="49"/>
  <c r="K9" i="49"/>
  <c r="I9" i="49"/>
  <c r="H9" i="49"/>
  <c r="D9" i="49"/>
  <c r="M9" i="49"/>
  <c r="E9" i="49"/>
  <c r="C9" i="49"/>
  <c r="F9" i="49"/>
  <c r="D15" i="49"/>
  <c r="K15" i="49"/>
  <c r="L15" i="49"/>
  <c r="H15" i="49"/>
  <c r="J15" i="49"/>
  <c r="M15" i="49"/>
  <c r="I15" i="49"/>
  <c r="G15" i="49"/>
  <c r="F15" i="49"/>
  <c r="E15" i="49"/>
  <c r="C15" i="49"/>
  <c r="G3" i="47"/>
  <c r="F49" i="47"/>
  <c r="G49" i="47"/>
  <c r="J49" i="47"/>
  <c r="J18" i="47"/>
  <c r="I49" i="47"/>
  <c r="I18" i="47"/>
  <c r="G18" i="47"/>
  <c r="J10" i="47"/>
  <c r="F18" i="47"/>
  <c r="G10" i="47"/>
  <c r="G20" i="47"/>
  <c r="G39" i="47"/>
  <c r="I20" i="47"/>
  <c r="F39" i="47"/>
  <c r="F20" i="47"/>
  <c r="J39" i="47"/>
  <c r="G13" i="47"/>
  <c r="J2" i="47"/>
  <c r="I15" i="47"/>
  <c r="J38" i="47"/>
  <c r="G47" i="47"/>
  <c r="G52" i="47"/>
  <c r="J43" i="47"/>
  <c r="J25" i="47"/>
  <c r="J29" i="47"/>
  <c r="G48" i="47"/>
  <c r="G2" i="47"/>
  <c r="I48" i="47"/>
  <c r="I42" i="47"/>
  <c r="F23" i="47"/>
  <c r="G25" i="47"/>
  <c r="F13" i="47"/>
  <c r="F2" i="47"/>
  <c r="G26" i="47"/>
  <c r="F19" i="47"/>
  <c r="G43" i="47"/>
  <c r="E23" i="31"/>
  <c r="F42" i="47"/>
  <c r="G42" i="47"/>
  <c r="J23" i="47"/>
  <c r="G19" i="47"/>
  <c r="J19" i="47"/>
  <c r="G38" i="47"/>
  <c r="I38" i="47"/>
  <c r="F47" i="47"/>
  <c r="J42" i="47"/>
  <c r="I43" i="47"/>
  <c r="F29" i="47"/>
  <c r="E15" i="31"/>
  <c r="E18" i="31"/>
  <c r="J52" i="47"/>
  <c r="G23" i="47"/>
  <c r="J48" i="47"/>
  <c r="I23" i="47"/>
  <c r="B25" i="31"/>
  <c r="C25" i="31" s="1"/>
  <c r="F15" i="47"/>
  <c r="B17" i="31"/>
  <c r="C17" i="31" s="1"/>
  <c r="J47" i="47"/>
  <c r="F38" i="47"/>
  <c r="D25" i="31"/>
  <c r="I47" i="47"/>
  <c r="I52" i="47"/>
  <c r="J26" i="47"/>
  <c r="B16" i="31"/>
  <c r="C16" i="31" s="1"/>
  <c r="F9" i="47"/>
  <c r="J15" i="47"/>
  <c r="D16" i="31"/>
  <c r="G9" i="47"/>
  <c r="F26" i="47"/>
  <c r="I25" i="47"/>
  <c r="J9" i="47"/>
  <c r="I29" i="47"/>
  <c r="I26" i="47"/>
  <c r="G15" i="47"/>
  <c r="B18" i="31"/>
  <c r="C18" i="31" s="1"/>
  <c r="G37" i="47"/>
  <c r="J37" i="47"/>
  <c r="F37" i="47"/>
  <c r="E25" i="31"/>
  <c r="F52" i="47"/>
  <c r="G29" i="47"/>
  <c r="D20" i="31"/>
  <c r="L33" i="24"/>
  <c r="D14" i="45"/>
  <c r="P14" i="2"/>
  <c r="E16" i="31"/>
  <c r="F45" i="47"/>
  <c r="J45" i="47"/>
  <c r="I45" i="47"/>
  <c r="G45" i="47"/>
  <c r="D24" i="31"/>
  <c r="F40" i="47"/>
  <c r="G40" i="47"/>
  <c r="I40" i="47"/>
  <c r="J40" i="47"/>
  <c r="J35" i="47"/>
  <c r="G35" i="47"/>
  <c r="F35" i="47"/>
  <c r="B22" i="31"/>
  <c r="C22" i="31" s="1"/>
  <c r="B23" i="31"/>
  <c r="C23" i="31" s="1"/>
  <c r="F11" i="47"/>
  <c r="J11" i="47"/>
  <c r="G11" i="47"/>
  <c r="F16" i="47"/>
  <c r="G16" i="47"/>
  <c r="J16" i="47"/>
  <c r="B24" i="31"/>
  <c r="C24" i="31" s="1"/>
  <c r="E24" i="31"/>
  <c r="G4" i="47"/>
  <c r="F4" i="47"/>
  <c r="J4" i="47"/>
  <c r="E22" i="31"/>
  <c r="E17" i="31"/>
  <c r="J27" i="47"/>
  <c r="G27" i="47"/>
  <c r="F27" i="47"/>
  <c r="I27" i="47"/>
  <c r="B20" i="31"/>
  <c r="C20" i="31" s="1"/>
  <c r="D23" i="31"/>
  <c r="G21" i="47"/>
  <c r="I21" i="47"/>
  <c r="J21" i="47"/>
  <c r="D18" i="31"/>
  <c r="F21" i="47"/>
  <c r="E20" i="31"/>
  <c r="D22" i="31"/>
  <c r="I50" i="47"/>
  <c r="J50" i="47"/>
  <c r="F50" i="47"/>
  <c r="G50" i="47"/>
  <c r="D17" i="31"/>
  <c r="J32" i="47"/>
  <c r="D21" i="31"/>
  <c r="C21" i="31" s="1"/>
  <c r="G32" i="47"/>
  <c r="E21" i="31"/>
  <c r="F32" i="47"/>
  <c r="G24" i="47"/>
  <c r="J24" i="47"/>
  <c r="F24" i="47"/>
  <c r="D19" i="31"/>
  <c r="C19" i="31" s="1"/>
  <c r="E19" i="31"/>
  <c r="C12" i="45"/>
  <c r="A8" i="49"/>
  <c r="M48" i="24"/>
  <c r="N48" i="24" s="1"/>
  <c r="E19" i="45" s="1"/>
  <c r="M42" i="24"/>
  <c r="N42" i="24" s="1"/>
  <c r="E17" i="45" s="1"/>
  <c r="A7" i="49"/>
  <c r="H7" i="49" s="1"/>
  <c r="P20" i="2"/>
  <c r="B16" i="45"/>
  <c r="C14" i="45"/>
  <c r="C13" i="45"/>
  <c r="O4" i="47" a="1"/>
  <c r="O34" i="47" a="1"/>
  <c r="O3" i="47" a="1"/>
  <c r="O39" i="47" a="1"/>
  <c r="O44" i="47" a="1"/>
  <c r="O48" i="47" a="1"/>
  <c r="O14" i="47" a="1"/>
  <c r="O37" i="47" a="1"/>
  <c r="O17" i="47" a="1"/>
  <c r="O16" i="47" a="1"/>
  <c r="O7" i="47" a="1"/>
  <c r="O15" i="47" a="1"/>
  <c r="O50" i="47" a="1"/>
  <c r="O31" i="47" a="1"/>
  <c r="O51" i="47" a="1"/>
  <c r="O32" i="47" a="1"/>
  <c r="O22" i="47" a="1"/>
  <c r="O30" i="47" a="1"/>
  <c r="O11" i="47" a="1"/>
  <c r="O6" i="47" a="1"/>
  <c r="O42" i="47" a="1"/>
  <c r="O9" i="47" a="1"/>
  <c r="O26" i="47" a="1"/>
  <c r="O5" i="47" a="1"/>
  <c r="O8" i="47" a="1"/>
  <c r="O28" i="47" a="1"/>
  <c r="O36" i="47" a="1"/>
  <c r="O20" i="47" a="1"/>
  <c r="O21" i="47" a="1"/>
  <c r="O49" i="47" a="1"/>
  <c r="O24" i="47" a="1"/>
  <c r="O25" i="47" a="1"/>
  <c r="O40" i="47" a="1"/>
  <c r="O46" i="47" a="1"/>
  <c r="O10" i="47" a="1"/>
  <c r="O47" i="47" a="1"/>
  <c r="O38" i="47" a="1"/>
  <c r="O29" i="47" a="1"/>
  <c r="O13" i="47" a="1"/>
  <c r="O23" i="47" a="1"/>
  <c r="O18" i="47" a="1"/>
  <c r="O33" i="47" a="1"/>
  <c r="O52" i="47" a="1"/>
  <c r="O43" i="47" a="1"/>
  <c r="O45" i="47" a="1"/>
  <c r="O53" i="47" a="1"/>
  <c r="O12" i="47" a="1"/>
  <c r="O27" i="47" a="1"/>
  <c r="O41" i="47" a="1"/>
  <c r="O19" i="47" a="1"/>
  <c r="E6" i="24" l="1"/>
  <c r="F6" i="24"/>
  <c r="C6" i="24"/>
  <c r="H6" i="24"/>
  <c r="G6" i="24"/>
  <c r="D6" i="24"/>
  <c r="O40" i="47"/>
  <c r="C40" i="48" s="1"/>
  <c r="O29" i="47"/>
  <c r="C29" i="48" s="1"/>
  <c r="O32" i="47"/>
  <c r="C32" i="48" s="1"/>
  <c r="O17" i="47"/>
  <c r="C17" i="48" s="1"/>
  <c r="O15" i="47"/>
  <c r="C15" i="48" s="1"/>
  <c r="O16" i="47"/>
  <c r="C16" i="48" s="1"/>
  <c r="O31" i="47"/>
  <c r="C31" i="48" s="1"/>
  <c r="O26" i="47"/>
  <c r="C26" i="48" s="1"/>
  <c r="O52" i="47"/>
  <c r="C51" i="48" s="1"/>
  <c r="O48" i="47"/>
  <c r="C48" i="48" s="1"/>
  <c r="O43" i="47"/>
  <c r="C43" i="48" s="1"/>
  <c r="O8" i="47"/>
  <c r="C8" i="48" s="1"/>
  <c r="O50" i="47"/>
  <c r="C50" i="48" s="1"/>
  <c r="O25" i="47"/>
  <c r="C25" i="48" s="1"/>
  <c r="O23" i="47"/>
  <c r="C23" i="48" s="1"/>
  <c r="O45" i="47"/>
  <c r="C45" i="48" s="1"/>
  <c r="O5" i="47"/>
  <c r="C5" i="48" s="1"/>
  <c r="O4" i="47"/>
  <c r="C4" i="48" s="1"/>
  <c r="O22" i="47"/>
  <c r="C22" i="48" s="1"/>
  <c r="O11" i="47"/>
  <c r="C11" i="48" s="1"/>
  <c r="O46" i="47"/>
  <c r="C46" i="48" s="1"/>
  <c r="O36" i="47"/>
  <c r="C36" i="48" s="1"/>
  <c r="O20" i="47"/>
  <c r="C20" i="48" s="1"/>
  <c r="O42" i="47"/>
  <c r="C42" i="48" s="1"/>
  <c r="O34" i="47"/>
  <c r="C34" i="48" s="1"/>
  <c r="O3" i="47"/>
  <c r="C3" i="48" s="1"/>
  <c r="O12" i="47"/>
  <c r="C12" i="48" s="1"/>
  <c r="O27" i="47"/>
  <c r="C27" i="48" s="1"/>
  <c r="O37" i="47"/>
  <c r="C37" i="48" s="1"/>
  <c r="O10" i="47"/>
  <c r="C10" i="48" s="1"/>
  <c r="O30" i="47"/>
  <c r="C30" i="48" s="1"/>
  <c r="O39" i="47"/>
  <c r="C39" i="48" s="1"/>
  <c r="O13" i="47"/>
  <c r="C13" i="48" s="1"/>
  <c r="O6" i="47"/>
  <c r="C6" i="48" s="1"/>
  <c r="O21" i="47"/>
  <c r="C21" i="48" s="1"/>
  <c r="O19" i="47"/>
  <c r="C19" i="48" s="1"/>
  <c r="O24" i="47"/>
  <c r="C24" i="48" s="1"/>
  <c r="O38" i="47"/>
  <c r="C38" i="48" s="1"/>
  <c r="O7" i="47"/>
  <c r="C7" i="48" s="1"/>
  <c r="O9" i="47"/>
  <c r="C9" i="48" s="1"/>
  <c r="O51" i="47"/>
  <c r="O49" i="47"/>
  <c r="C49" i="48" s="1"/>
  <c r="O47" i="47"/>
  <c r="C47" i="48" s="1"/>
  <c r="O18" i="47"/>
  <c r="C18" i="48" s="1"/>
  <c r="O41" i="47"/>
  <c r="C41" i="48" s="1"/>
  <c r="O14" i="47"/>
  <c r="C14" i="48" s="1"/>
  <c r="O28" i="47"/>
  <c r="C28" i="48" s="1"/>
  <c r="O53" i="47"/>
  <c r="O33" i="47"/>
  <c r="C33" i="48" s="1"/>
  <c r="O44" i="47"/>
  <c r="C44" i="48" s="1"/>
  <c r="J55" i="47"/>
  <c r="F6" i="31" s="1"/>
  <c r="AC14" i="12" s="1"/>
  <c r="J58" i="47"/>
  <c r="D6" i="31" s="1"/>
  <c r="O14" i="12" s="1"/>
  <c r="J57" i="47"/>
  <c r="C6" i="31" s="1"/>
  <c r="H14" i="12" s="1"/>
  <c r="J56" i="47"/>
  <c r="E6" i="31" s="1"/>
  <c r="T14" i="12" s="1"/>
  <c r="H26" i="31" a="1"/>
  <c r="H26" i="31" s="1"/>
  <c r="G26" i="31" a="1"/>
  <c r="G26" i="31" s="1"/>
  <c r="I26" i="31" a="1"/>
  <c r="I26" i="31" s="1"/>
  <c r="J26" i="31" s="1"/>
  <c r="H8" i="49"/>
  <c r="J8" i="49"/>
  <c r="N30" i="24"/>
  <c r="E13" i="45" s="1"/>
  <c r="A3" i="49"/>
  <c r="J5" i="49"/>
  <c r="G5" i="49"/>
  <c r="I5" i="49"/>
  <c r="H5" i="49"/>
  <c r="K5" i="49"/>
  <c r="E5" i="49"/>
  <c r="M5" i="49"/>
  <c r="C5" i="49"/>
  <c r="D5" i="49"/>
  <c r="L5" i="49"/>
  <c r="F5" i="49"/>
  <c r="A2" i="49"/>
  <c r="M27" i="24"/>
  <c r="N27" i="24" s="1"/>
  <c r="E12" i="45" s="1"/>
  <c r="D14" i="49"/>
  <c r="C14" i="49"/>
  <c r="L14" i="49"/>
  <c r="J14" i="49"/>
  <c r="H14" i="49"/>
  <c r="I14" i="49"/>
  <c r="K14" i="49"/>
  <c r="F14" i="49"/>
  <c r="G14" i="49"/>
  <c r="E14" i="49"/>
  <c r="M14" i="49"/>
  <c r="C35" i="48"/>
  <c r="M33" i="24"/>
  <c r="N33" i="24" s="1"/>
  <c r="E14" i="45" s="1"/>
  <c r="A4" i="49"/>
  <c r="I18" i="31" a="1"/>
  <c r="I18" i="31" s="1"/>
  <c r="J18" i="31" s="1"/>
  <c r="G19" i="31" a="1"/>
  <c r="G19" i="31" s="1"/>
  <c r="A21" i="29" s="1"/>
  <c r="I17" i="31" a="1"/>
  <c r="I17" i="31" s="1"/>
  <c r="J17" i="31" s="1"/>
  <c r="G17" i="31" a="1"/>
  <c r="G17" i="31" s="1"/>
  <c r="A19" i="29" s="1"/>
  <c r="I19" i="31" a="1"/>
  <c r="I19" i="31" s="1"/>
  <c r="J19" i="31" s="1"/>
  <c r="H25" i="31" a="1"/>
  <c r="H25" i="31" s="1"/>
  <c r="G16" i="31" a="1"/>
  <c r="G16" i="31" s="1"/>
  <c r="A18" i="29" s="1"/>
  <c r="I22" i="31" a="1"/>
  <c r="I22" i="31" s="1"/>
  <c r="J22" i="31" s="1"/>
  <c r="I15" i="31" a="1"/>
  <c r="I15" i="31" s="1"/>
  <c r="I12" i="47" s="1"/>
  <c r="I25" i="31" a="1"/>
  <c r="I25" i="31" s="1"/>
  <c r="J25" i="31" s="1"/>
  <c r="H20" i="31" a="1"/>
  <c r="H20" i="31" s="1"/>
  <c r="B22" i="29" s="1"/>
  <c r="I21" i="31" a="1"/>
  <c r="I21" i="31" s="1"/>
  <c r="J21" i="31" s="1"/>
  <c r="G18" i="31" a="1"/>
  <c r="G18" i="31" s="1"/>
  <c r="A20" i="29" s="1"/>
  <c r="H16" i="31" a="1"/>
  <c r="H16" i="31" s="1"/>
  <c r="B18" i="29" s="1"/>
  <c r="H23" i="31" a="1"/>
  <c r="H23" i="31" s="1"/>
  <c r="B25" i="29" s="1"/>
  <c r="G15" i="31" a="1"/>
  <c r="G15" i="31" s="1"/>
  <c r="A17" i="29" s="1"/>
  <c r="I20" i="31" a="1"/>
  <c r="I20" i="31" s="1"/>
  <c r="J20" i="31" s="1"/>
  <c r="G21" i="31" a="1"/>
  <c r="G21" i="31" s="1"/>
  <c r="A23" i="29" s="1"/>
  <c r="H24" i="31" a="1"/>
  <c r="H24" i="31" s="1"/>
  <c r="I16" i="31" a="1"/>
  <c r="I16" i="31" s="1"/>
  <c r="J16" i="31" s="1"/>
  <c r="G22" i="31" a="1"/>
  <c r="G22" i="31" s="1"/>
  <c r="A24" i="29" s="1"/>
  <c r="H19" i="31" a="1"/>
  <c r="H19" i="31" s="1"/>
  <c r="B21" i="29" s="1"/>
  <c r="H21" i="31" a="1"/>
  <c r="H21" i="31" s="1"/>
  <c r="B23" i="29" s="1"/>
  <c r="H18" i="31" a="1"/>
  <c r="H18" i="31" s="1"/>
  <c r="B20" i="29" s="1"/>
  <c r="G25" i="31" a="1"/>
  <c r="G25" i="31" s="1"/>
  <c r="I23" i="31" a="1"/>
  <c r="I23" i="31" s="1"/>
  <c r="J23" i="31" s="1"/>
  <c r="H15" i="31" a="1"/>
  <c r="H15" i="31" s="1"/>
  <c r="B17" i="29" s="1"/>
  <c r="I24" i="31" a="1"/>
  <c r="I24" i="31" s="1"/>
  <c r="J24" i="31" s="1"/>
  <c r="G23" i="31" a="1"/>
  <c r="G23" i="31" s="1"/>
  <c r="A25" i="29" s="1"/>
  <c r="H17" i="31" a="1"/>
  <c r="H17" i="31" s="1"/>
  <c r="B19" i="29" s="1"/>
  <c r="G24" i="31" a="1"/>
  <c r="G24" i="31" s="1"/>
  <c r="G20" i="31" a="1"/>
  <c r="G20" i="31" s="1"/>
  <c r="A22" i="29" s="1"/>
  <c r="H22" i="31" a="1"/>
  <c r="H22" i="31" s="1"/>
  <c r="B24" i="29" s="1"/>
  <c r="A6" i="49"/>
  <c r="H6" i="49" s="1"/>
  <c r="M39" i="24"/>
  <c r="N39" i="24" s="1"/>
  <c r="E16" i="45" s="1"/>
  <c r="K7" i="49"/>
  <c r="D7" i="49"/>
  <c r="F7" i="49"/>
  <c r="L7" i="49"/>
  <c r="C7" i="49"/>
  <c r="M7" i="49"/>
  <c r="J7" i="49"/>
  <c r="I7" i="49"/>
  <c r="E7" i="49"/>
  <c r="G7" i="49"/>
  <c r="I8" i="49"/>
  <c r="L8" i="49"/>
  <c r="F8" i="49"/>
  <c r="G8" i="49"/>
  <c r="C8" i="49"/>
  <c r="D8" i="49"/>
  <c r="M8" i="49"/>
  <c r="K8" i="49"/>
  <c r="E8" i="49"/>
  <c r="D10" i="24" l="1"/>
  <c r="C9" i="24"/>
  <c r="I6" i="24"/>
  <c r="G9" i="24"/>
  <c r="I13" i="47"/>
  <c r="I37" i="47"/>
  <c r="D13" i="29"/>
  <c r="D7" i="24"/>
  <c r="D9" i="24"/>
  <c r="K6" i="24"/>
  <c r="H7" i="24"/>
  <c r="H9" i="24"/>
  <c r="F9" i="24"/>
  <c r="G7" i="24"/>
  <c r="G8" i="24" s="1"/>
  <c r="E9" i="24"/>
  <c r="E7" i="24"/>
  <c r="E11" i="24"/>
  <c r="E10" i="24"/>
  <c r="H10" i="24"/>
  <c r="G10" i="24"/>
  <c r="I14" i="47"/>
  <c r="I9" i="47"/>
  <c r="I19" i="47"/>
  <c r="G2" i="49"/>
  <c r="C2" i="49"/>
  <c r="K2" i="49"/>
  <c r="H2" i="49"/>
  <c r="M2" i="49"/>
  <c r="F2" i="49"/>
  <c r="E2" i="49"/>
  <c r="L2" i="49"/>
  <c r="J2" i="49"/>
  <c r="D2" i="49"/>
  <c r="I2" i="49"/>
  <c r="H3" i="49"/>
  <c r="C3" i="49"/>
  <c r="D3" i="49"/>
  <c r="L3" i="49"/>
  <c r="J3" i="49"/>
  <c r="G3" i="49"/>
  <c r="E3" i="49"/>
  <c r="F3" i="49"/>
  <c r="M3" i="49"/>
  <c r="K3" i="49"/>
  <c r="I3" i="49"/>
  <c r="I11" i="47"/>
  <c r="I16" i="47"/>
  <c r="I17" i="47"/>
  <c r="F13" i="29"/>
  <c r="C13" i="29"/>
  <c r="I4" i="49"/>
  <c r="H4" i="49"/>
  <c r="E13" i="29"/>
  <c r="B6" i="31"/>
  <c r="L4" i="49"/>
  <c r="D4" i="49"/>
  <c r="K4" i="49"/>
  <c r="M4" i="49"/>
  <c r="F4" i="49"/>
  <c r="J4" i="49"/>
  <c r="G4" i="49"/>
  <c r="E4" i="49"/>
  <c r="C4" i="49"/>
  <c r="I36" i="47"/>
  <c r="I34" i="47"/>
  <c r="I35" i="47"/>
  <c r="I10" i="47"/>
  <c r="J15" i="31"/>
  <c r="I7" i="47" s="1"/>
  <c r="J6" i="49"/>
  <c r="F6" i="49"/>
  <c r="L6" i="49"/>
  <c r="G6" i="49"/>
  <c r="M6" i="49"/>
  <c r="K6" i="49"/>
  <c r="C6" i="49"/>
  <c r="E6" i="49"/>
  <c r="I6" i="49"/>
  <c r="D6" i="49"/>
  <c r="E88" i="2" l="1"/>
  <c r="F88" i="2"/>
  <c r="F90" i="2"/>
  <c r="F91" i="2"/>
  <c r="E92" i="2"/>
  <c r="E91" i="2"/>
  <c r="G11" i="24"/>
  <c r="I11" i="24" s="1"/>
  <c r="I8" i="47"/>
  <c r="K9" i="24"/>
  <c r="I9" i="24"/>
  <c r="I7" i="24"/>
  <c r="E8" i="24"/>
  <c r="I8" i="24" s="1"/>
  <c r="I10" i="24"/>
  <c r="I32" i="47"/>
  <c r="A13" i="29"/>
  <c r="A12" i="29" s="1"/>
  <c r="A14" i="12"/>
  <c r="A13" i="12" s="1"/>
  <c r="I24" i="47"/>
  <c r="I2" i="47"/>
  <c r="I4" i="47"/>
  <c r="I3" i="47"/>
  <c r="I5" i="47"/>
  <c r="I6" i="47"/>
  <c r="N28" i="47" a="1"/>
  <c r="N39" i="47" a="1"/>
  <c r="L3" i="47" a="1"/>
  <c r="M30" i="47" a="1"/>
  <c r="L18" i="47" a="1"/>
  <c r="L23" i="47" a="1"/>
  <c r="M9" i="47" a="1"/>
  <c r="M4" i="47" a="1"/>
  <c r="L13" i="47" a="1"/>
  <c r="M21" i="47" a="1"/>
  <c r="M16" i="47" a="1"/>
  <c r="M36" i="47" a="1"/>
  <c r="L16" i="47" a="1"/>
  <c r="L41" i="47" a="1"/>
  <c r="L10" i="47" a="1"/>
  <c r="L35" i="47" a="1"/>
  <c r="N14" i="47" a="1"/>
  <c r="L39" i="47" a="1"/>
  <c r="N32" i="47" a="1"/>
  <c r="N12" i="47" a="1"/>
  <c r="N41" i="47" a="1"/>
  <c r="M25" i="47" a="1"/>
  <c r="N47" i="47" a="1"/>
  <c r="M27" i="47" a="1"/>
  <c r="L36" i="47" a="1"/>
  <c r="L47" i="47" a="1"/>
  <c r="L40" i="47" a="1"/>
  <c r="M45" i="47" a="1"/>
  <c r="M11" i="47" a="1"/>
  <c r="M29" i="47" a="1"/>
  <c r="M6" i="47" a="1"/>
  <c r="N9" i="47" a="1"/>
  <c r="M8" i="47" a="1"/>
  <c r="M19" i="47" a="1"/>
  <c r="N8" i="47" a="1"/>
  <c r="N21" i="47" a="1"/>
  <c r="L9" i="47" a="1"/>
  <c r="N17" i="47" a="1"/>
  <c r="N26" i="47" a="1"/>
  <c r="L25" i="47" a="1"/>
  <c r="N36" i="47" a="1"/>
  <c r="L38" i="47" a="1"/>
  <c r="M3" i="47" a="1"/>
  <c r="L50" i="47" a="1"/>
  <c r="N11" i="47" a="1"/>
  <c r="M47" i="47" a="1"/>
  <c r="M28" i="47" a="1"/>
  <c r="M48" i="47" a="1"/>
  <c r="L43" i="47" a="1"/>
  <c r="L6" i="47" a="1"/>
  <c r="M52" i="47" a="1"/>
  <c r="N25" i="47" a="1"/>
  <c r="M46" i="47" a="1"/>
  <c r="N53" i="47" a="1"/>
  <c r="M5" i="47" a="1"/>
  <c r="L45" i="47" a="1"/>
  <c r="L31" i="47" a="1"/>
  <c r="M49" i="47" a="1"/>
  <c r="M15" i="47" a="1"/>
  <c r="N46" i="47" a="1"/>
  <c r="N13" i="47" a="1"/>
  <c r="N52" i="47" a="1"/>
  <c r="M32" i="47" a="1"/>
  <c r="N29" i="47" a="1"/>
  <c r="M43" i="47" a="1"/>
  <c r="L49" i="47" a="1"/>
  <c r="M31" i="47" a="1"/>
  <c r="L26" i="47" a="1"/>
  <c r="N51" i="47" a="1"/>
  <c r="N50" i="47" a="1"/>
  <c r="L21" i="47" a="1"/>
  <c r="M34" i="47" a="1"/>
  <c r="L29" i="47" a="1"/>
  <c r="N15" i="47" a="1"/>
  <c r="L14" i="47" a="1"/>
  <c r="L11" i="47" a="1"/>
  <c r="L4" i="47" a="1"/>
  <c r="N44" i="47" a="1"/>
  <c r="L51" i="47" a="1"/>
  <c r="N20" i="47" a="1"/>
  <c r="M51" i="47" a="1"/>
  <c r="L46" i="47" a="1"/>
  <c r="L30" i="47" a="1"/>
  <c r="N24" i="47" a="1"/>
  <c r="M40" i="47" a="1"/>
  <c r="L24" i="47" a="1"/>
  <c r="M37" i="47" a="1"/>
  <c r="O2" i="47" a="1"/>
  <c r="L15" i="47" a="1"/>
  <c r="M42" i="47" a="1"/>
  <c r="N48" i="47" a="1"/>
  <c r="M13" i="47" a="1"/>
  <c r="L34" i="47" a="1"/>
  <c r="M23" i="47" a="1"/>
  <c r="L5" i="47" a="1"/>
  <c r="L22" i="47" a="1"/>
  <c r="N31" i="47" a="1"/>
  <c r="M44" i="47" a="1"/>
  <c r="M10" i="47" a="1"/>
  <c r="N42" i="47" a="1"/>
  <c r="M35" i="47" a="1"/>
  <c r="L53" i="47" a="1"/>
  <c r="N16" i="47" a="1"/>
  <c r="M38" i="47" a="1"/>
  <c r="N45" i="47" a="1"/>
  <c r="N38" i="47" a="1"/>
  <c r="N23" i="47" a="1"/>
  <c r="M39" i="47" a="1"/>
  <c r="N43" i="47" a="1"/>
  <c r="N5" i="47" a="1"/>
  <c r="M33" i="47" a="1"/>
  <c r="N35" i="47" a="1"/>
  <c r="N10" i="47" a="1"/>
  <c r="M17" i="47" a="1"/>
  <c r="L20" i="47" a="1"/>
  <c r="M53" i="47" a="1"/>
  <c r="N18" i="47" a="1"/>
  <c r="N37" i="47" a="1"/>
  <c r="L28" i="47" a="1"/>
  <c r="M20" i="47" a="1"/>
  <c r="N6" i="47" a="1"/>
  <c r="N4" i="47" a="1"/>
  <c r="N49" i="47" a="1"/>
  <c r="L48" i="47" a="1"/>
  <c r="N34" i="47" a="1"/>
  <c r="L52" i="47" a="1"/>
  <c r="M50" i="47" a="1"/>
  <c r="M14" i="47" a="1"/>
  <c r="N22" i="47" a="1"/>
  <c r="N27" i="47" a="1"/>
  <c r="M18" i="47" a="1"/>
  <c r="M7" i="47" a="1"/>
  <c r="M12" i="47" a="1"/>
  <c r="M24" i="47" a="1"/>
  <c r="L19" i="47" a="1"/>
  <c r="M22" i="47" a="1"/>
  <c r="N19" i="47" a="1"/>
  <c r="L7" i="47" a="1"/>
  <c r="M26" i="47" a="1"/>
  <c r="N40" i="47" a="1"/>
  <c r="L44" i="47" a="1"/>
  <c r="L33" i="47" a="1"/>
  <c r="L12" i="47" a="1"/>
  <c r="N33" i="47" a="1"/>
  <c r="L8" i="47" a="1"/>
  <c r="L32" i="47" a="1"/>
  <c r="L37" i="47" a="1"/>
  <c r="M41" i="47" a="1"/>
  <c r="N7" i="47" a="1"/>
  <c r="L17" i="47" a="1"/>
  <c r="L42" i="47" a="1"/>
  <c r="N30" i="47" a="1"/>
  <c r="N3" i="47" a="1"/>
  <c r="L27" i="47" a="1"/>
  <c r="E89" i="2" l="1"/>
  <c r="G90" i="2"/>
  <c r="L28" i="47"/>
  <c r="M48" i="47"/>
  <c r="L30" i="47"/>
  <c r="M8" i="47"/>
  <c r="M49" i="47"/>
  <c r="M32" i="47"/>
  <c r="N52" i="47"/>
  <c r="L40" i="47"/>
  <c r="N46" i="47"/>
  <c r="M23" i="47"/>
  <c r="N8" i="47"/>
  <c r="M10" i="47"/>
  <c r="M13" i="47"/>
  <c r="M28" i="47"/>
  <c r="L17" i="47"/>
  <c r="N40" i="47"/>
  <c r="M4" i="47"/>
  <c r="N3" i="47"/>
  <c r="N14" i="47"/>
  <c r="L4" i="47"/>
  <c r="L43" i="47"/>
  <c r="N49" i="47"/>
  <c r="N48" i="47"/>
  <c r="M52" i="47"/>
  <c r="N20" i="47"/>
  <c r="B20" i="48" s="1"/>
  <c r="M39" i="47"/>
  <c r="N42" i="47"/>
  <c r="N5" i="47"/>
  <c r="L27" i="47"/>
  <c r="L3" i="47"/>
  <c r="A3" i="48" s="1"/>
  <c r="M35" i="47"/>
  <c r="L21" i="47"/>
  <c r="N27" i="47"/>
  <c r="N50" i="47"/>
  <c r="L47" i="47"/>
  <c r="M53" i="47"/>
  <c r="N12" i="47"/>
  <c r="N38" i="47"/>
  <c r="N43" i="47"/>
  <c r="N4" i="47"/>
  <c r="N30" i="47"/>
  <c r="B30" i="48" s="1"/>
  <c r="M16" i="47"/>
  <c r="N37" i="47"/>
  <c r="N35" i="47"/>
  <c r="N17" i="47"/>
  <c r="M51" i="47"/>
  <c r="M20" i="47"/>
  <c r="L15" i="47"/>
  <c r="N19" i="47"/>
  <c r="N21" i="47"/>
  <c r="M14" i="47"/>
  <c r="L33" i="47"/>
  <c r="L38" i="47"/>
  <c r="L9" i="47"/>
  <c r="L14" i="47"/>
  <c r="L13" i="47"/>
  <c r="M33" i="47"/>
  <c r="M43" i="47"/>
  <c r="N23" i="47"/>
  <c r="M50" i="47"/>
  <c r="M27" i="47"/>
  <c r="N6" i="47"/>
  <c r="L8" i="47"/>
  <c r="L22" i="47"/>
  <c r="M31" i="47"/>
  <c r="M37" i="47"/>
  <c r="L10" i="47"/>
  <c r="L31" i="47"/>
  <c r="N53" i="47"/>
  <c r="L29" i="47"/>
  <c r="N29" i="47"/>
  <c r="L45" i="47"/>
  <c r="N41" i="47"/>
  <c r="M46" i="47"/>
  <c r="N15" i="47"/>
  <c r="N44" i="47"/>
  <c r="M5" i="47"/>
  <c r="M34" i="47"/>
  <c r="L32" i="47"/>
  <c r="M29" i="47"/>
  <c r="N9" i="47"/>
  <c r="M45" i="47"/>
  <c r="L6" i="47"/>
  <c r="L39" i="47"/>
  <c r="L19" i="47"/>
  <c r="L25" i="47"/>
  <c r="M30" i="47"/>
  <c r="L49" i="47"/>
  <c r="L50" i="47"/>
  <c r="L53" i="47"/>
  <c r="L36" i="47"/>
  <c r="N45" i="47"/>
  <c r="L46" i="47"/>
  <c r="N22" i="47"/>
  <c r="M12" i="47"/>
  <c r="N51" i="47"/>
  <c r="L24" i="47"/>
  <c r="M15" i="47"/>
  <c r="L42" i="47"/>
  <c r="N24" i="47"/>
  <c r="M38" i="47"/>
  <c r="M26" i="47"/>
  <c r="N26" i="47"/>
  <c r="N7" i="47"/>
  <c r="L48" i="47"/>
  <c r="N28" i="47"/>
  <c r="M6" i="47"/>
  <c r="N16" i="47"/>
  <c r="M7" i="47"/>
  <c r="M3" i="47"/>
  <c r="L51" i="47"/>
  <c r="N34" i="47"/>
  <c r="M19" i="47"/>
  <c r="L34" i="47"/>
  <c r="L18" i="47"/>
  <c r="N10" i="47"/>
  <c r="M44" i="47"/>
  <c r="L5" i="47"/>
  <c r="L44" i="47"/>
  <c r="N39" i="47"/>
  <c r="M22" i="47"/>
  <c r="M17" i="47"/>
  <c r="N31" i="47"/>
  <c r="L41" i="47"/>
  <c r="L7" i="47"/>
  <c r="M24" i="47"/>
  <c r="N11" i="47"/>
  <c r="M40" i="47"/>
  <c r="N33" i="47"/>
  <c r="M42" i="47"/>
  <c r="L12" i="47"/>
  <c r="L16" i="47"/>
  <c r="N47" i="47"/>
  <c r="M41" i="47"/>
  <c r="N36" i="47"/>
  <c r="N18" i="47"/>
  <c r="M21" i="47"/>
  <c r="L20" i="47"/>
  <c r="N25" i="47"/>
  <c r="L23" i="47"/>
  <c r="O2" i="47"/>
  <c r="C2" i="48" s="1"/>
  <c r="L35" i="47"/>
  <c r="N13" i="47"/>
  <c r="M9" i="47"/>
  <c r="M47" i="47"/>
  <c r="M36" i="47"/>
  <c r="N32" i="47"/>
  <c r="M18" i="47"/>
  <c r="L52" i="47"/>
  <c r="M11" i="47"/>
  <c r="M25" i="47"/>
  <c r="L26" i="47"/>
  <c r="L11" i="47"/>
  <c r="L37" i="47"/>
  <c r="A41" i="48" l="1"/>
  <c r="B3" i="48"/>
  <c r="A43" i="48"/>
  <c r="A23" i="48"/>
  <c r="A31" i="48"/>
  <c r="B41" i="48"/>
  <c r="B47" i="48"/>
  <c r="A20" i="48"/>
  <c r="A9" i="48"/>
  <c r="B45" i="48"/>
  <c r="B7" i="48"/>
  <c r="A5" i="48"/>
  <c r="A26" i="48"/>
  <c r="A32" i="48"/>
  <c r="A16" i="48"/>
  <c r="A49" i="48"/>
  <c r="A40" i="48"/>
  <c r="B29" i="48"/>
  <c r="A22" i="48"/>
  <c r="B13" i="48"/>
  <c r="A34" i="48"/>
  <c r="B4" i="48"/>
  <c r="B31" i="48"/>
  <c r="A50" i="48"/>
  <c r="A36" i="48"/>
  <c r="B44" i="48"/>
  <c r="A4" i="48"/>
  <c r="B42" i="48"/>
  <c r="B11" i="48"/>
  <c r="B10" i="48"/>
  <c r="B21" i="48"/>
  <c r="B12" i="48"/>
  <c r="A47" i="48"/>
  <c r="B48" i="48"/>
  <c r="B24" i="48"/>
  <c r="A19" i="48"/>
  <c r="B23" i="48"/>
  <c r="A17" i="48"/>
  <c r="A38" i="48"/>
  <c r="A37" i="48"/>
  <c r="A10" i="48"/>
  <c r="B46" i="48"/>
  <c r="A6" i="48"/>
  <c r="B5" i="48"/>
  <c r="B26" i="48"/>
  <c r="B18" i="48"/>
  <c r="B9" i="48"/>
  <c r="B36" i="48"/>
  <c r="B19" i="48"/>
  <c r="A8" i="48"/>
  <c r="B35" i="48"/>
  <c r="A35" i="48"/>
  <c r="A21" i="48"/>
  <c r="B22" i="48"/>
  <c r="B17" i="48"/>
  <c r="A14" i="48"/>
  <c r="B16" i="48"/>
  <c r="A11" i="48"/>
  <c r="B14" i="48"/>
  <c r="B8" i="48"/>
  <c r="B27" i="48"/>
  <c r="A27" i="48"/>
  <c r="A30" i="48"/>
  <c r="A24" i="48"/>
  <c r="B37" i="48"/>
  <c r="A45" i="48"/>
  <c r="B6" i="48"/>
  <c r="B39" i="48"/>
  <c r="B38" i="48"/>
  <c r="A12" i="48"/>
  <c r="B33" i="48"/>
  <c r="A42" i="48"/>
  <c r="A46" i="48"/>
  <c r="A51" i="48"/>
  <c r="A13" i="48"/>
  <c r="B43" i="48"/>
  <c r="A15" i="48"/>
  <c r="B49" i="48"/>
  <c r="A39" i="48"/>
  <c r="A25" i="48"/>
  <c r="A28" i="48"/>
  <c r="A48" i="48"/>
  <c r="A29" i="48"/>
  <c r="B32" i="48"/>
  <c r="B34" i="48"/>
  <c r="B15" i="48"/>
  <c r="B28" i="48"/>
  <c r="B25" i="48"/>
  <c r="B40" i="48"/>
  <c r="B50" i="48"/>
  <c r="A44" i="48"/>
  <c r="A7" i="48"/>
  <c r="B51" i="48"/>
  <c r="A18" i="48"/>
  <c r="A33" i="48"/>
  <c r="P44" i="47" a="1"/>
  <c r="R9" i="49" a="1"/>
  <c r="S10" i="49" a="1"/>
  <c r="V21" i="49" a="1"/>
  <c r="R17" i="49" a="1"/>
  <c r="Q2" i="49" a="1"/>
  <c r="U21" i="49" a="1"/>
  <c r="X12" i="49" a="1"/>
  <c r="P51" i="47" a="1"/>
  <c r="O8" i="49" a="1"/>
  <c r="Y10" i="49" a="1"/>
  <c r="Q15" i="49" a="1"/>
  <c r="X16" i="49" a="1"/>
  <c r="V6" i="49" a="1"/>
  <c r="P2" i="47" a="1"/>
  <c r="T2" i="49" a="1"/>
  <c r="X22" i="49" a="1"/>
  <c r="W9" i="49" a="1"/>
  <c r="P45" i="47" a="1"/>
  <c r="T21" i="49" a="1"/>
  <c r="X2" i="49" a="1"/>
  <c r="V23" i="49" a="1"/>
  <c r="S22" i="49" a="1"/>
  <c r="U23" i="49" a="1"/>
  <c r="U4" i="49" a="1"/>
  <c r="Q17" i="49" a="1"/>
  <c r="W17" i="49" a="1"/>
  <c r="Y9" i="49" a="1"/>
  <c r="P24" i="47" a="1"/>
  <c r="P27" i="47" a="1"/>
  <c r="R18" i="49" a="1"/>
  <c r="T3" i="49" a="1"/>
  <c r="S12" i="49" a="1"/>
  <c r="S18" i="49" a="1"/>
  <c r="P15" i="49" a="1"/>
  <c r="U3" i="49" a="1"/>
  <c r="Q7" i="49" a="1"/>
  <c r="S5" i="49" a="1"/>
  <c r="S19" i="49" a="1"/>
  <c r="P10" i="47" a="1"/>
  <c r="T6" i="49" a="1"/>
  <c r="P15" i="47" a="1"/>
  <c r="P43" i="47" a="1"/>
  <c r="P7" i="47" a="1"/>
  <c r="O22" i="49" a="1"/>
  <c r="Q6" i="49" a="1"/>
  <c r="R12" i="49" a="1"/>
  <c r="O6" i="49" a="1"/>
  <c r="T18" i="49" a="1"/>
  <c r="Y13" i="49" a="1"/>
  <c r="P14" i="49" a="1"/>
  <c r="R21" i="49" a="1"/>
  <c r="P4" i="47" a="1"/>
  <c r="T15" i="49" a="1"/>
  <c r="S20" i="49" a="1"/>
  <c r="Y16" i="49" a="1"/>
  <c r="W4" i="49" a="1"/>
  <c r="Q5" i="49" a="1"/>
  <c r="P7" i="49" a="1"/>
  <c r="X11" i="49" a="1"/>
  <c r="T4" i="49" a="1"/>
  <c r="P41" i="47" a="1"/>
  <c r="R5" i="49" a="1"/>
  <c r="P12" i="49" a="1"/>
  <c r="P9" i="47" a="1"/>
  <c r="P8" i="47" a="1"/>
  <c r="P5" i="49" a="1"/>
  <c r="P33" i="47" a="1"/>
  <c r="R2" i="49" a="1"/>
  <c r="T12" i="49" a="1"/>
  <c r="U15" i="49" a="1"/>
  <c r="Y18" i="49" a="1"/>
  <c r="W12" i="49" a="1"/>
  <c r="T23" i="49" a="1"/>
  <c r="Y23" i="49" a="1"/>
  <c r="P17" i="49" a="1"/>
  <c r="Y19" i="49" a="1"/>
  <c r="O10" i="49" a="1"/>
  <c r="V18" i="49" a="1"/>
  <c r="P50" i="47" a="1"/>
  <c r="W22" i="49" a="1"/>
  <c r="T16" i="49" a="1"/>
  <c r="X8" i="49" a="1"/>
  <c r="U13" i="49" a="1"/>
  <c r="R16" i="49" a="1"/>
  <c r="T13" i="49" a="1"/>
  <c r="P10" i="49" a="1"/>
  <c r="V8" i="49" a="1"/>
  <c r="S11" i="49" a="1"/>
  <c r="Y7" i="49" a="1"/>
  <c r="U12" i="49" a="1"/>
  <c r="S13" i="49" a="1"/>
  <c r="X9" i="49" a="1"/>
  <c r="X20" i="49" a="1"/>
  <c r="P20" i="47" a="1"/>
  <c r="P8" i="49" a="1"/>
  <c r="R19" i="49" a="1"/>
  <c r="W16" i="49" a="1"/>
  <c r="M2" i="47" a="1"/>
  <c r="P48" i="47" a="1"/>
  <c r="T22" i="49" a="1"/>
  <c r="W7" i="49" a="1"/>
  <c r="Y3" i="49" a="1"/>
  <c r="S7" i="49" a="1"/>
  <c r="U19" i="49" a="1"/>
  <c r="O19" i="49" a="1"/>
  <c r="X18" i="49" a="1"/>
  <c r="U2" i="49" a="1"/>
  <c r="Q3" i="49" a="1"/>
  <c r="Q4" i="49" a="1"/>
  <c r="Y14" i="49" a="1"/>
  <c r="X15" i="49" a="1"/>
  <c r="U17" i="49" a="1"/>
  <c r="U18" i="49" a="1"/>
  <c r="R15" i="49" a="1"/>
  <c r="R14" i="49" a="1"/>
  <c r="W13" i="49" a="1"/>
  <c r="Q19" i="49" a="1"/>
  <c r="O18" i="49" a="1"/>
  <c r="P47" i="47" a="1"/>
  <c r="N2" i="47" a="1"/>
  <c r="P16" i="47" a="1"/>
  <c r="O16" i="49" a="1"/>
  <c r="X19" i="49" a="1"/>
  <c r="Q13" i="49" a="1"/>
  <c r="O20" i="49" a="1"/>
  <c r="O5" i="49" a="1"/>
  <c r="U22" i="49" a="1"/>
  <c r="O9" i="49" a="1"/>
  <c r="Q8" i="49" a="1"/>
  <c r="Y5" i="49" a="1"/>
  <c r="V15" i="49" a="1"/>
  <c r="O12" i="49" a="1"/>
  <c r="Y21" i="49" a="1"/>
  <c r="O3" i="49" a="1"/>
  <c r="X5" i="49" a="1"/>
  <c r="X17" i="49" a="1"/>
  <c r="V4" i="49" a="1"/>
  <c r="P29" i="47" a="1"/>
  <c r="S17" i="49" a="1"/>
  <c r="P53" i="47" a="1"/>
  <c r="V7" i="49" a="1"/>
  <c r="O23" i="49" a="1"/>
  <c r="W15" i="49" a="1"/>
  <c r="W18" i="49" a="1"/>
  <c r="W20" i="49" a="1"/>
  <c r="Q10" i="49" a="1"/>
  <c r="Q9" i="49" a="1"/>
  <c r="P23" i="47" a="1"/>
  <c r="P6" i="47" a="1"/>
  <c r="P36" i="47" a="1"/>
  <c r="Q23" i="49" a="1"/>
  <c r="S14" i="49" a="1"/>
  <c r="P5" i="47" a="1"/>
  <c r="Y17" i="49" a="1"/>
  <c r="T8" i="49" a="1"/>
  <c r="P13" i="47" a="1"/>
  <c r="R3" i="49" a="1"/>
  <c r="P22" i="49" a="1"/>
  <c r="R10" i="49" a="1"/>
  <c r="P2" i="49" a="1"/>
  <c r="X23" i="49" a="1"/>
  <c r="P21" i="47" a="1"/>
  <c r="V20" i="49" a="1"/>
  <c r="O2" i="49" a="1"/>
  <c r="P40" i="47" a="1"/>
  <c r="P31" i="47" a="1"/>
  <c r="W6" i="49" a="1"/>
  <c r="W5" i="49" a="1"/>
  <c r="O21" i="49" a="1"/>
  <c r="X13" i="49" a="1"/>
  <c r="S21" i="49" a="1"/>
  <c r="Q12" i="49" a="1"/>
  <c r="P21" i="49" a="1"/>
  <c r="W11" i="49" a="1"/>
  <c r="T17" i="49" a="1"/>
  <c r="X4" i="49" a="1"/>
  <c r="T14" i="49" a="1"/>
  <c r="R11" i="49" a="1"/>
  <c r="P39" i="47" a="1"/>
  <c r="V11" i="49" a="1"/>
  <c r="P4" i="49" a="1"/>
  <c r="U8" i="49" a="1"/>
  <c r="Q20" i="49" a="1"/>
  <c r="L2" i="47" a="1"/>
  <c r="R7" i="49" a="1"/>
  <c r="U16" i="49" a="1"/>
  <c r="Q16" i="49" a="1"/>
  <c r="X14" i="49" a="1"/>
  <c r="P25" i="47" a="1"/>
  <c r="V5" i="49" a="1"/>
  <c r="V13" i="49" a="1"/>
  <c r="W2" i="49" a="1"/>
  <c r="T7" i="49" a="1"/>
  <c r="Y2" i="49" a="1"/>
  <c r="R13" i="49" a="1"/>
  <c r="P26" i="47" a="1"/>
  <c r="W8" i="49" a="1"/>
  <c r="P12" i="47" a="1"/>
  <c r="P34" i="47" a="1"/>
  <c r="P37" i="47" a="1"/>
  <c r="V3" i="49" a="1"/>
  <c r="Q18" i="49" a="1"/>
  <c r="P11" i="49" a="1"/>
  <c r="U14" i="49" a="1"/>
  <c r="P3" i="47" a="1"/>
  <c r="X7" i="49" a="1"/>
  <c r="W3" i="49" a="1"/>
  <c r="V2" i="49" a="1"/>
  <c r="X6" i="49" a="1"/>
  <c r="T10" i="49" a="1"/>
  <c r="U6" i="49" a="1"/>
  <c r="Y4" i="49" a="1"/>
  <c r="P52" i="47" a="1"/>
  <c r="S6" i="49" a="1"/>
  <c r="P30" i="47" a="1"/>
  <c r="S4" i="49" a="1"/>
  <c r="P35" i="47" a="1"/>
  <c r="R6" i="49" a="1"/>
  <c r="S9" i="49" a="1"/>
  <c r="P16" i="49" a="1"/>
  <c r="V14" i="49" a="1"/>
  <c r="V22" i="49" a="1"/>
  <c r="V19" i="49" a="1"/>
  <c r="P22" i="47" a="1"/>
  <c r="T19" i="49" a="1"/>
  <c r="P3" i="49" a="1"/>
  <c r="P13" i="49" a="1"/>
  <c r="W10" i="49" a="1"/>
  <c r="V17" i="49" a="1"/>
  <c r="R22" i="49" a="1"/>
  <c r="P14" i="47" a="1"/>
  <c r="S2" i="49" a="1"/>
  <c r="S3" i="49" a="1"/>
  <c r="R20" i="49" a="1"/>
  <c r="P19" i="49" a="1"/>
  <c r="Y6" i="49" a="1"/>
  <c r="Y15" i="49" a="1"/>
  <c r="Q22" i="49" a="1"/>
  <c r="U7" i="49" a="1"/>
  <c r="O15" i="49" a="1"/>
  <c r="T5" i="49" a="1"/>
  <c r="S16" i="49" a="1"/>
  <c r="Y11" i="49" a="1"/>
  <c r="P19" i="47" a="1"/>
  <c r="Y20" i="49" a="1"/>
  <c r="O11" i="49" a="1"/>
  <c r="O14" i="49" a="1"/>
  <c r="T9" i="49" a="1"/>
  <c r="P18" i="47" a="1"/>
  <c r="W21" i="49" a="1"/>
  <c r="P38" i="47" a="1"/>
  <c r="S8" i="49" a="1"/>
  <c r="T20" i="49" a="1"/>
  <c r="R8" i="49" a="1"/>
  <c r="X10" i="49" a="1"/>
  <c r="P28" i="47" a="1"/>
  <c r="U9" i="49" a="1"/>
  <c r="V16" i="49" a="1"/>
  <c r="W19" i="49" a="1"/>
  <c r="P6" i="49" a="1"/>
  <c r="W14" i="49" a="1"/>
  <c r="Q14" i="49" a="1"/>
  <c r="P11" i="47" a="1"/>
  <c r="O17" i="49" a="1"/>
  <c r="W23" i="49" a="1"/>
  <c r="O7" i="49" a="1"/>
  <c r="X21" i="49" a="1"/>
  <c r="P20" i="49" a="1"/>
  <c r="V12" i="49" a="1"/>
  <c r="T11" i="49" a="1"/>
  <c r="Y12" i="49" a="1"/>
  <c r="V9" i="49" a="1"/>
  <c r="X3" i="49" a="1"/>
  <c r="Y22" i="49" a="1"/>
  <c r="U20" i="49" a="1"/>
  <c r="P32" i="47" a="1"/>
  <c r="P17" i="47" a="1"/>
  <c r="O4" i="49" a="1"/>
  <c r="S15" i="49" a="1"/>
  <c r="P46" i="47" a="1"/>
  <c r="P23" i="49" a="1"/>
  <c r="P18" i="49" a="1"/>
  <c r="S23" i="49" a="1"/>
  <c r="P49" i="47" a="1"/>
  <c r="O13" i="49" a="1"/>
  <c r="P9" i="49" a="1"/>
  <c r="Q11" i="49" a="1"/>
  <c r="U5" i="49" a="1"/>
  <c r="P42" i="47" a="1"/>
  <c r="V10" i="49" a="1"/>
  <c r="U10" i="49" a="1"/>
  <c r="R4" i="49" a="1"/>
  <c r="U11" i="49" a="1"/>
  <c r="Y8" i="49" a="1"/>
  <c r="Q21" i="49" a="1"/>
  <c r="R23" i="49" a="1"/>
  <c r="P19" i="47" l="1"/>
  <c r="D19" i="48" s="1"/>
  <c r="P11" i="47"/>
  <c r="D11" i="48" s="1"/>
  <c r="U18" i="49"/>
  <c r="G30" i="44" s="1"/>
  <c r="P45" i="47"/>
  <c r="D45" i="48" s="1"/>
  <c r="T11" i="49"/>
  <c r="F23" i="44" s="1"/>
  <c r="U5" i="49"/>
  <c r="G17" i="44" s="1"/>
  <c r="P15" i="47"/>
  <c r="D15" i="48" s="1"/>
  <c r="U7" i="49"/>
  <c r="G19" i="44" s="1"/>
  <c r="Q21" i="49"/>
  <c r="C33" i="44" s="1"/>
  <c r="V5" i="49"/>
  <c r="H17" i="44" s="1"/>
  <c r="Q14" i="49"/>
  <c r="C26" i="44" s="1"/>
  <c r="P31" i="47"/>
  <c r="D31" i="48" s="1"/>
  <c r="S21" i="49"/>
  <c r="E33" i="44" s="1"/>
  <c r="P30" i="47"/>
  <c r="D30" i="48" s="1"/>
  <c r="P25" i="47"/>
  <c r="D25" i="48" s="1"/>
  <c r="Y7" i="49"/>
  <c r="K19" i="44" s="1"/>
  <c r="S9" i="49"/>
  <c r="E21" i="44" s="1"/>
  <c r="P29" i="47"/>
  <c r="D29" i="48" s="1"/>
  <c r="U17" i="49"/>
  <c r="G29" i="44" s="1"/>
  <c r="W9" i="49"/>
  <c r="I21" i="44" s="1"/>
  <c r="W8" i="49"/>
  <c r="I20" i="44" s="1"/>
  <c r="P5" i="49"/>
  <c r="B17" i="44" s="1"/>
  <c r="T6" i="49"/>
  <c r="F18" i="44" s="1"/>
  <c r="Q22" i="49"/>
  <c r="C34" i="44" s="1"/>
  <c r="W20" i="49"/>
  <c r="I32" i="44" s="1"/>
  <c r="Q11" i="49"/>
  <c r="C23" i="44" s="1"/>
  <c r="W14" i="49"/>
  <c r="I26" i="44" s="1"/>
  <c r="P40" i="47"/>
  <c r="D40" i="48" s="1"/>
  <c r="P20" i="47"/>
  <c r="D20" i="48" s="1"/>
  <c r="S6" i="49"/>
  <c r="E18" i="44" s="1"/>
  <c r="X14" i="49"/>
  <c r="J26" i="44" s="1"/>
  <c r="S11" i="49"/>
  <c r="E23" i="44" s="1"/>
  <c r="N2" i="47"/>
  <c r="B2" i="48" s="1"/>
  <c r="V4" i="49"/>
  <c r="H16" i="44" s="1"/>
  <c r="X15" i="49"/>
  <c r="J27" i="44" s="1"/>
  <c r="X22" i="49"/>
  <c r="J34" i="44" s="1"/>
  <c r="R23" i="49"/>
  <c r="D35" i="44" s="1"/>
  <c r="P8" i="47"/>
  <c r="D8" i="48" s="1"/>
  <c r="P10" i="47"/>
  <c r="D10" i="48" s="1"/>
  <c r="Y15" i="49"/>
  <c r="K27" i="44" s="1"/>
  <c r="S22" i="49"/>
  <c r="E34" i="44" s="1"/>
  <c r="P9" i="49"/>
  <c r="B21" i="44" s="1"/>
  <c r="P6" i="49"/>
  <c r="B18" i="44" s="1"/>
  <c r="O2" i="49"/>
  <c r="A14" i="44" s="1"/>
  <c r="M11" i="44" s="1" a="1"/>
  <c r="M11" i="44" s="1"/>
  <c r="T18" i="49"/>
  <c r="F30" i="44" s="1"/>
  <c r="P52" i="47"/>
  <c r="D51" i="48" s="1"/>
  <c r="Q16" i="49"/>
  <c r="C28" i="44" s="1"/>
  <c r="V8" i="49"/>
  <c r="H20" i="44" s="1"/>
  <c r="Y8" i="49"/>
  <c r="K20" i="44" s="1"/>
  <c r="X17" i="49"/>
  <c r="J29" i="44" s="1"/>
  <c r="Y14" i="49"/>
  <c r="K26" i="44" s="1"/>
  <c r="T2" i="49"/>
  <c r="F14" i="44" s="1"/>
  <c r="Y11" i="49"/>
  <c r="K23" i="44" s="1"/>
  <c r="P9" i="47"/>
  <c r="D9" i="48" s="1"/>
  <c r="S19" i="49"/>
  <c r="E31" i="44" s="1"/>
  <c r="Y6" i="49"/>
  <c r="K18" i="44" s="1"/>
  <c r="V12" i="49"/>
  <c r="H24" i="44" s="1"/>
  <c r="O13" i="49"/>
  <c r="A25" i="44" s="1"/>
  <c r="W19" i="49"/>
  <c r="I31" i="44" s="1"/>
  <c r="V20" i="49"/>
  <c r="H32" i="44" s="1"/>
  <c r="P23" i="47"/>
  <c r="D23" i="48" s="1"/>
  <c r="Y4" i="49"/>
  <c r="K16" i="44" s="1"/>
  <c r="U16" i="49"/>
  <c r="G28" i="44" s="1"/>
  <c r="P10" i="49"/>
  <c r="B22" i="44" s="1"/>
  <c r="X13" i="49"/>
  <c r="J25" i="44" s="1"/>
  <c r="X5" i="49"/>
  <c r="J17" i="44" s="1"/>
  <c r="Q4" i="49"/>
  <c r="C16" i="44" s="1"/>
  <c r="P2" i="47"/>
  <c r="D2" i="48" s="1"/>
  <c r="P26" i="47"/>
  <c r="D26" i="48" s="1"/>
  <c r="P12" i="49"/>
  <c r="B24" i="44" s="1"/>
  <c r="S5" i="49"/>
  <c r="E17" i="44" s="1"/>
  <c r="P19" i="49"/>
  <c r="B31" i="44" s="1"/>
  <c r="W18" i="49"/>
  <c r="I30" i="44" s="1"/>
  <c r="P49" i="47"/>
  <c r="D49" i="48" s="1"/>
  <c r="V16" i="49"/>
  <c r="H28" i="44" s="1"/>
  <c r="P21" i="47"/>
  <c r="D21" i="48" s="1"/>
  <c r="X20" i="49"/>
  <c r="J32" i="44" s="1"/>
  <c r="U6" i="49"/>
  <c r="G18" i="44" s="1"/>
  <c r="R7" i="49"/>
  <c r="D19" i="44" s="1"/>
  <c r="T13" i="49"/>
  <c r="F25" i="44" s="1"/>
  <c r="Y18" i="49"/>
  <c r="K30" i="44" s="1"/>
  <c r="O3" i="49"/>
  <c r="A15" i="44" s="1"/>
  <c r="Q3" i="49"/>
  <c r="C15" i="44" s="1"/>
  <c r="V6" i="49"/>
  <c r="H18" i="44" s="1"/>
  <c r="V23" i="49"/>
  <c r="H35" i="44" s="1"/>
  <c r="R5" i="49"/>
  <c r="D17" i="44" s="1"/>
  <c r="Q7" i="49"/>
  <c r="C19" i="44" s="1"/>
  <c r="R20" i="49"/>
  <c r="D32" i="44" s="1"/>
  <c r="P47" i="47"/>
  <c r="D47" i="48" s="1"/>
  <c r="S23" i="49"/>
  <c r="E35" i="44" s="1"/>
  <c r="U9" i="49"/>
  <c r="G21" i="44" s="1"/>
  <c r="X23" i="49"/>
  <c r="J35" i="44" s="1"/>
  <c r="U11" i="49"/>
  <c r="G23" i="44" s="1"/>
  <c r="T10" i="49"/>
  <c r="F22" i="44" s="1"/>
  <c r="L2" i="47"/>
  <c r="A2" i="48" s="1"/>
  <c r="R16" i="49"/>
  <c r="D28" i="44" s="1"/>
  <c r="S16" i="49"/>
  <c r="E28" i="44" s="1"/>
  <c r="Y21" i="49"/>
  <c r="K33" i="44" s="1"/>
  <c r="U2" i="49"/>
  <c r="G14" i="44" s="1"/>
  <c r="X16" i="49"/>
  <c r="J28" i="44" s="1"/>
  <c r="O6" i="49"/>
  <c r="A18" i="44" s="1"/>
  <c r="P41" i="47"/>
  <c r="D41" i="48" s="1"/>
  <c r="U3" i="49"/>
  <c r="G15" i="44" s="1"/>
  <c r="S3" i="49"/>
  <c r="E15" i="44" s="1"/>
  <c r="Q9" i="49"/>
  <c r="C21" i="44" s="1"/>
  <c r="P18" i="49"/>
  <c r="B30" i="44" s="1"/>
  <c r="P28" i="47"/>
  <c r="D28" i="48" s="1"/>
  <c r="P2" i="49"/>
  <c r="B14" i="44" s="1"/>
  <c r="P20" i="49"/>
  <c r="B32" i="44" s="1"/>
  <c r="X6" i="49"/>
  <c r="J18" i="44" s="1"/>
  <c r="Q20" i="49"/>
  <c r="C32" i="44" s="1"/>
  <c r="U13" i="49"/>
  <c r="G25" i="44" s="1"/>
  <c r="O21" i="49"/>
  <c r="A33" i="44" s="1"/>
  <c r="O12" i="49"/>
  <c r="A24" i="44" s="1"/>
  <c r="X18" i="49"/>
  <c r="J30" i="44" s="1"/>
  <c r="Q15" i="49"/>
  <c r="C27" i="44" s="1"/>
  <c r="W15" i="49"/>
  <c r="I27" i="44" s="1"/>
  <c r="T4" i="49"/>
  <c r="F16" i="44" s="1"/>
  <c r="P15" i="49"/>
  <c r="B27" i="44" s="1"/>
  <c r="S2" i="49"/>
  <c r="E14" i="44" s="1"/>
  <c r="R13" i="49"/>
  <c r="D25" i="44" s="1"/>
  <c r="P23" i="49"/>
  <c r="B35" i="44" s="1"/>
  <c r="X10" i="49"/>
  <c r="J22" i="44" s="1"/>
  <c r="R10" i="49"/>
  <c r="D22" i="44" s="1"/>
  <c r="P16" i="49"/>
  <c r="B28" i="44" s="1"/>
  <c r="V2" i="49"/>
  <c r="H14" i="44" s="1"/>
  <c r="U8" i="49"/>
  <c r="G20" i="44" s="1"/>
  <c r="X8" i="49"/>
  <c r="J20" i="44" s="1"/>
  <c r="X9" i="49"/>
  <c r="J21" i="44" s="1"/>
  <c r="V15" i="49"/>
  <c r="H27" i="44" s="1"/>
  <c r="O19" i="49"/>
  <c r="A31" i="44" s="1"/>
  <c r="Y10" i="49"/>
  <c r="K22" i="44" s="1"/>
  <c r="O18" i="49"/>
  <c r="A30" i="44" s="1"/>
  <c r="X11" i="49"/>
  <c r="J23" i="44" s="1"/>
  <c r="S18" i="49"/>
  <c r="E30" i="44" s="1"/>
  <c r="P14" i="47"/>
  <c r="D14" i="48" s="1"/>
  <c r="R4" i="49"/>
  <c r="D16" i="44" s="1"/>
  <c r="P46" i="47"/>
  <c r="D46" i="48" s="1"/>
  <c r="R8" i="49"/>
  <c r="D20" i="44" s="1"/>
  <c r="P22" i="49"/>
  <c r="B34" i="44" s="1"/>
  <c r="X2" i="49"/>
  <c r="J14" i="44" s="1"/>
  <c r="W3" i="49"/>
  <c r="I15" i="44" s="1"/>
  <c r="P4" i="49"/>
  <c r="B16" i="44" s="1"/>
  <c r="T16" i="49"/>
  <c r="F28" i="44" s="1"/>
  <c r="R12" i="49"/>
  <c r="D24" i="44" s="1"/>
  <c r="Y5" i="49"/>
  <c r="K17" i="44" s="1"/>
  <c r="U19" i="49"/>
  <c r="G31" i="44" s="1"/>
  <c r="O8" i="49"/>
  <c r="A20" i="44" s="1"/>
  <c r="R6" i="49"/>
  <c r="D18" i="44" s="1"/>
  <c r="P7" i="49"/>
  <c r="B19" i="44" s="1"/>
  <c r="S12" i="49"/>
  <c r="E24" i="44" s="1"/>
  <c r="R22" i="49"/>
  <c r="D34" i="44" s="1"/>
  <c r="T5" i="49"/>
  <c r="F17" i="44" s="1"/>
  <c r="S15" i="49"/>
  <c r="E27" i="44" s="1"/>
  <c r="T20" i="49"/>
  <c r="F32" i="44" s="1"/>
  <c r="R3" i="49"/>
  <c r="D15" i="44" s="1"/>
  <c r="X21" i="49"/>
  <c r="J33" i="44" s="1"/>
  <c r="X7" i="49"/>
  <c r="J19" i="44" s="1"/>
  <c r="V11" i="49"/>
  <c r="H23" i="44" s="1"/>
  <c r="W22" i="49"/>
  <c r="I34" i="44" s="1"/>
  <c r="O23" i="49"/>
  <c r="A35" i="44" s="1"/>
  <c r="Q8" i="49"/>
  <c r="C20" i="44" s="1"/>
  <c r="S7" i="49"/>
  <c r="E19" i="44" s="1"/>
  <c r="P51" i="47"/>
  <c r="W5" i="49"/>
  <c r="I17" i="44" s="1"/>
  <c r="Q5" i="49"/>
  <c r="C17" i="44" s="1"/>
  <c r="T3" i="49"/>
  <c r="F15" i="44" s="1"/>
  <c r="V17" i="49"/>
  <c r="H29" i="44" s="1"/>
  <c r="Y2" i="49"/>
  <c r="K14" i="44" s="1"/>
  <c r="O4" i="49"/>
  <c r="A16" i="44" s="1"/>
  <c r="S8" i="49"/>
  <c r="E20" i="44" s="1"/>
  <c r="P13" i="47"/>
  <c r="D13" i="48" s="1"/>
  <c r="U15" i="49"/>
  <c r="G27" i="44" s="1"/>
  <c r="P3" i="47"/>
  <c r="D3" i="48" s="1"/>
  <c r="P39" i="47"/>
  <c r="D39" i="48" s="1"/>
  <c r="P50" i="47"/>
  <c r="D50" i="48" s="1"/>
  <c r="S13" i="49"/>
  <c r="E25" i="44" s="1"/>
  <c r="O9" i="49"/>
  <c r="A21" i="44" s="1"/>
  <c r="Y3" i="49"/>
  <c r="K15" i="44" s="1"/>
  <c r="X12" i="49"/>
  <c r="J24" i="44" s="1"/>
  <c r="Q19" i="49"/>
  <c r="C31" i="44" s="1"/>
  <c r="W4" i="49"/>
  <c r="I16" i="44" s="1"/>
  <c r="R18" i="49"/>
  <c r="D30" i="44" s="1"/>
  <c r="W10" i="49"/>
  <c r="I22" i="44" s="1"/>
  <c r="U10" i="49"/>
  <c r="G22" i="44" s="1"/>
  <c r="P17" i="47"/>
  <c r="D17" i="48" s="1"/>
  <c r="P38" i="47"/>
  <c r="D38" i="48" s="1"/>
  <c r="T8" i="49"/>
  <c r="F20" i="44" s="1"/>
  <c r="Q6" i="49"/>
  <c r="C18" i="44" s="1"/>
  <c r="U14" i="49"/>
  <c r="G26" i="44" s="1"/>
  <c r="R11" i="49"/>
  <c r="D23" i="44" s="1"/>
  <c r="V18" i="49"/>
  <c r="H30" i="44" s="1"/>
  <c r="T21" i="49"/>
  <c r="F33" i="44" s="1"/>
  <c r="U22" i="49"/>
  <c r="G34" i="44" s="1"/>
  <c r="W7" i="49"/>
  <c r="I19" i="44" s="1"/>
  <c r="U21" i="49"/>
  <c r="G33" i="44" s="1"/>
  <c r="Q10" i="49"/>
  <c r="C22" i="44" s="1"/>
  <c r="Y16" i="49"/>
  <c r="K28" i="44" s="1"/>
  <c r="P27" i="47"/>
  <c r="D27" i="48" s="1"/>
  <c r="P13" i="49"/>
  <c r="B25" i="44" s="1"/>
  <c r="O7" i="49"/>
  <c r="A19" i="44" s="1"/>
  <c r="P32" i="47"/>
  <c r="D32" i="48" s="1"/>
  <c r="W21" i="49"/>
  <c r="I33" i="44" s="1"/>
  <c r="Y17" i="49"/>
  <c r="K29" i="44" s="1"/>
  <c r="V7" i="49"/>
  <c r="H19" i="44" s="1"/>
  <c r="P11" i="49"/>
  <c r="B23" i="44" s="1"/>
  <c r="T14" i="49"/>
  <c r="F26" i="44" s="1"/>
  <c r="O10" i="49"/>
  <c r="A22" i="44" s="1"/>
  <c r="O15" i="49"/>
  <c r="A27" i="44" s="1"/>
  <c r="O5" i="49"/>
  <c r="A17" i="44" s="1"/>
  <c r="T22" i="49"/>
  <c r="F34" i="44" s="1"/>
  <c r="Q2" i="49"/>
  <c r="C14" i="44" s="1"/>
  <c r="T7" i="49"/>
  <c r="F19" i="44" s="1"/>
  <c r="S20" i="49"/>
  <c r="E32" i="44" s="1"/>
  <c r="P24" i="47"/>
  <c r="D24" i="48" s="1"/>
  <c r="P3" i="49"/>
  <c r="B15" i="44" s="1"/>
  <c r="T12" i="49"/>
  <c r="F24" i="44" s="1"/>
  <c r="U20" i="49"/>
  <c r="G32" i="44" s="1"/>
  <c r="P18" i="47"/>
  <c r="D18" i="48" s="1"/>
  <c r="P5" i="47"/>
  <c r="D5" i="48" s="1"/>
  <c r="W6" i="49"/>
  <c r="I18" i="44" s="1"/>
  <c r="Q18" i="49"/>
  <c r="C30" i="44" s="1"/>
  <c r="X4" i="49"/>
  <c r="J16" i="44" s="1"/>
  <c r="Y19" i="49"/>
  <c r="K31" i="44" s="1"/>
  <c r="W13" i="49"/>
  <c r="I25" i="44" s="1"/>
  <c r="O20" i="49"/>
  <c r="A32" i="44" s="1"/>
  <c r="P48" i="47"/>
  <c r="D48" i="48" s="1"/>
  <c r="R17" i="49"/>
  <c r="D29" i="44" s="1"/>
  <c r="V10" i="49"/>
  <c r="H22" i="44" s="1"/>
  <c r="T15" i="49"/>
  <c r="F27" i="44" s="1"/>
  <c r="Y9" i="49"/>
  <c r="K21" i="44" s="1"/>
  <c r="T19" i="49"/>
  <c r="F31" i="44" s="1"/>
  <c r="O22" i="49"/>
  <c r="A34" i="44" s="1"/>
  <c r="Y22" i="49"/>
  <c r="K34" i="44" s="1"/>
  <c r="T9" i="49"/>
  <c r="F21" i="44" s="1"/>
  <c r="S14" i="49"/>
  <c r="E26" i="44" s="1"/>
  <c r="U12" i="49"/>
  <c r="G24" i="44" s="1"/>
  <c r="V3" i="49"/>
  <c r="H15" i="44" s="1"/>
  <c r="T17" i="49"/>
  <c r="F29" i="44" s="1"/>
  <c r="P17" i="49"/>
  <c r="B29" i="44" s="1"/>
  <c r="W23" i="49"/>
  <c r="I35" i="44" s="1"/>
  <c r="Q13" i="49"/>
  <c r="C25" i="44" s="1"/>
  <c r="M2" i="47"/>
  <c r="V21" i="49"/>
  <c r="H33" i="44" s="1"/>
  <c r="P35" i="47"/>
  <c r="D35" i="48" s="1"/>
  <c r="P4" i="47"/>
  <c r="D4" i="48" s="1"/>
  <c r="W17" i="49"/>
  <c r="I29" i="44" s="1"/>
  <c r="P22" i="47"/>
  <c r="D22" i="48" s="1"/>
  <c r="W2" i="49"/>
  <c r="I14" i="44" s="1"/>
  <c r="X3" i="49"/>
  <c r="J15" i="44" s="1"/>
  <c r="O14" i="49"/>
  <c r="A26" i="44" s="1"/>
  <c r="Q23" i="49"/>
  <c r="C35" i="44" s="1"/>
  <c r="P53" i="47"/>
  <c r="P37" i="47"/>
  <c r="D37" i="48" s="1"/>
  <c r="W11" i="49"/>
  <c r="I23" i="44" s="1"/>
  <c r="Y23" i="49"/>
  <c r="K35" i="44" s="1"/>
  <c r="R14" i="49"/>
  <c r="D26" i="44" s="1"/>
  <c r="X19" i="49"/>
  <c r="J31" i="44" s="1"/>
  <c r="W16" i="49"/>
  <c r="I28" i="44" s="1"/>
  <c r="S10" i="49"/>
  <c r="E22" i="44" s="1"/>
  <c r="R2" i="49"/>
  <c r="D14" i="44" s="1"/>
  <c r="R21" i="49"/>
  <c r="D33" i="44" s="1"/>
  <c r="Q17" i="49"/>
  <c r="C29" i="44" s="1"/>
  <c r="V19" i="49"/>
  <c r="H31" i="44" s="1"/>
  <c r="P7" i="47"/>
  <c r="D7" i="48" s="1"/>
  <c r="V9" i="49"/>
  <c r="H21" i="44" s="1"/>
  <c r="O11" i="49"/>
  <c r="A23" i="44" s="1"/>
  <c r="P36" i="47"/>
  <c r="D36" i="48" s="1"/>
  <c r="O17" i="49"/>
  <c r="A29" i="44" s="1"/>
  <c r="P34" i="47"/>
  <c r="D34" i="48" s="1"/>
  <c r="P21" i="49"/>
  <c r="B33" i="44" s="1"/>
  <c r="T23" i="49"/>
  <c r="F35" i="44" s="1"/>
  <c r="P42" i="47"/>
  <c r="D42" i="48" s="1"/>
  <c r="O16" i="49"/>
  <c r="A28" i="44" s="1"/>
  <c r="R19" i="49"/>
  <c r="D31" i="44" s="1"/>
  <c r="R9" i="49"/>
  <c r="D21" i="44" s="1"/>
  <c r="V13" i="49"/>
  <c r="H25" i="44" s="1"/>
  <c r="P14" i="49"/>
  <c r="B26" i="44" s="1"/>
  <c r="U4" i="49"/>
  <c r="G16" i="44" s="1"/>
  <c r="V22" i="49"/>
  <c r="H34" i="44" s="1"/>
  <c r="S4" i="49"/>
  <c r="E16" i="44" s="1"/>
  <c r="Y12" i="49"/>
  <c r="K24" i="44" s="1"/>
  <c r="Y20" i="49"/>
  <c r="K32" i="44" s="1"/>
  <c r="P6" i="47"/>
  <c r="D6" i="48" s="1"/>
  <c r="R15" i="49"/>
  <c r="D27" i="44" s="1"/>
  <c r="P12" i="47"/>
  <c r="D12" i="48" s="1"/>
  <c r="Q12" i="49"/>
  <c r="C24" i="44" s="1"/>
  <c r="W12" i="49"/>
  <c r="I24" i="44" s="1"/>
  <c r="S17" i="49"/>
  <c r="E29" i="44" s="1"/>
  <c r="P16" i="47"/>
  <c r="D16" i="48" s="1"/>
  <c r="P8" i="49"/>
  <c r="B20" i="44" s="1"/>
  <c r="P44" i="47"/>
  <c r="D44" i="48" s="1"/>
  <c r="P33" i="47"/>
  <c r="D33" i="48" s="1"/>
  <c r="Y13" i="49"/>
  <c r="K25" i="44" s="1"/>
  <c r="U23" i="49"/>
  <c r="G35" i="44" s="1"/>
  <c r="V14" i="49"/>
  <c r="H26" i="44" s="1"/>
  <c r="P43" i="47"/>
  <c r="D43" i="48" s="1"/>
  <c r="B11" i="44" l="1"/>
  <c r="F13" i="44"/>
  <c r="J12" i="44"/>
  <c r="K13" i="44"/>
  <c r="A12" i="44"/>
  <c r="B1" i="44" s="1"/>
  <c r="J13" i="44"/>
  <c r="D13" i="44"/>
  <c r="E13" i="44"/>
  <c r="I12" i="44"/>
  <c r="F12" i="44"/>
  <c r="C13" i="44"/>
  <c r="C12" i="44"/>
  <c r="H13" i="44"/>
  <c r="G13" i="44"/>
  <c r="B12" i="44"/>
  <c r="B10"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OnkoZert - Orsolya Penzes</author>
    <author xml:space="preserve">OnkoZert </author>
    <author>OnkoZert - Florina Dudu</author>
    <author>Florina</author>
  </authors>
  <commentList>
    <comment ref="C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0" shapeId="0" xr:uid="{CBCB2DC9-F7C8-4746-918C-E1887B02C95B}">
      <text>
        <r>
          <rPr>
            <sz val="9"/>
            <color indexed="81"/>
            <rFont val="Arial"/>
            <family val="2"/>
          </rPr>
          <t>Institute code for settlement with the social insurance institutions (9-digit number sequence: 26XXXXXXX).
Processing is only required for centers located in Germany.</t>
        </r>
      </text>
    </comment>
    <comment ref="L12" authorId="1" shapeId="0" xr:uid="{58914128-734E-4604-8898-5F2B7E7AAD23}">
      <text>
        <r>
          <rPr>
            <sz val="9"/>
            <color indexed="81"/>
            <rFont val="Arial"/>
            <family val="2"/>
          </rPr>
          <t>dd.mm.yyyy
Carry-over to other spreadsheets is automatic.</t>
        </r>
      </text>
    </comment>
    <comment ref="C14" authorId="0" shapeId="0" xr:uid="{44358C5E-6592-4AEF-94E6-043F3EC65ED5}">
      <text>
        <r>
          <rPr>
            <sz val="9"/>
            <color indexed="81"/>
            <rFont val="Arial"/>
            <family val="2"/>
          </rPr>
          <t>Identifier assigned by the Institute for the Hospital Remuneration System (InEK) (9-digit number sequence: 77XXXXXXX).
Processing is only required for centers located in Germany.</t>
        </r>
      </text>
    </comment>
    <comment ref="L14" authorId="1" shapeId="0" xr:uid="{D94DD860-7B6C-4D7C-9229-024AECC67D47}">
      <text>
        <r>
          <rPr>
            <sz val="9"/>
            <color indexed="81"/>
            <rFont val="Arial"/>
            <family val="2"/>
          </rPr>
          <t>Selection by Reg. No.</t>
        </r>
      </text>
    </comment>
    <comment ref="C16" authorId="0" shapeId="0" xr:uid="{00000000-0006-0000-0000-000003000000}">
      <text>
        <r>
          <rPr>
            <sz val="9"/>
            <color indexed="81"/>
            <rFont val="Arial"/>
            <family val="2"/>
          </rPr>
          <t>Name, first name</t>
        </r>
      </text>
    </comment>
    <comment ref="H21" authorId="1" shapeId="0" xr:uid="{326385F8-6AB7-4170-A323-76B8F8F955A8}">
      <text>
        <r>
          <rPr>
            <sz val="9"/>
            <color indexed="81"/>
            <rFont val="Arial"/>
            <family val="2"/>
          </rPr>
          <t xml:space="preserve">For the automatic generation of the Indicator Sheet and the matrix outcome quality, an evaluation tool (XML-OncoBox) is available which can be integrated into different tumour documentation systems. Further information about the XML-OncoBox can be accessed on www.onkozert.de. </t>
        </r>
      </text>
    </comment>
    <comment ref="A25" authorId="0" shapeId="0" xr:uid="{00000000-0006-0000-0000-000007000000}">
      <text>
        <r>
          <rPr>
            <sz val="9"/>
            <color indexed="81"/>
            <rFont val="Arial"/>
            <family val="2"/>
          </rPr>
          <t>CR = Catalogue of Requirements
IS = Indicator Sheet
IN = Indicator</t>
        </r>
      </text>
    </comment>
    <comment ref="G27" authorId="2" shapeId="0" xr:uid="{00000000-0006-0000-0000-000008000000}">
      <text>
        <r>
          <rPr>
            <sz val="9"/>
            <color indexed="81"/>
            <rFont val="Arial"/>
            <family val="2"/>
          </rPr>
          <t>not included in total case number</t>
        </r>
      </text>
    </comment>
    <comment ref="E28" authorId="3" shapeId="0" xr:uid="{00000000-0006-0000-0000-000009000000}">
      <text>
        <r>
          <rPr>
            <sz val="9"/>
            <color indexed="81"/>
            <rFont val="Arial"/>
            <family val="2"/>
          </rPr>
          <t>Part of denominator IN: 9</t>
        </r>
      </text>
    </comment>
    <comment ref="F28" authorId="3" shapeId="0" xr:uid="{00000000-0006-0000-0000-00000A000000}">
      <text>
        <r>
          <rPr>
            <sz val="9"/>
            <color indexed="81"/>
            <rFont val="Arial"/>
            <family val="2"/>
          </rPr>
          <t>Part of denominator IN: 9</t>
        </r>
      </text>
    </comment>
    <comment ref="E29" authorId="3" shapeId="0" xr:uid="{00000000-0006-0000-0000-00000B000000}">
      <text>
        <r>
          <rPr>
            <sz val="9"/>
            <color indexed="81"/>
            <rFont val="Arial"/>
            <family val="2"/>
          </rPr>
          <t>Part of denominator IN: 9</t>
        </r>
      </text>
    </comment>
    <comment ref="F29" authorId="3" shapeId="0" xr:uid="{00000000-0006-0000-0000-00000C000000}">
      <text>
        <r>
          <rPr>
            <sz val="9"/>
            <color indexed="81"/>
            <rFont val="Arial"/>
            <family val="2"/>
          </rPr>
          <t>Part of denominator IN: 9</t>
        </r>
      </text>
    </comment>
    <comment ref="E30" authorId="3" shapeId="0" xr:uid="{00000000-0006-0000-0000-00000D000000}">
      <text>
        <r>
          <rPr>
            <sz val="9"/>
            <color indexed="81"/>
            <rFont val="Arial"/>
            <family val="2"/>
          </rPr>
          <t>Part of denominator IN: 9</t>
        </r>
      </text>
    </comment>
    <comment ref="F30" authorId="3" shapeId="0" xr:uid="{00000000-0006-0000-0000-00000E000000}">
      <text>
        <r>
          <rPr>
            <sz val="9"/>
            <color indexed="81"/>
            <rFont val="Arial"/>
            <family val="2"/>
          </rPr>
          <t>Part of denominator IN: 9</t>
        </r>
      </text>
    </comment>
    <comment ref="D31" authorId="4" shapeId="0" xr:uid="{98075C83-6F28-47FC-8AD4-E3A46255859E}">
      <text>
        <r>
          <rPr>
            <sz val="9"/>
            <color indexed="81"/>
            <rFont val="Arial"/>
            <family val="2"/>
          </rPr>
          <t>Part of denominator IN: 13</t>
        </r>
      </text>
    </comment>
    <comment ref="E31" authorId="3" shapeId="0" xr:uid="{00000000-0006-0000-0000-00000F000000}">
      <text>
        <r>
          <rPr>
            <sz val="9"/>
            <color indexed="81"/>
            <rFont val="Arial"/>
            <family val="2"/>
          </rPr>
          <t>Part of denominators IN: 9, 13</t>
        </r>
      </text>
    </comment>
    <comment ref="F31" authorId="3" shapeId="0" xr:uid="{00000000-0006-0000-0000-000010000000}">
      <text>
        <r>
          <rPr>
            <sz val="9"/>
            <color indexed="81"/>
            <rFont val="Arial"/>
            <family val="2"/>
          </rPr>
          <t>Part of denominators IN: 9, 13</t>
        </r>
      </text>
    </comment>
    <comment ref="D32" authorId="4" shapeId="0" xr:uid="{C5E5445C-5721-44C7-8187-4C2639CE8708}">
      <text>
        <r>
          <rPr>
            <sz val="9"/>
            <color indexed="81"/>
            <rFont val="Arial"/>
            <family val="2"/>
          </rPr>
          <t>Part of denominator IN: 13</t>
        </r>
      </text>
    </comment>
    <comment ref="E32" authorId="3" shapeId="0" xr:uid="{00000000-0006-0000-0000-000011000000}">
      <text>
        <r>
          <rPr>
            <sz val="9"/>
            <color indexed="81"/>
            <rFont val="Arial"/>
            <family val="2"/>
          </rPr>
          <t>Part of denominators IN: 9, 13</t>
        </r>
      </text>
    </comment>
    <comment ref="F32" authorId="3" shapeId="0" xr:uid="{00000000-0006-0000-0000-000012000000}">
      <text>
        <r>
          <rPr>
            <sz val="9"/>
            <color indexed="81"/>
            <rFont val="Arial"/>
            <family val="2"/>
          </rPr>
          <t>Part of denominators IN: 9, 11, 13</t>
        </r>
      </text>
    </comment>
    <comment ref="J32" authorId="3" shapeId="0" xr:uid="{00000000-0006-0000-0000-000013000000}">
      <text>
        <r>
          <rPr>
            <sz val="9"/>
            <color indexed="81"/>
            <rFont val="Arial"/>
            <family val="2"/>
          </rPr>
          <t>Part of denominator IN: 13</t>
        </r>
      </text>
    </comment>
    <comment ref="D33" authorId="4" shapeId="0" xr:uid="{F835ED43-B626-4B09-91C2-9D7FB98A78BE}">
      <text>
        <r>
          <rPr>
            <sz val="9"/>
            <color indexed="81"/>
            <rFont val="Arial"/>
            <family val="2"/>
          </rPr>
          <t>Part of denominator IN: 13</t>
        </r>
      </text>
    </comment>
    <comment ref="E33" authorId="3" shapeId="0" xr:uid="{00000000-0006-0000-0000-000014000000}">
      <text>
        <r>
          <rPr>
            <sz val="9"/>
            <color indexed="81"/>
            <rFont val="Arial"/>
            <family val="2"/>
          </rPr>
          <t>Part of denominators IN: 9, 13</t>
        </r>
      </text>
    </comment>
    <comment ref="F33" authorId="3" shapeId="0" xr:uid="{00000000-0006-0000-0000-000015000000}">
      <text>
        <r>
          <rPr>
            <sz val="9"/>
            <color indexed="81"/>
            <rFont val="Arial"/>
            <family val="2"/>
          </rPr>
          <t>Part of denominators IN: 9, 11, 13</t>
        </r>
      </text>
    </comment>
    <comment ref="J33" authorId="3" shapeId="0" xr:uid="{00000000-0006-0000-0000-000016000000}">
      <text>
        <r>
          <rPr>
            <sz val="9"/>
            <color indexed="81"/>
            <rFont val="Arial"/>
            <family val="2"/>
          </rPr>
          <t>Part of denominator IN: 13</t>
        </r>
      </text>
    </comment>
    <comment ref="D34" authorId="4" shapeId="0" xr:uid="{55174697-07E6-4494-8071-2BF909587CA0}">
      <text>
        <r>
          <rPr>
            <sz val="9"/>
            <color indexed="81"/>
            <rFont val="Arial"/>
            <family val="2"/>
          </rPr>
          <t>Part of denominator IN: 13</t>
        </r>
      </text>
    </comment>
    <comment ref="E34" authorId="3" shapeId="0" xr:uid="{00000000-0006-0000-0000-000017000000}">
      <text>
        <r>
          <rPr>
            <sz val="9"/>
            <color indexed="81"/>
            <rFont val="Arial"/>
            <family val="2"/>
          </rPr>
          <t>Part of denominator IN: 13</t>
        </r>
      </text>
    </comment>
    <comment ref="F34" authorId="3" shapeId="0" xr:uid="{00000000-0006-0000-0000-000018000000}">
      <text>
        <r>
          <rPr>
            <sz val="9"/>
            <color indexed="81"/>
            <rFont val="Arial"/>
            <family val="2"/>
          </rPr>
          <t>Part of denominators IN: 11, 13</t>
        </r>
      </text>
    </comment>
    <comment ref="J34" authorId="3" shapeId="0" xr:uid="{00000000-0006-0000-0000-000019000000}">
      <text>
        <r>
          <rPr>
            <sz val="9"/>
            <color indexed="81"/>
            <rFont val="Arial"/>
            <family val="2"/>
          </rPr>
          <t>Part of denominator IN: 13</t>
        </r>
      </text>
    </comment>
    <comment ref="D35" authorId="4" shapeId="0" xr:uid="{454351B6-403E-4198-B927-415165827070}">
      <text>
        <r>
          <rPr>
            <sz val="9"/>
            <color indexed="81"/>
            <rFont val="Arial"/>
            <family val="2"/>
          </rPr>
          <t>Part of denominator IN: 13</t>
        </r>
      </text>
    </comment>
    <comment ref="E35" authorId="3" shapeId="0" xr:uid="{00000000-0006-0000-0000-00001A000000}">
      <text>
        <r>
          <rPr>
            <sz val="9"/>
            <color indexed="81"/>
            <rFont val="Arial"/>
            <family val="2"/>
          </rPr>
          <t>Part of denominator IN: 13</t>
        </r>
      </text>
    </comment>
    <comment ref="F35" authorId="3" shapeId="0" xr:uid="{00000000-0006-0000-0000-00001B000000}">
      <text>
        <r>
          <rPr>
            <sz val="9"/>
            <color indexed="81"/>
            <rFont val="Arial"/>
            <family val="2"/>
          </rPr>
          <t>Part of denominators IN: 11, 13</t>
        </r>
      </text>
    </comment>
    <comment ref="J35" authorId="3" shapeId="0" xr:uid="{00000000-0006-0000-0000-00001C000000}">
      <text>
        <r>
          <rPr>
            <sz val="9"/>
            <color indexed="81"/>
            <rFont val="Arial"/>
            <family val="2"/>
          </rPr>
          <t>Part of denominator IN: 13</t>
        </r>
      </text>
    </comment>
    <comment ref="D36" authorId="4" shapeId="0" xr:uid="{D9AE9E90-4CC6-48A2-9B4B-B6BE281E0003}">
      <text>
        <r>
          <rPr>
            <sz val="9"/>
            <color indexed="81"/>
            <rFont val="Arial"/>
            <family val="2"/>
          </rPr>
          <t>Part of denominator IN: 13</t>
        </r>
      </text>
    </comment>
    <comment ref="E36" authorId="3" shapeId="0" xr:uid="{00000000-0006-0000-0000-00001D000000}">
      <text>
        <r>
          <rPr>
            <sz val="9"/>
            <color indexed="81"/>
            <rFont val="Arial"/>
            <family val="2"/>
          </rPr>
          <t>Part of denominator IN: 13</t>
        </r>
      </text>
    </comment>
    <comment ref="F36" authorId="3" shapeId="0" xr:uid="{00000000-0006-0000-0000-00001E000000}">
      <text>
        <r>
          <rPr>
            <sz val="9"/>
            <color indexed="81"/>
            <rFont val="Arial"/>
            <family val="2"/>
          </rPr>
          <t>Part of denominators IN:  11, 13</t>
        </r>
      </text>
    </comment>
    <comment ref="J36" authorId="3" shapeId="0" xr:uid="{00000000-0006-0000-0000-00001F000000}">
      <text>
        <r>
          <rPr>
            <sz val="9"/>
            <color indexed="81"/>
            <rFont val="Arial"/>
            <family val="2"/>
          </rPr>
          <t>Part of denominator IN: 13</t>
        </r>
      </text>
    </comment>
    <comment ref="D37" authorId="4" shapeId="0" xr:uid="{59D9F573-40C8-45B8-8A63-0CA2F21F64B2}">
      <text>
        <r>
          <rPr>
            <sz val="9"/>
            <color indexed="81"/>
            <rFont val="Arial"/>
            <family val="2"/>
          </rPr>
          <t>Part of denominator IN: 13</t>
        </r>
      </text>
    </comment>
    <comment ref="E37" authorId="3" shapeId="0" xr:uid="{E54C90C9-4C32-4844-86B7-E934F3495663}">
      <text>
        <r>
          <rPr>
            <sz val="9"/>
            <color indexed="81"/>
            <rFont val="Arial"/>
            <family val="2"/>
          </rPr>
          <t>Part of denominator IN: 13</t>
        </r>
      </text>
    </comment>
    <comment ref="F37" authorId="3" shapeId="0" xr:uid="{87A21AD7-8C48-4FB8-BC61-12DBF3585741}">
      <text>
        <r>
          <rPr>
            <sz val="9"/>
            <color indexed="81"/>
            <rFont val="Arial"/>
            <family val="2"/>
          </rPr>
          <t>Part of denominators IN:  11, 13</t>
        </r>
      </text>
    </comment>
    <comment ref="J37" authorId="4" shapeId="0" xr:uid="{A1D1B72C-A8B8-41F9-A182-755F0F693FB8}">
      <text>
        <r>
          <rPr>
            <sz val="9"/>
            <color indexed="81"/>
            <rFont val="Arial"/>
            <family val="2"/>
          </rPr>
          <t>Part of denominator IN: 13</t>
        </r>
      </text>
    </comment>
    <comment ref="D38" authorId="4" shapeId="0" xr:uid="{A7858349-DE73-43AC-8D4E-EBF7A3E1F1FC}">
      <text>
        <r>
          <rPr>
            <sz val="9"/>
            <color indexed="81"/>
            <rFont val="Arial"/>
            <family val="2"/>
          </rPr>
          <t>Part of denominator IN: 8</t>
        </r>
      </text>
    </comment>
    <comment ref="E38" authorId="5" shapeId="0" xr:uid="{00000000-0006-0000-0000-000020000000}">
      <text>
        <r>
          <rPr>
            <sz val="9"/>
            <color indexed="81"/>
            <rFont val="Arial"/>
            <family val="2"/>
          </rPr>
          <t>Part of denominators IN: 8</t>
        </r>
      </text>
    </comment>
    <comment ref="F38" authorId="5" shapeId="0" xr:uid="{00000000-0006-0000-0000-000021000000}">
      <text>
        <r>
          <rPr>
            <sz val="9"/>
            <color indexed="81"/>
            <rFont val="Arial"/>
            <family val="2"/>
          </rPr>
          <t>Part of denominators IN: 8</t>
        </r>
      </text>
    </comment>
    <comment ref="J38" authorId="5" shapeId="0" xr:uid="{00000000-0006-0000-0000-000022000000}">
      <text>
        <r>
          <rPr>
            <sz val="9"/>
            <color indexed="81"/>
            <rFont val="Arial"/>
            <family val="2"/>
          </rPr>
          <t>Part of denominator IN: 8</t>
        </r>
      </text>
    </comment>
    <comment ref="D41" authorId="4" shapeId="0" xr:uid="{152F22FB-66A9-4D35-B806-79EE4A6FC29B}">
      <text>
        <r>
          <rPr>
            <sz val="9"/>
            <color indexed="81"/>
            <rFont val="Arial"/>
            <family val="2"/>
          </rPr>
          <t>Part of denominator IN: 14</t>
        </r>
      </text>
    </comment>
    <comment ref="H41" authorId="3" shapeId="0" xr:uid="{00000000-0006-0000-0000-000023000000}">
      <text>
        <r>
          <rPr>
            <sz val="9"/>
            <color indexed="81"/>
            <rFont val="Arial"/>
            <family val="2"/>
          </rPr>
          <t>Part of denominator IN: 14</t>
        </r>
      </text>
    </comment>
    <comment ref="I41" authorId="3" shapeId="0" xr:uid="{00000000-0006-0000-0000-000024000000}">
      <text>
        <r>
          <rPr>
            <sz val="9"/>
            <color indexed="81"/>
            <rFont val="Arial"/>
            <family val="2"/>
          </rPr>
          <t>Part of denominator IN: 14</t>
        </r>
      </text>
    </comment>
    <comment ref="J41" authorId="3" shapeId="0" xr:uid="{00000000-0006-0000-0000-000025000000}">
      <text>
        <r>
          <rPr>
            <sz val="9"/>
            <color indexed="81"/>
            <rFont val="Arial"/>
            <family val="2"/>
          </rPr>
          <t>Part of denominator IN: 14</t>
        </r>
      </text>
    </comment>
    <comment ref="D42" authorId="4" shapeId="0" xr:uid="{B86973E6-18F0-491A-8904-D94E75545954}">
      <text>
        <r>
          <rPr>
            <sz val="9"/>
            <color indexed="81"/>
            <rFont val="Arial"/>
            <family val="2"/>
          </rPr>
          <t>Part of denominator IN: 14</t>
        </r>
      </text>
    </comment>
    <comment ref="H42" authorId="3" shapeId="0" xr:uid="{00000000-0006-0000-0000-000026000000}">
      <text>
        <r>
          <rPr>
            <sz val="9"/>
            <color indexed="81"/>
            <rFont val="Arial"/>
            <family val="2"/>
          </rPr>
          <t>Part of denominator IN: 14</t>
        </r>
      </text>
    </comment>
    <comment ref="I42" authorId="3" shapeId="0" xr:uid="{00000000-0006-0000-0000-000027000000}">
      <text>
        <r>
          <rPr>
            <sz val="9"/>
            <color indexed="81"/>
            <rFont val="Arial"/>
            <family val="2"/>
          </rPr>
          <t>Part of denominator IN: 14</t>
        </r>
      </text>
    </comment>
    <comment ref="J42" authorId="3" shapeId="0" xr:uid="{00000000-0006-0000-0000-000028000000}">
      <text>
        <r>
          <rPr>
            <sz val="9"/>
            <color indexed="81"/>
            <rFont val="Arial"/>
            <family val="2"/>
          </rPr>
          <t>Part of denominator IN: 14</t>
        </r>
      </text>
    </comment>
    <comment ref="D43" authorId="4" shapeId="0" xr:uid="{2B085A6C-BC5C-402C-B6B6-706716F34A8E}">
      <text>
        <r>
          <rPr>
            <sz val="9"/>
            <color indexed="81"/>
            <rFont val="Arial"/>
            <family val="2"/>
          </rPr>
          <t>Part of denominator IN: 14</t>
        </r>
      </text>
    </comment>
    <comment ref="H43" authorId="3" shapeId="0" xr:uid="{00000000-0006-0000-0000-000029000000}">
      <text>
        <r>
          <rPr>
            <sz val="9"/>
            <color indexed="81"/>
            <rFont val="Arial"/>
            <family val="2"/>
          </rPr>
          <t>Part of denominator IN: 14</t>
        </r>
      </text>
    </comment>
    <comment ref="I43" authorId="3" shapeId="0" xr:uid="{00000000-0006-0000-0000-00002A000000}">
      <text>
        <r>
          <rPr>
            <sz val="9"/>
            <color indexed="81"/>
            <rFont val="Arial"/>
            <family val="2"/>
          </rPr>
          <t>Part of denominator IN: 14</t>
        </r>
      </text>
    </comment>
    <comment ref="J43" authorId="3" shapeId="0" xr:uid="{00000000-0006-0000-0000-00002B000000}">
      <text>
        <r>
          <rPr>
            <sz val="9"/>
            <color indexed="81"/>
            <rFont val="Arial"/>
            <family val="2"/>
          </rPr>
          <t>Part of denominator IN: 14</t>
        </r>
      </text>
    </comment>
    <comment ref="D44" authorId="4" shapeId="0" xr:uid="{9B4EA165-F4E7-4C79-9E24-6D93E0B33E5A}">
      <text>
        <r>
          <rPr>
            <sz val="9"/>
            <color indexed="81"/>
            <rFont val="Arial"/>
            <family val="2"/>
          </rPr>
          <t>Part of denominator IN: 14</t>
        </r>
      </text>
    </comment>
    <comment ref="H44" authorId="3" shapeId="0" xr:uid="{00000000-0006-0000-0000-00002C000000}">
      <text>
        <r>
          <rPr>
            <sz val="9"/>
            <color indexed="81"/>
            <rFont val="Arial"/>
            <family val="2"/>
          </rPr>
          <t>Part of denominator IN: 14</t>
        </r>
      </text>
    </comment>
    <comment ref="I44" authorId="3" shapeId="0" xr:uid="{00000000-0006-0000-0000-00002D000000}">
      <text>
        <r>
          <rPr>
            <sz val="9"/>
            <color indexed="81"/>
            <rFont val="Arial"/>
            <family val="2"/>
          </rPr>
          <t>Part of denominator IN: 14</t>
        </r>
      </text>
    </comment>
    <comment ref="J44" authorId="3" shapeId="0" xr:uid="{00000000-0006-0000-0000-00002E000000}">
      <text>
        <r>
          <rPr>
            <sz val="9"/>
            <color indexed="81"/>
            <rFont val="Arial"/>
            <family val="2"/>
          </rPr>
          <t>Part of denominator IN: 14</t>
        </r>
      </text>
    </comment>
    <comment ref="D45" authorId="4" shapeId="0" xr:uid="{D81A9D0F-2F6D-486D-A45E-87279B706EC1}">
      <text>
        <r>
          <rPr>
            <sz val="9"/>
            <color indexed="81"/>
            <rFont val="Arial"/>
            <family val="2"/>
          </rPr>
          <t>Part of denominator IN: 14</t>
        </r>
      </text>
    </comment>
    <comment ref="H45" authorId="3" shapeId="0" xr:uid="{00000000-0006-0000-0000-00002F000000}">
      <text>
        <r>
          <rPr>
            <sz val="9"/>
            <color indexed="81"/>
            <rFont val="Arial"/>
            <family val="2"/>
          </rPr>
          <t>Part of denominator IN: 14</t>
        </r>
      </text>
    </comment>
    <comment ref="I45" authorId="3" shapeId="0" xr:uid="{00000000-0006-0000-0000-000030000000}">
      <text>
        <r>
          <rPr>
            <sz val="9"/>
            <color indexed="81"/>
            <rFont val="Arial"/>
            <family val="2"/>
          </rPr>
          <t>Part of denominator IN: 14</t>
        </r>
      </text>
    </comment>
    <comment ref="J45" authorId="3" shapeId="0" xr:uid="{00000000-0006-0000-0000-000031000000}">
      <text>
        <r>
          <rPr>
            <sz val="9"/>
            <color indexed="81"/>
            <rFont val="Arial"/>
            <family val="2"/>
          </rPr>
          <t>Part of denominator IN: 14</t>
        </r>
      </text>
    </comment>
    <comment ref="D46" authorId="4" shapeId="0" xr:uid="{6C8F48F3-5703-42B6-A2E5-6D015C193B29}">
      <text>
        <r>
          <rPr>
            <sz val="9"/>
            <color indexed="81"/>
            <rFont val="Arial"/>
            <family val="2"/>
          </rPr>
          <t>Part of denominator IN: 14</t>
        </r>
      </text>
    </comment>
    <comment ref="H46" authorId="3" shapeId="0" xr:uid="{00000000-0006-0000-0000-000032000000}">
      <text>
        <r>
          <rPr>
            <sz val="9"/>
            <color indexed="81"/>
            <rFont val="Arial"/>
            <family val="2"/>
          </rPr>
          <t>Part of denominator IN: 14</t>
        </r>
      </text>
    </comment>
    <comment ref="I46" authorId="3" shapeId="0" xr:uid="{00000000-0006-0000-0000-000033000000}">
      <text>
        <r>
          <rPr>
            <sz val="9"/>
            <color indexed="81"/>
            <rFont val="Arial"/>
            <family val="2"/>
          </rPr>
          <t>Part of denominator IN: 14</t>
        </r>
      </text>
    </comment>
    <comment ref="J46" authorId="3" shapeId="0" xr:uid="{00000000-0006-0000-0000-000034000000}">
      <text>
        <r>
          <rPr>
            <sz val="9"/>
            <color indexed="81"/>
            <rFont val="Arial"/>
            <family val="2"/>
          </rPr>
          <t>Part of denominator IN: 14</t>
        </r>
      </text>
    </comment>
    <comment ref="D47" authorId="4" shapeId="0" xr:uid="{A1C36E11-A0A5-47DB-855C-EE7BDD4E3971}">
      <text>
        <r>
          <rPr>
            <sz val="9"/>
            <color indexed="81"/>
            <rFont val="Arial"/>
            <family val="2"/>
          </rPr>
          <t>Part of denominator IN: 14</t>
        </r>
      </text>
    </comment>
    <comment ref="H47" authorId="3" shapeId="0" xr:uid="{00000000-0006-0000-0000-000035000000}">
      <text>
        <r>
          <rPr>
            <sz val="9"/>
            <color indexed="81"/>
            <rFont val="Arial"/>
            <family val="2"/>
          </rPr>
          <t>Part of denominator IN: 14</t>
        </r>
      </text>
    </comment>
    <comment ref="I47" authorId="3" shapeId="0" xr:uid="{00000000-0006-0000-0000-000036000000}">
      <text>
        <r>
          <rPr>
            <sz val="9"/>
            <color indexed="81"/>
            <rFont val="Arial"/>
            <family val="2"/>
          </rPr>
          <t>Part of denominator IN: 14</t>
        </r>
      </text>
    </comment>
    <comment ref="J47" authorId="3" shapeId="0" xr:uid="{00000000-0006-0000-0000-000037000000}">
      <text>
        <r>
          <rPr>
            <sz val="9"/>
            <color indexed="81"/>
            <rFont val="Arial"/>
            <family val="2"/>
          </rPr>
          <t>Part of denominator IN: 14</t>
        </r>
      </text>
    </comment>
    <comment ref="D48" authorId="4" shapeId="0" xr:uid="{D88BF731-E98A-4CD1-B049-1DDB6C78F32C}">
      <text>
        <r>
          <rPr>
            <sz val="9"/>
            <color indexed="81"/>
            <rFont val="Arial"/>
            <family val="2"/>
          </rPr>
          <t>Part of denominator IN: 14</t>
        </r>
      </text>
    </comment>
    <comment ref="H48" authorId="3" shapeId="0" xr:uid="{00000000-0006-0000-0000-000038000000}">
      <text>
        <r>
          <rPr>
            <sz val="9"/>
            <color indexed="81"/>
            <rFont val="Arial"/>
            <family val="2"/>
          </rPr>
          <t>Part of denominator IN: 14</t>
        </r>
      </text>
    </comment>
    <comment ref="I48" authorId="3" shapeId="0" xr:uid="{00000000-0006-0000-0000-000039000000}">
      <text>
        <r>
          <rPr>
            <sz val="9"/>
            <color indexed="81"/>
            <rFont val="Arial"/>
            <family val="2"/>
          </rPr>
          <t>Part of denominator IN: 14</t>
        </r>
      </text>
    </comment>
    <comment ref="J48" authorId="3" shapeId="0" xr:uid="{00000000-0006-0000-0000-00003A000000}">
      <text>
        <r>
          <rPr>
            <sz val="9"/>
            <color indexed="81"/>
            <rFont val="Arial"/>
            <family val="2"/>
          </rPr>
          <t>Part of denominator IN: 14</t>
        </r>
      </text>
    </comment>
    <comment ref="M55" authorId="3" shapeId="0" xr:uid="{00000000-0006-0000-0000-00003C000000}">
      <text>
        <r>
          <rPr>
            <sz val="9"/>
            <color indexed="81"/>
            <rFont val="Arial"/>
            <family val="2"/>
          </rPr>
          <t>Number IN: 7</t>
        </r>
      </text>
    </comment>
    <comment ref="D56" authorId="4" shapeId="0" xr:uid="{21A25236-6335-42CE-9B0D-5B5DF6B40CC2}">
      <text>
        <r>
          <rPr>
            <sz val="9"/>
            <color indexed="81"/>
            <rFont val="Arial"/>
            <family val="2"/>
          </rPr>
          <t>Denominator IN: 4
Number IN: 6a</t>
        </r>
      </text>
    </comment>
    <comment ref="K56" authorId="5" shapeId="0" xr:uid="{00000000-0006-0000-0000-00003E000000}">
      <text>
        <r>
          <rPr>
            <sz val="9"/>
            <color indexed="81"/>
            <rFont val="Arial"/>
            <family val="2"/>
          </rPr>
          <t>Number IN: 6b</t>
        </r>
      </text>
    </comment>
    <comment ref="M56" authorId="3" shapeId="0" xr:uid="{00000000-0006-0000-0000-00003F000000}">
      <text>
        <r>
          <rPr>
            <sz val="9"/>
            <color indexed="81"/>
            <rFont val="Arial"/>
            <family val="2"/>
          </rPr>
          <t>Denominator IN: 1, 2, 3
Number IN: 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A4E622BE-2A74-4822-B413-7964BFBD835C}">
      <text>
        <r>
          <rPr>
            <sz val="9"/>
            <color indexed="81"/>
            <rFont val="Arial"/>
            <family val="2"/>
          </rPr>
          <t>Numerator IN 4</t>
        </r>
      </text>
    </comment>
    <comment ref="A9" authorId="0" shapeId="0" xr:uid="{9BF3BF17-C195-42F0-8F57-CC0AB12A708A}">
      <text>
        <r>
          <rPr>
            <sz val="9"/>
            <color indexed="81"/>
            <rFont val="Arial"/>
            <family val="2"/>
          </rPr>
          <t>Responsible co-operation partner: 
- Internal: Study unit/department responsible for the supervision of the study (e.g. Department of Radio-oncology; Haematology/Oncology Group Practice Dr Example; ...). Name of co-operation partner identical to www.oncomap.de, if listed.
- External: Centre (name as listed at www.oncomap.de) or clinic.</t>
        </r>
      </text>
    </comment>
    <comment ref="D10" authorId="0" shapeId="0" xr:uid="{2565E3A4-09CE-4A42-AF7A-C38B606E0861}">
      <text>
        <r>
          <rPr>
            <sz val="9"/>
            <color indexed="81"/>
            <rFont val="Arial"/>
            <family val="2"/>
          </rPr>
          <t>Optional, see section 1.7.5.a</t>
        </r>
      </text>
    </comment>
    <comment ref="E10" authorId="0" shapeId="0" xr:uid="{940F3ED4-BC63-4512-B6AC-99CC94FF0339}">
      <text>
        <r>
          <rPr>
            <sz val="9"/>
            <color indexed="81"/>
            <rFont val="Arial"/>
            <family val="2"/>
          </rPr>
          <t>Optional, see section 1.7.5.a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 xml:space="preserve">OnkoZert </author>
    <author>Florina</author>
    <author>o.penzes</author>
  </authors>
  <commentList>
    <comment ref="C4" authorId="0" shapeId="0" xr:uid="{00000000-0006-0000-0400-000002000000}">
      <text>
        <r>
          <rPr>
            <sz val="9"/>
            <color indexed="81"/>
            <rFont val="Arial"/>
            <family val="2"/>
          </rPr>
          <t>Carry-over from spreadsheet Basic data</t>
        </r>
      </text>
    </comment>
    <comment ref="F4" authorId="0" shapeId="0" xr:uid="{00000000-0006-0000-0400-000001000000}">
      <text>
        <r>
          <rPr>
            <sz val="9"/>
            <color indexed="81"/>
            <rFont val="Arial"/>
            <family val="2"/>
          </rPr>
          <t>Carry-over from spreadsheet Basic data</t>
        </r>
      </text>
    </comment>
    <comment ref="A6" authorId="0" shapeId="0" xr:uid="{00000000-0006-0000-0400-000004000000}">
      <text>
        <r>
          <rPr>
            <sz val="9"/>
            <color indexed="81"/>
            <rFont val="Arial"/>
            <family val="2"/>
          </rPr>
          <t>IN = Indicator</t>
        </r>
      </text>
    </comment>
    <comment ref="B6" authorId="0" shapeId="0" xr:uid="{00000000-0006-0000-0400-000005000000}">
      <text>
        <r>
          <rPr>
            <sz val="9"/>
            <color indexed="81"/>
            <rFont val="Arial"/>
            <family val="2"/>
          </rPr>
          <t xml:space="preserve">CR = Catalogue of Requirements
GL QI = guideline dervied quality indicator </t>
        </r>
      </text>
    </comment>
    <comment ref="N6" authorId="0" shapeId="0" xr:uid="{00000000-0006-0000-0400-000006000000}">
      <text>
        <r>
          <rPr>
            <sz val="9"/>
            <color indexed="81"/>
            <rFont val="Arial"/>
            <family val="2"/>
          </rPr>
          <t>Please first fully process the spreadsheet Basic data, then complete grey fields Current values.</t>
        </r>
      </text>
    </comment>
    <comment ref="Q7" authorId="0" shapeId="0" xr:uid="{00000000-0006-0000-0400-000007000000}">
      <text>
        <r>
          <rPr>
            <sz val="9"/>
            <color indexed="81"/>
            <rFont val="Arial"/>
            <family val="2"/>
          </rPr>
          <t xml:space="preserve">When data field is grey, please provide explanation for the obtained results (for this IN) </t>
        </r>
      </text>
    </comment>
    <comment ref="O9" authorId="0" shapeId="0" xr:uid="{00000000-0006-0000-0400-000008000000}">
      <text>
        <r>
          <rPr>
            <sz val="9"/>
            <color indexed="81"/>
            <rFont val="Arial"/>
            <family val="2"/>
          </rPr>
          <t>Carry over from spreadsheet Basic Data
Total number of cases
Cell M56</t>
        </r>
      </text>
    </comment>
    <comment ref="C11" authorId="1" shapeId="0" xr:uid="{7DBEBD91-78CA-4CCD-8269-368DFA034F5B}">
      <text>
        <r>
          <rPr>
            <sz val="9"/>
            <color indexed="81"/>
            <rFont val="Arial"/>
            <family val="2"/>
          </rPr>
          <t>Screening instruments can be found in the S3 guideline Psycho-oncological diagnosis, counselling and treatment of adult cancer patients.</t>
        </r>
      </text>
    </comment>
    <comment ref="F11" authorId="1" shapeId="0" xr:uid="{F74BC7B4-854F-47F3-8683-AB23F6AF836C}">
      <text>
        <r>
          <rPr>
            <sz val="9"/>
            <color indexed="81"/>
            <rFont val="Arial"/>
            <family val="2"/>
          </rPr>
          <t>Distress-screening includes  the use of a valid distress instrument (analogous to the S3 guideline on psycho-oncological diagnosis, counselling and treatment of adult cancer patient).</t>
        </r>
      </text>
    </comment>
    <comment ref="O12" authorId="0" shapeId="0" xr:uid="{00000000-0006-0000-0400-000009000000}">
      <text>
        <r>
          <rPr>
            <sz val="9"/>
            <color indexed="81"/>
            <rFont val="Arial"/>
            <family val="2"/>
          </rPr>
          <t>Carry over from spreadsheet Basic Data
Total number of cases
Cell M56</t>
        </r>
      </text>
    </comment>
    <comment ref="O15" authorId="0" shapeId="0" xr:uid="{00000000-0006-0000-0400-00000A000000}">
      <text>
        <r>
          <rPr>
            <sz val="9"/>
            <color indexed="81"/>
            <rFont val="Arial"/>
            <family val="2"/>
          </rPr>
          <t>Carry over from spreadsheet Basic Data
Total number of cases
Cell M56</t>
        </r>
      </text>
    </comment>
    <comment ref="O17" authorId="2" shapeId="0" xr:uid="{00000000-0006-0000-0400-00000B000000}">
      <text>
        <r>
          <rPr>
            <sz val="9"/>
            <color indexed="81"/>
            <rFont val="Arial"/>
            <family val="2"/>
          </rPr>
          <t>Numerator is no subset of the denominator.
Carry over from spreadsheet Studies Cell E5</t>
        </r>
      </text>
    </comment>
    <comment ref="O18" authorId="0" shapeId="0" xr:uid="{00000000-0006-0000-0400-00000C000000}">
      <text>
        <r>
          <rPr>
            <sz val="9"/>
            <color indexed="81"/>
            <rFont val="Arial"/>
            <family val="2"/>
          </rPr>
          <t>Carry over from spreadsheet Basic Data
Primary cases
Cell D56</t>
        </r>
      </text>
    </comment>
    <comment ref="O20" authorId="0" shapeId="0" xr:uid="{00000000-0006-0000-0400-00000D000000}">
      <text>
        <r>
          <rPr>
            <sz val="9"/>
            <color indexed="81"/>
            <rFont val="Arial"/>
            <family val="2"/>
          </rPr>
          <t>Carry over from spreadsheet Basic Data
Total number of cases
Cell M56</t>
        </r>
      </text>
    </comment>
    <comment ref="O23" authorId="0" shapeId="0" xr:uid="{00000000-0006-0000-0400-00000E000000}">
      <text>
        <r>
          <rPr>
            <sz val="9"/>
            <color indexed="81"/>
            <rFont val="Arial"/>
            <family val="2"/>
          </rPr>
          <t>Carry over from spreadsheet Basic Data
Primary cases
Cell D56</t>
        </r>
      </text>
    </comment>
    <comment ref="O26" authorId="3" shapeId="0" xr:uid="{00000000-0006-0000-0400-00000F000000}">
      <text>
        <r>
          <rPr>
            <sz val="9"/>
            <color indexed="81"/>
            <rFont val="Arial"/>
            <family val="2"/>
          </rPr>
          <t>Carry over from spreadsheet Basic Data Non-primary cases Cell K56</t>
        </r>
      </text>
    </comment>
    <comment ref="O29" authorId="0" shapeId="0" xr:uid="{00000000-0006-0000-0400-000010000000}">
      <text>
        <r>
          <rPr>
            <sz val="9"/>
            <color indexed="81"/>
            <rFont val="Arial"/>
            <family val="2"/>
          </rPr>
          <t>Carry over from spreadsheet Basic Data
Operated
Cell M55</t>
        </r>
      </text>
    </comment>
    <comment ref="O33" authorId="4" shapeId="0" xr:uid="{00000000-0006-0000-0400-000011000000}">
      <text>
        <r>
          <rPr>
            <sz val="9"/>
            <color indexed="81"/>
            <rFont val="Arial"/>
            <family val="2"/>
          </rPr>
          <t>Basic data
Surgical primary cases with ovarian carcinoma
Cells D38 + E38 + F38 + J38</t>
        </r>
      </text>
    </comment>
    <comment ref="C35" authorId="1" shapeId="0" xr:uid="{929CD143-48DC-4EE5-8B84-DED7EC234BF7}">
      <text>
        <r>
          <rPr>
            <sz val="9"/>
            <color indexed="81"/>
            <rFont val="Arial"/>
            <family val="2"/>
          </rPr>
          <t>For further explanations see FAQ.</t>
        </r>
      </text>
    </comment>
    <comment ref="O36" authorId="0" shapeId="0" xr:uid="{00000000-0006-0000-0400-000012000000}">
      <text>
        <r>
          <rPr>
            <sz val="9"/>
            <color indexed="81"/>
            <rFont val="Arial"/>
            <family val="2"/>
          </rPr>
          <t>Carry-over from speadsheet 
Basic data
Surgical primary cases with ovarian carcinoma FIGO IA – IIIA
cells (E28:E33) + (F28:F33)</t>
        </r>
      </text>
    </comment>
    <comment ref="C38" authorId="1" shapeId="0" xr:uid="{291A0F50-AD6E-4A2E-8109-6F2462624591}">
      <text>
        <r>
          <rPr>
            <sz val="9"/>
            <color indexed="81"/>
            <rFont val="Arial"/>
            <family val="2"/>
          </rPr>
          <t>For further explanations see FAQ.</t>
        </r>
      </text>
    </comment>
    <comment ref="C41" authorId="1" shapeId="0" xr:uid="{98E3CA47-CD80-49C5-BD95-561561A906CC}">
      <text>
        <r>
          <rPr>
            <sz val="9"/>
            <color indexed="81"/>
            <rFont val="Arial"/>
            <family val="2"/>
          </rPr>
          <t>For further explanations see FAQ.</t>
        </r>
      </text>
    </comment>
    <comment ref="O42" authorId="0" shapeId="0" xr:uid="{00000000-0006-0000-0400-000014000000}">
      <text>
        <r>
          <rPr>
            <sz val="9"/>
            <color indexed="81"/>
            <rFont val="Arial"/>
            <family val="2"/>
          </rPr>
          <t>Carry-over from speadsheet 
Basic data
Surgical primary cases with ovarian carcinoma
FIGO IIB – IV cells F32 to F37
Only "definitive surgery = staging surgery"</t>
        </r>
      </text>
    </comment>
    <comment ref="C47" authorId="1" shapeId="0" xr:uid="{2D01A0F7-B793-450B-94BB-FD8EC1BF4BF6}">
      <text>
        <r>
          <rPr>
            <sz val="9"/>
            <color indexed="81"/>
            <rFont val="Arial"/>
            <family val="2"/>
          </rPr>
          <t>For further explanations see FAQ.</t>
        </r>
      </text>
    </comment>
    <comment ref="O47" authorId="0" shapeId="0" xr:uid="{00000000-0006-0000-0400-000015000000}">
      <text>
        <r>
          <rPr>
            <sz val="9"/>
            <color indexed="81"/>
            <rFont val="Arial"/>
            <family val="2"/>
          </rPr>
          <t xml:space="preserve">Only chemotherapies for which the indicated dose was administered are counted.       </t>
        </r>
      </text>
    </comment>
    <comment ref="O48" authorId="0" shapeId="0" xr:uid="{00000000-0006-0000-0400-000016000000}">
      <text>
        <r>
          <rPr>
            <sz val="9"/>
            <color indexed="81"/>
            <rFont val="Arial"/>
            <family val="2"/>
          </rPr>
          <t>Carry-over from spreadsheet Basic data 
cells (D31:D37) + (E31:E37) + (F31:F37) + (J31:J37)</t>
        </r>
      </text>
    </comment>
    <comment ref="C50" authorId="1" shapeId="0" xr:uid="{6D121F5C-6B5F-4660-A9FC-585608296211}">
      <text>
        <r>
          <rPr>
            <sz val="9"/>
            <color indexed="81"/>
            <rFont val="Arial"/>
            <family val="2"/>
          </rPr>
          <t>For further explanations see FAQ.</t>
        </r>
      </text>
    </comment>
    <comment ref="O51" authorId="0" shapeId="0" xr:uid="{00000000-0006-0000-0400-000019000000}">
      <text>
        <r>
          <rPr>
            <sz val="9"/>
            <color indexed="81"/>
            <rFont val="Arial"/>
            <family val="2"/>
          </rPr>
          <t>Carry over from spreadsheet Basic Data
Cells (D41:D48) + (H41:H48) + (I41:I48) + (J41:J48)</t>
        </r>
      </text>
    </comment>
    <comment ref="C53" authorId="1" shapeId="0" xr:uid="{62526A69-32A5-4AD4-AE98-0D03B3610969}">
      <text>
        <r>
          <rPr>
            <sz val="9"/>
            <color indexed="81"/>
            <rFont val="Arial"/>
            <family val="2"/>
          </rPr>
          <t>For further explanations see FAQ.</t>
        </r>
      </text>
    </comment>
    <comment ref="C59" authorId="1" shapeId="0" xr:uid="{E25A17E8-2610-4155-B0B3-DD74BAE9C7BA}">
      <text>
        <r>
          <rPr>
            <sz val="9"/>
            <color indexed="81"/>
            <rFont val="Arial"/>
            <family val="2"/>
          </rPr>
          <t>For further explanations see FAQ.</t>
        </r>
      </text>
    </comment>
    <comment ref="C62" authorId="1" shapeId="0" xr:uid="{C93535BB-82B1-429A-83A5-7099B31FF319}">
      <text>
        <r>
          <rPr>
            <sz val="9"/>
            <color indexed="81"/>
            <rFont val="Arial"/>
            <family val="2"/>
          </rPr>
          <t>For further explanations see FAQ.</t>
        </r>
      </text>
    </comment>
    <comment ref="C65" authorId="1" shapeId="0" xr:uid="{E00EEFBD-44A5-4D59-8FDE-9AB7C9937578}">
      <text>
        <r>
          <rPr>
            <sz val="9"/>
            <color indexed="81"/>
            <rFont val="Arial"/>
            <family val="2"/>
          </rPr>
          <t>For further explanations see FAQ.</t>
        </r>
      </text>
    </comment>
    <comment ref="C68" authorId="1" shapeId="0" xr:uid="{77AA3F26-74A1-404F-81D9-4BF4D42DD732}">
      <text>
        <r>
          <rPr>
            <sz val="9"/>
            <color indexed="81"/>
            <rFont val="Arial"/>
            <family val="2"/>
          </rPr>
          <t>For further explanations see FAQ.</t>
        </r>
      </text>
    </comment>
    <comment ref="C74" authorId="1" shapeId="0" xr:uid="{D3243221-BAE0-4ECA-9CB3-A57C6E186566}">
      <text>
        <r>
          <rPr>
            <sz val="9"/>
            <color indexed="81"/>
            <rFont val="Arial"/>
            <family val="2"/>
          </rPr>
          <t>For further explanations see FAQ.</t>
        </r>
      </text>
    </comment>
    <comment ref="C77" authorId="1" shapeId="0" xr:uid="{9C3289DF-FA1B-461E-9262-28C576940AA9}">
      <text>
        <r>
          <rPr>
            <sz val="9"/>
            <color indexed="81"/>
            <rFont val="Arial"/>
            <family val="2"/>
          </rPr>
          <t>For further explanations see FAQ.</t>
        </r>
      </text>
    </comment>
    <comment ref="C80" authorId="1" shapeId="0" xr:uid="{1E6F1D82-6D94-40AB-9006-60244B1D62A4}">
      <text>
        <r>
          <rPr>
            <sz val="9"/>
            <color indexed="81"/>
            <rFont val="Arial"/>
            <family val="2"/>
          </rPr>
          <t>For further explanations see FAQ.</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700-000001000000}">
      <text>
        <r>
          <rPr>
            <sz val="9"/>
            <color indexed="81"/>
            <rFont val="Arial"/>
            <family val="2"/>
          </rPr>
          <t>Übertrag erfolgt aus Tabellenblatt Basisdaten</t>
        </r>
      </text>
    </comment>
    <comment ref="C8" authorId="0" shapeId="0" xr:uid="{00000000-0006-0000-0700-000002000000}">
      <text>
        <r>
          <rPr>
            <sz val="9"/>
            <color indexed="81"/>
            <rFont val="Arial"/>
            <family val="2"/>
          </rPr>
          <t>Übertrag erfolgt aus Tabellenblatt Basisdaten</t>
        </r>
      </text>
    </comment>
    <comment ref="J8" authorId="0" shapeId="0" xr:uid="{00000000-0006-0000-0700-000003000000}">
      <text>
        <r>
          <rPr>
            <sz val="9"/>
            <color indexed="81"/>
            <rFont val="Arial"/>
            <family val="2"/>
          </rPr>
          <t>Übertrag erfolgt aus Tabellenblatt Basisdaten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o.penzes</author>
  </authors>
  <commentList>
    <comment ref="C6" authorId="0" shapeId="0" xr:uid="{00000000-0006-0000-0900-000001000000}">
      <text>
        <r>
          <rPr>
            <sz val="9"/>
            <color indexed="81"/>
            <rFont val="Arial"/>
            <family val="2"/>
          </rPr>
          <t>Übertrag erfolgt aus Tabellenblatt Basisdaten</t>
        </r>
      </text>
    </comment>
    <comment ref="C8" authorId="0" shapeId="0" xr:uid="{00000000-0006-0000-0900-000002000000}">
      <text>
        <r>
          <rPr>
            <sz val="9"/>
            <color indexed="81"/>
            <rFont val="Arial"/>
            <family val="2"/>
          </rPr>
          <t>Übertrag erfolgt aus Tabellenblatt Basisdaten</t>
        </r>
      </text>
    </comment>
    <comment ref="U8" authorId="0" shapeId="0" xr:uid="{00000000-0006-0000-0900-000003000000}">
      <text>
        <r>
          <rPr>
            <sz val="9"/>
            <color indexed="81"/>
            <rFont val="Arial"/>
            <family val="2"/>
          </rPr>
          <t>Übertrag erfolgt aus Tabellenblatt Basisdaten</t>
        </r>
      </text>
    </comment>
    <comment ref="S31" authorId="1" shapeId="0" xr:uid="{00000000-0006-0000-0900-000004000000}">
      <text>
        <r>
          <rPr>
            <b/>
            <sz val="9"/>
            <color indexed="81"/>
            <rFont val="Arial"/>
            <family val="2"/>
          </rPr>
          <t>Voraussetzung REDZYK mind. 80,0%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B6" authorId="0" shapeId="0" xr:uid="{00000000-0006-0000-0A00-000001000000}">
      <text>
        <r>
          <rPr>
            <sz val="9"/>
            <color indexed="81"/>
            <rFont val="Arial"/>
            <family val="2"/>
          </rPr>
          <t>Übertrag erfolgt aus Tabellenblatt Basisdaten</t>
        </r>
      </text>
    </comment>
    <comment ref="B8" authorId="0" shapeId="0" xr:uid="{00000000-0006-0000-0A00-000002000000}">
      <text>
        <r>
          <rPr>
            <sz val="9"/>
            <color indexed="81"/>
            <rFont val="Arial"/>
            <family val="2"/>
          </rPr>
          <t>Übertrag erfolgt aus Tabellenblatt Basisdaten</t>
        </r>
      </text>
    </comment>
    <comment ref="F8" authorId="0" shapeId="0" xr:uid="{00000000-0006-0000-0A00-000003000000}">
      <text>
        <r>
          <rPr>
            <sz val="9"/>
            <color indexed="81"/>
            <rFont val="Arial"/>
            <family val="2"/>
          </rPr>
          <t>Übertrag erfolgt aus Tabellenblatt Basisdaten</t>
        </r>
      </text>
    </comment>
    <comment ref="B15" authorId="0" shapeId="0" xr:uid="{00000000-0006-0000-0A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<sst xmlns="http://schemas.openxmlformats.org/spreadsheetml/2006/main" count="1332" uniqueCount="965">
  <si>
    <t xml:space="preserve">2013, </t>
  </si>
  <si>
    <t>Zähler/ Anzahl</t>
  </si>
  <si>
    <t>Für Übertragung in Datendefizite_KB:</t>
  </si>
  <si>
    <t>Alle KN leer:</t>
  </si>
  <si>
    <t>ixserv.4</t>
  </si>
  <si>
    <t>Unvollständige Jahre</t>
  </si>
  <si>
    <t xml:space="preserve">       Erstelldatum</t>
  </si>
  <si>
    <t xml:space="preserve">
Anmerkungen:</t>
  </si>
  <si>
    <t>KN</t>
  </si>
  <si>
    <t>Texte Matrix Datenquali</t>
  </si>
  <si>
    <t>Fehlermeldungen Matrix</t>
  </si>
  <si>
    <t>Auswahl treffen über Dropdown-Liste.</t>
  </si>
  <si>
    <t>Zuerst Reg.-Nr auswählen, dann das jeweilig zugehörige Krebsregister</t>
  </si>
  <si>
    <t>Nur Texteingabe bis 100 Zeichen möglich.</t>
  </si>
  <si>
    <t>Kennzahl</t>
  </si>
  <si>
    <t>Art</t>
  </si>
  <si>
    <t>nicht relevant</t>
  </si>
  <si>
    <t>Tumordoku. liegt größtenteils beim Krebsregister</t>
  </si>
  <si>
    <t>Zeitraum zwischen 01.11.2012-01.02.2014 angeben.</t>
  </si>
  <si>
    <t>Österreich</t>
  </si>
  <si>
    <t>Bei den „hellrot“ hinterlegten Feldern liegt eine Falscheingabe vor, diese ist zu korrigieren.</t>
  </si>
  <si>
    <t>B</t>
  </si>
  <si>
    <t>Fehlermeldungen Basisdaten</t>
  </si>
  <si>
    <t>Fehlermeldungen Kennzahlenbogen</t>
  </si>
  <si>
    <t>Anzahl Pat. Im Follow-Up zu hoch.</t>
  </si>
  <si>
    <t>Zahlen müssen manuell eingegeben werden, diese dürfen nicht kopiert werden.</t>
  </si>
  <si>
    <t>Bedingung Wert</t>
  </si>
  <si>
    <t>leere Zellen</t>
  </si>
  <si>
    <t>die inkorrekten und unvollständigen Einträge beheben</t>
  </si>
  <si>
    <t>Nr.</t>
  </si>
  <si>
    <t>Sollvorgabe</t>
  </si>
  <si>
    <t>Nenner</t>
  </si>
  <si>
    <t>%</t>
  </si>
  <si>
    <t>Primärfälle</t>
  </si>
  <si>
    <t>Sollvorgabe nicht erfüllt</t>
  </si>
  <si>
    <t>C</t>
  </si>
  <si>
    <t>D</t>
  </si>
  <si>
    <t>E</t>
  </si>
  <si>
    <t>F</t>
  </si>
  <si>
    <t>G</t>
  </si>
  <si>
    <t>H</t>
  </si>
  <si>
    <t>I</t>
  </si>
  <si>
    <t>N</t>
  </si>
  <si>
    <t>P</t>
  </si>
  <si>
    <t>Q</t>
  </si>
  <si>
    <t>T</t>
  </si>
  <si>
    <t>W</t>
  </si>
  <si>
    <t>X</t>
  </si>
  <si>
    <t>Y</t>
  </si>
  <si>
    <t>Z</t>
  </si>
  <si>
    <t>Jahr der Erstdiagnose</t>
  </si>
  <si>
    <t>Patientinnen tumorfrei</t>
  </si>
  <si>
    <t xml:space="preserve">  Pat. mit Lokalrezidiv </t>
  </si>
  <si>
    <t xml:space="preserve">  Pat. mit Lymphknotenrezidiv</t>
  </si>
  <si>
    <t xml:space="preserve">  Pat. mit Fernmetastasen </t>
  </si>
  <si>
    <t>Mehrfachnennung möglich</t>
  </si>
  <si>
    <t>Summe</t>
  </si>
  <si>
    <t>Quote</t>
  </si>
  <si>
    <t>Reg.-Nr.</t>
  </si>
  <si>
    <t>Bundesland</t>
  </si>
  <si>
    <t>Thüringen</t>
  </si>
  <si>
    <t>GTDS</t>
  </si>
  <si>
    <t>Tumorzentrum Erfurt</t>
  </si>
  <si>
    <t>Tumordokumentationssystem</t>
  </si>
  <si>
    <t>CREDOS</t>
  </si>
  <si>
    <t>KIS-Erweiterung</t>
  </si>
  <si>
    <t>Comprehensive Cancer Center Freiburg</t>
  </si>
  <si>
    <t>Comprehensive Cancer Center Münster</t>
  </si>
  <si>
    <t>Comprehensive Cancer Center Tübingen</t>
  </si>
  <si>
    <t>Comprehensive Cancer Center Ulm</t>
  </si>
  <si>
    <t>Kassenärztliche Vereinigung Niedersachsen</t>
  </si>
  <si>
    <t>NCT Heidelberg</t>
  </si>
  <si>
    <t>Onkol. Schwerpunkt Lörrach-Rheinfelden</t>
  </si>
  <si>
    <t>Onkol. Schwerpunkt Ludwigsburg-Bietigheim</t>
  </si>
  <si>
    <t>Onkol. Schwerpunkt Villingen-Schwenningen</t>
  </si>
  <si>
    <t>Onkologischer Schwerpunkt Göppingen</t>
  </si>
  <si>
    <t>Onkologischer Schwerpunkt Hamm</t>
  </si>
  <si>
    <t>Onkologischer Schwerpunkt Heilbronn</t>
  </si>
  <si>
    <t>Onkologischer Schwerpunkt Karlsruhe</t>
  </si>
  <si>
    <t>Onkologischer Schwerpunkt Konstanz-Singen</t>
  </si>
  <si>
    <t>Onkologischer Schwerpunkt Oberschwaben</t>
  </si>
  <si>
    <t>Onkologischer Schwerpunkt Ortenaukreis</t>
  </si>
  <si>
    <t>Onkologischer Schwerpunkt Ostwürttemberg</t>
  </si>
  <si>
    <t>Onkologischer Schwerpunkt Reutlingen</t>
  </si>
  <si>
    <t>Onkologischer Schwerpunkt Stuttgart</t>
  </si>
  <si>
    <t>Onkologischer Schwerpunkt Wiesbaden</t>
  </si>
  <si>
    <t>Tumorzentrum Anhalt</t>
  </si>
  <si>
    <t>Tumorzentrum Augsburg</t>
  </si>
  <si>
    <t>Tumorzentrum Erlangen-Nürnberg</t>
  </si>
  <si>
    <t>Tumorzentrum Gera</t>
  </si>
  <si>
    <t>Tumorzentrum Göttingen</t>
  </si>
  <si>
    <t>Tumorzentrum Halle</t>
  </si>
  <si>
    <t>Tumorzentrum Hannover</t>
  </si>
  <si>
    <t>Tumorzentrum Homburg</t>
  </si>
  <si>
    <t>Tumorzentrum Jena</t>
  </si>
  <si>
    <t>Tumorzentrum Kassel</t>
  </si>
  <si>
    <t>Tumorzentrum Kiel</t>
  </si>
  <si>
    <t>Tumorzentrum Koblenz</t>
  </si>
  <si>
    <t>Tumorzentrum Leipzig</t>
  </si>
  <si>
    <t>Tumorzentrum Magdeburg</t>
  </si>
  <si>
    <t>Tumorzentrum Marburg</t>
  </si>
  <si>
    <t>Tumorzentrum München</t>
  </si>
  <si>
    <t>Tumorzentrum Regensburg</t>
  </si>
  <si>
    <t>Tumorzentrum Rheinland-Pfalz</t>
  </si>
  <si>
    <t>Tumorzentrum Rostock</t>
  </si>
  <si>
    <t>Tumorzentrum Schwerin</t>
  </si>
  <si>
    <t>Tumorzentrum Südharz</t>
  </si>
  <si>
    <t>Tumorzentrum Suhl</t>
  </si>
  <si>
    <t>Tumorzentrum Würzburg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</si>
  <si>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</si>
  <si>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</si>
  <si>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</si>
  <si>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</si>
  <si>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</si>
  <si>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</si>
  <si>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</si>
  <si>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</si>
  <si>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</si>
  <si>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</si>
  <si>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</si>
  <si>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</si>
  <si>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</si>
  <si>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</si>
  <si>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</si>
  <si>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</si>
  <si>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</si>
  <si>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</si>
  <si>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</si>
  <si>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</si>
  <si>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</si>
  <si>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</si>
  <si>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</si>
  <si>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</si>
  <si>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</si>
  <si>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</si>
  <si>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</si>
  <si>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</si>
  <si>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</si>
  <si>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</si>
  <si>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R</t>
  </si>
  <si>
    <t>% Angabe</t>
  </si>
  <si>
    <t>Oncolution</t>
  </si>
  <si>
    <t>GKR (Gemeinsames Krebsregister der Länder)</t>
  </si>
  <si>
    <t>Epidemiologisches Krebsregister Baden-Württemberg</t>
  </si>
  <si>
    <t>Krebsregister Baden-Württemberg</t>
  </si>
  <si>
    <t>Bevölkerungsbezogenes Krebsregister Bayern</t>
  </si>
  <si>
    <t>Tumorzentrum Oberfranken</t>
  </si>
  <si>
    <t>Charité Comprehensive Cancer Center</t>
  </si>
  <si>
    <t>Tumorzentrum Berlin-Buch</t>
  </si>
  <si>
    <t>Tumorzentrum für Klinik &amp; Praxis in Berlin</t>
  </si>
  <si>
    <t>Tumorzentrum Spandau</t>
  </si>
  <si>
    <t>Tumorzentrum Vivantes</t>
  </si>
  <si>
    <t>Gemeinsames Krebsregister Berlin-Brandenburg</t>
  </si>
  <si>
    <t>Tumorzentrum Land Brandenburg</t>
  </si>
  <si>
    <t>Krebsregister des Landes Bremen</t>
  </si>
  <si>
    <t>Hamburgisches Krebsregister</t>
  </si>
  <si>
    <t>Hessisches Krebsregister</t>
  </si>
  <si>
    <t>Krebsregister Hessen</t>
  </si>
  <si>
    <t>Tumorzentrum Neubrandenburg</t>
  </si>
  <si>
    <t>Tumorzentrum Vorpommern</t>
  </si>
  <si>
    <t>Epidemiologisches Krebsregister Niedersachsen</t>
  </si>
  <si>
    <t>Krebsregister Niedersachsen</t>
  </si>
  <si>
    <t>Westdeutsches Tumorzentrum Essen</t>
  </si>
  <si>
    <t xml:space="preserve">Epidemiologisches Krebsregister Münster </t>
  </si>
  <si>
    <t>Epidemiologisches Krebsregister NRW</t>
  </si>
  <si>
    <t>Krebsregister NRW</t>
  </si>
  <si>
    <t>Krebsregister Rheinland-Pfalz</t>
  </si>
  <si>
    <t>Epidemiologisches Krebsregister Saarland</t>
  </si>
  <si>
    <t>Tumorzentrum Chemnitz</t>
  </si>
  <si>
    <t>Tumorzentrum Dresden</t>
  </si>
  <si>
    <t>Tumorzentrum Zwickau</t>
  </si>
  <si>
    <t>klinisches Krebsregister Schleswig Holstein/Lübeck</t>
  </si>
  <si>
    <t>Krebsregister Schleswig-Holstein</t>
  </si>
  <si>
    <t>Tumorzentrum Altenburg</t>
  </si>
  <si>
    <t>Italien</t>
  </si>
  <si>
    <t>Format: dd.mm.jjjj</t>
  </si>
  <si>
    <t>Eingabedatum</t>
  </si>
  <si>
    <t>Tabelle Plausibilitätsabfragen:</t>
  </si>
  <si>
    <t>IndivuNET</t>
  </si>
  <si>
    <t>KRAZTUR</t>
  </si>
  <si>
    <t>OnkoManager</t>
  </si>
  <si>
    <t>Onkomedia</t>
  </si>
  <si>
    <t>Bearbeitungshinweise:</t>
  </si>
  <si>
    <t>Kennzahlenbogen</t>
  </si>
  <si>
    <t>Erstelldatum</t>
  </si>
  <si>
    <t>Plausibilität unklar</t>
  </si>
  <si>
    <t xml:space="preserve">Reg.-Nr. </t>
  </si>
  <si>
    <t>Erstzertifizierung</t>
  </si>
  <si>
    <t>J</t>
  </si>
  <si>
    <t>L</t>
  </si>
  <si>
    <t>AA</t>
  </si>
  <si>
    <t>Follow-Up-Meldungen</t>
  </si>
  <si>
    <t>Pflicht Berechnung</t>
  </si>
  <si>
    <t>Optional Berechnung</t>
  </si>
  <si>
    <t>In Ordnung</t>
  </si>
  <si>
    <t>Inkorrekt</t>
  </si>
  <si>
    <t>Unvollständig</t>
  </si>
  <si>
    <t>kein Eintrag</t>
  </si>
  <si>
    <t>n.d.</t>
  </si>
  <si>
    <t>DFS</t>
  </si>
  <si>
    <t>inkorrekt</t>
  </si>
  <si>
    <t>Datenqualität Matrix</t>
  </si>
  <si>
    <t>Anzahl/Quote</t>
  </si>
  <si>
    <t xml:space="preserve"> &lt;= Sollv. nicht erfüllt</t>
  </si>
  <si>
    <t xml:space="preserve"> &gt;= Sollv. nicht erfüllt</t>
  </si>
  <si>
    <t>&gt;</t>
  </si>
  <si>
    <t>&lt;</t>
  </si>
  <si>
    <t xml:space="preserve"> &lt; Plausi ?</t>
  </si>
  <si>
    <t xml:space="preserve"> &gt; Plausi ?</t>
  </si>
  <si>
    <t>Relative Quote tumorfrei</t>
  </si>
  <si>
    <t>Matrix</t>
  </si>
  <si>
    <t>AB</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</si>
  <si>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</si>
  <si>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</si>
  <si>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</si>
  <si>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</si>
  <si>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</si>
  <si>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</si>
  <si>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</si>
  <si>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</si>
  <si>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</si>
  <si>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</si>
  <si>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</si>
  <si>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</si>
  <si>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</si>
  <si>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</si>
  <si>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unvollständig</t>
  </si>
  <si>
    <t>Liste zum Übertragen</t>
  </si>
  <si>
    <t>Kalenderjahr(e) 
(Erstdiagnose)</t>
  </si>
  <si>
    <t>Länge</t>
  </si>
  <si>
    <t>Ereignis</t>
  </si>
  <si>
    <t>&gt; FU</t>
  </si>
  <si>
    <t>negativ</t>
  </si>
  <si>
    <t>Anzahl P.</t>
  </si>
  <si>
    <t>&lt; FU</t>
  </si>
  <si>
    <t>rQ tumorfrei</t>
  </si>
  <si>
    <t>Datum Erstzertifizierung</t>
  </si>
  <si>
    <t>In dieser Excel-Vorlage sind die nachfolgend skizzierten Plausibilitätsabfragen hinterlegt.</t>
  </si>
  <si>
    <t>Ein Anspruch auf Vollständigkeit besteht nicht.</t>
  </si>
  <si>
    <t xml:space="preserve">Fehlermeldungen </t>
  </si>
  <si>
    <t>auffällig niedrige Quote tumorfreier Patienten</t>
  </si>
  <si>
    <t>zu wenig Primärfälle angegeben</t>
  </si>
  <si>
    <t>A</t>
  </si>
  <si>
    <t>relevant</t>
  </si>
  <si>
    <t>DFS auffällig niedrig oder hoch</t>
  </si>
  <si>
    <t>OAS auffällig niedrig oder hoch</t>
  </si>
  <si>
    <t>Zentrum</t>
  </si>
  <si>
    <t>a)</t>
  </si>
  <si>
    <t>b)</t>
  </si>
  <si>
    <t>c)</t>
  </si>
  <si>
    <t>d)</t>
  </si>
  <si>
    <t>e)</t>
  </si>
  <si>
    <t>Matrix kann eingereicht werden</t>
  </si>
  <si>
    <t>Einrichtung 1</t>
  </si>
  <si>
    <t>Land</t>
  </si>
  <si>
    <t>f)</t>
  </si>
  <si>
    <t>≥ 80%</t>
  </si>
  <si>
    <t>x &lt; 60% || x &gt; 95%</t>
  </si>
  <si>
    <t>x &lt; 80% || x &gt; 99%</t>
  </si>
  <si>
    <t>Kennzahldefinition</t>
  </si>
  <si>
    <t>2. Zähler muss eine positive ganze Zahl sein.</t>
  </si>
  <si>
    <t>3. Zähler kann nicht größer als Nenner sein.</t>
  </si>
  <si>
    <t>1. Tabellenblatt Basisdaten muss vollständig bearbeitet sein.</t>
  </si>
  <si>
    <t>Ganze Zahl zwischen 0 und 5000 eingeben.</t>
  </si>
  <si>
    <t>1.2.3</t>
  </si>
  <si>
    <t>1.7.5</t>
  </si>
  <si>
    <t>Texte i.O.</t>
  </si>
  <si>
    <t>Keine Anbindung an Klinisches Krebsregister</t>
  </si>
  <si>
    <t>Unbekannt</t>
  </si>
  <si>
    <t>Nicht gelistet</t>
  </si>
  <si>
    <t>-----</t>
  </si>
  <si>
    <t>Keine Zusammenarbeit</t>
  </si>
  <si>
    <t>Geringe / punktuelle Zusammenarbeit</t>
  </si>
  <si>
    <t>Intensive / regelmäßige Zusammenarbeit</t>
  </si>
  <si>
    <t>Zähler :</t>
  </si>
  <si>
    <t>1.2.1</t>
  </si>
  <si>
    <t>≥ 50</t>
  </si>
  <si>
    <t>5.2.6</t>
  </si>
  <si>
    <t>≥ 40</t>
  </si>
  <si>
    <t>Diagnose Zweittumor im Verlauf</t>
  </si>
  <si>
    <t>K</t>
  </si>
  <si>
    <t>M</t>
  </si>
  <si>
    <t>S</t>
  </si>
  <si>
    <t>AC</t>
  </si>
  <si>
    <t>AF</t>
  </si>
  <si>
    <t>AG</t>
  </si>
  <si>
    <t>FIGO IA</t>
  </si>
  <si>
    <t>FIGO IB</t>
  </si>
  <si>
    <t xml:space="preserve">FIGO III  </t>
  </si>
  <si>
    <t xml:space="preserve">FIGO IV  </t>
  </si>
  <si>
    <t>Auswertungen</t>
  </si>
  <si>
    <t>Für die Bewertung der Matrix gelten folgende Regelungen:</t>
  </si>
  <si>
    <t>W &lt; 60%</t>
  </si>
  <si>
    <t xml:space="preserve">Für Gynäkologische Krebszentren ist die Matrix Ergebnisqualität obligat zu bearbeiten. </t>
  </si>
  <si>
    <t>Keine Rückmeldung</t>
  </si>
  <si>
    <t>Nicht tumorbedingt gestorben bzw. Todesursache unbekannt</t>
  </si>
  <si>
    <t>Tumorbedingt gestorben</t>
  </si>
  <si>
    <t>AG22-AG24</t>
  </si>
  <si>
    <t>AG25</t>
  </si>
  <si>
    <t>AH22-AH24</t>
  </si>
  <si>
    <t>AH25</t>
  </si>
  <si>
    <t>Nachsorgejahr "relevant" (Spalte A) =&gt; Sämtliche „hellgrau“ hinterlegte Felder sollten vollständig bearbeitet werden; dies gilt auch für Nullwerte (=0).</t>
  </si>
  <si>
    <t>≥ 75</t>
  </si>
  <si>
    <t>Relative Quote tumorfrei 
= V / (Q + R)</t>
  </si>
  <si>
    <t>≥ 5%</t>
  </si>
  <si>
    <t>Anzahl Primärpatientinnen (Zervix)</t>
  </si>
  <si>
    <t>Matrix - Ergebnisqualität (Zervixkarzinom)</t>
  </si>
  <si>
    <t>Kennzahlenbogen - Analyseprotokoll Datendefizite Gynäkologie</t>
  </si>
  <si>
    <t>Matrix - Analyseprotokoll Datendefizite Zervixkarzinom</t>
  </si>
  <si>
    <t>DFS nach Kaplan-Meier
(Disease Free Survival) in %</t>
  </si>
  <si>
    <t>OAS nach Kaplan-Meier    
(Overall Survival) in %</t>
  </si>
  <si>
    <t>CARAT</t>
  </si>
  <si>
    <t>H.I.T.</t>
  </si>
  <si>
    <t>Medbrix</t>
  </si>
  <si>
    <t>Achiever Medical System</t>
  </si>
  <si>
    <t>&gt; 65%</t>
  </si>
  <si>
    <t>relevante Nachsorgejahre nicht/unvollständig bearbeitet</t>
  </si>
  <si>
    <t>Nur Prozentwerte zwischen 0% und 100% können verwendet werden.</t>
  </si>
  <si>
    <t>geringe Follow-Up Quote der Nachsorgejahre</t>
  </si>
  <si>
    <t>1, 2, 3</t>
  </si>
  <si>
    <t>zu viele Pat im Follow-Up (Primärpat - Pat. FIGO IV)</t>
  </si>
  <si>
    <t>Anzahl Primärpatientinnen größer als im KB</t>
  </si>
  <si>
    <t>Ganze Zahl</t>
  </si>
  <si>
    <t>Aus KB übertragen</t>
  </si>
  <si>
    <t>Anzahl Primärpatientinnen Matrix größer als  Primärfälle Zervix-Ca im Kennzahlenbogen</t>
  </si>
  <si>
    <t>nicht geprüft</t>
  </si>
  <si>
    <t>geringe Follow-Up Quote</t>
  </si>
  <si>
    <t>durchschnittliche Follow-Up Quote &lt; 80%</t>
  </si>
  <si>
    <t>durchschnittliche Follow-Up Quote &gt; 95%</t>
  </si>
  <si>
    <t>Von Seiten des Fachexperten können weitere Unplausibilitäten bzw. Inkorrektheiten identifiziert und im Rahmen des Auditergebnisses dargestellt werden.</t>
  </si>
  <si>
    <t>„Hellgrün“ hinterlegte Felder weisen auf Unplausibilitäten hin. Diese Werte sind zu analysieren und das Ergebnis ist auf dem Folgeblatt „Datendefizite_Matrix“ darzulegen.</t>
  </si>
  <si>
    <t>Ganze Zahl zwischen 0 und 5000 eingeben</t>
  </si>
  <si>
    <r>
      <t>Follow-Up-Daten vom Zentrum</t>
    </r>
    <r>
      <rPr>
        <vertAlign val="superscript"/>
        <sz val="8"/>
        <rFont val="Arial"/>
        <family val="2"/>
      </rPr>
      <t xml:space="preserve"> 4</t>
    </r>
  </si>
  <si>
    <t>Eingeleitete / geplante Aktionen</t>
  </si>
  <si>
    <t>Begründung / Ursache</t>
  </si>
  <si>
    <t>Spalte / Zelle</t>
  </si>
  <si>
    <t>Erläuterung hinsichtlich Datendefizit
Begründung / Ursachenanalyse / Aktionen</t>
  </si>
  <si>
    <t>Ansprechpartner</t>
  </si>
  <si>
    <t>Plausi unklar</t>
  </si>
  <si>
    <t>Achieva</t>
  </si>
  <si>
    <t>c37.CancerCenter</t>
  </si>
  <si>
    <t>Kolorekt</t>
  </si>
  <si>
    <t>MR-TU-DO</t>
  </si>
  <si>
    <t>NUK</t>
  </si>
  <si>
    <t>onkodok (XAXOA)</t>
  </si>
  <si>
    <t>OnkoNet</t>
  </si>
  <si>
    <t>online Dokumentation IDZB</t>
  </si>
  <si>
    <t>Tudok (Tumorzentrum Regensburg)</t>
  </si>
  <si>
    <t>WDC-Kolonakte</t>
  </si>
  <si>
    <t>Tumorzentrum Ostsachsen</t>
  </si>
  <si>
    <t>Tumorzentrum Weser-Ems</t>
  </si>
  <si>
    <t>ID_intern</t>
  </si>
  <si>
    <t>Erläuterung hinsichtlich Datendefizit</t>
  </si>
  <si>
    <t>ID:a</t>
  </si>
  <si>
    <t>ID:b</t>
  </si>
  <si>
    <t>ID:c</t>
  </si>
  <si>
    <t>ID:d</t>
  </si>
  <si>
    <t>Sollvorgabe nicht erfüllt; durchschnittliche Follow-Up Quote &lt; 80%; ID: e</t>
  </si>
  <si>
    <t>ID: f</t>
  </si>
  <si>
    <t>Plausibilität unklar; durchschnittliche Follow-Up Quote &gt; 95%; ID: g</t>
  </si>
  <si>
    <t>ID: h</t>
  </si>
  <si>
    <t>ID: i</t>
  </si>
  <si>
    <t>ID: j</t>
  </si>
  <si>
    <t>ID: k</t>
  </si>
  <si>
    <t>Plausibilität unklar; Anzahl Primärpatientinnen Matrix größer als  Primärfälle Zervix-Ca im Kennzahlenbogen ; ID: l</t>
  </si>
  <si>
    <t>Datenverifizierung_ID</t>
  </si>
  <si>
    <t>Allgemeine Feststellungen</t>
  </si>
  <si>
    <t>Allgemeine Hinweise</t>
  </si>
  <si>
    <t>Allgemeine Abweichungen</t>
  </si>
  <si>
    <t>Bewertung Ausschuss</t>
  </si>
  <si>
    <t>Anmerkung OnkoZert</t>
  </si>
  <si>
    <t>Feststellung</t>
  </si>
  <si>
    <t>Hinweis</t>
  </si>
  <si>
    <t>Abweichung</t>
  </si>
  <si>
    <t>Gesamt per Kategorie</t>
  </si>
  <si>
    <t>Aktualisierung:</t>
  </si>
  <si>
    <t>Heartsoft Tumordatenbank</t>
  </si>
  <si>
    <t>QuaDoSta</t>
  </si>
  <si>
    <t>ambucare</t>
  </si>
  <si>
    <t>em.net</t>
  </si>
  <si>
    <t>FileTuDo</t>
  </si>
  <si>
    <t>MIQ-KRCA</t>
  </si>
  <si>
    <t>ORBIS-ODOK</t>
  </si>
  <si>
    <t>ONKOSTAR</t>
  </si>
  <si>
    <t>ONDIS</t>
  </si>
  <si>
    <t>Qualitätssicherung Kolorektalkarzinom</t>
  </si>
  <si>
    <t>SMATOS</t>
  </si>
  <si>
    <t>StuDoQ</t>
  </si>
  <si>
    <t>Tumordokumentation des Instituts für Krebsepidemiologie</t>
  </si>
  <si>
    <t>KR7</t>
  </si>
  <si>
    <t>FIGO II</t>
  </si>
  <si>
    <t xml:space="preserve">2014, </t>
  </si>
  <si>
    <t>Ausnahmen sind die optional anzugebenden Felder OAS und DFS (Spalten AF und AG). Dezimaltrennzeichen ist das Komma (nicht der Punkt). Rundung erfolgt auf zwei Nachkommastellen .</t>
  </si>
  <si>
    <t>Erläuterung</t>
  </si>
  <si>
    <t>Zellen müssen nicht ausgefüllt werden</t>
  </si>
  <si>
    <t>Nicht ausgefüllte Zellen von relevanten Nachsorgejahren</t>
  </si>
  <si>
    <t>Geringe Follow-Up Quote der Nachsorgejahre</t>
  </si>
  <si>
    <t>Auffällig niedrige Quote tumorfreier Patienten</t>
  </si>
  <si>
    <t>DFS auffällig niedrig oder hoch           Jahre 2007-2009</t>
  </si>
  <si>
    <t>DFS auffällig niedrig oder hoch           Jahr 2010</t>
  </si>
  <si>
    <t>Für OAS und DFS sind keine Plausibilitätsabfragen hinterlegt, dies liegt daran, dass die einzelnen Kollektive der Kohortenjahre in der Regel zu wenige Patientinnen umfassen</t>
  </si>
  <si>
    <t>O</t>
  </si>
  <si>
    <t>Patientinnen mit mindestens 1 der Ereignisse in Spalte X, Y und Z</t>
  </si>
  <si>
    <t>Werte Spalte O "Patientinnen im Follow-Up" müssen kleiner gleich sein als Spalte L und M subtrahiert von Spalte C; siehe Fußnote 2</t>
  </si>
  <si>
    <t>Spalte  C - L - M</t>
  </si>
  <si>
    <t>X, Y, Z</t>
  </si>
  <si>
    <t>Die einzelnen Werte in den Spalten X, Y, und Z dürfen den Wert in Spalte W nicht übersteigen</t>
  </si>
  <si>
    <t>S &lt; 70%</t>
  </si>
  <si>
    <t>Werte in Spalte X,Y,Z dürfen den Wert Spalte W nicht übersteigen</t>
  </si>
  <si>
    <t>Zahlen in Spalte U dürfen keine negativen Werte annehmen</t>
  </si>
  <si>
    <t>U</t>
  </si>
  <si>
    <t>U &lt; 0</t>
  </si>
  <si>
    <t>Werte Spalte U "Pat. tumorfrei" dürfen keine negativen Werte annehmen</t>
  </si>
  <si>
    <t>Eingabe kann nicht größer sein als Ereignisse Spalte W.</t>
  </si>
  <si>
    <t>Summe Spalten W+AA+AB+AC (Patienten mit Ereignisse) darf nicht größer als Summe Spalten P+Q (Patientenrückmeldungen) sein.</t>
  </si>
  <si>
    <t>Krebsregister Schweiz</t>
  </si>
  <si>
    <t>Krebsregister Österreich</t>
  </si>
  <si>
    <t>AE</t>
  </si>
  <si>
    <t>Follow-Up Quote in %
= (P + Q) / O</t>
  </si>
  <si>
    <t>Lokalrezidiv-Quote
= X / (P + Q)</t>
  </si>
  <si>
    <t>W &lt; Max (X bis Z)</t>
  </si>
  <si>
    <t>XML-OncoBox</t>
  </si>
  <si>
    <t>Krebsregister Italien</t>
  </si>
  <si>
    <t>KoReDos</t>
  </si>
  <si>
    <t>MaDoS</t>
  </si>
  <si>
    <t>UCC-TDS (Tumorzentrum Dresden)</t>
  </si>
  <si>
    <t xml:space="preserve">2015, </t>
  </si>
  <si>
    <t>&lt; 50%</t>
  </si>
  <si>
    <t xml:space="preserve">    FIGO IA</t>
  </si>
  <si>
    <t xml:space="preserve">    FIGO IB</t>
  </si>
  <si>
    <t xml:space="preserve">    FIGO IC</t>
  </si>
  <si>
    <t xml:space="preserve">    FIGO IIA</t>
  </si>
  <si>
    <t xml:space="preserve">    FIGO IIB</t>
  </si>
  <si>
    <t xml:space="preserve">    FIGO IIIA</t>
  </si>
  <si>
    <t xml:space="preserve">    FIGO IIIB</t>
  </si>
  <si>
    <t xml:space="preserve">    FIGO IIIC</t>
  </si>
  <si>
    <t>Alle relevanten Nachsorgejahre sind zu bearbeiten, abhängig vom Datum der Erstzertifizierung</t>
  </si>
  <si>
    <t>Krebsregister gemäß KFRG noch nicht benannt</t>
  </si>
  <si>
    <t xml:space="preserve">2016, </t>
  </si>
  <si>
    <t>&gt; 90%</t>
  </si>
  <si>
    <t>OncoBox</t>
  </si>
  <si>
    <t>Ausnahme</t>
  </si>
  <si>
    <t>Zusammenarbeit mit KFRG-Krebsregister</t>
  </si>
  <si>
    <r>
      <t>1)</t>
    </r>
    <r>
      <rPr>
        <sz val="8"/>
        <rFont val="Arial"/>
        <family val="2"/>
      </rPr>
      <t xml:space="preserve">  Bei (y)pT ist die Patientin nach dem klinischen Befund zu kodieren.</t>
    </r>
  </si>
  <si>
    <r>
      <t>2)</t>
    </r>
    <r>
      <rPr>
        <sz val="8"/>
        <rFont val="Arial"/>
        <family val="2"/>
      </rPr>
      <t xml:space="preserve">  Pat., die in dieser Darstellung des Follow-Up nicht berücksichtigt werden dürfen: primär FIGO IV diagnostizierte Pat., Pat. mit vorausgegangenem Tumor (alle Entitäten) und posttherapeutisch nicht
    tumorfreie Patienten.</t>
    </r>
  </si>
  <si>
    <r>
      <t xml:space="preserve">3)   </t>
    </r>
    <r>
      <rPr>
        <sz val="8"/>
        <rFont val="Arial"/>
        <family val="2"/>
      </rPr>
      <t xml:space="preserve">Die Daten müssen beim Audit patientenbezogen rückverfolgbar sein. </t>
    </r>
  </si>
  <si>
    <r>
      <t xml:space="preserve">4)   </t>
    </r>
    <r>
      <rPr>
        <sz val="8"/>
        <rFont val="Arial"/>
        <family val="2"/>
      </rPr>
      <t>In der Regel werden die Follow-Up-Daten entweder extern (Krebsregister) oder durch das Zentrum eingeholt. Eine Kombination ist jedoch möglich (keine doppelte Zuordnung!).</t>
    </r>
  </si>
  <si>
    <r>
      <t xml:space="preserve">5) </t>
    </r>
    <r>
      <rPr>
        <sz val="8"/>
        <rFont val="Arial"/>
        <family val="2"/>
      </rPr>
      <t xml:space="preserve"> Krebsregister können in der Regel keine Follow-Up-Daten zu Patienten außerhalb des Einzugsgebietes einholen.</t>
    </r>
  </si>
  <si>
    <r>
      <t>6)</t>
    </r>
    <r>
      <rPr>
        <sz val="8"/>
        <rFont val="Arial"/>
        <family val="2"/>
      </rPr>
      <t xml:space="preserve">  DFS und OAS sind nicht direkt aus dieser Matrix abzuleiten und können deshalb nach eigener Berechnung hier manuell eingetragen werden.</t>
    </r>
  </si>
  <si>
    <r>
      <t xml:space="preserve">7) </t>
    </r>
    <r>
      <rPr>
        <sz val="8"/>
        <color theme="1"/>
        <rFont val="Arial"/>
        <family val="2"/>
      </rPr>
      <t xml:space="preserve"> Ausgelöst durch die Follow-Up-Strukturen der Krebsregister (Latenzzeit Vollzähligkeit der Registrierung von Zielereignissen) ist es für die letzten beiden Kalenderjahre ausreichend, die 
aufgeschlüsselten Primärfälle (Spalte D-M) anzugeben.</t>
    </r>
  </si>
  <si>
    <r>
      <t xml:space="preserve">Angaben Primärdiagnose </t>
    </r>
    <r>
      <rPr>
        <b/>
        <vertAlign val="superscript"/>
        <sz val="8"/>
        <rFont val="Arial"/>
        <family val="2"/>
      </rPr>
      <t>1)</t>
    </r>
  </si>
  <si>
    <r>
      <t xml:space="preserve">Patientinnen „im Follow-Up“
(aus Grundgesamtheit Primpat.)  </t>
    </r>
    <r>
      <rPr>
        <vertAlign val="superscript"/>
        <sz val="8"/>
        <rFont val="Arial"/>
        <family val="2"/>
      </rPr>
      <t>2)</t>
    </r>
  </si>
  <si>
    <r>
      <t>Follow-Up-Daten vom Klinischen Krebsregister</t>
    </r>
    <r>
      <rPr>
        <vertAlign val="superscript"/>
        <sz val="8"/>
        <rFont val="Arial"/>
        <family val="2"/>
      </rPr>
      <t xml:space="preserve"> 3) 4) 5)</t>
    </r>
  </si>
  <si>
    <r>
      <t xml:space="preserve">Optional </t>
    </r>
    <r>
      <rPr>
        <vertAlign val="superscript"/>
        <sz val="8"/>
        <rFont val="Arial"/>
        <family val="2"/>
      </rPr>
      <t>6)</t>
    </r>
  </si>
  <si>
    <t xml:space="preserve">2017, </t>
  </si>
  <si>
    <t>MADOS 4</t>
  </si>
  <si>
    <t>V</t>
  </si>
  <si>
    <t>Summe Plausibilität unklar</t>
  </si>
  <si>
    <t>2016</t>
  </si>
  <si>
    <t xml:space="preserve">2018, </t>
  </si>
  <si>
    <t>Adjumed</t>
  </si>
  <si>
    <t>CaOnkoDok (Eigenentwicklung)</t>
  </si>
  <si>
    <t>Clinic WinData</t>
  </si>
  <si>
    <t>ODSeasy / ODSeasyNet</t>
  </si>
  <si>
    <t>Tumorregister München (TRM)</t>
  </si>
  <si>
    <t>Eigenentwicklung auf Basis medico (Cerner)</t>
  </si>
  <si>
    <t>SHGHoncoDoc</t>
  </si>
  <si>
    <t xml:space="preserve">   FIGO IA1 (= T1a1)</t>
  </si>
  <si>
    <t xml:space="preserve">   FIGO IA2 (= T1a2)</t>
  </si>
  <si>
    <t xml:space="preserve">   FIGO IB1 (= T1b1)</t>
  </si>
  <si>
    <t xml:space="preserve">   FIGO IB2 (= T1b2)</t>
  </si>
  <si>
    <t xml:space="preserve">   FIGO IIA (= T2a)</t>
  </si>
  <si>
    <t xml:space="preserve">   FIGO IIB (= T2b)</t>
  </si>
  <si>
    <t xml:space="preserve">   FIGO IIIA (= T3a)</t>
  </si>
  <si>
    <t xml:space="preserve">   FIGO IIIB (= T3b)</t>
  </si>
  <si>
    <t xml:space="preserve">   FIGO IVA (= T4)</t>
  </si>
  <si>
    <t xml:space="preserve">   FIGO IVB (= M1)</t>
  </si>
  <si>
    <t>≥ 30%</t>
  </si>
  <si>
    <t>≥ 90%</t>
  </si>
  <si>
    <r>
      <t>2018</t>
    </r>
    <r>
      <rPr>
        <sz val="8"/>
        <color theme="1"/>
        <rFont val="Arial"/>
        <family val="2"/>
      </rPr>
      <t xml:space="preserve"> </t>
    </r>
    <r>
      <rPr>
        <vertAlign val="superscript"/>
        <sz val="9"/>
        <color theme="1"/>
        <rFont val="Arial"/>
        <family val="2"/>
      </rPr>
      <t>7)</t>
    </r>
  </si>
  <si>
    <r>
      <t>2019</t>
    </r>
    <r>
      <rPr>
        <vertAlign val="superscript"/>
        <sz val="8"/>
        <color theme="1"/>
        <rFont val="Arial"/>
        <family val="2"/>
      </rPr>
      <t xml:space="preserve"> </t>
    </r>
    <r>
      <rPr>
        <vertAlign val="superscript"/>
        <sz val="9"/>
        <color theme="1"/>
        <rFont val="Arial"/>
        <family val="2"/>
      </rPr>
      <t>7)</t>
    </r>
  </si>
  <si>
    <t>FIGO IA1  (= T1a1)</t>
  </si>
  <si>
    <t>FIGO IA2  (= T1a2)</t>
  </si>
  <si>
    <t>FIGO IB1  (= T1b1)</t>
  </si>
  <si>
    <t>FIGO IB2  (= T1b2)</t>
  </si>
  <si>
    <t>FIGO IIA  (= T2a)</t>
  </si>
  <si>
    <t>FIGO IIB   (= T2b)</t>
  </si>
  <si>
    <t>FIGO IIIA   (= T3a)</t>
  </si>
  <si>
    <t>FIGO IIIB   (= T3b)</t>
  </si>
  <si>
    <t>FIGO IVA   (= T4)</t>
  </si>
  <si>
    <t>FIGO IVB   (= M1)</t>
  </si>
  <si>
    <t>Ø Follow-Up Quote der Jahre 2015-2017</t>
  </si>
  <si>
    <t>Alle Patienten ab dem Folgejahr der EZ sind im Follow-Up zu berücksichtigen; alle relevanten Nachsorgejahre sind zu bearbeiten, abhängig vom Datum der Erstzertifizierung.</t>
  </si>
  <si>
    <t>S31</t>
  </si>
  <si>
    <t>S31 &lt; 80%</t>
  </si>
  <si>
    <t>S25 - S27</t>
  </si>
  <si>
    <t>S31 &gt; 95%</t>
  </si>
  <si>
    <t>Follow-Up Quote der Jahre 2015-2017</t>
  </si>
  <si>
    <t>Follow-Up Quote der Jahre 2015-2017 (positive Unplausibilität)</t>
  </si>
  <si>
    <t>2015-2017</t>
  </si>
  <si>
    <t>zu hohe Follow-Up Quote der Jahre 2015-2017</t>
  </si>
  <si>
    <t>geringe Follow-Up Quote der Jahre 2015-2017</t>
  </si>
  <si>
    <t xml:space="preserve">2019, </t>
  </si>
  <si>
    <t>Auditjahr 2020 / Kennzahlenjahr 2019</t>
  </si>
  <si>
    <t>Basic data Gynaecology</t>
  </si>
  <si>
    <t>Reg. No.</t>
  </si>
  <si>
    <t>Centre</t>
  </si>
  <si>
    <t>Clinical site</t>
  </si>
  <si>
    <t>Contact</t>
  </si>
  <si>
    <t>Federal state / Country</t>
  </si>
  <si>
    <t>Tumour documentation system</t>
  </si>
  <si>
    <t>Not yet available</t>
  </si>
  <si>
    <r>
      <t xml:space="preserve">Total case number
</t>
    </r>
    <r>
      <rPr>
        <sz val="10"/>
        <color indexed="8"/>
        <rFont val="Arial"/>
        <family val="2"/>
      </rPr>
      <t xml:space="preserve">Def. In line with CR 1.2.1; 
automatic carry-over "number / denominator" to the Indicator Sheet </t>
    </r>
    <r>
      <rPr>
        <b/>
        <sz val="10"/>
        <color indexed="8"/>
        <rFont val="Arial"/>
        <family val="2"/>
      </rPr>
      <t xml:space="preserve">  </t>
    </r>
  </si>
  <si>
    <r>
      <t xml:space="preserve">Primary cases
</t>
    </r>
    <r>
      <rPr>
        <sz val="6"/>
        <color indexed="8"/>
        <rFont val="Arial"/>
        <family val="2"/>
      </rPr>
      <t>(Def. CR 1.2.1)</t>
    </r>
  </si>
  <si>
    <t>Non-primary cases</t>
  </si>
  <si>
    <r>
      <t xml:space="preserve">Total case number
</t>
    </r>
    <r>
      <rPr>
        <sz val="6"/>
        <color indexed="8"/>
        <rFont val="Arial"/>
        <family val="2"/>
      </rPr>
      <t>(Def. CR 1.2.1)</t>
    </r>
  </si>
  <si>
    <r>
      <t xml:space="preserve">operated </t>
    </r>
    <r>
      <rPr>
        <vertAlign val="superscript"/>
        <sz val="11"/>
        <color theme="1"/>
        <rFont val="Calibri"/>
        <family val="2"/>
        <scheme val="minor"/>
      </rPr>
      <t>2)</t>
    </r>
  </si>
  <si>
    <t>not 
operated</t>
  </si>
  <si>
    <t>operated</t>
  </si>
  <si>
    <r>
      <t xml:space="preserve">operated
</t>
    </r>
    <r>
      <rPr>
        <sz val="6"/>
        <color indexed="8"/>
        <rFont val="Arial"/>
        <family val="2"/>
      </rPr>
      <t>(Def. CR 5.2.6)</t>
    </r>
  </si>
  <si>
    <t>not operated</t>
  </si>
  <si>
    <t>do not complete</t>
  </si>
  <si>
    <t>Total</t>
  </si>
  <si>
    <t>Vaginal carcinoma</t>
  </si>
  <si>
    <t>Indicator Sheet Gynaecology</t>
  </si>
  <si>
    <t xml:space="preserve">Reg. No. </t>
  </si>
  <si>
    <t>Data quality indicators</t>
  </si>
  <si>
    <t>Plausibility unclear</t>
  </si>
  <si>
    <t>Target value not met</t>
  </si>
  <si>
    <t>Incorrect</t>
  </si>
  <si>
    <t>Incomplete</t>
  </si>
  <si>
    <t>Processing quality</t>
  </si>
  <si>
    <t>IN</t>
  </si>
  <si>
    <t>Indicator definition</t>
  </si>
  <si>
    <t>Indicator target</t>
  </si>
  <si>
    <t>Numerator</t>
  </si>
  <si>
    <t>Population 
(= denominator)</t>
  </si>
  <si>
    <t>Plausi unclear</t>
  </si>
  <si>
    <t>Target</t>
  </si>
  <si>
    <t>Target Value</t>
  </si>
  <si>
    <t>Data quality</t>
  </si>
  <si>
    <t>Verification Centre</t>
  </si>
  <si>
    <t>If target value is not met please give reasons / cause
(min. 30 characters / max. 500 characters)</t>
  </si>
  <si>
    <t>Action taken / planned
(when reasons are plausible, no action is required)</t>
  </si>
  <si>
    <t>Total case number 
(= Indicator 5)</t>
  </si>
  <si>
    <t>No target value</t>
  </si>
  <si>
    <t>Adequate rate of counselling by social services</t>
  </si>
  <si>
    <t>Inclusion of as many patients as possible in studies</t>
  </si>
  <si>
    <t>Patients included in a study with an ethical vote</t>
  </si>
  <si>
    <t>Total case number</t>
  </si>
  <si>
    <t>See target value</t>
  </si>
  <si>
    <t>Primary cases</t>
  </si>
  <si>
    <t xml:space="preserve">Primary cases </t>
  </si>
  <si>
    <r>
      <rPr>
        <b/>
        <u/>
        <sz val="8"/>
        <rFont val="Arial"/>
        <family val="2"/>
      </rPr>
      <t>Surgical</t>
    </r>
    <r>
      <rPr>
        <sz val="8"/>
        <rFont val="Arial"/>
        <family val="2"/>
      </rPr>
      <t xml:space="preserve"> cases </t>
    </r>
  </si>
  <si>
    <r>
      <rPr>
        <b/>
        <sz val="8"/>
        <rFont val="Arial"/>
        <family val="2"/>
      </rPr>
      <t>Surgical</t>
    </r>
    <r>
      <rPr>
        <sz val="8"/>
        <rFont val="Arial"/>
        <family val="2"/>
      </rPr>
      <t xml:space="preserve"> cases </t>
    </r>
  </si>
  <si>
    <t>Primary cases of the denominator with offering of genetic testing</t>
  </si>
  <si>
    <t>Primary cases of the denominator in which brachytherapy was administered as part of primary radio(chemo) therapy</t>
  </si>
  <si>
    <t>Exception (Plausibility unclear)</t>
  </si>
  <si>
    <t>Patients of the denominator, who received counselling from the social services in an outpatient or inpatient setting</t>
  </si>
  <si>
    <t>Primary cases 
(= Indicator 6)</t>
  </si>
  <si>
    <r>
      <t>Primary cases of the denominator with</t>
    </r>
    <r>
      <rPr>
        <strike/>
        <sz val="8"/>
        <rFont val="Arial"/>
        <family val="2"/>
      </rPr>
      <t xml:space="preserve"> </t>
    </r>
    <r>
      <rPr>
        <sz val="8"/>
        <rFont val="Arial"/>
        <family val="2"/>
      </rPr>
      <t>surgical staging with:
•Laparotomy
•Peritoneal cytology
•Peritoneal biopsies
•Bilateral adnex exstirpation
•Hysterectomy, where appropriate  extraperitoneales procedure
•Omentectomy at least infracolic
•Bilateral pelvic and paraaortal lymphonodectomy</t>
    </r>
  </si>
  <si>
    <t>Primary cases of the denominator with macroscopic complete resection</t>
  </si>
  <si>
    <t>Primary cases of the denominator with post-operative chemotherapy</t>
  </si>
  <si>
    <t xml:space="preserve">Primary cases of the denominator with pathology report with details of:
• Number of affected lymph nodes in relation to the number of removed lymph nodes classified by removal localisation (inguinal/pelvic)
• Non-detection/detection of a capsel infiltration of the lymph node metastatis and/or detection lymph node infiltrations in perinodal fatty tissue and/or the lymph node capsule  (&gt;=pN2c)
• Biggest spread of metastases (through pN details) </t>
  </si>
  <si>
    <t>Primary cases of the denominator with surgical staging (systematic lymphadenectomy and sentinel biobsy) of  inguinofemoral lymph nodes</t>
  </si>
  <si>
    <t>Processing remarks:</t>
  </si>
  <si>
    <t>1) Plausibility unclear 
In comparison to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present a negative care situation (e.g. surplus care). The result of this check is to be explained in more detail by the Centre in the Catalogue of Requirements in the column "Reasons/Cause". Where appropriate, specific actions should be defined and carried out in line with the procedure "Failure to meet the target value" for the purpose of improvement.
2) Target value not met
The relevant indicators are to be analysed. The result is to be documented in the indicator spreadsheet (IS). The document "Specifications Data Quality" contains more detailed information about this.
3) Incomplete
If any indicators have the status "incomplete", then they either to be supplied at a later stage or a clear statement is to be made about the possibility of future presentation ("incomplete indicators" always constitue a potential deviation).</t>
  </si>
  <si>
    <t>Denominator</t>
  </si>
  <si>
    <t>Number</t>
  </si>
  <si>
    <t>List: countries of the world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</si>
  <si>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</si>
  <si>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</si>
  <si>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</si>
  <si>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</si>
  <si>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</si>
  <si>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</si>
  <si>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</si>
  <si>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</si>
  <si>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</si>
  <si>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</si>
  <si>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</si>
  <si>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</si>
  <si>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</si>
  <si>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</si>
  <si>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</si>
  <si>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</si>
  <si>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</si>
  <si>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</si>
  <si>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</si>
  <si>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</si>
  <si>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</si>
  <si>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</si>
  <si>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</si>
  <si>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</si>
  <si>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</si>
  <si>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</si>
  <si>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</si>
  <si>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</si>
  <si>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</si>
  <si>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</si>
  <si>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</si>
  <si>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</si>
  <si>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</si>
  <si>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</si>
  <si>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</si>
  <si>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</si>
  <si>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</si>
  <si>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</si>
  <si>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</si>
  <si>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</si>
  <si>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</si>
  <si>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</si>
  <si>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</si>
  <si>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</si>
  <si>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</si>
  <si>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</si>
  <si>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</si>
  <si>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</si>
  <si>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</si>
  <si>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</si>
  <si>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</si>
  <si>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</si>
  <si>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</si>
  <si>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</si>
  <si>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</si>
  <si>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</si>
  <si>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</si>
  <si>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</si>
  <si>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</si>
  <si>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</si>
  <si>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</si>
  <si>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</si>
  <si>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</si>
  <si>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</si>
  <si>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</si>
  <si>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</si>
  <si>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</si>
  <si>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</si>
  <si>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</si>
  <si>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</si>
  <si>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</si>
  <si>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</si>
  <si>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</si>
  <si>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</si>
  <si>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</si>
  <si>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</si>
  <si>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</si>
  <si>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</si>
  <si>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</si>
  <si>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</si>
  <si>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</si>
  <si>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</si>
  <si>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</si>
  <si>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</si>
  <si>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</si>
  <si>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</si>
  <si>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</si>
  <si>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</si>
  <si>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</si>
  <si>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</si>
  <si>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</si>
  <si>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</si>
  <si>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</si>
  <si>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</si>
  <si>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</si>
  <si>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</si>
  <si>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</si>
  <si>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</si>
  <si>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</si>
  <si>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</si>
  <si>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</si>
  <si>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</si>
  <si>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</si>
  <si>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</si>
  <si>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</si>
  <si>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</si>
  <si>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</si>
  <si>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</si>
  <si>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</si>
  <si>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</si>
  <si>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</si>
  <si>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</si>
  <si>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</si>
  <si>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</si>
  <si>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</si>
  <si>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</si>
  <si>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</si>
  <si>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</si>
  <si>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</si>
  <si>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</si>
  <si>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</si>
  <si>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</si>
  <si>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</si>
  <si>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</si>
  <si>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</si>
  <si>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</si>
  <si>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</si>
  <si>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</si>
  <si>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</si>
  <si>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</si>
  <si>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</si>
  <si>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</si>
  <si>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</si>
  <si>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</si>
  <si>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</si>
  <si>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</si>
  <si>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</si>
  <si>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</si>
  <si>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</si>
  <si>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</si>
  <si>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</si>
  <si>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</si>
  <si>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</si>
  <si>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</si>
  <si>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</si>
  <si>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</si>
  <si>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</si>
  <si>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</si>
  <si>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</si>
  <si>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</si>
  <si>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</si>
  <si>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</si>
  <si>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</si>
  <si>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</si>
  <si>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</si>
  <si>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</si>
  <si>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</si>
  <si>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</si>
  <si>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</si>
  <si>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</si>
  <si>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</si>
  <si>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</si>
  <si>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</si>
  <si>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</si>
  <si>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</si>
  <si>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</si>
  <si>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</si>
  <si>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</si>
  <si>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</si>
  <si>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</si>
  <si>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</si>
  <si>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</si>
  <si>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</si>
  <si>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</si>
  <si>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</si>
  <si>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</si>
  <si>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</si>
  <si>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</si>
  <si>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</si>
  <si>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</si>
  <si>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</si>
  <si>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</si>
  <si>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</si>
  <si>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</si>
  <si>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</si>
  <si>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</si>
  <si>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</si>
  <si>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</si>
  <si>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</si>
  <si>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</si>
  <si>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</si>
  <si>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</si>
  <si>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</si>
  <si>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</si>
  <si>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Ovarialkarzinom FIGO IA</t>
  </si>
  <si>
    <t>Ovarialkarzinom FIGO IB</t>
  </si>
  <si>
    <t>Ovarialkarzinom FIGO IC</t>
  </si>
  <si>
    <t>Ovarialkarzinom FIGO IIA</t>
  </si>
  <si>
    <t>Ovarialkarzinom FIGO IIB</t>
  </si>
  <si>
    <t>Ovarialkarzinom FIGO IIIA</t>
  </si>
  <si>
    <t>Ovarialkarzinom FIGO IIIB</t>
  </si>
  <si>
    <t>Ovarialkarzinom FIGO IIIC</t>
  </si>
  <si>
    <t>Ovarialkarzinom FIGO IV</t>
  </si>
  <si>
    <t>Ovarialkarzinom Gesamt</t>
  </si>
  <si>
    <t>Borderline Ovar</t>
  </si>
  <si>
    <t>Zervixkarzinom FIGO IA1</t>
  </si>
  <si>
    <t>Zervixkarzinom FIGO IA2</t>
  </si>
  <si>
    <t>Zervixkarzinom FIGO IB1</t>
  </si>
  <si>
    <t>Zervixkarzinom FIGO IB2</t>
  </si>
  <si>
    <t>Zervixkarzinom FIGO IIA</t>
  </si>
  <si>
    <t>Zervixkarzinom FIGO IIB</t>
  </si>
  <si>
    <t>Zervixkarzinom FIGO IIIA</t>
  </si>
  <si>
    <t>Zervixkarzinom FIGO IIIB</t>
  </si>
  <si>
    <t>Zervixkarzinom FIGO IVA</t>
  </si>
  <si>
    <t>Zervixkarzinom FIGO IVB</t>
  </si>
  <si>
    <t>Zervixkarzinom Gesamt</t>
  </si>
  <si>
    <t>Endometriumkarzinom</t>
  </si>
  <si>
    <t>Vulvakarzinom</t>
  </si>
  <si>
    <t>Vaginalkarzinom</t>
  </si>
  <si>
    <t xml:space="preserve">Sonstige </t>
  </si>
  <si>
    <t>Gesamtfallzahl</t>
  </si>
  <si>
    <t>Primärfälle operiert Nicht vollständige OP</t>
  </si>
  <si>
    <t>Primärfälle operiert Definitive OP = 
Staging OP</t>
  </si>
  <si>
    <t>Primärfälle operiert davon mit neoadjuvanter oder präoperativer systemischer Therapie (Ovar/Tuben/Peritoneal)</t>
  </si>
  <si>
    <t>Primärfälle operiert Ausschließlich Staging OP / Nicht vollständige OP</t>
  </si>
  <si>
    <t>Primärfälle operiert Definitive OP (ggf. inkl. Staging-OP)</t>
  </si>
  <si>
    <t>Primärfälle nicht 
operiert</t>
  </si>
  <si>
    <t>Nicht Primärfälle operiert</t>
  </si>
  <si>
    <t>Nicht Primärfälle nicht 
operiert</t>
  </si>
  <si>
    <t>Gesamtfallzahl operiert</t>
  </si>
  <si>
    <t>Gesamtfallzahl nicht 
operiert</t>
  </si>
  <si>
    <t>Primary cases of the denominator with cytological/histological lymph node staging</t>
  </si>
  <si>
    <t>optional - OK</t>
  </si>
  <si>
    <t>OK</t>
  </si>
  <si>
    <t>optional - Target value not met</t>
  </si>
  <si>
    <t>optional - Incomplete</t>
  </si>
  <si>
    <t>optional - Incorrect</t>
  </si>
  <si>
    <t>optional - Exception (Plausibility unclear)</t>
  </si>
  <si>
    <t>OK (Plausibility unclear)</t>
  </si>
  <si>
    <t>optional - OK (Plausibility unclear)</t>
  </si>
  <si>
    <r>
      <t xml:space="preserve">Ovarian cancer/ fallopian tubes carcinoma/ peritoneal carcinoma </t>
    </r>
    <r>
      <rPr>
        <vertAlign val="superscript"/>
        <sz val="10"/>
        <color indexed="8"/>
        <rFont val="Arial"/>
        <family val="2"/>
      </rPr>
      <t>1)</t>
    </r>
  </si>
  <si>
    <t>Vulvar cancer</t>
  </si>
  <si>
    <t>CR / GL</t>
  </si>
  <si>
    <t>Presentation tumour board</t>
  </si>
  <si>
    <t>As frequent as possible presentation of patients with a genital malignoma in the tumour board</t>
  </si>
  <si>
    <t>Patients of the denominator who were presented in the tumour board</t>
  </si>
  <si>
    <t>6a</t>
  </si>
  <si>
    <t>6b</t>
  </si>
  <si>
    <t>GL QI</t>
  </si>
  <si>
    <t>Ovarian cancer : 
Offering of genetic testing</t>
  </si>
  <si>
    <t xml:space="preserve">As frequent as possible offering of genetic testing </t>
  </si>
  <si>
    <t>Ovarian cancer: 
Surgical staging early ovarian cancer</t>
  </si>
  <si>
    <t>As often as possible complete surgical staging</t>
  </si>
  <si>
    <t>Surgical primary cases ovarian cancer 
FIGO I – IIIA</t>
  </si>
  <si>
    <t>Ovarian cancer: 
Macroscopic complete resection advanced ovarian cancer</t>
  </si>
  <si>
    <t>As often as possible macroscopic complete resection</t>
  </si>
  <si>
    <t>Ovarian cancer: 
Operation advanced ovarian cancer by a gynaecological oncologist</t>
  </si>
  <si>
    <t xml:space="preserve">As often as possible surgical treatment by gynaecological-oncologists/specialist for gynaecology and obstetrics with the focus gynaecological oncology </t>
  </si>
  <si>
    <t>Primary cases of the denominator whose definitive surgical treatment was performed by a gynaecological oncologist</t>
  </si>
  <si>
    <t>Surgical primary cases ovarian cancer FIGO IIB-IV after completion of surgial treatment</t>
  </si>
  <si>
    <t>Ovarian cancer: 
Post-operative chemotherapy advanced ovarian cancer</t>
  </si>
  <si>
    <t>As often as possible post-operative chemotherapy for advanced ovarian cancer and chemotherapy</t>
  </si>
  <si>
    <t>Ovarian cancer: 
First-line chemotherapy advanced ovarian cancer</t>
  </si>
  <si>
    <t>Cervical cancer:
Cytological/
histological lymph node staging</t>
  </si>
  <si>
    <t>As often as possible cytological/histological lymph node staging</t>
  </si>
  <si>
    <t>Cervical cancer:
Brachytherapy as a component of primary radio(chemo) therapy</t>
  </si>
  <si>
    <t>As often as possible brachytherapy as a component of primary radio(chemo) therapy</t>
  </si>
  <si>
    <t>Vulvar cancer:
Details in pathology report in the case of first diagnosis and tumour resection</t>
  </si>
  <si>
    <t>As often as possible full details in the pathology report in the case of resection</t>
  </si>
  <si>
    <t>Primary cases of the denominator with pathology reports containing details of:
•Histological type according to WHO,
•Grading, 
•Detection/non-detection of lymph or blood vessel infiltration (L and V status), 
•Detection/non-detection of perineural invasion (Pn status), 
•Staging (pTNM), 
•Depth of invasion and spread in mm in the case of pT1a, three-dimensional tumour size in cm (ab pT1b), 
•Metric details of the minimum distance of the carcinoma and VIN from the vulvar resection margin in the histological specimen; 
•In the case of resection of the vulvar-vaginal or vulvar-anal transition zone and, where applicable, of the urethra metric details of the minimum distance to the vulvar-vaginal or vulvar-anal and, where applicable, urethral resection margin; 
•Metric details of the minimum distance to the soft tissue resection margin (basal margin)</t>
  </si>
  <si>
    <t>Vulvar cancer:
Details in pathology report in the case of lymphonodectomy</t>
  </si>
  <si>
    <t>As often as possible full details in the pathology report in the case of lymphonodectomy</t>
  </si>
  <si>
    <t>Primary cases vulvar cancer with lymphonodectomy</t>
  </si>
  <si>
    <t>Vulvar cancer:
Conduct inguinofemoral staging</t>
  </si>
  <si>
    <t>As often as possible inguinofemoral staging for vulvar cancer &gt;= pT1b (no basal cell carcinoma and no verrucous carcinoma)</t>
  </si>
  <si>
    <r>
      <t xml:space="preserve">Primary cases vulvar cancer </t>
    </r>
    <r>
      <rPr>
        <sz val="8"/>
        <rFont val="Calibri"/>
        <family val="2"/>
        <charset val="238"/>
      </rPr>
      <t>≥</t>
    </r>
    <r>
      <rPr>
        <sz val="8"/>
        <rFont val="Arial"/>
        <family val="2"/>
      </rPr>
      <t xml:space="preserve"> pT1b (no basal cell carcinoma and no verrucous carcinoma)</t>
    </r>
  </si>
  <si>
    <t>Vulvar cancer:
Sentinel lymph nodes biopsy</t>
  </si>
  <si>
    <t>As often as possible presence of the described characteristics in the case of performed sentinel surgery</t>
  </si>
  <si>
    <t xml:space="preserve">Primary cases of the denominator with the following characteristics:
• Clinical tumour size &lt; 4 cm  and 
• Unifocal tumour (= no multiple tumours;  TNM m-symbol) and
• Clinically inconspicuous lymph nodes (cN0) and
• Pathohistological ultrastaging of lymph nodes (= in line with LL), only if all sentinel lymph nodes are tumor-free in the H&amp;E staining </t>
  </si>
  <si>
    <t>Primary cases vulvar cancer and sentinel lymph node biopsy</t>
  </si>
  <si>
    <t>Cervical carcinoma *</t>
  </si>
  <si>
    <t>Endometrial cancer</t>
  </si>
  <si>
    <t>Other (incl. sarcoma, 
non-carcinoma ovarial, chorion carcinoma etc.)</t>
  </si>
  <si>
    <t>Plausible</t>
  </si>
  <si>
    <t>Borderline ovarian / Serous Tubal Intraepithelial Carcinoma (STIC)</t>
  </si>
  <si>
    <t>Surgical primary cases ovarian cancer FIGO IIA-IV and chemotherapy</t>
  </si>
  <si>
    <t>As often as possible first-line chemotherapy with carboplatin  and paclitaxel for initial diagnosis ovarian cancer 
≥ FIGO IIA</t>
  </si>
  <si>
    <t>Primary cases of the denominator with first-line chemotherapy with carboplatin  and paclitaxel</t>
  </si>
  <si>
    <t>Primary cases ovarian cancer 
FIGO IIA-IV</t>
  </si>
  <si>
    <t>≥ 60%</t>
  </si>
  <si>
    <t>Histological confirmation of local recurrence</t>
  </si>
  <si>
    <t>Histological confirmation as often as possible in patients with local recurrence of cervical carcinoma</t>
  </si>
  <si>
    <t>Patients of the denominator with pre-therapeutic histological confirmation</t>
  </si>
  <si>
    <t xml:space="preserve">             OK</t>
  </si>
  <si>
    <t xml:space="preserve">             Target value not met</t>
  </si>
  <si>
    <t xml:space="preserve">             Erroneous</t>
  </si>
  <si>
    <t>The respective entry or change "number / numerator / denominator" (dotted fields) is only possible in the spreadsheet "Basic data", carry-over is automatic.
The numerator is always a subset of the denominator (exception: Indicator 4 - Share of studies patients).</t>
  </si>
  <si>
    <t>A revision will take place with the next update of the guideline.</t>
  </si>
  <si>
    <r>
      <t xml:space="preserve">Not complete surgery *
</t>
    </r>
    <r>
      <rPr>
        <sz val="8"/>
        <rFont val="Arial"/>
        <family val="2"/>
      </rPr>
      <t>(ovary/Fallopian tubes/peritoneal, BOT, STIC)</t>
    </r>
  </si>
  <si>
    <r>
      <t xml:space="preserve">including with neoadjuvant or pre-operative systemic therapy </t>
    </r>
    <r>
      <rPr>
        <i/>
        <sz val="8"/>
        <rFont val="Arial"/>
        <family val="2"/>
      </rPr>
      <t>(ovary/Fallopian tubes/peritoneal)</t>
    </r>
  </si>
  <si>
    <r>
      <t xml:space="preserve">Only staging surgery / Not complete surgery </t>
    </r>
    <r>
      <rPr>
        <sz val="8"/>
        <rFont val="Arial"/>
        <family val="2"/>
      </rPr>
      <t>(cervix, endometrium, vulva, vagina, other)</t>
    </r>
  </si>
  <si>
    <r>
      <t xml:space="preserve">Definitive surgery (where appr. incl. staging surgery) 
</t>
    </r>
    <r>
      <rPr>
        <sz val="8"/>
        <rFont val="Arial"/>
        <family val="2"/>
      </rPr>
      <t>(cervix, endometrium, vulva, vagina, other)</t>
    </r>
  </si>
  <si>
    <r>
      <t xml:space="preserve">Neoadjuvant or preoperative systemic therapy with planned surgery </t>
    </r>
    <r>
      <rPr>
        <vertAlign val="superscript"/>
        <sz val="9"/>
        <color rgb="FF000000"/>
        <rFont val="Arial"/>
        <family val="2"/>
      </rPr>
      <t>3)</t>
    </r>
    <r>
      <rPr>
        <sz val="9"/>
        <color indexed="8"/>
        <rFont val="Arial"/>
        <family val="2"/>
      </rPr>
      <t xml:space="preserve">
</t>
    </r>
    <r>
      <rPr>
        <b/>
        <sz val="8"/>
        <color rgb="FF000000"/>
        <rFont val="Arial"/>
        <family val="2"/>
      </rPr>
      <t>Ex:</t>
    </r>
    <r>
      <rPr>
        <sz val="8"/>
        <color rgb="FF000000"/>
        <rFont val="Arial"/>
        <family val="2"/>
      </rPr>
      <t xml:space="preserve"> 12/23 initial diganosis, 1-6/24 neoadj therapy, 7/24 surgery, audit 6/24</t>
    </r>
  </si>
  <si>
    <t xml:space="preserve">Psycho-oncological distress screening </t>
  </si>
  <si>
    <t>Adequate rate of psycho-oncological distress screening</t>
  </si>
  <si>
    <t>Patients of the denominator who were psycho-oncologically screened</t>
  </si>
  <si>
    <t>≥ 65%</t>
  </si>
  <si>
    <t>Patients enrolled in a study (see CR 1.7.)</t>
  </si>
  <si>
    <t>Social service counselling</t>
  </si>
  <si>
    <t>≥ 70%</t>
  </si>
  <si>
    <t>≥ 40%</t>
  </si>
  <si>
    <t xml:space="preserve">Endometrial cancer: Immunohistochemical determination of p53 and the MMR proteins </t>
  </si>
  <si>
    <t>Determination as often as possible
of p53 and the MMR
proteins</t>
  </si>
  <si>
    <t>Primary cases of the denominator with
immunohistochemical
determination of p53 and the
MMR proteins</t>
  </si>
  <si>
    <t>Primary cases with
histologically confirmed
diagnosis of
endometrial cancer (incl.
M1)</t>
  </si>
  <si>
    <t>&lt; 60%</t>
  </si>
  <si>
    <t>Endometrial cancer: POLE examination</t>
  </si>
  <si>
    <t>As often as possible POLE-
examination</t>
  </si>
  <si>
    <t>Primary cases of the denominator with
POLE investigation</t>
  </si>
  <si>
    <t>Endometrial cancer: post-operative vaginal brachytherapy alone</t>
  </si>
  <si>
    <t>Endometrial cancer: percutaneous radiotherapy with simultaneous chemotherapy (PORTEC
3 regimen)</t>
  </si>
  <si>
    <t>Endometrial cancer: adjuvant chemotherapy with carboplatin and paclitaxel</t>
  </si>
  <si>
    <t>Post-operative vaginal brachytherapy alone as often as possible</t>
  </si>
  <si>
    <t>Simultaneous chemotherapy as often as possible
chemotherapy (PORTEC 3-
regimen)</t>
  </si>
  <si>
    <t>Adjuvant chemotherapy as often as possible
chemotherapy with
carboplatin and paclitaxel</t>
  </si>
  <si>
    <t>Primary cases of the denominator with
post-operative brachytherapy alone
vaginal brachytherapy</t>
  </si>
  <si>
    <t>Primary cases of the denominator with
simultaneous chemotherapy
(PORTEC 3 regimen)</t>
  </si>
  <si>
    <t>Primary cases of the denominator with
chemotherapy with
carboplatin and paclitaxel</t>
  </si>
  <si>
    <t>Primary cases of endometrial cancer stage pT1b, G1 or G2 pNX/0, p53-wt, L1CAM negative, without extensive LVSI, M0 with surgery</t>
  </si>
  <si>
    <t>Primary cases with endometrioid (morphology code: 8380/3) endometrial cancer pT1b or pT2, p53-abn, POLE-wt M0 and percutaneous radiotherapy</t>
  </si>
  <si>
    <t>Primary cases with endometrial cancer and
adjuvant chemotherapy (without M1)</t>
  </si>
  <si>
    <t xml:space="preserve">Primärfälle Neoadjuvante o. präoperative systemische Therapie mit geplanter OP </t>
  </si>
  <si>
    <t xml:space="preserve">Optional </t>
  </si>
  <si>
    <t xml:space="preserve"> Neoadjuvante o. präoperative systemische Therapie mit geplanter OP 3)
Bsp: 12/23 ED,
1-6/24 neoadj Th., 7/24 OP, Audit 6/24 </t>
  </si>
  <si>
    <t>Primary cases
ovarian cancer</t>
  </si>
  <si>
    <t xml:space="preserve">Primary cases cervical cancer FIGO stage ≥ IA2-IVA </t>
  </si>
  <si>
    <t>Primary cases with cervical cancer and primary radio(chemo) therapy, without primary Distant Metastasis</t>
  </si>
  <si>
    <t>Patients with cervical cancer and therapy of a local recurrence</t>
  </si>
  <si>
    <t>Primary cases vulvar cancer with tumour resection</t>
  </si>
  <si>
    <t>Marvin</t>
  </si>
  <si>
    <t>Institution identification (II) number</t>
  </si>
  <si>
    <t>Clinical sites number</t>
  </si>
  <si>
    <t>Name der Studie</t>
  </si>
  <si>
    <t>im eigenen Zentrum in eine Studie eingeschlossen wurden</t>
  </si>
  <si>
    <t>von anderen Zentren/ Kliniken in eine Studie im eigenen Zentrum eingeschlossen wurden</t>
  </si>
  <si>
    <t>in anderen Zentren/ Kliniken in eine Studie eingeschlossen wurden</t>
  </si>
  <si>
    <r>
      <rPr>
        <u/>
        <sz val="8"/>
        <color theme="1"/>
        <rFont val="Arial"/>
        <family val="2"/>
      </rPr>
      <t>Please note:</t>
    </r>
    <r>
      <rPr>
        <sz val="8"/>
        <color theme="1"/>
        <rFont val="Arial"/>
        <family val="2"/>
      </rPr>
      <t xml:space="preserve"> Study patients can be counted for 2 centres, provided that the sending centre itself conducts at least one study for patients of the Gynecology Centre. If this method of counting is chosen (optional), the centre must show how many patients are included in studies in its own centre, sent to other centres/clinics for study participation and transferred from other centres/clinics for study participation.</t>
    </r>
  </si>
  <si>
    <t>Responsible co-operation partner</t>
  </si>
  <si>
    <t>Name of the study</t>
  </si>
  <si>
    <t>Number of study patients in the indicator year</t>
  </si>
  <si>
    <t>who were included in a study at their own centre</t>
  </si>
  <si>
    <t>who were included in a study in other centres/clinics</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</si>
  <si>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</si>
  <si>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</si>
  <si>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</si>
  <si>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</si>
  <si>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</si>
  <si>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</si>
  <si>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</si>
  <si>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</si>
  <si>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</si>
  <si>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 xml:space="preserve">2
</t>
  </si>
  <si>
    <t xml:space="preserve">21
</t>
  </si>
  <si>
    <t xml:space="preserve">22
</t>
  </si>
  <si>
    <t xml:space="preserve">23
</t>
  </si>
  <si>
    <t xml:space="preserve">24
</t>
  </si>
  <si>
    <t xml:space="preserve">25
</t>
  </si>
  <si>
    <t xml:space="preserve">   Date first certification</t>
  </si>
  <si>
    <t xml:space="preserve">   Date recorded                   </t>
  </si>
  <si>
    <t xml:space="preserve">   Indicator year</t>
  </si>
  <si>
    <t>Zambia</t>
  </si>
  <si>
    <t>Zimbabwe</t>
  </si>
  <si>
    <t>List of studies</t>
  </si>
  <si>
    <t xml:space="preserve">                Total:</t>
  </si>
  <si>
    <t>Not listed</t>
  </si>
  <si>
    <t>In-house development (MS Excel, MS Access etc.)</t>
  </si>
  <si>
    <t>Unknown</t>
  </si>
  <si>
    <t>who were included in a study at their own centre by other centres/ clinics</t>
  </si>
  <si>
    <t>Annex CR Version K1.1 (Audit year 2026 / Indicator year 2025)</t>
  </si>
  <si>
    <r>
      <t xml:space="preserve">Definitive surgery = 
staging surgery according to GL** </t>
    </r>
    <r>
      <rPr>
        <sz val="8"/>
        <rFont val="Arial"/>
        <family val="2"/>
      </rPr>
      <t>(ovary/Fallopian tubes/peritoneal, BOT, STIC)</t>
    </r>
  </si>
  <si>
    <t>not 
operated and no surgery planned</t>
  </si>
  <si>
    <t xml:space="preserve">    FIGO IVA</t>
  </si>
  <si>
    <t xml:space="preserve">    FIGO IVB</t>
  </si>
  <si>
    <t>The TNM classification of malignant tumours, 8th edition 2017, and the ICD classification ICD-10-GM 2024 (DIMDI) as well as the ICD classification ICD-O-3 (DIMDI) (topography and morphology) 2019 and the OPS classification OPS 2024 (DIMDI) are the basis for this Catalogue of Requirements. Cervical carcinomas are classified based on the FIGO classification BEFORE 2018, which is aligned with the 8th edition of the TNM. The 2018 FIGO classification is not taken into account.
* Note to Cervical carcinoma: The classification of cervical carcinoma is based on the FIGO classification BEFORE 2018, which is in line with the 8th edition of the TNM. FIGO classification 2018 is not taken into consideration.
** Not complete surgery in inoperable patients
*** In line with Guidelines "Diagnosis, treatment and aftercare of malignant ovarian tumours"</t>
  </si>
  <si>
    <r>
      <rPr>
        <b/>
        <u/>
        <sz val="8"/>
        <rFont val="Arial"/>
        <family val="2"/>
      </rPr>
      <t xml:space="preserve">Processing remarks:
</t>
    </r>
    <r>
      <rPr>
        <sz val="8"/>
        <rFont val="Arial"/>
        <family val="2"/>
      </rPr>
      <t>1) Fallopian tube and peritoneal carcinomas are classified as ovarian carcinomas (in line with S3 Guideline identical therapy). Hence, the QI for ovarian carcinomas comprises all 3 tumour entities.
2) For each patient either 1 definitive surgery or 1 "not complete" or "solely staging surgery" be counted.
3) Patients with a initial diagnosis in the indicator year who have not undergone surgery by the time the Data Sheet is submitted and who are receiving preoperative or neoadjuvant therapy with planned curative surgery as recommended by the tumour board at the time the Data Sheet is submitted.
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imported from OncoBox).
Each change to the basic data leads to a change in the Indicator Sheet. The document "Specifications Data Quality" sets out the basic principles for data assessment as part of the audit process. In particular details are given of how to deal with indicators where the target value is not met (download from www.onkozert.de; section Remarks).</t>
    </r>
  </si>
  <si>
    <t>Number of surgical procedures for high-grade precancerous lesions</t>
  </si>
  <si>
    <t>Vulva (= VIN 3)</t>
  </si>
  <si>
    <t>Vagina (= VaIN 3)</t>
  </si>
  <si>
    <t xml:space="preserve">Cervix (= CIN 3) </t>
  </si>
  <si>
    <t>Endometrium 
(= endometrial intraepithelial neoplasia)</t>
  </si>
  <si>
    <t>Surgical primary cases with an ovarian cancer 
FIGO IIB-IV without prior chemotherapy</t>
  </si>
  <si>
    <t>≥ 50%</t>
  </si>
  <si>
    <t>Primary cases of endometrial cancer &gt;pT1a
u./o. G3 u./o. p53-abn u./o. LVSI pos. u./o.
MSI/MMR pos. or first diagnosis of type
2-Endometrial cancer (serous, clear cell,
cancer sarcoma) 
(ICD-O: 8380/3, 8441/3, 8310/3, 8020/3, 8323/3, 9110/3, 8070/3, 8144/3, 9111/3, 8980/3)</t>
  </si>
  <si>
    <t>D-Flow Onco (vormals OncoAssist)</t>
  </si>
  <si>
    <t>Stand: 26.09.2025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</si>
</sst>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153"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vertAlign val="superscript"/>
      <sz val="7"/>
      <name val="Arial"/>
      <family val="2"/>
    </font>
    <font>
      <sz val="9"/>
      <color indexed="8"/>
      <name val="Arial"/>
      <family val="2"/>
    </font>
    <font>
      <sz val="6"/>
      <color indexed="8"/>
      <name val="Arial"/>
      <family val="2"/>
    </font>
    <font>
      <sz val="6"/>
      <name val="Arial"/>
      <family val="2"/>
    </font>
    <font>
      <sz val="9"/>
      <color indexed="81"/>
      <name val="Arial"/>
      <family val="2"/>
    </font>
    <font>
      <sz val="8"/>
      <name val="Calibri"/>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u/>
      <sz val="8"/>
      <color indexed="8"/>
      <name val="Arial"/>
      <family val="2"/>
    </font>
    <font>
      <sz val="11"/>
      <color indexed="23"/>
      <name val="Calibri"/>
      <family val="2"/>
    </font>
    <font>
      <sz val="8"/>
      <color indexed="81"/>
      <name val="Arial"/>
      <family val="2"/>
    </font>
    <font>
      <sz val="8"/>
      <color indexed="8"/>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
      <color indexed="9"/>
      <name val="Arial"/>
      <family val="2"/>
    </font>
    <font>
      <sz val="8"/>
      <color indexed="8"/>
      <name val="Calibri"/>
      <family val="2"/>
    </font>
    <font>
      <b/>
      <sz val="8"/>
      <color indexed="10"/>
      <name val="Arial"/>
      <family val="2"/>
    </font>
    <font>
      <b/>
      <vertAlign val="superscript"/>
      <sz val="8"/>
      <name val="Arial"/>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sz val="11"/>
      <color indexed="8"/>
      <name val="Arial"/>
      <family val="2"/>
    </font>
    <font>
      <sz val="10"/>
      <color indexed="8"/>
      <name val="Arial"/>
      <family val="2"/>
    </font>
    <font>
      <sz val="8"/>
      <color indexed="8"/>
      <name val="Arial"/>
      <family val="2"/>
    </font>
    <font>
      <sz val="9"/>
      <color indexed="8"/>
      <name val="Arial"/>
      <family val="2"/>
    </font>
    <font>
      <b/>
      <sz val="8"/>
      <color indexed="8"/>
      <name val="Arial"/>
      <family val="2"/>
    </font>
    <font>
      <b/>
      <sz val="9"/>
      <color indexed="8"/>
      <name val="Arial"/>
      <family val="2"/>
    </font>
    <font>
      <b/>
      <sz val="10"/>
      <color indexed="8"/>
      <name val="Arial"/>
      <family val="2"/>
    </font>
    <font>
      <sz val="8"/>
      <color indexed="30"/>
      <name val="Arial"/>
      <family val="2"/>
    </font>
    <font>
      <sz val="11"/>
      <color indexed="30"/>
      <name val="Arial"/>
      <family val="2"/>
    </font>
    <font>
      <sz val="8"/>
      <color indexed="8"/>
      <name val="Arial"/>
      <family val="2"/>
    </font>
    <font>
      <sz val="8"/>
      <color indexed="8"/>
      <name val="Arial"/>
      <family val="2"/>
    </font>
    <font>
      <b/>
      <sz val="9"/>
      <color indexed="81"/>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8"/>
      <color theme="1"/>
      <name val="Arial"/>
      <family val="2"/>
    </font>
    <font>
      <vertAlign val="superscript"/>
      <sz val="8"/>
      <color theme="1"/>
      <name val="Arial"/>
      <family val="2"/>
    </font>
    <font>
      <sz val="7"/>
      <color theme="1"/>
      <name val="Arial"/>
      <family val="2"/>
    </font>
    <font>
      <vertAlign val="superscript"/>
      <sz val="9"/>
      <color theme="1"/>
      <name val="Arial"/>
      <family val="2"/>
    </font>
    <font>
      <sz val="9"/>
      <color rgb="FFFF0000"/>
      <name val="Arial"/>
      <family val="2"/>
    </font>
    <font>
      <b/>
      <u/>
      <sz val="8"/>
      <name val="Arial"/>
      <family val="2"/>
    </font>
    <font>
      <b/>
      <sz val="8"/>
      <color indexed="8"/>
      <name val="Arial"/>
      <family val="2"/>
    </font>
    <font>
      <sz val="8"/>
      <color indexed="8"/>
      <name val="Arial"/>
      <family val="2"/>
    </font>
    <font>
      <sz val="8"/>
      <color indexed="9"/>
      <name val="Arial"/>
      <family val="2"/>
    </font>
    <font>
      <sz val="8"/>
      <name val="Arial"/>
      <family val="2"/>
    </font>
    <font>
      <b/>
      <sz val="8"/>
      <name val="Arial"/>
      <family val="2"/>
    </font>
    <font>
      <sz val="8"/>
      <color indexed="53"/>
      <name val="Arial"/>
      <family val="2"/>
    </font>
    <font>
      <sz val="9"/>
      <color indexed="8"/>
      <name val="Arial"/>
      <family val="2"/>
    </font>
    <font>
      <b/>
      <sz val="9"/>
      <color indexed="8"/>
      <name val="Arial"/>
      <family val="2"/>
    </font>
    <font>
      <b/>
      <sz val="11"/>
      <color indexed="8"/>
      <name val="Calibri"/>
      <family val="2"/>
    </font>
    <font>
      <sz val="8"/>
      <color indexed="8"/>
      <name val="Arial"/>
      <family val="2"/>
    </font>
    <font>
      <sz val="9"/>
      <name val="Arial"/>
      <family val="2"/>
    </font>
    <font>
      <sz val="8"/>
      <name val="Arial"/>
      <family val="2"/>
    </font>
    <font>
      <sz val="10"/>
      <color indexed="8"/>
      <name val="Arial"/>
      <family val="2"/>
    </font>
    <font>
      <sz val="10"/>
      <color indexed="8"/>
      <name val="Arial"/>
      <family val="2"/>
    </font>
    <font>
      <sz val="10"/>
      <name val="Arial"/>
      <family val="2"/>
    </font>
    <font>
      <b/>
      <sz val="10"/>
      <color indexed="8"/>
      <name val="Arial"/>
      <family val="2"/>
    </font>
    <font>
      <sz val="8"/>
      <color indexed="55"/>
      <name val="Arial"/>
      <family val="2"/>
    </font>
    <font>
      <b/>
      <sz val="10"/>
      <name val="Arial"/>
      <family val="2"/>
    </font>
    <font>
      <sz val="11"/>
      <color indexed="8"/>
      <name val="Arial"/>
      <family val="2"/>
    </font>
    <font>
      <sz val="8"/>
      <color rgb="FFFF0000"/>
      <name val="Arial"/>
      <family val="2"/>
    </font>
    <font>
      <sz val="10"/>
      <color theme="1"/>
      <name val="Arial"/>
      <family val="2"/>
    </font>
    <font>
      <vertAlign val="superscript"/>
      <sz val="11"/>
      <color theme="1"/>
      <name val="Calibri"/>
      <family val="2"/>
      <scheme val="minor"/>
    </font>
    <font>
      <sz val="9"/>
      <color theme="1"/>
      <name val="Arial"/>
      <family val="2"/>
    </font>
    <font>
      <i/>
      <sz val="9"/>
      <name val="Arial"/>
      <family val="2"/>
    </font>
    <font>
      <sz val="9"/>
      <color indexed="8"/>
      <name val="Arial"/>
      <family val="2"/>
    </font>
    <font>
      <i/>
      <sz val="10"/>
      <name val="Arial"/>
      <family val="2"/>
    </font>
    <font>
      <b/>
      <sz val="10"/>
      <color theme="0" tint="-0.499984740745262"/>
      <name val="Arial"/>
      <family val="2"/>
    </font>
    <font>
      <vertAlign val="superscript"/>
      <sz val="10"/>
      <color indexed="8"/>
      <name val="Arial"/>
      <family val="2"/>
    </font>
    <font>
      <b/>
      <sz val="13"/>
      <name val="Arial"/>
      <family val="2"/>
    </font>
    <font>
      <sz val="11"/>
      <name val="Calibri"/>
      <family val="2"/>
      <scheme val="minor"/>
    </font>
    <font>
      <b/>
      <sz val="11"/>
      <name val="Arial"/>
      <family val="2"/>
    </font>
    <font>
      <b/>
      <sz val="8"/>
      <name val="Arial Narrow"/>
      <family val="2"/>
    </font>
    <font>
      <strike/>
      <sz val="8"/>
      <name val="Arial"/>
      <family val="2"/>
    </font>
    <font>
      <b/>
      <sz val="12"/>
      <name val="Arial"/>
      <family val="2"/>
    </font>
    <font>
      <sz val="8"/>
      <name val="Calibri"/>
      <family val="2"/>
      <charset val="238"/>
    </font>
    <font>
      <sz val="8"/>
      <name val="Arial Narrow"/>
      <family val="2"/>
    </font>
    <font>
      <sz val="8"/>
      <color theme="1" tint="0.34998626667073579"/>
      <name val="Arial"/>
      <family val="2"/>
    </font>
    <font>
      <b/>
      <sz val="8"/>
      <color theme="1" tint="0.34998626667073579"/>
      <name val="Arial"/>
      <family val="2"/>
    </font>
    <font>
      <sz val="6"/>
      <color theme="1" tint="0.34998626667073579"/>
      <name val="Arial"/>
      <family val="2"/>
    </font>
    <font>
      <i/>
      <sz val="8"/>
      <name val="Arial"/>
      <family val="2"/>
    </font>
    <font>
      <sz val="8"/>
      <color rgb="FF000000"/>
      <name val="Arial"/>
      <family val="2"/>
    </font>
    <font>
      <b/>
      <sz val="8"/>
      <color rgb="FF000000"/>
      <name val="Arial"/>
      <family val="2"/>
    </font>
    <font>
      <vertAlign val="superscript"/>
      <sz val="9"/>
      <color rgb="FF000000"/>
      <name val="Arial"/>
      <family val="2"/>
    </font>
    <font>
      <b/>
      <sz val="9"/>
      <color theme="1"/>
      <name val="Arial"/>
      <family val="2"/>
    </font>
    <font>
      <b/>
      <sz val="12"/>
      <color theme="1"/>
      <name val="Arial"/>
      <family val="2"/>
    </font>
    <font>
      <b/>
      <sz val="10"/>
      <color theme="1"/>
      <name val="Arial"/>
      <family val="2"/>
    </font>
    <font>
      <u/>
      <sz val="8"/>
      <color theme="1"/>
      <name val="Arial"/>
      <family val="2"/>
    </font>
    <font>
      <sz val="8"/>
      <name val="Calibri"/>
      <family val="2"/>
      <scheme val="minor"/>
    </font>
    <font>
      <i/>
      <sz val="10"/>
      <color indexed="8"/>
      <name val="Arial"/>
      <family val="2"/>
    </font>
  </fonts>
  <fills count="96">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10"/>
        <bgColor indexed="64"/>
      </patternFill>
    </fill>
    <fill>
      <patternFill patternType="solid">
        <fgColor indexed="43"/>
        <bgColor indexed="64"/>
      </patternFill>
    </fill>
    <fill>
      <patternFill patternType="gray0625">
        <fgColor indexed="23"/>
        <bgColor indexed="9"/>
      </patternFill>
    </fill>
    <fill>
      <patternFill patternType="solid">
        <fgColor indexed="42"/>
        <bgColor indexed="64"/>
      </patternFill>
    </fill>
    <fill>
      <patternFill patternType="solid">
        <fgColor indexed="44"/>
        <bgColor indexed="64"/>
      </patternFill>
    </fill>
    <fill>
      <patternFill patternType="solid">
        <fgColor indexed="11"/>
        <bgColor indexed="64"/>
      </patternFill>
    </fill>
    <fill>
      <patternFill patternType="solid">
        <fgColor indexed="45"/>
        <bgColor indexed="64"/>
      </patternFill>
    </fill>
    <fill>
      <patternFill patternType="solid">
        <fgColor indexed="47"/>
        <bgColor indexed="64"/>
      </patternFill>
    </fill>
    <fill>
      <patternFill patternType="solid">
        <fgColor indexed="22"/>
        <bgColor indexed="64"/>
      </patternFill>
    </fill>
    <fill>
      <patternFill patternType="solid">
        <fgColor indexed="13"/>
        <bgColor indexed="64"/>
      </patternFill>
    </fill>
    <fill>
      <patternFill patternType="solid">
        <fgColor indexed="51"/>
        <bgColor indexed="64"/>
      </patternFill>
    </fill>
    <fill>
      <patternFill patternType="gray0625"/>
    </fill>
    <fill>
      <patternFill patternType="solid">
        <fgColor indexed="44"/>
        <bgColor indexed="9"/>
      </patternFill>
    </fill>
    <fill>
      <patternFill patternType="gray0625">
        <bgColor indexed="44"/>
      </patternFill>
    </fill>
    <fill>
      <patternFill patternType="gray0625">
        <fgColor indexed="23"/>
      </patternFill>
    </fill>
    <fill>
      <patternFill patternType="solid">
        <fgColor indexed="2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9847407452621"/>
        <bgColor indexed="9"/>
      </patternFill>
    </fill>
    <fill>
      <patternFill patternType="solid">
        <fgColor theme="9" tint="0.79998168889431442"/>
        <bgColor indexed="64"/>
      </patternFill>
    </fill>
    <fill>
      <patternFill patternType="solid">
        <fgColor theme="0" tint="-0.14996795556505021"/>
        <bgColor indexed="9"/>
      </patternFill>
    </fill>
    <fill>
      <patternFill patternType="solid">
        <fgColor rgb="FFFFC000"/>
        <bgColor indexed="64"/>
      </patternFill>
    </fill>
    <fill>
      <patternFill patternType="solid">
        <fgColor theme="9" tint="0.59999389629810485"/>
        <bgColor indexed="64"/>
      </patternFill>
    </fill>
    <fill>
      <patternFill patternType="solid">
        <fgColor rgb="FF00B050"/>
        <bgColor indexed="64"/>
      </patternFill>
    </fill>
    <fill>
      <patternFill patternType="solid">
        <fgColor rgb="FFCCFFCC"/>
        <bgColor indexed="64"/>
      </patternFill>
    </fill>
    <fill>
      <patternFill patternType="solid">
        <fgColor theme="4"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9D9D9"/>
        <bgColor indexed="64"/>
      </patternFill>
    </fill>
    <fill>
      <patternFill patternType="gray0625">
        <bgColor rgb="FFD9D9D9"/>
      </patternFill>
    </fill>
    <fill>
      <patternFill patternType="solid">
        <fgColor rgb="FFC0C0C0"/>
        <bgColor indexed="64"/>
      </patternFill>
    </fill>
    <fill>
      <patternFill patternType="solid">
        <fgColor theme="1" tint="0.499984740745262"/>
        <bgColor indexed="64"/>
      </patternFill>
    </fill>
  </fills>
  <borders count="91">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4"/>
      </bottom>
      <diagonal/>
    </border>
    <border>
      <left/>
      <right/>
      <top/>
      <bottom style="thick">
        <color indexed="41"/>
      </bottom>
      <diagonal/>
    </border>
    <border>
      <left/>
      <right/>
      <top/>
      <bottom style="thick">
        <color indexed="22"/>
      </bottom>
      <diagonal/>
    </border>
    <border>
      <left/>
      <right/>
      <top/>
      <bottom style="medium">
        <color indexed="44"/>
      </bottom>
      <diagonal/>
    </border>
    <border>
      <left/>
      <right/>
      <top/>
      <bottom style="medium">
        <color indexed="41"/>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top style="medium">
        <color indexed="64"/>
      </top>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s>
  <cellStyleXfs count="581">
    <xf numFmtId="0" fontId="0" fillId="0" borderId="0"/>
    <xf numFmtId="0" fontId="80" fillId="3" borderId="0" applyNumberFormat="0" applyBorder="0" applyAlignment="0" applyProtection="0"/>
    <xf numFmtId="0" fontId="80" fillId="3"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2"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0" fillId="48" borderId="0" applyNumberFormat="0" applyBorder="0" applyAlignment="0" applyProtection="0"/>
    <xf numFmtId="0" fontId="80" fillId="48" borderId="0" applyNumberFormat="0" applyBorder="0" applyAlignment="0" applyProtection="0"/>
    <xf numFmtId="0" fontId="80" fillId="2" borderId="0" applyNumberFormat="0" applyBorder="0" applyAlignment="0" applyProtection="0"/>
    <xf numFmtId="0" fontId="80"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0" fillId="4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0" fillId="5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0" fillId="53" borderId="0" applyNumberFormat="0" applyBorder="0" applyAlignment="0" applyProtection="0"/>
    <xf numFmtId="0" fontId="80" fillId="53" borderId="0" applyNumberFormat="0" applyBorder="0" applyAlignment="0" applyProtection="0"/>
    <xf numFmtId="0" fontId="80" fillId="15" borderId="0" applyNumberFormat="0" applyBorder="0" applyAlignment="0" applyProtection="0"/>
    <xf numFmtId="0" fontId="80"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81" fillId="2" borderId="0" applyNumberFormat="0" applyBorder="0" applyAlignment="0" applyProtection="0"/>
    <xf numFmtId="0" fontId="81" fillId="4"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81" fillId="57"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81" fillId="58"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47" fillId="18" borderId="0" applyNumberFormat="0" applyBorder="0" applyAlignment="0" applyProtection="0"/>
    <xf numFmtId="0" fontId="81" fillId="60" borderId="0" applyNumberFormat="0" applyBorder="0" applyAlignment="0" applyProtection="0"/>
    <xf numFmtId="0" fontId="81" fillId="60" borderId="0" applyNumberFormat="0" applyBorder="0" applyAlignment="0" applyProtection="0"/>
    <xf numFmtId="0" fontId="81" fillId="2" borderId="0" applyNumberFormat="0" applyBorder="0" applyAlignment="0" applyProtection="0"/>
    <xf numFmtId="0" fontId="81" fillId="4"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81" fillId="20" borderId="0" applyNumberFormat="0" applyBorder="0" applyAlignment="0" applyProtection="0"/>
    <xf numFmtId="0" fontId="81" fillId="20" borderId="0" applyNumberFormat="0" applyBorder="0" applyAlignment="0" applyProtection="0"/>
    <xf numFmtId="0" fontId="81" fillId="61" borderId="0" applyNumberFormat="0" applyBorder="0" applyAlignment="0" applyProtection="0"/>
    <xf numFmtId="0" fontId="81" fillId="61"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81" fillId="62"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1" borderId="0" applyNumberFormat="0" applyBorder="0" applyAlignment="0" applyProtection="0"/>
    <xf numFmtId="0" fontId="81" fillId="62" borderId="0" applyNumberFormat="0" applyBorder="0" applyAlignment="0" applyProtection="0"/>
    <xf numFmtId="0" fontId="47" fillId="23" borderId="0" applyNumberFormat="0" applyBorder="0" applyAlignment="0" applyProtection="0"/>
    <xf numFmtId="0" fontId="81" fillId="22" borderId="0" applyNumberFormat="0" applyBorder="0" applyAlignment="0" applyProtection="0"/>
    <xf numFmtId="0" fontId="81" fillId="23" borderId="0" applyNumberFormat="0" applyBorder="0" applyAlignment="0" applyProtection="0"/>
    <xf numFmtId="0" fontId="81" fillId="63" borderId="0" applyNumberFormat="0" applyBorder="0" applyAlignment="0" applyProtection="0"/>
    <xf numFmtId="0" fontId="47" fillId="24" borderId="0" applyNumberFormat="0" applyBorder="0" applyAlignment="0" applyProtection="0"/>
    <xf numFmtId="0" fontId="81" fillId="64" borderId="0" applyNumberFormat="0" applyBorder="0" applyAlignment="0" applyProtection="0"/>
    <xf numFmtId="0" fontId="47" fillId="18" borderId="0" applyNumberFormat="0" applyBorder="0" applyAlignment="0" applyProtection="0"/>
    <xf numFmtId="0" fontId="81" fillId="6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18" borderId="0" applyNumberFormat="0" applyBorder="0" applyAlignment="0" applyProtection="0"/>
    <xf numFmtId="0" fontId="81" fillId="65" borderId="0" applyNumberFormat="0" applyBorder="0" applyAlignment="0" applyProtection="0"/>
    <xf numFmtId="0" fontId="47" fillId="19" borderId="0" applyNumberFormat="0" applyBorder="0" applyAlignment="0" applyProtection="0"/>
    <xf numFmtId="0" fontId="81" fillId="66" borderId="0" applyNumberFormat="0" applyBorder="0" applyAlignment="0" applyProtection="0"/>
    <xf numFmtId="0" fontId="47" fillId="22" borderId="0" applyNumberFormat="0" applyBorder="0" applyAlignment="0" applyProtection="0"/>
    <xf numFmtId="0" fontId="81" fillId="67"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1"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81" fillId="64"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81" fillId="66"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81" fillId="67" borderId="0" applyNumberFormat="0" applyBorder="0" applyAlignment="0" applyProtection="0"/>
    <xf numFmtId="0" fontId="82" fillId="15" borderId="74" applyNumberFormat="0" applyAlignment="0" applyProtection="0"/>
    <xf numFmtId="0" fontId="82" fillId="15" borderId="74" applyNumberFormat="0" applyAlignment="0" applyProtection="0"/>
    <xf numFmtId="0" fontId="82" fillId="15" borderId="74" applyNumberFormat="0" applyAlignment="0" applyProtection="0"/>
    <xf numFmtId="0" fontId="61" fillId="15" borderId="2" applyNumberFormat="0" applyAlignment="0" applyProtection="0"/>
    <xf numFmtId="0" fontId="14" fillId="15" borderId="2" applyNumberFormat="0" applyAlignment="0" applyProtection="0"/>
    <xf numFmtId="0" fontId="82" fillId="68" borderId="74" applyNumberFormat="0" applyAlignment="0" applyProtection="0"/>
    <xf numFmtId="0" fontId="82" fillId="68" borderId="74" applyNumberFormat="0" applyAlignment="0" applyProtection="0"/>
    <xf numFmtId="0" fontId="82" fillId="9" borderId="74" applyNumberFormat="0" applyAlignment="0" applyProtection="0"/>
    <xf numFmtId="0" fontId="61" fillId="9" borderId="2" applyNumberFormat="0" applyAlignment="0" applyProtection="0"/>
    <xf numFmtId="0" fontId="14" fillId="9" borderId="2" applyNumberFormat="0" applyAlignment="0" applyProtection="0"/>
    <xf numFmtId="0" fontId="82" fillId="15" borderId="74" applyNumberFormat="0" applyAlignment="0" applyProtection="0"/>
    <xf numFmtId="0" fontId="61" fillId="9" borderId="2" applyNumberFormat="0" applyAlignment="0" applyProtection="0"/>
    <xf numFmtId="0" fontId="14" fillId="9" borderId="2" applyNumberFormat="0" applyAlignment="0" applyProtection="0"/>
    <xf numFmtId="0" fontId="82" fillId="15" borderId="74" applyNumberFormat="0" applyAlignment="0" applyProtection="0"/>
    <xf numFmtId="0" fontId="82" fillId="15" borderId="74" applyNumberFormat="0" applyAlignment="0" applyProtection="0"/>
    <xf numFmtId="0" fontId="61" fillId="15" borderId="2" applyNumberFormat="0" applyAlignment="0" applyProtection="0"/>
    <xf numFmtId="0" fontId="14" fillId="15" borderId="2" applyNumberFormat="0" applyAlignment="0" applyProtection="0"/>
    <xf numFmtId="0" fontId="48" fillId="15" borderId="1" applyNumberFormat="0" applyAlignment="0" applyProtection="0"/>
    <xf numFmtId="0" fontId="48" fillId="15" borderId="1" applyNumberFormat="0" applyAlignment="0" applyProtection="0"/>
    <xf numFmtId="0" fontId="48" fillId="15" borderId="1" applyNumberFormat="0" applyAlignment="0" applyProtection="0"/>
    <xf numFmtId="0" fontId="82" fillId="15" borderId="74" applyNumberFormat="0" applyAlignment="0" applyProtection="0"/>
    <xf numFmtId="0" fontId="48" fillId="15" borderId="1" applyNumberFormat="0" applyAlignment="0" applyProtection="0"/>
    <xf numFmtId="0" fontId="61" fillId="15" borderId="2" applyNumberFormat="0" applyAlignment="0" applyProtection="0"/>
    <xf numFmtId="0" fontId="82" fillId="15" borderId="74" applyNumberFormat="0" applyAlignment="0" applyProtection="0"/>
    <xf numFmtId="0" fontId="14" fillId="15" borderId="2" applyNumberFormat="0" applyAlignment="0" applyProtection="0"/>
    <xf numFmtId="0" fontId="82" fillId="15" borderId="74" applyNumberFormat="0" applyAlignment="0" applyProtection="0"/>
    <xf numFmtId="0" fontId="82" fillId="15" borderId="74" applyNumberFormat="0" applyAlignment="0" applyProtection="0"/>
    <xf numFmtId="0" fontId="48" fillId="15" borderId="1" applyNumberFormat="0" applyAlignment="0" applyProtection="0"/>
    <xf numFmtId="0" fontId="53" fillId="6" borderId="0" applyNumberFormat="0" applyBorder="0" applyAlignment="0" applyProtection="0"/>
    <xf numFmtId="0" fontId="83" fillId="69" borderId="0" applyNumberFormat="0" applyBorder="0" applyAlignment="0" applyProtection="0"/>
    <xf numFmtId="0" fontId="84" fillId="15" borderId="75" applyNumberFormat="0" applyAlignment="0" applyProtection="0"/>
    <xf numFmtId="0" fontId="84" fillId="15" borderId="75" applyNumberFormat="0" applyAlignment="0" applyProtection="0"/>
    <xf numFmtId="0" fontId="84" fillId="68" borderId="75" applyNumberFormat="0" applyAlignment="0" applyProtection="0"/>
    <xf numFmtId="0" fontId="84" fillId="68" borderId="75" applyNumberFormat="0" applyAlignment="0" applyProtection="0"/>
    <xf numFmtId="0" fontId="84" fillId="9" borderId="75" applyNumberFormat="0" applyAlignment="0" applyProtection="0"/>
    <xf numFmtId="0" fontId="84" fillId="9" borderId="75" applyNumberFormat="0" applyAlignment="0" applyProtection="0"/>
    <xf numFmtId="0" fontId="84" fillId="9" borderId="75" applyNumberFormat="0" applyAlignment="0" applyProtection="0"/>
    <xf numFmtId="0" fontId="84" fillId="15" borderId="75" applyNumberFormat="0" applyAlignment="0" applyProtection="0"/>
    <xf numFmtId="0" fontId="49" fillId="15" borderId="3" applyNumberFormat="0" applyAlignment="0" applyProtection="0"/>
    <xf numFmtId="0" fontId="49" fillId="15" borderId="3" applyNumberFormat="0" applyAlignment="0" applyProtection="0"/>
    <xf numFmtId="0" fontId="49" fillId="15" borderId="3" applyNumberFormat="0" applyAlignment="0" applyProtection="0"/>
    <xf numFmtId="0" fontId="84" fillId="15" borderId="75" applyNumberFormat="0" applyAlignment="0" applyProtection="0"/>
    <xf numFmtId="0" fontId="49" fillId="15" borderId="3" applyNumberFormat="0" applyAlignment="0" applyProtection="0"/>
    <xf numFmtId="0" fontId="84" fillId="15" borderId="75" applyNumberFormat="0" applyAlignment="0" applyProtection="0"/>
    <xf numFmtId="0" fontId="49" fillId="15" borderId="3" applyNumberFormat="0" applyAlignment="0" applyProtection="0"/>
    <xf numFmtId="0" fontId="49" fillId="15" borderId="3" applyNumberFormat="0" applyAlignment="0" applyProtection="0"/>
    <xf numFmtId="0" fontId="55" fillId="26" borderId="4" applyNumberFormat="0" applyAlignment="0" applyProtection="0"/>
    <xf numFmtId="0" fontId="85" fillId="70" borderId="76" applyNumberFormat="0" applyAlignment="0" applyProtection="0"/>
    <xf numFmtId="0" fontId="85" fillId="70" borderId="5" applyNumberFormat="0" applyAlignment="0" applyProtection="0"/>
    <xf numFmtId="0" fontId="85" fillId="70" borderId="76" applyNumberFormat="0" applyAlignment="0" applyProtection="0"/>
    <xf numFmtId="0" fontId="86" fillId="71" borderId="75"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50" fillId="5" borderId="3" applyNumberFormat="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87" fillId="0" borderId="77" applyNumberFormat="0" applyFill="0" applyAlignment="0" applyProtection="0"/>
    <xf numFmtId="0" fontId="87" fillId="0" borderId="77"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7" applyNumberFormat="0" applyFill="0" applyAlignment="0" applyProtection="0"/>
    <xf numFmtId="0" fontId="87"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7" fillId="0" borderId="6" applyNumberFormat="0" applyFill="0" applyAlignment="0" applyProtection="0"/>
    <xf numFmtId="0" fontId="14" fillId="0" borderId="6" applyNumberFormat="0" applyFill="0" applyAlignment="0" applyProtection="0"/>
    <xf numFmtId="0" fontId="8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8"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89" fillId="72" borderId="0" applyNumberFormat="0" applyBorder="0" applyAlignment="0" applyProtection="0"/>
    <xf numFmtId="0" fontId="90" fillId="0" borderId="78" applyNumberFormat="0" applyFill="0" applyAlignment="0" applyProtection="0"/>
    <xf numFmtId="0" fontId="62" fillId="0" borderId="8" applyNumberFormat="0" applyFill="0" applyAlignment="0" applyProtection="0"/>
    <xf numFmtId="0" fontId="62" fillId="0" borderId="8" applyNumberFormat="0" applyFill="0" applyAlignment="0" applyProtection="0"/>
    <xf numFmtId="0" fontId="39" fillId="0" borderId="9" applyNumberFormat="0" applyFill="0" applyAlignment="0" applyProtection="0"/>
    <xf numFmtId="0" fontId="90" fillId="0" borderId="78" applyNumberFormat="0" applyFill="0" applyAlignment="0" applyProtection="0"/>
    <xf numFmtId="0" fontId="91" fillId="0" borderId="79" applyNumberFormat="0" applyFill="0" applyAlignment="0" applyProtection="0"/>
    <xf numFmtId="0" fontId="63" fillId="0" borderId="10" applyNumberFormat="0" applyFill="0" applyAlignment="0" applyProtection="0"/>
    <xf numFmtId="0" fontId="63" fillId="0" borderId="11" applyNumberFormat="0" applyFill="0" applyAlignment="0" applyProtection="0"/>
    <xf numFmtId="0" fontId="42" fillId="0" borderId="12" applyNumberFormat="0" applyFill="0" applyAlignment="0" applyProtection="0"/>
    <xf numFmtId="0" fontId="91" fillId="0" borderId="79" applyNumberFormat="0" applyFill="0" applyAlignment="0" applyProtection="0"/>
    <xf numFmtId="0" fontId="92" fillId="0" borderId="80" applyNumberFormat="0" applyFill="0" applyAlignment="0" applyProtection="0"/>
    <xf numFmtId="0" fontId="64" fillId="0" borderId="13" applyNumberFormat="0" applyFill="0" applyAlignment="0" applyProtection="0"/>
    <xf numFmtId="0" fontId="64" fillId="0" borderId="14" applyNumberFormat="0" applyFill="0" applyAlignment="0" applyProtection="0"/>
    <xf numFmtId="0" fontId="40" fillId="0" borderId="15" applyNumberFormat="0" applyFill="0" applyAlignment="0" applyProtection="0"/>
    <xf numFmtId="0" fontId="92" fillId="0" borderId="80" applyNumberFormat="0" applyFill="0" applyAlignment="0" applyProtection="0"/>
    <xf numFmtId="0" fontId="92"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40" fillId="0" borderId="0" applyNumberFormat="0" applyFill="0" applyBorder="0" applyAlignment="0" applyProtection="0"/>
    <xf numFmtId="0" fontId="92" fillId="0" borderId="0" applyNumberFormat="0" applyFill="0" applyBorder="0" applyAlignment="0" applyProtection="0"/>
    <xf numFmtId="0" fontId="50" fillId="5" borderId="3" applyNumberFormat="0" applyAlignment="0" applyProtection="0"/>
    <xf numFmtId="0" fontId="54" fillId="0" borderId="16" applyNumberFormat="0" applyFill="0" applyAlignment="0" applyProtection="0"/>
    <xf numFmtId="0" fontId="93" fillId="0" borderId="81" applyNumberFormat="0" applyFill="0" applyAlignment="0" applyProtection="0"/>
    <xf numFmtId="0" fontId="94" fillId="73" borderId="0" applyNumberFormat="0" applyBorder="0" applyAlignment="0" applyProtection="0"/>
    <xf numFmtId="0" fontId="80" fillId="0" borderId="0"/>
    <xf numFmtId="0" fontId="4" fillId="7" borderId="17" applyNumberFormat="0" applyFont="0" applyAlignment="0" applyProtection="0"/>
    <xf numFmtId="0" fontId="4" fillId="7" borderId="17"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3" fillId="74" borderId="82" applyNumberFormat="0" applyFont="0" applyAlignment="0" applyProtection="0"/>
    <xf numFmtId="0" fontId="13" fillId="74" borderId="82" applyNumberFormat="0" applyFont="0" applyAlignment="0" applyProtection="0"/>
    <xf numFmtId="0" fontId="36"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60"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36"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2"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1" fillId="74" borderId="82" applyNumberFormat="0" applyFont="0" applyAlignment="0" applyProtection="0"/>
    <xf numFmtId="0" fontId="48" fillId="15" borderId="1" applyNumberFormat="0" applyAlignment="0" applyProtection="0"/>
    <xf numFmtId="9" fontId="1" fillId="0" borderId="0" applyFont="0" applyFill="0" applyBorder="0" applyAlignment="0" applyProtection="0"/>
    <xf numFmtId="9" fontId="13"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0"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4" fillId="0" borderId="0"/>
    <xf numFmtId="0" fontId="80" fillId="0" borderId="0"/>
    <xf numFmtId="0" fontId="80" fillId="0" borderId="0"/>
    <xf numFmtId="0" fontId="95" fillId="0" borderId="0"/>
    <xf numFmtId="0" fontId="4" fillId="0" borderId="0"/>
    <xf numFmtId="0" fontId="80" fillId="0" borderId="0"/>
    <xf numFmtId="0" fontId="80" fillId="0" borderId="0"/>
    <xf numFmtId="0" fontId="95" fillId="0" borderId="0"/>
    <xf numFmtId="0" fontId="28"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9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xf numFmtId="0" fontId="80" fillId="0" borderId="0"/>
    <xf numFmtId="0" fontId="4" fillId="0" borderId="0"/>
    <xf numFmtId="0" fontId="4" fillId="0" borderId="0"/>
    <xf numFmtId="0" fontId="4" fillId="0" borderId="0"/>
    <xf numFmtId="0" fontId="4" fillId="0" borderId="0"/>
    <xf numFmtId="0" fontId="9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8" fillId="0" borderId="0" applyNumberFormat="0" applyFill="0" applyBorder="0" applyAlignment="0" applyProtection="0"/>
    <xf numFmtId="0" fontId="96" fillId="0" borderId="0" applyNumberFormat="0" applyFill="0" applyBorder="0" applyAlignment="0" applyProtection="0"/>
    <xf numFmtId="0" fontId="14" fillId="0" borderId="6" applyNumberFormat="0" applyFill="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39" fillId="0" borderId="9"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2" fillId="0" borderId="12" applyNumberFormat="0" applyFill="0" applyAlignment="0" applyProtection="0"/>
    <xf numFmtId="0" fontId="40" fillId="0" borderId="15" applyNumberFormat="0" applyFill="0" applyAlignment="0" applyProtection="0"/>
    <xf numFmtId="0" fontId="40" fillId="0" borderId="15" applyNumberFormat="0" applyFill="0" applyAlignment="0" applyProtection="0"/>
    <xf numFmtId="0" fontId="40" fillId="0" borderId="15"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3" fillId="0" borderId="81" applyNumberFormat="0" applyFill="0" applyAlignment="0" applyProtection="0"/>
    <xf numFmtId="0" fontId="93" fillId="0" borderId="81" applyNumberFormat="0" applyFill="0" applyAlignment="0" applyProtection="0"/>
    <xf numFmtId="0" fontId="93" fillId="0" borderId="81"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97" fillId="0" borderId="0" applyNumberFormat="0" applyFill="0" applyBorder="0" applyAlignment="0" applyProtection="0"/>
    <xf numFmtId="0" fontId="67"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5" fillId="70" borderId="76" applyNumberFormat="0" applyAlignment="0" applyProtection="0"/>
    <xf numFmtId="0" fontId="85" fillId="70" borderId="5" applyNumberFormat="0" applyAlignment="0" applyProtection="0"/>
    <xf numFmtId="0" fontId="85" fillId="70" borderId="76" applyNumberFormat="0" applyAlignment="0" applyProtection="0"/>
    <xf numFmtId="0" fontId="85" fillId="70" borderId="76" applyNumberFormat="0" applyAlignment="0" applyProtection="0"/>
    <xf numFmtId="0" fontId="85" fillId="70" borderId="5" applyNumberFormat="0" applyAlignment="0" applyProtection="0"/>
  </cellStyleXfs>
  <cellXfs count="963">
    <xf numFmtId="0" fontId="0" fillId="0" borderId="0" xfId="0"/>
    <xf numFmtId="0" fontId="9" fillId="0" borderId="0" xfId="0" applyFont="1"/>
    <xf numFmtId="0" fontId="8" fillId="0" borderId="0" xfId="0" applyFont="1"/>
    <xf numFmtId="0" fontId="8" fillId="0" borderId="0" xfId="542" applyFont="1" applyAlignment="1">
      <alignment horizontal="center"/>
    </xf>
    <xf numFmtId="0" fontId="8" fillId="0" borderId="0" xfId="543" applyFont="1"/>
    <xf numFmtId="0" fontId="19" fillId="0" borderId="0" xfId="0" applyFont="1"/>
    <xf numFmtId="0" fontId="23" fillId="0" borderId="0" xfId="0" applyFont="1"/>
    <xf numFmtId="0" fontId="5" fillId="0" borderId="0" xfId="510" applyFont="1"/>
    <xf numFmtId="0" fontId="15" fillId="0" borderId="0" xfId="0" applyFont="1"/>
    <xf numFmtId="0" fontId="22" fillId="0" borderId="0" xfId="0" applyFont="1"/>
    <xf numFmtId="14" fontId="15" fillId="0" borderId="0" xfId="0" applyNumberFormat="1" applyFont="1" applyAlignment="1">
      <alignment horizontal="left"/>
    </xf>
    <xf numFmtId="0" fontId="15" fillId="0" borderId="0" xfId="0" applyFont="1" applyAlignment="1">
      <alignment horizontal="left"/>
    </xf>
    <xf numFmtId="0" fontId="19" fillId="0" borderId="0" xfId="0" applyFont="1" applyAlignment="1">
      <alignment horizontal="center"/>
    </xf>
    <xf numFmtId="0" fontId="19" fillId="0" borderId="0" xfId="0" applyFont="1" applyAlignment="1">
      <alignment horizontal="center" vertical="center"/>
    </xf>
    <xf numFmtId="0" fontId="4" fillId="0" borderId="0" xfId="0" applyFont="1"/>
    <xf numFmtId="0" fontId="21" fillId="0" borderId="0" xfId="0" applyFont="1"/>
    <xf numFmtId="0" fontId="30" fillId="0" borderId="0" xfId="0" applyFont="1" applyAlignment="1">
      <alignment horizontal="left"/>
    </xf>
    <xf numFmtId="0" fontId="6" fillId="0" borderId="0" xfId="0" applyFont="1"/>
    <xf numFmtId="0" fontId="7" fillId="0" borderId="0" xfId="0" applyFont="1"/>
    <xf numFmtId="0" fontId="4" fillId="0" borderId="0" xfId="510"/>
    <xf numFmtId="0" fontId="24" fillId="0" borderId="0" xfId="0" applyFont="1"/>
    <xf numFmtId="0" fontId="16" fillId="0" borderId="0" xfId="0" applyFont="1"/>
    <xf numFmtId="0" fontId="27" fillId="0" borderId="0" xfId="0" applyFont="1"/>
    <xf numFmtId="0" fontId="17" fillId="0" borderId="0" xfId="0" applyFont="1"/>
    <xf numFmtId="0" fontId="18" fillId="0" borderId="0" xfId="510" applyFont="1"/>
    <xf numFmtId="0" fontId="5" fillId="0" borderId="0" xfId="510" applyFont="1" applyAlignment="1">
      <alignment horizontal="left"/>
    </xf>
    <xf numFmtId="0" fontId="18" fillId="0" borderId="0" xfId="510" applyFont="1" applyAlignment="1">
      <alignment vertical="center"/>
    </xf>
    <xf numFmtId="0" fontId="23" fillId="27" borderId="0" xfId="0" applyFont="1" applyFill="1"/>
    <xf numFmtId="0" fontId="4" fillId="0" borderId="0" xfId="510" applyAlignment="1">
      <alignment horizontal="center"/>
    </xf>
    <xf numFmtId="0" fontId="4" fillId="0" borderId="0" xfId="0" applyFont="1" applyAlignment="1">
      <alignment wrapText="1"/>
    </xf>
    <xf numFmtId="0" fontId="20" fillId="0" borderId="0" xfId="0" applyFont="1"/>
    <xf numFmtId="0" fontId="15" fillId="0" borderId="19" xfId="0" applyFont="1" applyBorder="1" applyAlignment="1">
      <alignment horizontal="center" vertical="center" wrapText="1"/>
    </xf>
    <xf numFmtId="0" fontId="25" fillId="0" borderId="0" xfId="0" applyFont="1"/>
    <xf numFmtId="0" fontId="18" fillId="0" borderId="0" xfId="0" applyFont="1"/>
    <xf numFmtId="0" fontId="31" fillId="0" borderId="0" xfId="0" applyFont="1" applyAlignment="1">
      <alignment vertical="center"/>
    </xf>
    <xf numFmtId="0" fontId="23" fillId="0" borderId="0" xfId="0" applyFont="1" applyAlignment="1">
      <alignment vertical="center"/>
    </xf>
    <xf numFmtId="0" fontId="9" fillId="29" borderId="0" xfId="0" applyFont="1" applyFill="1" applyAlignment="1">
      <alignment horizontal="left"/>
    </xf>
    <xf numFmtId="14" fontId="29" fillId="30" borderId="19" xfId="0" applyNumberFormat="1" applyFont="1" applyFill="1" applyBorder="1" applyAlignment="1">
      <alignment horizontal="center" vertical="center"/>
    </xf>
    <xf numFmtId="0" fontId="12" fillId="30" borderId="19" xfId="510" applyFont="1" applyFill="1" applyBorder="1" applyAlignment="1">
      <alignment vertical="center"/>
    </xf>
    <xf numFmtId="164" fontId="18" fillId="31" borderId="21" xfId="419" applyNumberFormat="1" applyFont="1" applyFill="1" applyBorder="1" applyAlignment="1" applyProtection="1">
      <alignment horizontal="center" vertical="center" wrapText="1"/>
    </xf>
    <xf numFmtId="0" fontId="23" fillId="29" borderId="21" xfId="0" applyFont="1" applyFill="1" applyBorder="1" applyAlignment="1">
      <alignment horizontal="center" vertical="center"/>
    </xf>
    <xf numFmtId="0" fontId="19" fillId="0" borderId="0" xfId="0" applyFont="1" applyAlignment="1">
      <alignment horizontal="center" vertical="center" wrapText="1"/>
    </xf>
    <xf numFmtId="0" fontId="37" fillId="0" borderId="0" xfId="0" applyFont="1"/>
    <xf numFmtId="0" fontId="32" fillId="0" borderId="0" xfId="0" applyFont="1"/>
    <xf numFmtId="165" fontId="32" fillId="0" borderId="0" xfId="0" applyNumberFormat="1" applyFont="1"/>
    <xf numFmtId="164" fontId="32" fillId="0" borderId="0" xfId="419" applyNumberFormat="1" applyFont="1" applyProtection="1"/>
    <xf numFmtId="10" fontId="32" fillId="0" borderId="0" xfId="419" applyNumberFormat="1" applyFont="1" applyProtection="1"/>
    <xf numFmtId="0" fontId="23" fillId="28" borderId="21" xfId="0" applyFont="1" applyFill="1" applyBorder="1" applyAlignment="1">
      <alignment horizontal="center" vertical="center"/>
    </xf>
    <xf numFmtId="0" fontId="23" fillId="28" borderId="22" xfId="0" applyFont="1" applyFill="1" applyBorder="1" applyAlignment="1">
      <alignment horizontal="center" vertical="center"/>
    </xf>
    <xf numFmtId="0" fontId="44" fillId="0" borderId="0" xfId="0" applyFont="1"/>
    <xf numFmtId="49" fontId="19" fillId="0" borderId="0" xfId="0" applyNumberFormat="1" applyFont="1" applyAlignment="1">
      <alignment horizontal="center" vertical="center"/>
    </xf>
    <xf numFmtId="0" fontId="23" fillId="31" borderId="23" xfId="0" applyFont="1" applyFill="1" applyBorder="1" applyAlignment="1">
      <alignment horizontal="center" vertical="center" wrapText="1"/>
    </xf>
    <xf numFmtId="0" fontId="23" fillId="29" borderId="23" xfId="0" applyFont="1" applyFill="1" applyBorder="1" applyAlignment="1">
      <alignment horizontal="center" vertical="center"/>
    </xf>
    <xf numFmtId="0" fontId="25" fillId="0" borderId="0" xfId="0" applyFont="1" applyAlignment="1">
      <alignment vertical="center"/>
    </xf>
    <xf numFmtId="0" fontId="17" fillId="0" borderId="0" xfId="0" applyFont="1" applyAlignment="1">
      <alignment horizontal="left" indent="1"/>
    </xf>
    <xf numFmtId="0" fontId="11" fillId="0" borderId="0" xfId="510" applyFont="1"/>
    <xf numFmtId="0" fontId="8" fillId="0" borderId="18" xfId="0" applyFont="1" applyBorder="1" applyAlignment="1">
      <alignment horizontal="center" vertical="center" wrapText="1"/>
    </xf>
    <xf numFmtId="2" fontId="32" fillId="0" borderId="0" xfId="0" applyNumberFormat="1" applyFont="1"/>
    <xf numFmtId="2" fontId="19" fillId="0" borderId="0" xfId="0" applyNumberFormat="1" applyFont="1"/>
    <xf numFmtId="0" fontId="70" fillId="0" borderId="0" xfId="0" applyFont="1"/>
    <xf numFmtId="0" fontId="15" fillId="0" borderId="0" xfId="0" applyFont="1" applyAlignment="1">
      <alignment horizontal="center" vertical="center"/>
    </xf>
    <xf numFmtId="0" fontId="26" fillId="0" borderId="19" xfId="0" applyFont="1" applyBorder="1" applyAlignment="1">
      <alignment horizontal="center" vertical="center"/>
    </xf>
    <xf numFmtId="9" fontId="26" fillId="0" borderId="19" xfId="419" applyFont="1" applyBorder="1" applyAlignment="1" applyProtection="1">
      <alignment horizontal="center" vertical="center"/>
    </xf>
    <xf numFmtId="166" fontId="26" fillId="0" borderId="19" xfId="0" applyNumberFormat="1" applyFont="1" applyBorder="1" applyAlignment="1">
      <alignment horizontal="center" vertical="center"/>
    </xf>
    <xf numFmtId="0" fontId="70" fillId="0" borderId="19" xfId="0" applyFont="1" applyBorder="1" applyAlignment="1">
      <alignment horizontal="center" vertical="center"/>
    </xf>
    <xf numFmtId="9" fontId="15" fillId="0" borderId="19" xfId="419" applyFont="1" applyBorder="1" applyAlignment="1" applyProtection="1">
      <alignment horizontal="center" vertical="center"/>
    </xf>
    <xf numFmtId="166" fontId="70" fillId="0" borderId="19" xfId="0" applyNumberFormat="1" applyFont="1" applyBorder="1" applyAlignment="1">
      <alignment horizontal="center" vertical="center"/>
    </xf>
    <xf numFmtId="166" fontId="15" fillId="0" borderId="19" xfId="419" applyNumberFormat="1" applyFont="1" applyBorder="1" applyAlignment="1" applyProtection="1">
      <alignment horizontal="center" vertical="center"/>
    </xf>
    <xf numFmtId="0" fontId="71" fillId="28" borderId="23" xfId="0" applyFont="1" applyFill="1" applyBorder="1" applyAlignment="1">
      <alignment horizontal="center" vertical="center"/>
    </xf>
    <xf numFmtId="0" fontId="71" fillId="28" borderId="24" xfId="0" applyFont="1" applyFill="1" applyBorder="1" applyAlignment="1">
      <alignment horizontal="center" vertical="center"/>
    </xf>
    <xf numFmtId="1" fontId="70" fillId="0" borderId="0" xfId="0" applyNumberFormat="1" applyFont="1"/>
    <xf numFmtId="1" fontId="70" fillId="0" borderId="0" xfId="0" quotePrefix="1" applyNumberFormat="1" applyFont="1"/>
    <xf numFmtId="0" fontId="26" fillId="0" borderId="0" xfId="0" applyFont="1"/>
    <xf numFmtId="14" fontId="70" fillId="0" borderId="0" xfId="0" applyNumberFormat="1" applyFont="1"/>
    <xf numFmtId="0" fontId="8" fillId="0" borderId="0" xfId="0" applyFont="1" applyAlignment="1">
      <alignment horizontal="center" vertical="center" wrapText="1"/>
    </xf>
    <xf numFmtId="0" fontId="15" fillId="0" borderId="0" xfId="0" applyFont="1" applyAlignment="1">
      <alignment vertical="center"/>
    </xf>
    <xf numFmtId="0" fontId="15" fillId="33" borderId="21" xfId="0" applyFont="1" applyFill="1" applyBorder="1" applyAlignment="1">
      <alignment horizontal="center" vertical="center"/>
    </xf>
    <xf numFmtId="164" fontId="8" fillId="31" borderId="21" xfId="419" applyNumberFormat="1" applyFont="1" applyFill="1" applyBorder="1" applyAlignment="1" applyProtection="1">
      <alignment horizontal="center" vertical="center" wrapText="1"/>
    </xf>
    <xf numFmtId="0" fontId="15" fillId="29" borderId="21" xfId="0" applyFont="1" applyFill="1" applyBorder="1" applyAlignment="1">
      <alignment horizontal="center" vertical="center"/>
    </xf>
    <xf numFmtId="0" fontId="15" fillId="34" borderId="21" xfId="0" applyFont="1" applyFill="1" applyBorder="1" applyAlignment="1">
      <alignment horizontal="center" vertical="center"/>
    </xf>
    <xf numFmtId="0" fontId="15" fillId="34" borderId="22" xfId="0" applyFont="1" applyFill="1" applyBorder="1" applyAlignment="1">
      <alignment horizontal="center" vertical="center"/>
    </xf>
    <xf numFmtId="0" fontId="56" fillId="0" borderId="0" xfId="0" applyFont="1" applyAlignment="1">
      <alignment vertical="center"/>
    </xf>
    <xf numFmtId="0" fontId="15" fillId="31" borderId="23" xfId="0" applyFont="1" applyFill="1" applyBorder="1" applyAlignment="1">
      <alignment horizontal="center" vertical="center" wrapText="1"/>
    </xf>
    <xf numFmtId="0" fontId="15" fillId="29" borderId="23" xfId="0" applyFont="1" applyFill="1" applyBorder="1" applyAlignment="1">
      <alignment horizontal="center" vertical="center"/>
    </xf>
    <xf numFmtId="0" fontId="15" fillId="34" borderId="23" xfId="0" applyFont="1" applyFill="1" applyBorder="1" applyAlignment="1">
      <alignment horizontal="center" vertical="center"/>
    </xf>
    <xf numFmtId="0" fontId="15" fillId="34" borderId="24" xfId="0" applyFont="1" applyFill="1" applyBorder="1" applyAlignment="1">
      <alignment horizontal="center" vertical="center"/>
    </xf>
    <xf numFmtId="0" fontId="26" fillId="0" borderId="0" xfId="0" applyFont="1" applyAlignment="1">
      <alignment vertical="center"/>
    </xf>
    <xf numFmtId="0" fontId="8" fillId="0" borderId="0" xfId="0" applyFont="1" applyAlignment="1">
      <alignment vertical="center"/>
    </xf>
    <xf numFmtId="0" fontId="9" fillId="0" borderId="0" xfId="0" applyFont="1" applyAlignment="1">
      <alignment horizontal="center" vertical="center"/>
    </xf>
    <xf numFmtId="0" fontId="15" fillId="0" borderId="19" xfId="0" applyFont="1" applyBorder="1" applyAlignment="1">
      <alignment vertical="center"/>
    </xf>
    <xf numFmtId="0" fontId="8" fillId="0" borderId="19" xfId="0" applyFont="1" applyBorder="1" applyAlignment="1">
      <alignment horizontal="center" vertical="center"/>
    </xf>
    <xf numFmtId="0" fontId="70" fillId="0" borderId="0" xfId="0" applyFont="1" applyAlignment="1">
      <alignment vertical="center"/>
    </xf>
    <xf numFmtId="0" fontId="26" fillId="0" borderId="19" xfId="0" applyFont="1" applyBorder="1" applyAlignment="1">
      <alignment vertical="center"/>
    </xf>
    <xf numFmtId="0" fontId="70" fillId="0" borderId="19" xfId="0" applyFont="1" applyBorder="1" applyAlignment="1">
      <alignment vertical="center"/>
    </xf>
    <xf numFmtId="0" fontId="15" fillId="0" borderId="19" xfId="0" applyFont="1" applyBorder="1" applyAlignment="1">
      <alignment horizontal="center" vertical="center"/>
    </xf>
    <xf numFmtId="0" fontId="69" fillId="0" borderId="0" xfId="0" applyFont="1" applyAlignment="1">
      <alignment vertical="center"/>
    </xf>
    <xf numFmtId="0" fontId="69" fillId="0" borderId="19" xfId="0" applyFont="1" applyBorder="1" applyAlignment="1">
      <alignment vertical="center"/>
    </xf>
    <xf numFmtId="4" fontId="70" fillId="0" borderId="24" xfId="0" applyNumberFormat="1" applyFont="1" applyBorder="1" applyAlignment="1">
      <alignment horizontal="center" vertical="center"/>
    </xf>
    <xf numFmtId="0" fontId="72" fillId="0" borderId="0" xfId="0" applyFont="1" applyAlignment="1">
      <alignment horizontal="center" vertical="center"/>
    </xf>
    <xf numFmtId="0" fontId="72" fillId="0" borderId="24" xfId="0" applyFont="1" applyBorder="1" applyAlignment="1">
      <alignment horizontal="center" vertical="center" wrapText="1"/>
    </xf>
    <xf numFmtId="0" fontId="70" fillId="0" borderId="24" xfId="0" applyFont="1" applyBorder="1" applyAlignment="1">
      <alignment horizontal="center"/>
    </xf>
    <xf numFmtId="0" fontId="70" fillId="0" borderId="19" xfId="0" applyFont="1" applyBorder="1" applyAlignment="1">
      <alignment horizontal="center"/>
    </xf>
    <xf numFmtId="0" fontId="70" fillId="0" borderId="23" xfId="0" applyFont="1" applyBorder="1" applyAlignment="1">
      <alignment horizontal="center" vertical="center"/>
    </xf>
    <xf numFmtId="0" fontId="70" fillId="0" borderId="24" xfId="0" applyFont="1" applyBorder="1"/>
    <xf numFmtId="0" fontId="15" fillId="0" borderId="19" xfId="0" applyFont="1" applyBorder="1" applyAlignment="1">
      <alignment horizontal="left" vertical="center"/>
    </xf>
    <xf numFmtId="0" fontId="68" fillId="0" borderId="0" xfId="0" applyFont="1" applyAlignment="1">
      <alignment vertical="center"/>
    </xf>
    <xf numFmtId="0" fontId="73" fillId="0" borderId="19" xfId="0" applyFont="1" applyBorder="1" applyAlignment="1">
      <alignment horizontal="center" vertical="center" wrapText="1"/>
    </xf>
    <xf numFmtId="0" fontId="0" fillId="0" borderId="0" xfId="0" applyAlignment="1">
      <alignment vertical="center"/>
    </xf>
    <xf numFmtId="0" fontId="71" fillId="0" borderId="0" xfId="0" applyFont="1" applyAlignment="1">
      <alignment horizontal="left" vertical="center"/>
    </xf>
    <xf numFmtId="0" fontId="73" fillId="0" borderId="19" xfId="0" applyFont="1" applyBorder="1" applyAlignment="1">
      <alignment horizontal="center" vertical="center"/>
    </xf>
    <xf numFmtId="0" fontId="5" fillId="0" borderId="0" xfId="510" applyFont="1" applyAlignment="1">
      <alignment vertical="center"/>
    </xf>
    <xf numFmtId="0" fontId="16" fillId="0" borderId="0" xfId="0" applyFont="1" applyAlignment="1">
      <alignment vertical="center"/>
    </xf>
    <xf numFmtId="0" fontId="69" fillId="0" borderId="19" xfId="0" applyFont="1" applyBorder="1" applyAlignment="1">
      <alignment horizontal="left" vertical="center"/>
    </xf>
    <xf numFmtId="14" fontId="69" fillId="0" borderId="19" xfId="0" applyNumberFormat="1" applyFont="1" applyBorder="1" applyAlignment="1">
      <alignment horizontal="left" vertical="center"/>
    </xf>
    <xf numFmtId="0" fontId="23" fillId="0" borderId="19" xfId="0" applyFont="1" applyBorder="1" applyAlignment="1">
      <alignment horizontal="left" vertical="center"/>
    </xf>
    <xf numFmtId="0" fontId="16" fillId="0" borderId="19" xfId="0" applyFont="1" applyBorder="1" applyAlignment="1">
      <alignment horizontal="center" vertical="center"/>
    </xf>
    <xf numFmtId="0" fontId="69" fillId="0" borderId="0" xfId="0" applyFont="1" applyAlignment="1">
      <alignment horizontal="center" vertical="center"/>
    </xf>
    <xf numFmtId="0" fontId="70" fillId="0" borderId="19" xfId="0" applyFont="1" applyBorder="1"/>
    <xf numFmtId="0" fontId="74" fillId="0" borderId="19" xfId="0" applyFont="1" applyBorder="1" applyAlignment="1">
      <alignment horizontal="center" vertical="center"/>
    </xf>
    <xf numFmtId="4" fontId="70" fillId="0" borderId="19" xfId="0" applyNumberFormat="1" applyFont="1" applyBorder="1" applyAlignment="1">
      <alignment horizontal="center" vertical="center"/>
    </xf>
    <xf numFmtId="0" fontId="70" fillId="0" borderId="24" xfId="0" applyFont="1" applyBorder="1" applyAlignment="1">
      <alignment horizontal="center" vertical="center"/>
    </xf>
    <xf numFmtId="0" fontId="71" fillId="0" borderId="0" xfId="0" applyFont="1" applyAlignment="1">
      <alignment horizontal="center" vertical="center"/>
    </xf>
    <xf numFmtId="0" fontId="15" fillId="33" borderId="23" xfId="0" applyFont="1" applyFill="1" applyBorder="1" applyAlignment="1">
      <alignment horizontal="center" vertical="center" wrapText="1"/>
    </xf>
    <xf numFmtId="0" fontId="8" fillId="0" borderId="19" xfId="0" applyFont="1" applyBorder="1" applyAlignment="1">
      <alignment horizontal="center" vertical="center" wrapText="1"/>
    </xf>
    <xf numFmtId="0" fontId="9" fillId="0" borderId="19" xfId="543" applyFont="1" applyBorder="1"/>
    <xf numFmtId="14" fontId="70" fillId="0" borderId="0" xfId="0" applyNumberFormat="1" applyFont="1" applyAlignment="1">
      <alignment horizontal="left"/>
    </xf>
    <xf numFmtId="0" fontId="9" fillId="0" borderId="35" xfId="0" applyFont="1" applyBorder="1"/>
    <xf numFmtId="0" fontId="9" fillId="0" borderId="24" xfId="0" applyFont="1" applyBorder="1"/>
    <xf numFmtId="0" fontId="9" fillId="0" borderId="23" xfId="0" applyFont="1" applyBorder="1"/>
    <xf numFmtId="0" fontId="8" fillId="0" borderId="34" xfId="0" applyFont="1" applyBorder="1"/>
    <xf numFmtId="0" fontId="8" fillId="0" borderId="19" xfId="0" applyFont="1" applyBorder="1"/>
    <xf numFmtId="0" fontId="8" fillId="0" borderId="36" xfId="0" applyFont="1" applyBorder="1"/>
    <xf numFmtId="0" fontId="70" fillId="0" borderId="36" xfId="0" applyFont="1" applyBorder="1"/>
    <xf numFmtId="0" fontId="8" fillId="0" borderId="37" xfId="0" applyFont="1" applyBorder="1"/>
    <xf numFmtId="0" fontId="70" fillId="0" borderId="22" xfId="0" applyFont="1" applyBorder="1"/>
    <xf numFmtId="0" fontId="70" fillId="0" borderId="21" xfId="0" applyFont="1" applyBorder="1"/>
    <xf numFmtId="10" fontId="15" fillId="0" borderId="19" xfId="419" applyNumberFormat="1" applyFont="1" applyFill="1" applyBorder="1" applyAlignment="1" applyProtection="1">
      <alignment horizontal="center" vertical="center"/>
    </xf>
    <xf numFmtId="0" fontId="70" fillId="36" borderId="19" xfId="0" applyFont="1" applyFill="1" applyBorder="1" applyAlignment="1">
      <alignment horizontal="center" vertical="center"/>
    </xf>
    <xf numFmtId="166" fontId="15" fillId="36" borderId="19" xfId="419" applyNumberFormat="1" applyFont="1" applyFill="1" applyBorder="1" applyAlignment="1" applyProtection="1">
      <alignment horizontal="center" vertical="center"/>
    </xf>
    <xf numFmtId="9" fontId="15" fillId="36" borderId="19" xfId="428" applyFont="1" applyFill="1" applyBorder="1" applyAlignment="1" applyProtection="1">
      <alignment horizontal="center" vertical="center"/>
    </xf>
    <xf numFmtId="9" fontId="70" fillId="36" borderId="19" xfId="0" applyNumberFormat="1" applyFont="1" applyFill="1" applyBorder="1" applyAlignment="1">
      <alignment horizontal="center" vertical="center"/>
    </xf>
    <xf numFmtId="166" fontId="70" fillId="36" borderId="19" xfId="0" applyNumberFormat="1" applyFont="1" applyFill="1" applyBorder="1" applyAlignment="1">
      <alignment horizontal="center" vertical="center"/>
    </xf>
    <xf numFmtId="9" fontId="15" fillId="36" borderId="19" xfId="419" applyFont="1" applyFill="1" applyBorder="1" applyAlignment="1" applyProtection="1">
      <alignment horizontal="center" vertical="center"/>
    </xf>
    <xf numFmtId="0" fontId="26" fillId="38" borderId="19" xfId="0" applyFont="1" applyFill="1" applyBorder="1" applyAlignment="1">
      <alignment horizontal="center" vertical="center"/>
    </xf>
    <xf numFmtId="1" fontId="70" fillId="0" borderId="19" xfId="0" applyNumberFormat="1" applyFont="1" applyBorder="1" applyAlignment="1">
      <alignment horizontal="center" vertical="center"/>
    </xf>
    <xf numFmtId="0" fontId="72" fillId="0" borderId="19" xfId="0" applyFont="1" applyBorder="1" applyAlignment="1">
      <alignment vertical="center" wrapText="1"/>
    </xf>
    <xf numFmtId="0" fontId="70" fillId="0" borderId="19" xfId="0" applyFont="1" applyBorder="1" applyAlignment="1">
      <alignment horizontal="left" vertical="center" wrapText="1"/>
    </xf>
    <xf numFmtId="0" fontId="70" fillId="0" borderId="19" xfId="0" applyFont="1" applyBorder="1" applyAlignment="1">
      <alignment horizontal="center" vertical="center" wrapText="1"/>
    </xf>
    <xf numFmtId="10" fontId="70" fillId="0" borderId="19" xfId="0" applyNumberFormat="1" applyFont="1" applyBorder="1" applyAlignment="1">
      <alignment horizontal="center" vertical="center"/>
    </xf>
    <xf numFmtId="0" fontId="8" fillId="0" borderId="20" xfId="0" applyFont="1" applyBorder="1" applyAlignment="1">
      <alignment horizontal="center" vertical="center" wrapText="1"/>
    </xf>
    <xf numFmtId="0" fontId="19" fillId="0" borderId="0" xfId="0" applyFont="1" applyAlignment="1">
      <alignment vertical="center"/>
    </xf>
    <xf numFmtId="0" fontId="71" fillId="37" borderId="0" xfId="0" applyFont="1" applyFill="1" applyAlignment="1">
      <alignment horizontal="center" vertical="center"/>
    </xf>
    <xf numFmtId="0" fontId="15" fillId="0" borderId="0" xfId="0" applyFont="1" applyAlignment="1">
      <alignment vertical="top"/>
    </xf>
    <xf numFmtId="10" fontId="8" fillId="0" borderId="0" xfId="0" applyNumberFormat="1" applyFont="1" applyAlignment="1">
      <alignment horizontal="center" vertical="center" wrapText="1"/>
    </xf>
    <xf numFmtId="9" fontId="8" fillId="0" borderId="0" xfId="0" applyNumberFormat="1" applyFont="1" applyAlignment="1">
      <alignment horizontal="center" vertical="center" wrapText="1"/>
    </xf>
    <xf numFmtId="0" fontId="46" fillId="0" borderId="0" xfId="0" applyFont="1" applyAlignment="1">
      <alignment horizontal="left" vertical="center" wrapText="1"/>
    </xf>
    <xf numFmtId="1" fontId="8" fillId="0" borderId="0" xfId="0" applyNumberFormat="1" applyFont="1" applyAlignment="1">
      <alignment horizontal="center" vertical="center" wrapText="1"/>
    </xf>
    <xf numFmtId="0" fontId="8" fillId="0" borderId="0" xfId="0" applyFont="1" applyAlignment="1">
      <alignment horizontal="left" vertical="center" wrapText="1"/>
    </xf>
    <xf numFmtId="0" fontId="72" fillId="0" borderId="19" xfId="0" applyFont="1" applyBorder="1" applyAlignment="1">
      <alignment horizontal="center" vertical="center" wrapText="1"/>
    </xf>
    <xf numFmtId="9" fontId="72" fillId="0" borderId="19" xfId="0" applyNumberFormat="1" applyFont="1" applyBorder="1" applyAlignment="1">
      <alignment horizontal="center" vertical="center" wrapText="1"/>
    </xf>
    <xf numFmtId="0" fontId="72" fillId="0" borderId="19" xfId="0" applyFont="1" applyBorder="1" applyAlignment="1">
      <alignment horizontal="left" vertical="center" wrapText="1"/>
    </xf>
    <xf numFmtId="0" fontId="70" fillId="0" borderId="0" xfId="0" applyFont="1" applyAlignment="1">
      <alignment horizontal="center" vertical="center"/>
    </xf>
    <xf numFmtId="0" fontId="70" fillId="0" borderId="0" xfId="0" applyFont="1" applyAlignment="1">
      <alignment horizontal="left" vertical="center"/>
    </xf>
    <xf numFmtId="0" fontId="70" fillId="0" borderId="0" xfId="0" applyFont="1" applyAlignment="1">
      <alignment horizontal="center" vertical="center" wrapText="1"/>
    </xf>
    <xf numFmtId="9" fontId="70" fillId="0" borderId="19" xfId="0" applyNumberFormat="1" applyFont="1" applyBorder="1" applyAlignment="1">
      <alignment horizontal="center" vertical="center"/>
    </xf>
    <xf numFmtId="9" fontId="70" fillId="0" borderId="19" xfId="0" applyNumberFormat="1" applyFont="1" applyBorder="1" applyAlignment="1">
      <alignment horizontal="center" vertical="center" wrapText="1"/>
    </xf>
    <xf numFmtId="0" fontId="23" fillId="37" borderId="19" xfId="0" applyFont="1" applyFill="1" applyBorder="1" applyAlignment="1">
      <alignment horizontal="center" vertical="center"/>
    </xf>
    <xf numFmtId="0" fontId="22" fillId="0" borderId="0" xfId="0" applyFont="1" applyAlignment="1">
      <alignment vertical="center"/>
    </xf>
    <xf numFmtId="0" fontId="23" fillId="0" borderId="0" xfId="0" applyFont="1" applyAlignment="1">
      <alignment horizontal="center"/>
    </xf>
    <xf numFmtId="0" fontId="22" fillId="0" borderId="0" xfId="0" applyFont="1" applyAlignment="1">
      <alignment vertical="top"/>
    </xf>
    <xf numFmtId="0" fontId="19" fillId="0" borderId="0" xfId="0" applyFont="1" applyAlignment="1">
      <alignment vertical="top"/>
    </xf>
    <xf numFmtId="0" fontId="21" fillId="0" borderId="0" xfId="0" applyFont="1" applyAlignment="1">
      <alignment vertical="top"/>
    </xf>
    <xf numFmtId="0" fontId="26" fillId="0" borderId="19" xfId="0" applyFont="1" applyBorder="1" applyAlignment="1">
      <alignment horizontal="center" vertical="center" wrapText="1"/>
    </xf>
    <xf numFmtId="0" fontId="57" fillId="0" borderId="19" xfId="0" applyFont="1" applyBorder="1" applyAlignment="1">
      <alignment vertical="center"/>
    </xf>
    <xf numFmtId="0" fontId="19" fillId="0" borderId="19" xfId="0" applyFont="1" applyBorder="1"/>
    <xf numFmtId="0" fontId="15" fillId="31" borderId="19" xfId="0" applyFont="1" applyFill="1" applyBorder="1" applyAlignment="1">
      <alignment vertical="center" wrapText="1"/>
    </xf>
    <xf numFmtId="0" fontId="57" fillId="31" borderId="19" xfId="0" applyFont="1" applyFill="1" applyBorder="1" applyAlignment="1">
      <alignment vertical="center" wrapText="1"/>
    </xf>
    <xf numFmtId="0" fontId="65" fillId="0" borderId="19" xfId="0" applyFont="1" applyBorder="1" applyAlignment="1">
      <alignment wrapText="1"/>
    </xf>
    <xf numFmtId="0" fontId="10" fillId="0" borderId="0" xfId="510" applyFont="1" applyAlignment="1">
      <alignment horizontal="left"/>
    </xf>
    <xf numFmtId="0" fontId="8" fillId="0" borderId="0" xfId="510" applyFont="1"/>
    <xf numFmtId="0" fontId="10" fillId="0" borderId="0" xfId="0" applyFont="1" applyAlignment="1">
      <alignment horizontal="left"/>
    </xf>
    <xf numFmtId="0" fontId="15" fillId="27" borderId="0" xfId="0" applyFont="1" applyFill="1" applyAlignment="1">
      <alignment horizontal="right" vertical="center"/>
    </xf>
    <xf numFmtId="0" fontId="15" fillId="27" borderId="0" xfId="0" applyFont="1" applyFill="1"/>
    <xf numFmtId="0" fontId="15" fillId="0" borderId="0" xfId="0" applyFont="1" applyAlignment="1">
      <alignment horizontal="right" vertical="center"/>
    </xf>
    <xf numFmtId="0" fontId="15" fillId="0" borderId="0" xfId="0" applyFont="1" applyAlignment="1">
      <alignment horizontal="right"/>
    </xf>
    <xf numFmtId="0" fontId="8" fillId="35" borderId="19" xfId="0" applyFont="1" applyFill="1" applyBorder="1" applyAlignment="1">
      <alignment horizontal="center" textRotation="90" wrapText="1"/>
    </xf>
    <xf numFmtId="164" fontId="8" fillId="0" borderId="19" xfId="419" applyNumberFormat="1" applyFont="1" applyFill="1" applyBorder="1" applyAlignment="1" applyProtection="1">
      <alignment horizontal="center" vertical="center"/>
    </xf>
    <xf numFmtId="0" fontId="8" fillId="36" borderId="0" xfId="0" applyFont="1" applyFill="1" applyAlignment="1">
      <alignment horizontal="center" vertical="top" wrapText="1"/>
    </xf>
    <xf numFmtId="0" fontId="8" fillId="36" borderId="0" xfId="0" applyFont="1" applyFill="1" applyAlignment="1">
      <alignment horizontal="center" vertical="center" wrapText="1"/>
    </xf>
    <xf numFmtId="0" fontId="33" fillId="0" borderId="41" xfId="0" applyFont="1" applyBorder="1" applyAlignment="1">
      <alignment horizontal="center" vertical="center" wrapText="1"/>
    </xf>
    <xf numFmtId="0" fontId="33" fillId="0" borderId="42" xfId="0" applyFont="1" applyBorder="1" applyAlignment="1">
      <alignment horizontal="center" vertical="center" wrapText="1"/>
    </xf>
    <xf numFmtId="0" fontId="11" fillId="0" borderId="43" xfId="0" applyFont="1" applyBorder="1" applyAlignment="1">
      <alignment horizontal="center" vertical="center"/>
    </xf>
    <xf numFmtId="0" fontId="8" fillId="0" borderId="39" xfId="0" applyFont="1" applyBorder="1" applyAlignment="1">
      <alignment textRotation="90" wrapText="1"/>
    </xf>
    <xf numFmtId="0" fontId="8" fillId="0" borderId="45" xfId="0" applyFont="1" applyBorder="1" applyAlignment="1">
      <alignment horizont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47" xfId="0" applyFont="1" applyBorder="1" applyAlignment="1">
      <alignment horizontal="center" vertical="center"/>
    </xf>
    <xf numFmtId="0" fontId="8" fillId="0" borderId="48" xfId="0" applyFont="1" applyBorder="1" applyAlignment="1">
      <alignment horizontal="center" vertical="center" wrapText="1"/>
    </xf>
    <xf numFmtId="10" fontId="8" fillId="0" borderId="47" xfId="419" applyNumberFormat="1" applyFont="1" applyFill="1" applyBorder="1" applyAlignment="1" applyProtection="1">
      <alignment horizontal="center" vertical="center"/>
    </xf>
    <xf numFmtId="10" fontId="8" fillId="0" borderId="29" xfId="419" applyNumberFormat="1" applyFont="1" applyFill="1" applyBorder="1" applyAlignment="1" applyProtection="1">
      <alignment horizontal="center" vertical="center"/>
    </xf>
    <xf numFmtId="0" fontId="9" fillId="36" borderId="49" xfId="0" applyFont="1" applyFill="1" applyBorder="1" applyAlignment="1">
      <alignment horizontal="center" vertical="top" wrapText="1"/>
    </xf>
    <xf numFmtId="0" fontId="8" fillId="0" borderId="18" xfId="0" applyFont="1" applyBorder="1" applyAlignment="1">
      <alignment textRotation="90" wrapText="1"/>
    </xf>
    <xf numFmtId="0" fontId="8" fillId="0" borderId="50" xfId="0" applyFont="1" applyBorder="1" applyAlignment="1">
      <alignment horizontal="center" vertical="center" wrapText="1"/>
    </xf>
    <xf numFmtId="1" fontId="8" fillId="0" borderId="47" xfId="0" applyNumberFormat="1" applyFont="1" applyBorder="1" applyAlignment="1">
      <alignment horizontal="center" vertical="center"/>
    </xf>
    <xf numFmtId="1" fontId="8" fillId="0" borderId="51" xfId="0" applyNumberFormat="1" applyFont="1" applyBorder="1" applyAlignment="1">
      <alignment horizontal="center" vertical="center"/>
    </xf>
    <xf numFmtId="0" fontId="29" fillId="0" borderId="0" xfId="0" applyFont="1" applyAlignment="1">
      <alignment vertical="center"/>
    </xf>
    <xf numFmtId="0" fontId="46" fillId="0" borderId="0" xfId="0" applyFont="1" applyAlignment="1">
      <alignment vertical="center" wrapText="1"/>
    </xf>
    <xf numFmtId="0" fontId="43" fillId="0" borderId="0" xfId="0" applyFont="1"/>
    <xf numFmtId="1" fontId="15" fillId="32" borderId="19" xfId="0" applyNumberFormat="1" applyFont="1" applyFill="1" applyBorder="1" applyAlignment="1" applyProtection="1">
      <alignment horizontal="center" vertical="center"/>
      <protection locked="0"/>
    </xf>
    <xf numFmtId="1" fontId="15" fillId="32" borderId="29" xfId="0" applyNumberFormat="1" applyFont="1" applyFill="1" applyBorder="1" applyAlignment="1" applyProtection="1">
      <alignment horizontal="center" vertical="center"/>
      <protection locked="0"/>
    </xf>
    <xf numFmtId="10" fontId="15" fillId="32" borderId="19" xfId="419" applyNumberFormat="1" applyFont="1" applyFill="1" applyBorder="1" applyAlignment="1" applyProtection="1">
      <alignment horizontal="center" vertical="center"/>
      <protection locked="0"/>
    </xf>
    <xf numFmtId="10" fontId="15" fillId="32" borderId="29" xfId="419" applyNumberFormat="1" applyFont="1" applyFill="1" applyBorder="1" applyAlignment="1" applyProtection="1">
      <alignment horizontal="center" vertical="center"/>
      <protection locked="0"/>
    </xf>
    <xf numFmtId="1" fontId="9" fillId="39" borderId="20" xfId="0" applyNumberFormat="1" applyFont="1" applyFill="1" applyBorder="1" applyAlignment="1">
      <alignment horizontal="center" vertical="center"/>
    </xf>
    <xf numFmtId="0" fontId="15" fillId="0" borderId="19" xfId="0" applyFont="1" applyBorder="1"/>
    <xf numFmtId="0" fontId="15" fillId="77" borderId="19" xfId="0" applyFont="1" applyFill="1" applyBorder="1" applyAlignment="1">
      <alignment vertical="center"/>
    </xf>
    <xf numFmtId="0" fontId="15" fillId="75" borderId="19" xfId="0" applyFont="1" applyFill="1" applyBorder="1" applyAlignment="1">
      <alignment vertical="center"/>
    </xf>
    <xf numFmtId="0" fontId="15" fillId="75" borderId="0" xfId="0" applyFont="1" applyFill="1" applyAlignment="1">
      <alignment vertical="center"/>
    </xf>
    <xf numFmtId="0" fontId="70" fillId="75" borderId="0" xfId="0" applyFont="1" applyFill="1" applyAlignment="1">
      <alignment vertical="center"/>
    </xf>
    <xf numFmtId="0" fontId="77" fillId="0" borderId="24" xfId="0" applyFont="1" applyBorder="1"/>
    <xf numFmtId="0" fontId="15" fillId="0" borderId="19" xfId="0" applyFont="1" applyBorder="1" applyAlignment="1">
      <alignment vertical="center" wrapText="1"/>
    </xf>
    <xf numFmtId="0" fontId="57" fillId="0" borderId="19" xfId="0" applyFont="1" applyBorder="1" applyAlignment="1">
      <alignment vertical="center" wrapText="1"/>
    </xf>
    <xf numFmtId="0" fontId="78" fillId="0" borderId="23" xfId="0" applyFont="1" applyBorder="1"/>
    <xf numFmtId="1" fontId="15" fillId="32" borderId="30" xfId="0" applyNumberFormat="1" applyFont="1" applyFill="1" applyBorder="1" applyAlignment="1">
      <alignment horizontal="center" vertical="center"/>
    </xf>
    <xf numFmtId="0" fontId="19" fillId="0" borderId="0" xfId="0" quotePrefix="1" applyFont="1" applyAlignment="1">
      <alignment horizontal="left" vertical="center"/>
    </xf>
    <xf numFmtId="0" fontId="70" fillId="0" borderId="36" xfId="0" applyFont="1" applyBorder="1" applyAlignment="1">
      <alignment vertical="center"/>
    </xf>
    <xf numFmtId="0" fontId="70" fillId="0" borderId="43" xfId="0" applyFont="1" applyBorder="1" applyAlignment="1">
      <alignment vertical="center"/>
    </xf>
    <xf numFmtId="0" fontId="70" fillId="0" borderId="34" xfId="0" applyFont="1" applyBorder="1" applyAlignment="1">
      <alignment horizontal="center" vertical="center"/>
    </xf>
    <xf numFmtId="166" fontId="15" fillId="0" borderId="19" xfId="431" applyNumberFormat="1" applyFont="1" applyFill="1" applyBorder="1" applyAlignment="1" applyProtection="1">
      <alignment horizontal="center" vertical="center"/>
    </xf>
    <xf numFmtId="166" fontId="15" fillId="0" borderId="34" xfId="431" applyNumberFormat="1" applyFont="1" applyFill="1" applyBorder="1" applyAlignment="1" applyProtection="1">
      <alignment horizontal="center" vertical="center"/>
    </xf>
    <xf numFmtId="9" fontId="70" fillId="0" borderId="34" xfId="0" applyNumberFormat="1" applyFont="1" applyBorder="1" applyAlignment="1">
      <alignment horizontal="center" vertical="center"/>
    </xf>
    <xf numFmtId="0" fontId="15" fillId="0" borderId="43" xfId="0" applyFont="1" applyBorder="1" applyAlignment="1">
      <alignment vertical="center"/>
    </xf>
    <xf numFmtId="0" fontId="15" fillId="0" borderId="36" xfId="0" applyFont="1" applyBorder="1" applyAlignment="1">
      <alignment vertical="center"/>
    </xf>
    <xf numFmtId="0" fontId="70" fillId="0" borderId="34" xfId="0" applyFont="1" applyBorder="1" applyAlignment="1">
      <alignment vertical="center"/>
    </xf>
    <xf numFmtId="0" fontId="72" fillId="0" borderId="35" xfId="0" applyFont="1" applyBorder="1" applyAlignment="1">
      <alignment horizontal="center" vertical="center" wrapText="1"/>
    </xf>
    <xf numFmtId="0" fontId="35" fillId="0" borderId="0" xfId="0" applyFont="1"/>
    <xf numFmtId="0" fontId="98" fillId="0" borderId="0" xfId="0" applyFont="1"/>
    <xf numFmtId="0" fontId="16" fillId="0" borderId="0" xfId="0" applyFont="1" applyAlignment="1">
      <alignment vertical="center" wrapText="1"/>
    </xf>
    <xf numFmtId="0" fontId="69" fillId="0" borderId="0" xfId="0" applyFont="1" applyAlignment="1">
      <alignment vertical="center" wrapText="1"/>
    </xf>
    <xf numFmtId="0" fontId="69" fillId="0" borderId="19" xfId="0" applyFont="1" applyBorder="1" applyAlignment="1">
      <alignment horizontal="center" vertical="center" wrapText="1"/>
    </xf>
    <xf numFmtId="0" fontId="69" fillId="78" borderId="19" xfId="0" applyFont="1" applyFill="1" applyBorder="1" applyAlignment="1">
      <alignment horizontal="center" vertical="center" wrapText="1"/>
    </xf>
    <xf numFmtId="0" fontId="69" fillId="0" borderId="47" xfId="0" applyFont="1" applyBorder="1" applyAlignment="1">
      <alignment horizontal="center" vertical="center" wrapText="1"/>
    </xf>
    <xf numFmtId="0" fontId="69" fillId="0" borderId="29" xfId="0" applyFont="1" applyBorder="1" applyAlignment="1">
      <alignment horizontal="center" vertical="center" wrapText="1"/>
    </xf>
    <xf numFmtId="0" fontId="69" fillId="78" borderId="47" xfId="0" applyFont="1" applyFill="1" applyBorder="1" applyAlignment="1">
      <alignment horizontal="center" vertical="center" wrapText="1"/>
    </xf>
    <xf numFmtId="0" fontId="69" fillId="78" borderId="29" xfId="0" applyFont="1" applyFill="1" applyBorder="1" applyAlignment="1">
      <alignment horizontal="center" vertical="center" wrapText="1"/>
    </xf>
    <xf numFmtId="1" fontId="15" fillId="32" borderId="31" xfId="0" applyNumberFormat="1" applyFont="1" applyFill="1" applyBorder="1" applyAlignment="1">
      <alignment horizontal="center" vertical="center"/>
    </xf>
    <xf numFmtId="0" fontId="18" fillId="0" borderId="19" xfId="0" applyFont="1" applyBorder="1" applyAlignment="1">
      <alignment wrapText="1"/>
    </xf>
    <xf numFmtId="0" fontId="8" fillId="0" borderId="19" xfId="0" applyFont="1" applyBorder="1" applyAlignment="1">
      <alignment wrapText="1"/>
    </xf>
    <xf numFmtId="0" fontId="17" fillId="0" borderId="0" xfId="0" applyFont="1" applyAlignment="1">
      <alignment vertical="center"/>
    </xf>
    <xf numFmtId="0" fontId="8" fillId="36" borderId="38" xfId="0" applyFont="1" applyFill="1" applyBorder="1" applyAlignment="1">
      <alignment horizontal="center" vertical="top" wrapText="1"/>
    </xf>
    <xf numFmtId="0" fontId="100" fillId="0" borderId="43" xfId="0" applyFont="1" applyBorder="1" applyAlignment="1">
      <alignment horizontal="center" vertical="center"/>
    </xf>
    <xf numFmtId="0" fontId="100" fillId="0" borderId="44" xfId="0" applyFont="1" applyBorder="1" applyAlignment="1">
      <alignment horizontal="center" vertical="center"/>
    </xf>
    <xf numFmtId="0" fontId="16" fillId="0" borderId="19" xfId="521" applyFont="1" applyBorder="1" applyAlignment="1">
      <alignment vertical="center"/>
    </xf>
    <xf numFmtId="0" fontId="70" fillId="0" borderId="0" xfId="0" applyFont="1" applyAlignment="1">
      <alignment horizontal="left" vertical="center" wrapText="1"/>
    </xf>
    <xf numFmtId="0" fontId="70" fillId="37" borderId="19" xfId="0" applyFont="1" applyFill="1" applyBorder="1" applyAlignment="1">
      <alignment vertical="center" wrapText="1"/>
    </xf>
    <xf numFmtId="0" fontId="70" fillId="0" borderId="0" xfId="0" applyFont="1" applyAlignment="1">
      <alignment vertical="center" wrapText="1"/>
    </xf>
    <xf numFmtId="1" fontId="9" fillId="32" borderId="38" xfId="0" applyNumberFormat="1" applyFont="1" applyFill="1" applyBorder="1" applyAlignment="1" applyProtection="1">
      <alignment horizontal="center" vertical="center"/>
      <protection locked="0"/>
    </xf>
    <xf numFmtId="0" fontId="104" fillId="0" borderId="0" xfId="0" applyFont="1"/>
    <xf numFmtId="0" fontId="105" fillId="0" borderId="0" xfId="0" applyFont="1"/>
    <xf numFmtId="0" fontId="106" fillId="0" borderId="0" xfId="0" applyFont="1"/>
    <xf numFmtId="0" fontId="107" fillId="0" borderId="0" xfId="0" applyFont="1" applyAlignment="1">
      <alignment horizontal="center" wrapText="1"/>
    </xf>
    <xf numFmtId="164" fontId="107" fillId="0" borderId="0" xfId="419" applyNumberFormat="1" applyFont="1" applyFill="1" applyBorder="1" applyAlignment="1" applyProtection="1">
      <alignment horizontal="center" wrapText="1"/>
    </xf>
    <xf numFmtId="10" fontId="107" fillId="0" borderId="0" xfId="419" applyNumberFormat="1" applyFont="1" applyFill="1" applyBorder="1" applyAlignment="1" applyProtection="1">
      <alignment horizontal="center" wrapText="1"/>
    </xf>
    <xf numFmtId="10" fontId="105" fillId="0" borderId="0" xfId="0" applyNumberFormat="1" applyFont="1"/>
    <xf numFmtId="0" fontId="107" fillId="0" borderId="0" xfId="0" applyFont="1" applyAlignment="1">
      <alignment wrapText="1"/>
    </xf>
    <xf numFmtId="0" fontId="107" fillId="0" borderId="0" xfId="0" applyFont="1"/>
    <xf numFmtId="0" fontId="104" fillId="0" borderId="19" xfId="0" applyFont="1" applyBorder="1" applyAlignment="1">
      <alignment horizontal="center"/>
    </xf>
    <xf numFmtId="0" fontId="108" fillId="0" borderId="19" xfId="0" applyFont="1" applyBorder="1" applyAlignment="1">
      <alignment horizontal="center"/>
    </xf>
    <xf numFmtId="0" fontId="105" fillId="0" borderId="0" xfId="0" applyFont="1" applyAlignment="1">
      <alignment horizontal="center"/>
    </xf>
    <xf numFmtId="1" fontId="108" fillId="0" borderId="19" xfId="0" applyNumberFormat="1" applyFont="1" applyBorder="1" applyAlignment="1">
      <alignment horizontal="center"/>
    </xf>
    <xf numFmtId="49" fontId="105" fillId="0" borderId="19" xfId="0" applyNumberFormat="1" applyFont="1" applyBorder="1" applyAlignment="1">
      <alignment horizontal="center"/>
    </xf>
    <xf numFmtId="0" fontId="105" fillId="0" borderId="19" xfId="0" applyFont="1" applyBorder="1" applyAlignment="1">
      <alignment horizontal="center"/>
    </xf>
    <xf numFmtId="9" fontId="105" fillId="0" borderId="19" xfId="448" applyFont="1" applyBorder="1" applyAlignment="1" applyProtection="1">
      <alignment horizontal="center"/>
    </xf>
    <xf numFmtId="9" fontId="107" fillId="0" borderId="19" xfId="448" applyFont="1" applyBorder="1" applyAlignment="1" applyProtection="1">
      <alignment horizontal="center"/>
    </xf>
    <xf numFmtId="1" fontId="107" fillId="0" borderId="19" xfId="448" applyNumberFormat="1" applyFont="1" applyFill="1" applyBorder="1" applyAlignment="1" applyProtection="1">
      <alignment horizontal="center"/>
    </xf>
    <xf numFmtId="1" fontId="107" fillId="0" borderId="19" xfId="448" applyNumberFormat="1" applyFont="1" applyBorder="1" applyAlignment="1" applyProtection="1">
      <alignment horizontal="center"/>
    </xf>
    <xf numFmtId="0" fontId="105" fillId="0" borderId="19" xfId="448" applyNumberFormat="1" applyFont="1" applyBorder="1" applyAlignment="1" applyProtection="1">
      <alignment horizontal="center"/>
    </xf>
    <xf numFmtId="9" fontId="109" fillId="0" borderId="19" xfId="448" applyFont="1" applyBorder="1" applyAlignment="1" applyProtection="1">
      <alignment horizontal="center"/>
    </xf>
    <xf numFmtId="1" fontId="109" fillId="0" borderId="19" xfId="448" applyNumberFormat="1" applyFont="1" applyBorder="1" applyAlignment="1" applyProtection="1">
      <alignment horizontal="center"/>
    </xf>
    <xf numFmtId="9" fontId="105" fillId="0" borderId="19" xfId="448" applyFont="1" applyFill="1" applyBorder="1" applyAlignment="1" applyProtection="1">
      <alignment horizontal="center"/>
    </xf>
    <xf numFmtId="1" fontId="105" fillId="0" borderId="19" xfId="448" applyNumberFormat="1" applyFont="1" applyFill="1" applyBorder="1" applyAlignment="1" applyProtection="1">
      <alignment horizontal="center"/>
    </xf>
    <xf numFmtId="10" fontId="105" fillId="0" borderId="19" xfId="448" applyNumberFormat="1" applyFont="1" applyFill="1" applyBorder="1" applyAlignment="1" applyProtection="1">
      <alignment horizontal="center"/>
    </xf>
    <xf numFmtId="49" fontId="105" fillId="0" borderId="0" xfId="0" applyNumberFormat="1" applyFont="1" applyAlignment="1">
      <alignment horizontal="center"/>
    </xf>
    <xf numFmtId="9" fontId="105" fillId="0" borderId="0" xfId="448" applyFont="1" applyBorder="1" applyAlignment="1" applyProtection="1">
      <alignment horizontal="center"/>
    </xf>
    <xf numFmtId="9" fontId="109" fillId="0" borderId="0" xfId="448" applyFont="1" applyBorder="1" applyAlignment="1" applyProtection="1">
      <alignment horizontal="center"/>
    </xf>
    <xf numFmtId="1" fontId="107" fillId="0" borderId="0" xfId="448" applyNumberFormat="1" applyFont="1" applyFill="1" applyBorder="1" applyAlignment="1" applyProtection="1">
      <alignment horizontal="center"/>
    </xf>
    <xf numFmtId="1" fontId="109" fillId="0" borderId="0" xfId="448" applyNumberFormat="1" applyFont="1" applyBorder="1" applyAlignment="1" applyProtection="1">
      <alignment horizontal="center"/>
    </xf>
    <xf numFmtId="0" fontId="105" fillId="0" borderId="0" xfId="0" applyFont="1" applyAlignment="1">
      <alignment horizontal="left"/>
    </xf>
    <xf numFmtId="0" fontId="105" fillId="83" borderId="0" xfId="0" applyFont="1" applyFill="1"/>
    <xf numFmtId="0" fontId="70" fillId="0" borderId="19" xfId="0" applyFont="1" applyBorder="1" applyAlignment="1">
      <alignment vertical="center" wrapText="1"/>
    </xf>
    <xf numFmtId="0" fontId="110" fillId="0" borderId="0" xfId="0" applyFont="1" applyAlignment="1">
      <alignment vertical="center"/>
    </xf>
    <xf numFmtId="49" fontId="110" fillId="0" borderId="0" xfId="0" applyNumberFormat="1" applyFont="1" applyAlignment="1">
      <alignment horizontal="center" vertical="center"/>
    </xf>
    <xf numFmtId="49" fontId="110" fillId="0" borderId="0" xfId="0" applyNumberFormat="1" applyFont="1" applyAlignment="1">
      <alignment horizontal="center" vertical="center" wrapText="1"/>
    </xf>
    <xf numFmtId="0" fontId="110" fillId="0" borderId="0" xfId="0" applyFont="1" applyAlignment="1">
      <alignment horizontal="center" vertical="center"/>
    </xf>
    <xf numFmtId="0" fontId="111" fillId="0" borderId="19" xfId="0" applyFont="1" applyBorder="1" applyAlignment="1">
      <alignment horizontal="center" vertical="center" wrapText="1"/>
    </xf>
    <xf numFmtId="0" fontId="112" fillId="0" borderId="19" xfId="0" applyFont="1" applyBorder="1" applyAlignment="1">
      <alignment horizontal="center" vertical="center" wrapText="1"/>
    </xf>
    <xf numFmtId="0" fontId="110" fillId="0" borderId="19" xfId="0" applyFont="1" applyBorder="1" applyAlignment="1">
      <alignment vertical="center"/>
    </xf>
    <xf numFmtId="49" fontId="113" fillId="35" borderId="26" xfId="0" applyNumberFormat="1" applyFont="1" applyFill="1" applyBorder="1" applyAlignment="1">
      <alignment horizontal="center" vertical="center" wrapText="1"/>
    </xf>
    <xf numFmtId="0" fontId="110" fillId="0" borderId="27" xfId="0" applyFont="1" applyBorder="1" applyAlignment="1">
      <alignment horizontal="center" vertical="center"/>
    </xf>
    <xf numFmtId="0" fontId="114" fillId="0" borderId="27" xfId="0" applyFont="1" applyBorder="1" applyAlignment="1">
      <alignment horizontal="left" vertical="center"/>
    </xf>
    <xf numFmtId="0" fontId="110" fillId="0" borderId="27" xfId="0" applyFont="1" applyBorder="1" applyAlignment="1">
      <alignment horizontal="left" vertical="center"/>
    </xf>
    <xf numFmtId="0" fontId="110" fillId="0" borderId="28" xfId="0" applyFont="1" applyBorder="1" applyAlignment="1">
      <alignment horizontal="center" vertical="center"/>
    </xf>
    <xf numFmtId="0" fontId="110" fillId="0" borderId="19" xfId="0" applyFont="1" applyBorder="1" applyAlignment="1">
      <alignment horizontal="center" vertical="center"/>
    </xf>
    <xf numFmtId="0" fontId="114" fillId="0" borderId="19" xfId="0" applyFont="1" applyBorder="1" applyAlignment="1">
      <alignment horizontal="left" vertical="center"/>
    </xf>
    <xf numFmtId="0" fontId="110" fillId="0" borderId="19" xfId="0" applyFont="1" applyBorder="1" applyAlignment="1">
      <alignment horizontal="left" vertical="center"/>
    </xf>
    <xf numFmtId="0" fontId="110" fillId="0" borderId="29" xfId="0" applyFont="1" applyBorder="1" applyAlignment="1">
      <alignment horizontal="center" vertical="center"/>
    </xf>
    <xf numFmtId="0" fontId="110" fillId="0" borderId="30" xfId="0" applyFont="1" applyBorder="1" applyAlignment="1">
      <alignment horizontal="center" vertical="center"/>
    </xf>
    <xf numFmtId="0" fontId="114" fillId="0" borderId="30" xfId="0" applyFont="1" applyBorder="1" applyAlignment="1">
      <alignment horizontal="left" vertical="center"/>
    </xf>
    <xf numFmtId="0" fontId="110" fillId="0" borderId="30" xfId="0" applyFont="1" applyBorder="1" applyAlignment="1">
      <alignment horizontal="left" vertical="center"/>
    </xf>
    <xf numFmtId="0" fontId="110" fillId="0" borderId="31" xfId="0" applyFont="1" applyBorder="1" applyAlignment="1">
      <alignment horizontal="center" vertical="center"/>
    </xf>
    <xf numFmtId="0" fontId="113" fillId="35" borderId="25" xfId="0" applyFont="1" applyFill="1" applyBorder="1" applyAlignment="1">
      <alignment horizontal="center" vertical="center" wrapText="1"/>
    </xf>
    <xf numFmtId="0" fontId="113" fillId="29" borderId="18" xfId="0" applyFont="1" applyFill="1" applyBorder="1" applyAlignment="1">
      <alignment horizontal="center" vertical="center" wrapText="1"/>
    </xf>
    <xf numFmtId="0" fontId="110" fillId="0" borderId="32" xfId="0" applyFont="1" applyBorder="1" applyAlignment="1">
      <alignment horizontal="center" vertical="center"/>
    </xf>
    <xf numFmtId="0" fontId="114" fillId="0" borderId="32" xfId="0" applyFont="1" applyBorder="1" applyAlignment="1">
      <alignment horizontal="left" vertical="center"/>
    </xf>
    <xf numFmtId="0" fontId="110" fillId="0" borderId="32" xfId="0" applyFont="1" applyBorder="1" applyAlignment="1">
      <alignment horizontal="left" vertical="center"/>
    </xf>
    <xf numFmtId="0" fontId="110" fillId="0" borderId="33" xfId="0" applyFont="1" applyBorder="1" applyAlignment="1">
      <alignment horizontal="center" vertical="center"/>
    </xf>
    <xf numFmtId="0" fontId="113" fillId="31" borderId="26" xfId="0" applyFont="1" applyFill="1" applyBorder="1" applyAlignment="1">
      <alignment horizontal="center" vertical="center" wrapText="1"/>
    </xf>
    <xf numFmtId="0" fontId="113" fillId="31" borderId="25" xfId="0" applyFont="1" applyFill="1" applyBorder="1" applyAlignment="1">
      <alignment horizontal="center" vertical="center" wrapText="1"/>
    </xf>
    <xf numFmtId="0" fontId="113" fillId="31" borderId="18" xfId="0" applyFont="1" applyFill="1" applyBorder="1" applyAlignment="1">
      <alignment horizontal="center" vertical="center" wrapText="1"/>
    </xf>
    <xf numFmtId="0" fontId="115" fillId="78" borderId="18" xfId="0" applyFont="1" applyFill="1" applyBorder="1" applyAlignment="1">
      <alignment horizontal="center" vertical="center" wrapText="1"/>
    </xf>
    <xf numFmtId="0" fontId="114" fillId="0" borderId="32" xfId="0" applyFont="1" applyBorder="1" applyAlignment="1">
      <alignment horizontal="center" vertical="center"/>
    </xf>
    <xf numFmtId="0" fontId="114" fillId="78" borderId="32" xfId="0" applyFont="1" applyFill="1" applyBorder="1" applyAlignment="1">
      <alignment horizontal="center" vertical="center"/>
    </xf>
    <xf numFmtId="0" fontId="114" fillId="78" borderId="32" xfId="0" applyFont="1" applyFill="1" applyBorder="1" applyAlignment="1">
      <alignment horizontal="left" vertical="center"/>
    </xf>
    <xf numFmtId="0" fontId="114" fillId="78" borderId="33" xfId="0" applyFont="1" applyFill="1" applyBorder="1" applyAlignment="1">
      <alignment horizontal="center" vertical="center"/>
    </xf>
    <xf numFmtId="0" fontId="110" fillId="0" borderId="0" xfId="0" applyFont="1" applyAlignment="1">
      <alignment vertical="center" wrapText="1"/>
    </xf>
    <xf numFmtId="0" fontId="110" fillId="35" borderId="19" xfId="0" applyFont="1" applyFill="1" applyBorder="1" applyAlignment="1">
      <alignment horizontal="center" vertical="center"/>
    </xf>
    <xf numFmtId="0" fontId="110" fillId="33" borderId="19" xfId="0" applyFont="1" applyFill="1" applyBorder="1" applyAlignment="1">
      <alignment horizontal="center" vertical="center"/>
    </xf>
    <xf numFmtId="0" fontId="110" fillId="29" borderId="19" xfId="0" applyFont="1" applyFill="1" applyBorder="1" applyAlignment="1">
      <alignment horizontal="center" vertical="center"/>
    </xf>
    <xf numFmtId="0" fontId="117" fillId="0" borderId="0" xfId="0" applyFont="1"/>
    <xf numFmtId="0" fontId="118" fillId="0" borderId="0" xfId="0" applyFont="1"/>
    <xf numFmtId="0" fontId="119" fillId="0" borderId="0" xfId="0" applyFont="1" applyAlignment="1">
      <alignment horizontal="left" vertical="center"/>
    </xf>
    <xf numFmtId="0" fontId="117" fillId="0" borderId="0" xfId="0" applyFont="1" applyAlignment="1">
      <alignment horizontal="center"/>
    </xf>
    <xf numFmtId="0" fontId="118" fillId="0" borderId="0" xfId="510" applyFont="1" applyAlignment="1">
      <alignment vertical="center"/>
    </xf>
    <xf numFmtId="14" fontId="118" fillId="0" borderId="0" xfId="510" applyNumberFormat="1" applyFont="1" applyAlignment="1">
      <alignment horizontal="center" vertical="center"/>
    </xf>
    <xf numFmtId="14" fontId="118" fillId="0" borderId="0" xfId="510" applyNumberFormat="1" applyFont="1" applyAlignment="1">
      <alignment horizontal="left" vertical="center"/>
    </xf>
    <xf numFmtId="0" fontId="118" fillId="0" borderId="0" xfId="510" applyFont="1"/>
    <xf numFmtId="0" fontId="121" fillId="0" borderId="0" xfId="510" applyFont="1"/>
    <xf numFmtId="0" fontId="117" fillId="0" borderId="0" xfId="0" applyFont="1" applyAlignment="1">
      <alignment vertical="center"/>
    </xf>
    <xf numFmtId="0" fontId="117" fillId="27" borderId="0" xfId="0" applyFont="1" applyFill="1" applyAlignment="1">
      <alignment horizontal="center" vertical="center" wrapText="1"/>
    </xf>
    <xf numFmtId="0" fontId="118" fillId="0" borderId="0" xfId="510" applyFont="1" applyAlignment="1">
      <alignment horizontal="center" wrapText="1"/>
    </xf>
    <xf numFmtId="0" fontId="118" fillId="0" borderId="0" xfId="510" applyFont="1" applyAlignment="1">
      <alignment horizontal="center"/>
    </xf>
    <xf numFmtId="0" fontId="122" fillId="0" borderId="0" xfId="0" applyFont="1"/>
    <xf numFmtId="0" fontId="127" fillId="0" borderId="19" xfId="0" applyFont="1" applyBorder="1" applyAlignment="1">
      <alignment horizontal="center" textRotation="90" wrapText="1"/>
    </xf>
    <xf numFmtId="0" fontId="118" fillId="40" borderId="36" xfId="510" applyFont="1" applyFill="1" applyBorder="1" applyAlignment="1" applyProtection="1">
      <alignment horizontal="center" vertical="center"/>
      <protection locked="0"/>
    </xf>
    <xf numFmtId="0" fontId="118" fillId="0" borderId="19" xfId="510" applyFont="1" applyBorder="1" applyAlignment="1">
      <alignment horizontal="center" vertical="center"/>
    </xf>
    <xf numFmtId="0" fontId="129" fillId="0" borderId="22" xfId="510" applyFont="1" applyBorder="1" applyAlignment="1">
      <alignment horizontal="center" vertical="center"/>
    </xf>
    <xf numFmtId="0" fontId="118" fillId="0" borderId="36" xfId="510" applyFont="1" applyBorder="1" applyAlignment="1">
      <alignment horizontal="center" vertical="center"/>
    </xf>
    <xf numFmtId="0" fontId="118" fillId="82" borderId="36" xfId="510" applyFont="1" applyFill="1" applyBorder="1" applyAlignment="1">
      <alignment horizontal="center" vertical="center"/>
    </xf>
    <xf numFmtId="0" fontId="117" fillId="0" borderId="34" xfId="0" applyFont="1" applyBorder="1" applyAlignment="1">
      <alignment horizontal="center" vertical="center"/>
    </xf>
    <xf numFmtId="0" fontId="117" fillId="0" borderId="19" xfId="0" applyFont="1" applyBorder="1" applyAlignment="1">
      <alignment horizontal="center" vertical="center"/>
    </xf>
    <xf numFmtId="0" fontId="117" fillId="0" borderId="0" xfId="0" quotePrefix="1" applyFont="1"/>
    <xf numFmtId="0" fontId="117" fillId="0" borderId="47" xfId="0" applyFont="1" applyBorder="1" applyAlignment="1">
      <alignment horizontal="center" vertical="center"/>
    </xf>
    <xf numFmtId="0" fontId="117" fillId="79" borderId="47" xfId="0" applyFont="1" applyFill="1" applyBorder="1" applyAlignment="1">
      <alignment horizontal="center" vertical="center"/>
    </xf>
    <xf numFmtId="0" fontId="117" fillId="79" borderId="19" xfId="0" applyFont="1" applyFill="1" applyBorder="1" applyAlignment="1">
      <alignment horizontal="center" vertical="center"/>
    </xf>
    <xf numFmtId="0" fontId="117" fillId="79" borderId="36" xfId="0" applyFont="1" applyFill="1" applyBorder="1" applyAlignment="1">
      <alignment horizontal="center" vertical="center"/>
    </xf>
    <xf numFmtId="0" fontId="117" fillId="79" borderId="29" xfId="0" applyFont="1" applyFill="1" applyBorder="1" applyAlignment="1">
      <alignment horizontal="center" vertical="center"/>
    </xf>
    <xf numFmtId="0" fontId="117" fillId="79" borderId="0" xfId="0" applyFont="1" applyFill="1" applyAlignment="1">
      <alignment horizontal="center" vertical="center" wrapText="1"/>
    </xf>
    <xf numFmtId="0" fontId="117" fillId="79" borderId="0" xfId="0" applyFont="1" applyFill="1" applyAlignment="1">
      <alignment horizontal="center" vertical="center"/>
    </xf>
    <xf numFmtId="0" fontId="118" fillId="79" borderId="0" xfId="510" applyFont="1" applyFill="1" applyAlignment="1">
      <alignment horizontal="center" vertical="center"/>
    </xf>
    <xf numFmtId="0" fontId="105" fillId="84" borderId="19" xfId="0" applyFont="1" applyFill="1" applyBorder="1" applyAlignment="1">
      <alignment horizontal="center"/>
    </xf>
    <xf numFmtId="9" fontId="105" fillId="84" borderId="19" xfId="448" applyFont="1" applyFill="1" applyBorder="1" applyAlignment="1" applyProtection="1">
      <alignment horizontal="center"/>
    </xf>
    <xf numFmtId="10" fontId="105" fillId="84" borderId="19" xfId="448" applyNumberFormat="1" applyFont="1" applyFill="1" applyBorder="1" applyAlignment="1" applyProtection="1">
      <alignment horizontal="center"/>
    </xf>
    <xf numFmtId="1" fontId="107" fillId="84" borderId="19" xfId="448" applyNumberFormat="1" applyFont="1" applyFill="1" applyBorder="1" applyAlignment="1" applyProtection="1">
      <alignment horizontal="center"/>
    </xf>
    <xf numFmtId="1" fontId="105" fillId="84" borderId="19" xfId="448" applyNumberFormat="1" applyFont="1" applyFill="1" applyBorder="1" applyAlignment="1" applyProtection="1">
      <alignment horizontal="center"/>
    </xf>
    <xf numFmtId="49" fontId="15" fillId="0" borderId="19" xfId="0" applyNumberFormat="1" applyFont="1" applyBorder="1" applyAlignment="1">
      <alignment horizontal="center" vertical="center" wrapText="1"/>
    </xf>
    <xf numFmtId="49" fontId="23" fillId="0" borderId="19" xfId="0" applyNumberFormat="1" applyFont="1" applyBorder="1" applyAlignment="1">
      <alignment horizontal="center" vertical="center"/>
    </xf>
    <xf numFmtId="10" fontId="8" fillId="0" borderId="0" xfId="431" applyNumberFormat="1" applyFont="1" applyFill="1" applyBorder="1" applyAlignment="1" applyProtection="1">
      <alignment horizontal="center" vertical="center" wrapText="1"/>
    </xf>
    <xf numFmtId="10" fontId="19" fillId="0" borderId="0" xfId="0" applyNumberFormat="1" applyFont="1" applyAlignment="1">
      <alignment vertical="center"/>
    </xf>
    <xf numFmtId="14" fontId="15" fillId="85" borderId="0" xfId="0" applyNumberFormat="1" applyFont="1" applyFill="1" applyAlignment="1">
      <alignment horizontal="left"/>
    </xf>
    <xf numFmtId="0" fontId="107" fillId="0" borderId="19" xfId="448" applyNumberFormat="1" applyFont="1" applyFill="1" applyBorder="1" applyAlignment="1" applyProtection="1">
      <alignment horizontal="center"/>
    </xf>
    <xf numFmtId="0" fontId="105" fillId="0" borderId="19" xfId="448" applyNumberFormat="1" applyFont="1" applyFill="1" applyBorder="1" applyAlignment="1" applyProtection="1">
      <alignment horizontal="center"/>
    </xf>
    <xf numFmtId="10" fontId="9" fillId="0" borderId="20" xfId="0" applyNumberFormat="1" applyFont="1" applyBorder="1" applyAlignment="1">
      <alignment horizontal="center" vertical="center"/>
    </xf>
    <xf numFmtId="1" fontId="9" fillId="32" borderId="20" xfId="0" applyNumberFormat="1" applyFont="1" applyFill="1" applyBorder="1" applyAlignment="1" applyProtection="1">
      <alignment horizontal="center" vertical="center"/>
      <protection locked="0"/>
    </xf>
    <xf numFmtId="0" fontId="113" fillId="31" borderId="65" xfId="0" applyFont="1" applyFill="1" applyBorder="1" applyAlignment="1">
      <alignment horizontal="center" vertical="center" wrapText="1"/>
    </xf>
    <xf numFmtId="0" fontId="8" fillId="0" borderId="0" xfId="0" applyFont="1" applyAlignment="1">
      <alignment wrapText="1"/>
    </xf>
    <xf numFmtId="0" fontId="114" fillId="0" borderId="0" xfId="0" applyFont="1" applyAlignment="1">
      <alignment vertical="center"/>
    </xf>
    <xf numFmtId="0" fontId="113" fillId="86" borderId="25" xfId="0" applyFont="1" applyFill="1" applyBorder="1" applyAlignment="1">
      <alignment horizontal="center" vertical="center" wrapText="1"/>
    </xf>
    <xf numFmtId="0" fontId="110" fillId="78" borderId="27" xfId="0" applyFont="1" applyFill="1" applyBorder="1" applyAlignment="1">
      <alignment horizontal="center" vertical="center"/>
    </xf>
    <xf numFmtId="0" fontId="114" fillId="78" borderId="27" xfId="0" applyFont="1" applyFill="1" applyBorder="1" applyAlignment="1">
      <alignment horizontal="left" vertical="center"/>
    </xf>
    <xf numFmtId="0" fontId="110" fillId="78" borderId="27" xfId="0" applyFont="1" applyFill="1" applyBorder="1" applyAlignment="1">
      <alignment horizontal="left" vertical="center"/>
    </xf>
    <xf numFmtId="0" fontId="110" fillId="78" borderId="28" xfId="0" applyFont="1" applyFill="1" applyBorder="1" applyAlignment="1">
      <alignment horizontal="center" vertical="center"/>
    </xf>
    <xf numFmtId="0" fontId="110" fillId="76" borderId="19" xfId="0" applyFont="1" applyFill="1" applyBorder="1" applyAlignment="1">
      <alignment horizontal="center" vertical="center"/>
    </xf>
    <xf numFmtId="0" fontId="110" fillId="76" borderId="19" xfId="0" applyFont="1" applyFill="1" applyBorder="1" applyAlignment="1">
      <alignment vertical="center"/>
    </xf>
    <xf numFmtId="0" fontId="4" fillId="0" borderId="0" xfId="510" applyAlignment="1">
      <alignment vertical="center"/>
    </xf>
    <xf numFmtId="0" fontId="16" fillId="0" borderId="21" xfId="0" applyFont="1" applyBorder="1" applyAlignment="1">
      <alignment horizontal="center" vertical="center" wrapText="1"/>
    </xf>
    <xf numFmtId="0" fontId="4" fillId="40" borderId="47" xfId="510" applyFill="1" applyBorder="1" applyAlignment="1" applyProtection="1">
      <alignment horizontal="center" vertical="center"/>
      <protection locked="0"/>
    </xf>
    <xf numFmtId="0" fontId="4" fillId="40" borderId="36" xfId="510" applyFill="1" applyBorder="1" applyAlignment="1" applyProtection="1">
      <alignment horizontal="center" vertical="center"/>
      <protection locked="0"/>
    </xf>
    <xf numFmtId="0" fontId="129" fillId="40" borderId="19" xfId="510" applyFont="1" applyFill="1" applyBorder="1" applyAlignment="1" applyProtection="1">
      <alignment horizontal="center" vertical="center"/>
      <protection locked="0"/>
    </xf>
    <xf numFmtId="0" fontId="4" fillId="0" borderId="19" xfId="510" applyBorder="1" applyAlignment="1">
      <alignment horizontal="center" vertical="center"/>
    </xf>
    <xf numFmtId="0" fontId="4" fillId="0" borderId="36" xfId="510" applyBorder="1" applyAlignment="1">
      <alignment horizontal="center" vertical="center"/>
    </xf>
    <xf numFmtId="0" fontId="4" fillId="79" borderId="43" xfId="510" applyFill="1" applyBorder="1" applyAlignment="1">
      <alignment horizontal="center" vertical="center"/>
    </xf>
    <xf numFmtId="0" fontId="8" fillId="0" borderId="0" xfId="0" applyFont="1" applyAlignment="1">
      <alignment horizontal="center" wrapText="1"/>
    </xf>
    <xf numFmtId="0" fontId="5" fillId="0" borderId="0" xfId="0" applyFont="1"/>
    <xf numFmtId="0" fontId="21" fillId="0" borderId="0" xfId="0" applyFont="1" applyAlignment="1">
      <alignment horizontal="center"/>
    </xf>
    <xf numFmtId="0" fontId="18" fillId="0" borderId="0" xfId="0" applyFont="1" applyAlignment="1">
      <alignment vertical="center"/>
    </xf>
    <xf numFmtId="0" fontId="9" fillId="0" borderId="20" xfId="0" applyFont="1" applyBorder="1" applyAlignment="1">
      <alignment horizontal="center" vertical="center" wrapText="1"/>
    </xf>
    <xf numFmtId="1" fontId="9" fillId="30" borderId="20" xfId="0" applyNumberFormat="1" applyFont="1" applyFill="1" applyBorder="1" applyAlignment="1">
      <alignment horizontal="center" vertical="center" wrapText="1"/>
    </xf>
    <xf numFmtId="10" fontId="9" fillId="27" borderId="20" xfId="419" applyNumberFormat="1" applyFont="1" applyFill="1" applyBorder="1" applyAlignment="1" applyProtection="1">
      <alignment horizontal="center" vertical="center" wrapText="1"/>
    </xf>
    <xf numFmtId="0" fontId="21" fillId="27" borderId="0" xfId="0" applyFont="1" applyFill="1"/>
    <xf numFmtId="0" fontId="8" fillId="0" borderId="39" xfId="0" applyFont="1" applyBorder="1" applyAlignment="1">
      <alignment vertical="center" wrapText="1"/>
    </xf>
    <xf numFmtId="0" fontId="137" fillId="0" borderId="0" xfId="0" applyFont="1" applyAlignment="1">
      <alignment horizontal="left" vertical="center"/>
    </xf>
    <xf numFmtId="0" fontId="4" fillId="40" borderId="54" xfId="510" applyFill="1" applyBorder="1" applyAlignment="1" applyProtection="1">
      <alignment horizontal="center" vertical="center"/>
      <protection locked="0"/>
    </xf>
    <xf numFmtId="0" fontId="4" fillId="40" borderId="29" xfId="510" applyFill="1" applyBorder="1" applyAlignment="1" applyProtection="1">
      <alignment horizontal="center" vertical="center"/>
      <protection locked="0"/>
    </xf>
    <xf numFmtId="0" fontId="8" fillId="0" borderId="18" xfId="0" applyFont="1" applyBorder="1" applyAlignment="1">
      <alignment vertical="center" wrapText="1"/>
    </xf>
    <xf numFmtId="0" fontId="126" fillId="0" borderId="0" xfId="0" applyFont="1" applyAlignment="1">
      <alignment wrapText="1"/>
    </xf>
    <xf numFmtId="0" fontId="17" fillId="0" borderId="36" xfId="0" applyFont="1" applyBorder="1" applyAlignment="1">
      <alignment vertical="center" wrapText="1"/>
    </xf>
    <xf numFmtId="0" fontId="17" fillId="0" borderId="36" xfId="0" applyFont="1" applyBorder="1" applyAlignment="1">
      <alignment horizontal="center" vertical="center" wrapText="1"/>
    </xf>
    <xf numFmtId="0" fontId="17" fillId="0" borderId="27" xfId="0" quotePrefix="1" applyFont="1" applyBorder="1" applyAlignment="1">
      <alignment horizontal="center" vertical="center" wrapText="1"/>
    </xf>
    <xf numFmtId="0" fontId="17" fillId="0" borderId="28" xfId="0" quotePrefix="1" applyFont="1" applyBorder="1" applyAlignment="1">
      <alignment horizontal="center" vertical="center" wrapText="1"/>
    </xf>
    <xf numFmtId="0" fontId="17" fillId="0" borderId="53" xfId="0" applyFont="1" applyBorder="1" applyAlignment="1">
      <alignment horizontal="center" vertical="center" wrapText="1"/>
    </xf>
    <xf numFmtId="0" fontId="17" fillId="0" borderId="28" xfId="0" applyFont="1" applyBorder="1" applyAlignment="1">
      <alignment horizontal="center" vertical="center" wrapText="1"/>
    </xf>
    <xf numFmtId="0" fontId="8" fillId="0" borderId="20" xfId="0" applyFont="1" applyBorder="1" applyAlignment="1">
      <alignment vertical="center" wrapText="1"/>
    </xf>
    <xf numFmtId="0" fontId="15" fillId="0" borderId="19" xfId="0" applyFont="1" applyBorder="1" applyAlignment="1">
      <alignment horizontal="center"/>
    </xf>
    <xf numFmtId="0" fontId="8" fillId="0" borderId="68" xfId="0" applyFont="1" applyBorder="1" applyAlignment="1">
      <alignment horizontal="left" vertical="center" wrapText="1"/>
    </xf>
    <xf numFmtId="0" fontId="8" fillId="0" borderId="67" xfId="0" applyFont="1" applyBorder="1" applyAlignment="1">
      <alignment horizontal="left" vertical="center" wrapText="1"/>
    </xf>
    <xf numFmtId="164" fontId="8" fillId="88" borderId="68" xfId="418" applyNumberFormat="1" applyFont="1" applyFill="1" applyBorder="1" applyAlignment="1" applyProtection="1">
      <alignment horizontal="center" vertical="center"/>
    </xf>
    <xf numFmtId="9" fontId="8" fillId="88" borderId="20" xfId="418" applyFont="1" applyFill="1" applyBorder="1" applyAlignment="1" applyProtection="1">
      <alignment horizontal="center" vertical="center"/>
    </xf>
    <xf numFmtId="164" fontId="8" fillId="89" borderId="64" xfId="418" applyNumberFormat="1" applyFont="1" applyFill="1" applyBorder="1" applyAlignment="1" applyProtection="1">
      <alignment horizontal="center" vertical="center"/>
    </xf>
    <xf numFmtId="164" fontId="8" fillId="89" borderId="39" xfId="418" applyNumberFormat="1" applyFont="1" applyFill="1" applyBorder="1" applyAlignment="1" applyProtection="1">
      <alignment horizontal="center" vertical="center"/>
    </xf>
    <xf numFmtId="164" fontId="8" fillId="0" borderId="68" xfId="418" applyNumberFormat="1" applyFont="1" applyFill="1" applyBorder="1" applyAlignment="1" applyProtection="1">
      <alignment horizontal="center" vertical="center"/>
    </xf>
    <xf numFmtId="164" fontId="8" fillId="0" borderId="38" xfId="418" applyNumberFormat="1" applyFont="1" applyFill="1" applyBorder="1" applyAlignment="1" applyProtection="1">
      <alignment horizontal="center" vertical="top" wrapText="1"/>
    </xf>
    <xf numFmtId="164" fontId="8" fillId="91" borderId="67" xfId="418" applyNumberFormat="1" applyFont="1" applyFill="1" applyBorder="1" applyAlignment="1" applyProtection="1">
      <alignment horizontal="center" vertical="center"/>
    </xf>
    <xf numFmtId="164" fontId="8" fillId="91" borderId="38" xfId="418" applyNumberFormat="1" applyFont="1" applyFill="1" applyBorder="1" applyAlignment="1" applyProtection="1">
      <alignment horizontal="center" vertical="center"/>
    </xf>
    <xf numFmtId="164" fontId="8" fillId="91" borderId="68" xfId="418" applyNumberFormat="1" applyFont="1" applyFill="1" applyBorder="1" applyAlignment="1" applyProtection="1">
      <alignment horizontal="center" vertical="center"/>
    </xf>
    <xf numFmtId="164" fontId="8" fillId="91" borderId="20" xfId="418" applyNumberFormat="1" applyFont="1" applyFill="1" applyBorder="1" applyAlignment="1" applyProtection="1">
      <alignment horizontal="center" vertical="center"/>
    </xf>
    <xf numFmtId="49" fontId="15" fillId="0" borderId="19" xfId="0" applyNumberFormat="1" applyFont="1" applyBorder="1" applyAlignment="1">
      <alignment horizontal="center"/>
    </xf>
    <xf numFmtId="0" fontId="15" fillId="84" borderId="19" xfId="0" applyFont="1" applyFill="1" applyBorder="1" applyAlignment="1">
      <alignment horizontal="center"/>
    </xf>
    <xf numFmtId="9" fontId="109" fillId="0" borderId="19" xfId="448" applyFont="1" applyFill="1" applyBorder="1" applyAlignment="1" applyProtection="1">
      <alignment horizontal="center"/>
    </xf>
    <xf numFmtId="1" fontId="109" fillId="0" borderId="19" xfId="448" applyNumberFormat="1" applyFont="1" applyFill="1" applyBorder="1" applyAlignment="1" applyProtection="1">
      <alignment horizontal="center"/>
    </xf>
    <xf numFmtId="0" fontId="140" fillId="92" borderId="20" xfId="0" applyFont="1" applyFill="1" applyBorder="1" applyAlignment="1">
      <alignment vertical="center" wrapText="1"/>
    </xf>
    <xf numFmtId="1" fontId="141" fillId="92" borderId="20" xfId="0" applyNumberFormat="1" applyFont="1" applyFill="1" applyBorder="1" applyAlignment="1">
      <alignment horizontal="center" vertical="center"/>
    </xf>
    <xf numFmtId="10" fontId="141" fillId="92" borderId="20" xfId="0" applyNumberFormat="1" applyFont="1" applyFill="1" applyBorder="1" applyAlignment="1">
      <alignment horizontal="center" vertical="center"/>
    </xf>
    <xf numFmtId="0" fontId="18" fillId="0" borderId="19" xfId="0" applyFont="1" applyBorder="1" applyAlignment="1">
      <alignment horizontal="center" textRotation="90" wrapText="1"/>
    </xf>
    <xf numFmtId="0" fontId="18" fillId="0" borderId="34" xfId="0" applyFont="1" applyBorder="1" applyAlignment="1">
      <alignment horizontal="center" textRotation="90" wrapText="1"/>
    </xf>
    <xf numFmtId="0" fontId="4" fillId="40" borderId="34" xfId="510" applyFill="1" applyBorder="1" applyAlignment="1" applyProtection="1">
      <alignment horizontal="center" vertical="center"/>
      <protection locked="0"/>
    </xf>
    <xf numFmtId="0" fontId="118" fillId="0" borderId="34" xfId="510" applyFont="1" applyBorder="1" applyAlignment="1">
      <alignment horizontal="center" vertical="center"/>
    </xf>
    <xf numFmtId="0" fontId="117" fillId="79" borderId="34" xfId="0" applyFont="1" applyFill="1" applyBorder="1" applyAlignment="1">
      <alignment horizontal="center" vertical="center"/>
    </xf>
    <xf numFmtId="0" fontId="23" fillId="0" borderId="47" xfId="0" applyFont="1" applyBorder="1" applyAlignment="1">
      <alignment wrapText="1"/>
    </xf>
    <xf numFmtId="0" fontId="118" fillId="40" borderId="47" xfId="510" applyFont="1" applyFill="1" applyBorder="1" applyAlignment="1" applyProtection="1">
      <alignment horizontal="center" vertical="center"/>
      <protection locked="0"/>
    </xf>
    <xf numFmtId="0" fontId="23" fillId="0" borderId="47" xfId="0" applyFont="1" applyBorder="1" applyAlignment="1">
      <alignment horizontal="center" vertical="center" wrapText="1"/>
    </xf>
    <xf numFmtId="0" fontId="128" fillId="0" borderId="47" xfId="0" applyFont="1" applyBorder="1" applyAlignment="1">
      <alignment horizontal="center" vertical="center" wrapText="1"/>
    </xf>
    <xf numFmtId="0" fontId="117" fillId="79" borderId="47" xfId="0" applyFont="1" applyFill="1" applyBorder="1" applyAlignment="1">
      <alignment horizontal="center" vertical="center" wrapText="1"/>
    </xf>
    <xf numFmtId="0" fontId="17" fillId="0" borderId="72" xfId="0" quotePrefix="1" applyFont="1" applyBorder="1" applyAlignment="1">
      <alignment horizontal="center" vertical="center" wrapText="1"/>
    </xf>
    <xf numFmtId="0" fontId="69" fillId="0" borderId="34" xfId="0" applyFont="1" applyBorder="1" applyAlignment="1">
      <alignment horizontal="center" vertical="center" wrapText="1"/>
    </xf>
    <xf numFmtId="0" fontId="69" fillId="78" borderId="34" xfId="0" applyFont="1" applyFill="1" applyBorder="1" applyAlignment="1">
      <alignment horizontal="center" vertical="center" wrapText="1"/>
    </xf>
    <xf numFmtId="0" fontId="17" fillId="0" borderId="47" xfId="0" applyFont="1" applyBorder="1" applyAlignment="1">
      <alignment horizontal="center" vertical="center" wrapText="1"/>
    </xf>
    <xf numFmtId="9" fontId="15" fillId="84" borderId="19" xfId="450" applyFont="1" applyFill="1" applyBorder="1" applyAlignment="1" applyProtection="1">
      <alignment horizontal="center"/>
    </xf>
    <xf numFmtId="10" fontId="15" fillId="84" borderId="19" xfId="450" applyNumberFormat="1" applyFont="1" applyFill="1" applyBorder="1" applyAlignment="1" applyProtection="1">
      <alignment horizontal="center"/>
    </xf>
    <xf numFmtId="1" fontId="8" fillId="84" borderId="19" xfId="450" applyNumberFormat="1" applyFont="1" applyFill="1" applyBorder="1" applyAlignment="1" applyProtection="1">
      <alignment horizontal="center"/>
    </xf>
    <xf numFmtId="1" fontId="15" fillId="84" borderId="19" xfId="450" applyNumberFormat="1" applyFont="1" applyFill="1" applyBorder="1" applyAlignment="1" applyProtection="1">
      <alignment horizontal="center"/>
    </xf>
    <xf numFmtId="0" fontId="18" fillId="0" borderId="0" xfId="510" applyFont="1" applyAlignment="1">
      <alignment horizontal="center" vertical="center"/>
    </xf>
    <xf numFmtId="0" fontId="133" fillId="0" borderId="56" xfId="0" applyFont="1" applyBorder="1"/>
    <xf numFmtId="0" fontId="132" fillId="0" borderId="0" xfId="0" applyFont="1" applyAlignment="1">
      <alignment vertical="top"/>
    </xf>
    <xf numFmtId="0" fontId="18" fillId="0" borderId="19" xfId="0" applyFont="1" applyBorder="1" applyAlignment="1">
      <alignment vertical="center"/>
    </xf>
    <xf numFmtId="0" fontId="8" fillId="75" borderId="0" xfId="543" applyFont="1" applyFill="1"/>
    <xf numFmtId="0" fontId="126" fillId="0" borderId="19" xfId="0" applyFont="1" applyBorder="1" applyAlignment="1">
      <alignment vertical="center"/>
    </xf>
    <xf numFmtId="0" fontId="23" fillId="0" borderId="19" xfId="0" applyFont="1" applyBorder="1" applyAlignment="1">
      <alignment vertical="center"/>
    </xf>
    <xf numFmtId="0" fontId="26" fillId="0" borderId="19" xfId="0" applyFont="1" applyBorder="1"/>
    <xf numFmtId="14" fontId="98" fillId="0" borderId="19" xfId="0" applyNumberFormat="1" applyFont="1" applyBorder="1"/>
    <xf numFmtId="0" fontId="15" fillId="0" borderId="19" xfId="0" quotePrefix="1" applyFont="1" applyBorder="1"/>
    <xf numFmtId="14" fontId="15" fillId="75" borderId="0" xfId="0" applyNumberFormat="1" applyFont="1" applyFill="1"/>
    <xf numFmtId="0" fontId="15" fillId="0" borderId="0" xfId="0" quotePrefix="1" applyFont="1"/>
    <xf numFmtId="14" fontId="98" fillId="0" borderId="0" xfId="0" applyNumberFormat="1" applyFont="1"/>
    <xf numFmtId="0" fontId="147" fillId="0" borderId="0" xfId="0" applyFont="1" applyAlignment="1">
      <alignment wrapText="1"/>
    </xf>
    <xf numFmtId="0" fontId="98" fillId="0" borderId="0" xfId="0" applyFont="1" applyAlignment="1">
      <alignment horizontal="center" vertical="center"/>
    </xf>
    <xf numFmtId="0" fontId="124" fillId="0" borderId="0" xfId="0" applyFont="1"/>
    <xf numFmtId="0" fontId="148" fillId="0" borderId="0" xfId="0" applyFont="1"/>
    <xf numFmtId="0" fontId="149" fillId="0" borderId="0" xfId="0" applyFont="1"/>
    <xf numFmtId="0" fontId="149" fillId="0" borderId="20" xfId="0" applyFont="1" applyBorder="1" applyAlignment="1">
      <alignment horizontal="center" vertical="center"/>
    </xf>
    <xf numFmtId="0" fontId="147" fillId="0" borderId="30" xfId="0" applyFont="1" applyBorder="1" applyAlignment="1">
      <alignment horizontal="center" vertical="center" wrapText="1"/>
    </xf>
    <xf numFmtId="0" fontId="147" fillId="0" borderId="31" xfId="0" applyFont="1" applyBorder="1" applyAlignment="1">
      <alignment horizontal="center" vertical="center" wrapText="1"/>
    </xf>
    <xf numFmtId="49" fontId="18" fillId="40" borderId="48" xfId="510" applyNumberFormat="1" applyFont="1" applyFill="1" applyBorder="1" applyAlignment="1" applyProtection="1">
      <alignment horizontal="left" vertical="center" wrapText="1"/>
      <protection locked="0"/>
    </xf>
    <xf numFmtId="49" fontId="18" fillId="40" borderId="24" xfId="510" applyNumberFormat="1" applyFont="1" applyFill="1" applyBorder="1" applyAlignment="1" applyProtection="1">
      <alignment horizontal="left" vertical="center" wrapText="1"/>
      <protection locked="0"/>
    </xf>
    <xf numFmtId="1" fontId="18" fillId="40" borderId="24" xfId="510" applyNumberFormat="1" applyFont="1" applyFill="1" applyBorder="1" applyAlignment="1" applyProtection="1">
      <alignment horizontal="center" vertical="center"/>
      <protection locked="0"/>
    </xf>
    <xf numFmtId="1" fontId="18" fillId="40" borderId="63" xfId="510" applyNumberFormat="1" applyFont="1" applyFill="1" applyBorder="1" applyAlignment="1" applyProtection="1">
      <alignment horizontal="center" vertical="center"/>
      <protection locked="0"/>
    </xf>
    <xf numFmtId="49" fontId="18" fillId="40" borderId="51" xfId="510" applyNumberFormat="1" applyFont="1" applyFill="1" applyBorder="1" applyAlignment="1" applyProtection="1">
      <alignment horizontal="left" vertical="center" wrapText="1"/>
      <protection locked="0"/>
    </xf>
    <xf numFmtId="49" fontId="18" fillId="40" borderId="30" xfId="510" applyNumberFormat="1" applyFont="1" applyFill="1" applyBorder="1" applyAlignment="1" applyProtection="1">
      <alignment horizontal="left" vertical="center" wrapText="1"/>
      <protection locked="0"/>
    </xf>
    <xf numFmtId="1" fontId="18" fillId="40" borderId="30" xfId="510" applyNumberFormat="1" applyFont="1" applyFill="1" applyBorder="1" applyAlignment="1" applyProtection="1">
      <alignment horizontal="center" vertical="center"/>
      <protection locked="0"/>
    </xf>
    <xf numFmtId="1" fontId="18" fillId="40" borderId="31" xfId="510" applyNumberFormat="1" applyFont="1" applyFill="1" applyBorder="1" applyAlignment="1" applyProtection="1">
      <alignment horizontal="center" vertical="center"/>
      <protection locked="0"/>
    </xf>
    <xf numFmtId="0" fontId="124" fillId="0" borderId="19" xfId="0" applyFont="1" applyBorder="1" applyAlignment="1">
      <alignment horizontal="left" vertical="top"/>
    </xf>
    <xf numFmtId="0" fontId="124" fillId="0" borderId="19" xfId="0" applyFont="1" applyBorder="1" applyAlignment="1">
      <alignment horizontal="left" vertical="top" wrapText="1"/>
    </xf>
    <xf numFmtId="0" fontId="124" fillId="0" borderId="19" xfId="0" applyFont="1" applyBorder="1" applyAlignment="1">
      <alignment horizontal="left" vertical="center"/>
    </xf>
    <xf numFmtId="0" fontId="0" fillId="94" borderId="19" xfId="0" applyFill="1" applyBorder="1"/>
    <xf numFmtId="49" fontId="69" fillId="0" borderId="19" xfId="0" applyNumberFormat="1" applyFont="1" applyBorder="1" applyAlignment="1">
      <alignment vertical="center"/>
    </xf>
    <xf numFmtId="0" fontId="69" fillId="95" borderId="19" xfId="0" applyFont="1" applyFill="1" applyBorder="1" applyAlignment="1">
      <alignment vertical="center"/>
    </xf>
    <xf numFmtId="0" fontId="8" fillId="0" borderId="64" xfId="0" applyFont="1" applyBorder="1" applyAlignment="1">
      <alignment horizontal="center" vertical="center" wrapText="1"/>
    </xf>
    <xf numFmtId="10" fontId="9" fillId="0" borderId="39" xfId="0" applyNumberFormat="1" applyFont="1" applyBorder="1" applyAlignment="1">
      <alignment horizontal="center" vertical="center"/>
    </xf>
    <xf numFmtId="0" fontId="8" fillId="0" borderId="53" xfId="0" applyFont="1"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vertical="center" wrapText="1"/>
    </xf>
    <xf numFmtId="10" fontId="9" fillId="0" borderId="0" xfId="0" applyNumberFormat="1" applyFont="1" applyAlignment="1">
      <alignment horizontal="center" vertical="center"/>
    </xf>
    <xf numFmtId="0" fontId="33" fillId="0" borderId="0" xfId="0" applyFont="1" applyAlignment="1">
      <alignment horizontal="center" vertical="center" wrapText="1"/>
    </xf>
    <xf numFmtId="0" fontId="9" fillId="0" borderId="0" xfId="0" applyFont="1" applyAlignment="1">
      <alignment horizontal="left" vertical="center" wrapText="1"/>
    </xf>
    <xf numFmtId="0" fontId="134" fillId="0" borderId="0" xfId="0" applyFont="1" applyAlignment="1">
      <alignment horizontal="left" vertical="top"/>
    </xf>
    <xf numFmtId="0" fontId="43" fillId="0" borderId="0" xfId="0" applyFont="1" applyAlignment="1">
      <alignment vertical="center"/>
    </xf>
    <xf numFmtId="0" fontId="15" fillId="0" borderId="0" xfId="0" applyFont="1" applyAlignment="1">
      <alignment horizontal="justify" vertical="center" wrapText="1"/>
    </xf>
    <xf numFmtId="0" fontId="8" fillId="0" borderId="89" xfId="0" applyFont="1" applyBorder="1" applyAlignment="1">
      <alignment horizontal="center" vertical="top" wrapText="1"/>
    </xf>
    <xf numFmtId="0" fontId="8" fillId="0" borderId="72"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4" xfId="0" applyFont="1" applyBorder="1" applyAlignment="1">
      <alignment horizontal="center" vertical="center"/>
    </xf>
    <xf numFmtId="0" fontId="8" fillId="78" borderId="21" xfId="0" applyFont="1" applyFill="1" applyBorder="1" applyAlignment="1">
      <alignment horizontal="center" vertical="center"/>
    </xf>
    <xf numFmtId="0" fontId="8" fillId="78" borderId="37" xfId="0" applyFont="1" applyFill="1" applyBorder="1" applyAlignment="1">
      <alignment horizontal="center" vertical="center"/>
    </xf>
    <xf numFmtId="0" fontId="8" fillId="0" borderId="29" xfId="0" applyFont="1" applyBorder="1" applyAlignment="1">
      <alignment horizontal="center" vertical="center"/>
    </xf>
    <xf numFmtId="0" fontId="8" fillId="81" borderId="47" xfId="0" applyFont="1" applyFill="1" applyBorder="1" applyAlignment="1">
      <alignment horizontal="center" vertical="center"/>
    </xf>
    <xf numFmtId="0" fontId="8" fillId="81" borderId="29" xfId="0" applyFont="1" applyFill="1" applyBorder="1" applyAlignment="1">
      <alignment horizontal="center" vertical="center"/>
    </xf>
    <xf numFmtId="0" fontId="8" fillId="78" borderId="56" xfId="0" applyFont="1" applyFill="1" applyBorder="1" applyAlignment="1">
      <alignment horizontal="center" vertical="center"/>
    </xf>
    <xf numFmtId="0" fontId="8" fillId="78" borderId="57" xfId="0" applyFont="1" applyFill="1" applyBorder="1" applyAlignment="1">
      <alignment horizontal="center" vertical="center"/>
    </xf>
    <xf numFmtId="0" fontId="8" fillId="78" borderId="47" xfId="0" applyFont="1" applyFill="1" applyBorder="1" applyAlignment="1">
      <alignment horizontal="center" vertical="center"/>
    </xf>
    <xf numFmtId="0" fontId="8" fillId="78" borderId="29" xfId="0" applyFont="1" applyFill="1" applyBorder="1" applyAlignment="1">
      <alignment horizontal="center" vertical="center"/>
    </xf>
    <xf numFmtId="0" fontId="8" fillId="81" borderId="34" xfId="0" applyFont="1" applyFill="1" applyBorder="1" applyAlignment="1">
      <alignment horizontal="center" vertical="center"/>
    </xf>
    <xf numFmtId="0" fontId="8" fillId="81" borderId="19" xfId="0" applyFont="1" applyFill="1" applyBorder="1" applyAlignment="1">
      <alignment horizontal="center" vertical="center"/>
    </xf>
    <xf numFmtId="0" fontId="8" fillId="78" borderId="23" xfId="0" applyFont="1" applyFill="1" applyBorder="1" applyAlignment="1">
      <alignment horizontal="center" vertical="center"/>
    </xf>
    <xf numFmtId="0" fontId="8" fillId="78" borderId="35" xfId="0" applyFont="1" applyFill="1" applyBorder="1" applyAlignment="1">
      <alignment horizontal="center" vertical="center"/>
    </xf>
    <xf numFmtId="0" fontId="8" fillId="78" borderId="55" xfId="0" applyFont="1" applyFill="1" applyBorder="1" applyAlignment="1">
      <alignment horizontal="center" vertical="center"/>
    </xf>
    <xf numFmtId="0" fontId="8" fillId="78" borderId="0" xfId="0" applyFont="1" applyFill="1" applyAlignment="1">
      <alignment horizontal="center" vertical="center"/>
    </xf>
    <xf numFmtId="0" fontId="8" fillId="78" borderId="50" xfId="0" applyFont="1" applyFill="1" applyBorder="1" applyAlignment="1">
      <alignment horizontal="center" vertical="center"/>
    </xf>
    <xf numFmtId="1" fontId="69" fillId="0" borderId="19" xfId="0" applyNumberFormat="1" applyFont="1" applyBorder="1" applyAlignment="1">
      <alignment horizontal="center" vertical="center" wrapText="1"/>
    </xf>
    <xf numFmtId="2" fontId="69" fillId="0" borderId="19" xfId="0" applyNumberFormat="1" applyFont="1" applyBorder="1" applyAlignment="1">
      <alignment horizontal="center" vertical="center" wrapText="1"/>
    </xf>
    <xf numFmtId="0" fontId="69" fillId="0" borderId="19" xfId="0" applyFont="1" applyBorder="1" applyAlignment="1">
      <alignment vertical="center" wrapText="1"/>
    </xf>
    <xf numFmtId="0" fontId="5" fillId="0" borderId="19" xfId="510" applyFont="1" applyBorder="1" applyAlignment="1">
      <alignment vertical="center" wrapText="1"/>
    </xf>
    <xf numFmtId="1" fontId="69" fillId="36" borderId="19" xfId="0" applyNumberFormat="1" applyFont="1" applyFill="1" applyBorder="1" applyAlignment="1">
      <alignment horizontal="center" vertical="center" wrapText="1"/>
    </xf>
    <xf numFmtId="165" fontId="69" fillId="36" borderId="19" xfId="0" applyNumberFormat="1" applyFont="1" applyFill="1" applyBorder="1" applyAlignment="1">
      <alignment horizontal="center" vertical="center" wrapText="1"/>
    </xf>
    <xf numFmtId="0" fontId="17" fillId="0" borderId="19" xfId="0" applyFont="1" applyBorder="1" applyAlignment="1">
      <alignment horizontal="center" vertical="center" wrapText="1"/>
    </xf>
    <xf numFmtId="0" fontId="69" fillId="0" borderId="19" xfId="0" applyFont="1" applyBorder="1" applyAlignment="1">
      <alignment horizontal="left" vertical="center" wrapText="1"/>
    </xf>
    <xf numFmtId="2" fontId="69" fillId="84" borderId="19" xfId="0" applyNumberFormat="1" applyFont="1" applyFill="1" applyBorder="1" applyAlignment="1">
      <alignment horizontal="center" vertical="center" wrapText="1"/>
    </xf>
    <xf numFmtId="49" fontId="105" fillId="92" borderId="19" xfId="0" applyNumberFormat="1" applyFont="1" applyFill="1" applyBorder="1" applyAlignment="1">
      <alignment horizontal="center"/>
    </xf>
    <xf numFmtId="0" fontId="105" fillId="92" borderId="19" xfId="0" applyFont="1" applyFill="1" applyBorder="1" applyAlignment="1">
      <alignment horizontal="center"/>
    </xf>
    <xf numFmtId="9" fontId="105" fillId="92" borderId="19" xfId="448" applyFont="1" applyFill="1" applyBorder="1" applyAlignment="1" applyProtection="1">
      <alignment horizontal="center"/>
    </xf>
    <xf numFmtId="10" fontId="107" fillId="92" borderId="19" xfId="448" applyNumberFormat="1" applyFont="1" applyFill="1" applyBorder="1" applyAlignment="1" applyProtection="1">
      <alignment horizontal="center"/>
    </xf>
    <xf numFmtId="1" fontId="107" fillId="92" borderId="19" xfId="448" applyNumberFormat="1" applyFont="1" applyFill="1" applyBorder="1" applyAlignment="1" applyProtection="1">
      <alignment horizontal="center"/>
    </xf>
    <xf numFmtId="0" fontId="105" fillId="92" borderId="19" xfId="448" applyNumberFormat="1" applyFont="1" applyFill="1" applyBorder="1" applyAlignment="1" applyProtection="1">
      <alignment horizontal="center"/>
    </xf>
    <xf numFmtId="0" fontId="15" fillId="92" borderId="19" xfId="0" applyFont="1" applyFill="1" applyBorder="1" applyAlignment="1">
      <alignment horizontal="center"/>
    </xf>
    <xf numFmtId="10" fontId="105" fillId="92" borderId="19" xfId="448" applyNumberFormat="1" applyFont="1" applyFill="1" applyBorder="1" applyAlignment="1" applyProtection="1">
      <alignment horizontal="center"/>
    </xf>
    <xf numFmtId="1" fontId="105" fillId="92" borderId="19" xfId="448" applyNumberFormat="1" applyFont="1" applyFill="1" applyBorder="1" applyAlignment="1" applyProtection="1">
      <alignment horizontal="center"/>
    </xf>
    <xf numFmtId="0" fontId="129" fillId="40" borderId="22" xfId="510" applyFont="1" applyFill="1" applyBorder="1" applyAlignment="1" applyProtection="1">
      <alignment horizontal="center" vertical="center"/>
      <protection locked="0"/>
    </xf>
    <xf numFmtId="0" fontId="152" fillId="79" borderId="19" xfId="0" applyFont="1" applyFill="1" applyBorder="1" applyAlignment="1">
      <alignment horizontal="center" vertical="center"/>
    </xf>
    <xf numFmtId="0" fontId="17" fillId="0" borderId="83" xfId="0" applyFont="1" applyBorder="1" applyAlignment="1">
      <alignment horizontal="center" vertical="center" wrapText="1"/>
    </xf>
    <xf numFmtId="0" fontId="17" fillId="0" borderId="55" xfId="0" applyFont="1" applyBorder="1" applyAlignment="1">
      <alignment horizontal="center" vertical="center" wrapText="1"/>
    </xf>
    <xf numFmtId="0" fontId="17" fillId="0" borderId="87" xfId="0" applyFont="1" applyBorder="1" applyAlignment="1">
      <alignment horizontal="center" vertical="center" wrapText="1"/>
    </xf>
    <xf numFmtId="0" fontId="124" fillId="0" borderId="54" xfId="0" applyFont="1" applyBorder="1" applyAlignment="1">
      <alignment horizontal="center" vertical="center" wrapText="1"/>
    </xf>
    <xf numFmtId="0" fontId="124" fillId="0" borderId="43" xfId="0" applyFont="1" applyBorder="1" applyAlignment="1">
      <alignment horizontal="center" vertical="center" wrapText="1"/>
    </xf>
    <xf numFmtId="0" fontId="124" fillId="0" borderId="34" xfId="0" applyFont="1" applyBorder="1" applyAlignment="1">
      <alignment horizontal="center" vertical="center" wrapText="1"/>
    </xf>
    <xf numFmtId="0" fontId="118" fillId="0" borderId="43" xfId="510" applyFont="1" applyBorder="1" applyAlignment="1">
      <alignment horizontal="center" vertical="center"/>
    </xf>
    <xf numFmtId="0" fontId="118" fillId="0" borderId="34" xfId="510" applyFont="1" applyBorder="1" applyAlignment="1">
      <alignment horizontal="center" vertical="center"/>
    </xf>
    <xf numFmtId="0" fontId="118" fillId="40" borderId="36" xfId="510" applyFont="1" applyFill="1" applyBorder="1" applyAlignment="1" applyProtection="1">
      <alignment horizontal="center" vertical="center" wrapText="1"/>
      <protection locked="0"/>
    </xf>
    <xf numFmtId="0" fontId="118" fillId="40" borderId="43" xfId="510" applyFont="1" applyFill="1" applyBorder="1" applyAlignment="1" applyProtection="1">
      <alignment horizontal="center" vertical="center" wrapText="1"/>
      <protection locked="0"/>
    </xf>
    <xf numFmtId="0" fontId="117" fillId="0" borderId="36" xfId="0" applyFont="1" applyBorder="1" applyAlignment="1">
      <alignment horizontal="center" vertical="center"/>
    </xf>
    <xf numFmtId="0" fontId="117" fillId="0" borderId="43" xfId="0" applyFont="1" applyBorder="1" applyAlignment="1">
      <alignment horizontal="center" vertical="center"/>
    </xf>
    <xf numFmtId="0" fontId="117" fillId="0" borderId="34" xfId="0" applyFont="1" applyBorder="1" applyAlignment="1">
      <alignment horizontal="center" vertical="center"/>
    </xf>
    <xf numFmtId="0" fontId="17" fillId="0" borderId="22"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58" xfId="0" applyFont="1" applyBorder="1" applyAlignment="1">
      <alignment horizontal="center" vertical="center"/>
    </xf>
    <xf numFmtId="0" fontId="123" fillId="0" borderId="50" xfId="0" applyFont="1" applyBorder="1" applyAlignment="1">
      <alignment horizontal="left" vertical="center" wrapText="1"/>
    </xf>
    <xf numFmtId="0" fontId="123" fillId="0" borderId="50" xfId="0" applyFont="1" applyBorder="1" applyAlignment="1">
      <alignment horizontal="left" vertical="center"/>
    </xf>
    <xf numFmtId="0" fontId="16" fillId="0" borderId="21" xfId="0" applyFont="1" applyBorder="1" applyAlignment="1">
      <alignment horizontal="center" vertical="center" wrapText="1"/>
    </xf>
    <xf numFmtId="0" fontId="19" fillId="0" borderId="55" xfId="0" applyFont="1" applyBorder="1"/>
    <xf numFmtId="0" fontId="16" fillId="0" borderId="56" xfId="0" applyFont="1" applyBorder="1" applyAlignment="1">
      <alignment horizontal="center" vertical="center" wrapText="1"/>
    </xf>
    <xf numFmtId="0" fontId="19" fillId="0" borderId="0" xfId="0" applyFont="1"/>
    <xf numFmtId="0" fontId="19" fillId="0" borderId="23" xfId="0" applyFont="1" applyBorder="1"/>
    <xf numFmtId="0" fontId="19" fillId="0" borderId="50" xfId="0" applyFont="1" applyBorder="1"/>
    <xf numFmtId="0" fontId="17" fillId="0" borderId="43" xfId="0" applyFont="1" applyBorder="1" applyAlignment="1">
      <alignment horizontal="center" vertical="center" wrapText="1"/>
    </xf>
    <xf numFmtId="0" fontId="17" fillId="0" borderId="34" xfId="0" applyFont="1" applyBorder="1" applyAlignment="1">
      <alignment horizontal="center" vertical="center"/>
    </xf>
    <xf numFmtId="0" fontId="4" fillId="0" borderId="61" xfId="0" applyFont="1" applyBorder="1" applyAlignment="1">
      <alignment horizontal="center" vertical="center" wrapText="1"/>
    </xf>
    <xf numFmtId="0" fontId="4" fillId="0" borderId="63"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59" xfId="0" applyFont="1" applyBorder="1" applyAlignment="1">
      <alignment horizontal="center" vertical="center"/>
    </xf>
    <xf numFmtId="0" fontId="17" fillId="0" borderId="48" xfId="0" applyFont="1" applyBorder="1" applyAlignment="1">
      <alignment horizontal="center" vertical="center"/>
    </xf>
    <xf numFmtId="0" fontId="17" fillId="0" borderId="61"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0" xfId="0" applyFont="1" applyAlignment="1">
      <alignment horizontal="left" vertical="center" wrapText="1"/>
    </xf>
    <xf numFmtId="0" fontId="118" fillId="0" borderId="19" xfId="510" applyFont="1" applyBorder="1" applyAlignment="1">
      <alignment horizontal="center" vertical="center" wrapText="1"/>
    </xf>
    <xf numFmtId="0" fontId="118" fillId="40" borderId="19" xfId="510" applyFont="1" applyFill="1" applyBorder="1" applyAlignment="1" applyProtection="1">
      <alignment horizontal="center" vertical="center" wrapText="1"/>
      <protection locked="0"/>
    </xf>
    <xf numFmtId="0" fontId="17" fillId="79" borderId="54" xfId="0" applyFont="1" applyFill="1" applyBorder="1" applyAlignment="1">
      <alignment horizontal="center" vertical="center"/>
    </xf>
    <xf numFmtId="0" fontId="17" fillId="79" borderId="43" xfId="0" applyFont="1" applyFill="1" applyBorder="1" applyAlignment="1">
      <alignment horizontal="center" vertical="center"/>
    </xf>
    <xf numFmtId="0" fontId="17" fillId="79" borderId="58" xfId="0" applyFont="1" applyFill="1" applyBorder="1" applyAlignment="1">
      <alignment horizontal="center" vertical="center"/>
    </xf>
    <xf numFmtId="0" fontId="130" fillId="80" borderId="21" xfId="510" applyFont="1" applyFill="1" applyBorder="1" applyAlignment="1">
      <alignment horizontal="center" vertical="center"/>
    </xf>
    <xf numFmtId="0" fontId="130" fillId="80" borderId="37" xfId="510" applyFont="1" applyFill="1" applyBorder="1" applyAlignment="1">
      <alignment horizontal="center" vertical="center"/>
    </xf>
    <xf numFmtId="0" fontId="130" fillId="80" borderId="56" xfId="510" applyFont="1" applyFill="1" applyBorder="1" applyAlignment="1">
      <alignment horizontal="center" vertical="center"/>
    </xf>
    <xf numFmtId="0" fontId="130" fillId="80" borderId="57" xfId="510" applyFont="1" applyFill="1" applyBorder="1" applyAlignment="1">
      <alignment horizontal="center" vertical="center"/>
    </xf>
    <xf numFmtId="0" fontId="130" fillId="80" borderId="50" xfId="510" applyFont="1" applyFill="1" applyBorder="1" applyAlignment="1">
      <alignment horizontal="center" vertical="center"/>
    </xf>
    <xf numFmtId="0" fontId="130" fillId="80" borderId="35" xfId="510" applyFont="1" applyFill="1" applyBorder="1" applyAlignment="1">
      <alignment horizontal="center" vertical="center"/>
    </xf>
    <xf numFmtId="0" fontId="128" fillId="0" borderId="36" xfId="0" applyFont="1" applyBorder="1" applyAlignment="1">
      <alignment horizontal="left" vertical="center" wrapText="1"/>
    </xf>
    <xf numFmtId="0" fontId="128" fillId="0" borderId="58" xfId="0" applyFont="1" applyBorder="1" applyAlignment="1">
      <alignment horizontal="left" vertical="center" wrapText="1"/>
    </xf>
    <xf numFmtId="0" fontId="17" fillId="0" borderId="36" xfId="0" applyFont="1" applyBorder="1" applyAlignment="1">
      <alignment horizontal="left" vertical="center" wrapText="1"/>
    </xf>
    <xf numFmtId="0" fontId="17" fillId="0" borderId="43" xfId="0" applyFont="1" applyBorder="1" applyAlignment="1">
      <alignment horizontal="left" vertical="center" wrapText="1"/>
    </xf>
    <xf numFmtId="0" fontId="17" fillId="0" borderId="58" xfId="0" applyFont="1" applyBorder="1" applyAlignment="1">
      <alignment horizontal="left" vertical="center" wrapText="1"/>
    </xf>
    <xf numFmtId="0" fontId="23" fillId="0" borderId="36" xfId="0" applyFont="1" applyBorder="1" applyAlignment="1">
      <alignment horizontal="left" vertical="center" wrapText="1"/>
    </xf>
    <xf numFmtId="0" fontId="23" fillId="0" borderId="58" xfId="0" applyFont="1" applyBorder="1" applyAlignment="1">
      <alignment horizontal="left" vertical="center" wrapText="1"/>
    </xf>
    <xf numFmtId="0" fontId="17" fillId="0" borderId="22" xfId="0" applyFont="1" applyBorder="1" applyAlignment="1">
      <alignment horizontal="center" vertical="center" textRotation="90" wrapText="1"/>
    </xf>
    <xf numFmtId="0" fontId="17" fillId="0" borderId="52" xfId="0" applyFont="1" applyBorder="1" applyAlignment="1">
      <alignment horizontal="center" vertical="center" textRotation="90" wrapText="1"/>
    </xf>
    <xf numFmtId="0" fontId="17" fillId="0" borderId="24" xfId="0" applyFont="1" applyBorder="1" applyAlignment="1">
      <alignment horizontal="center" vertical="center" textRotation="90" wrapText="1"/>
    </xf>
    <xf numFmtId="0" fontId="120" fillId="0" borderId="0" xfId="0" applyFont="1" applyAlignment="1">
      <alignment horizontal="center" vertical="top"/>
    </xf>
    <xf numFmtId="0" fontId="4" fillId="0" borderId="36" xfId="510" applyBorder="1" applyAlignment="1">
      <alignment vertical="center"/>
    </xf>
    <xf numFmtId="0" fontId="4" fillId="0" borderId="43" xfId="510" applyBorder="1" applyAlignment="1">
      <alignment vertical="center"/>
    </xf>
    <xf numFmtId="0" fontId="17" fillId="0" borderId="43" xfId="0" applyFont="1" applyBorder="1" applyAlignment="1">
      <alignment vertical="center"/>
    </xf>
    <xf numFmtId="0" fontId="17" fillId="0" borderId="34" xfId="0" applyFont="1" applyBorder="1" applyAlignment="1">
      <alignment vertical="center"/>
    </xf>
    <xf numFmtId="14" fontId="4" fillId="40" borderId="19" xfId="510" applyNumberFormat="1" applyFill="1" applyBorder="1" applyAlignment="1" applyProtection="1">
      <alignment horizontal="left" vertical="center"/>
      <protection locked="0"/>
    </xf>
    <xf numFmtId="14" fontId="118" fillId="40" borderId="19" xfId="510" applyNumberFormat="1" applyFont="1" applyFill="1" applyBorder="1" applyAlignment="1" applyProtection="1">
      <alignment horizontal="left" vertical="center"/>
      <protection locked="0"/>
    </xf>
    <xf numFmtId="49" fontId="4" fillId="40" borderId="36" xfId="510" applyNumberFormat="1" applyFill="1" applyBorder="1" applyAlignment="1" applyProtection="1">
      <alignment horizontal="left" vertical="center" wrapText="1"/>
      <protection locked="0"/>
    </xf>
    <xf numFmtId="49" fontId="4" fillId="40" borderId="43" xfId="510" applyNumberFormat="1" applyFill="1" applyBorder="1" applyAlignment="1" applyProtection="1">
      <alignment horizontal="left" vertical="center" wrapText="1"/>
      <protection locked="0"/>
    </xf>
    <xf numFmtId="49" fontId="4" fillId="40" borderId="34" xfId="510" applyNumberFormat="1" applyFill="1" applyBorder="1" applyAlignment="1" applyProtection="1">
      <alignment horizontal="left" vertical="center" wrapText="1"/>
      <protection locked="0"/>
    </xf>
    <xf numFmtId="14" fontId="4" fillId="40" borderId="19" xfId="510" applyNumberFormat="1" applyFill="1" applyBorder="1" applyAlignment="1" applyProtection="1">
      <alignment horizontal="center" vertical="center" wrapText="1"/>
      <protection locked="0"/>
    </xf>
    <xf numFmtId="14" fontId="4" fillId="0" borderId="19" xfId="510" applyNumberFormat="1" applyBorder="1" applyAlignment="1">
      <alignment horizontal="center" vertical="center"/>
    </xf>
    <xf numFmtId="0" fontId="4" fillId="0" borderId="19" xfId="510" applyBorder="1" applyAlignment="1">
      <alignment horizontal="center" vertical="center"/>
    </xf>
    <xf numFmtId="0" fontId="8" fillId="0" borderId="0" xfId="0" applyFont="1" applyAlignment="1">
      <alignment horizontal="justify" wrapText="1"/>
    </xf>
    <xf numFmtId="0" fontId="118" fillId="0" borderId="0" xfId="0" applyFont="1" applyAlignment="1">
      <alignment horizontal="justify"/>
    </xf>
    <xf numFmtId="0" fontId="4" fillId="40" borderId="59" xfId="510" applyFill="1" applyBorder="1" applyAlignment="1" applyProtection="1">
      <alignment horizontal="center" vertical="center"/>
      <protection locked="0"/>
    </xf>
    <xf numFmtId="0" fontId="4" fillId="40" borderId="60" xfId="510" applyFill="1" applyBorder="1" applyAlignment="1" applyProtection="1">
      <alignment horizontal="center" vertical="center"/>
      <protection locked="0"/>
    </xf>
    <xf numFmtId="0" fontId="4" fillId="40" borderId="48" xfId="510" applyFill="1" applyBorder="1" applyAlignment="1" applyProtection="1">
      <alignment horizontal="center" vertical="center"/>
      <protection locked="0"/>
    </xf>
    <xf numFmtId="0" fontId="4" fillId="40" borderId="61" xfId="510" applyFill="1" applyBorder="1" applyAlignment="1" applyProtection="1">
      <alignment horizontal="center" vertical="center"/>
      <protection locked="0"/>
    </xf>
    <xf numFmtId="0" fontId="4" fillId="40" borderId="62" xfId="510" applyFill="1" applyBorder="1" applyAlignment="1" applyProtection="1">
      <alignment horizontal="center" vertical="center"/>
      <protection locked="0"/>
    </xf>
    <xf numFmtId="0" fontId="4" fillId="40" borderId="63" xfId="510" applyFill="1" applyBorder="1" applyAlignment="1" applyProtection="1">
      <alignment horizontal="center" vertical="center"/>
      <protection locked="0"/>
    </xf>
    <xf numFmtId="0" fontId="117" fillId="0" borderId="37" xfId="0" applyFont="1" applyBorder="1" applyAlignment="1">
      <alignment horizontal="center" vertical="center"/>
    </xf>
    <xf numFmtId="0" fontId="117" fillId="0" borderId="57" xfId="0" applyFont="1" applyBorder="1" applyAlignment="1">
      <alignment horizontal="center" vertical="center"/>
    </xf>
    <xf numFmtId="0" fontId="117" fillId="0" borderId="35" xfId="0" applyFont="1" applyBorder="1" applyAlignment="1">
      <alignment horizontal="center" vertical="center"/>
    </xf>
    <xf numFmtId="0" fontId="4" fillId="0" borderId="0" xfId="0" applyFont="1" applyAlignment="1">
      <alignment horizontal="justify"/>
    </xf>
    <xf numFmtId="0" fontId="8" fillId="0" borderId="0" xfId="0" applyFont="1" applyAlignment="1">
      <alignment horizontal="left" vertical="center" wrapText="1"/>
    </xf>
    <xf numFmtId="0" fontId="4" fillId="79" borderId="43" xfId="510" applyFill="1" applyBorder="1" applyAlignment="1">
      <alignment horizontal="center" vertical="center"/>
    </xf>
    <xf numFmtId="0" fontId="4" fillId="79" borderId="34" xfId="510" applyFill="1" applyBorder="1" applyAlignment="1">
      <alignment horizontal="center" vertical="center"/>
    </xf>
    <xf numFmtId="0" fontId="117" fillId="79" borderId="21" xfId="0" applyFont="1" applyFill="1" applyBorder="1" applyAlignment="1">
      <alignment horizontal="left" vertical="center" wrapText="1"/>
    </xf>
    <xf numFmtId="0" fontId="117" fillId="79" borderId="55" xfId="0" applyFont="1" applyFill="1" applyBorder="1" applyAlignment="1">
      <alignment horizontal="left" vertical="center" wrapText="1"/>
    </xf>
    <xf numFmtId="0" fontId="117" fillId="79" borderId="87" xfId="0" applyFont="1" applyFill="1" applyBorder="1" applyAlignment="1">
      <alignment horizontal="left" vertical="center" wrapText="1"/>
    </xf>
    <xf numFmtId="0" fontId="117" fillId="79" borderId="23" xfId="0" applyFont="1" applyFill="1" applyBorder="1" applyAlignment="1">
      <alignment horizontal="center" vertical="center" wrapText="1"/>
    </xf>
    <xf numFmtId="0" fontId="117" fillId="79" borderId="50" xfId="0" applyFont="1" applyFill="1" applyBorder="1" applyAlignment="1">
      <alignment horizontal="center" vertical="center" wrapText="1"/>
    </xf>
    <xf numFmtId="0" fontId="117" fillId="79" borderId="88" xfId="0" applyFont="1" applyFill="1" applyBorder="1" applyAlignment="1">
      <alignment horizontal="center" vertical="center" wrapText="1"/>
    </xf>
    <xf numFmtId="0" fontId="117" fillId="79" borderId="54" xfId="0" applyFont="1" applyFill="1" applyBorder="1" applyAlignment="1">
      <alignment horizontal="center" vertical="center"/>
    </xf>
    <xf numFmtId="0" fontId="117" fillId="79" borderId="58" xfId="0" applyFont="1" applyFill="1" applyBorder="1" applyAlignment="1">
      <alignment horizontal="center" vertical="center"/>
    </xf>
    <xf numFmtId="0" fontId="18" fillId="0" borderId="36" xfId="0" applyFont="1" applyBorder="1" applyAlignment="1">
      <alignment horizontal="left" vertical="center" wrapText="1"/>
    </xf>
    <xf numFmtId="0" fontId="18" fillId="0" borderId="58" xfId="0" applyFont="1" applyBorder="1" applyAlignment="1">
      <alignment horizontal="left" vertical="center" wrapText="1"/>
    </xf>
    <xf numFmtId="0" fontId="117" fillId="0" borderId="19" xfId="0" applyFont="1" applyBorder="1" applyAlignment="1">
      <alignment horizontal="center" vertical="center"/>
    </xf>
    <xf numFmtId="0" fontId="117" fillId="0" borderId="22" xfId="0" applyFont="1" applyBorder="1" applyAlignment="1">
      <alignment horizontal="center" vertical="center"/>
    </xf>
    <xf numFmtId="0" fontId="117" fillId="0" borderId="52" xfId="0" applyFont="1" applyBorder="1" applyAlignment="1">
      <alignment horizontal="center" vertical="center"/>
    </xf>
    <xf numFmtId="0" fontId="117" fillId="0" borderId="24" xfId="0" applyFont="1" applyBorder="1" applyAlignment="1">
      <alignment horizontal="center" vertical="center"/>
    </xf>
    <xf numFmtId="0" fontId="17" fillId="0" borderId="21" xfId="0" applyFont="1" applyBorder="1" applyAlignment="1">
      <alignment horizontal="center" vertical="center" textRotation="90" wrapText="1"/>
    </xf>
    <xf numFmtId="0" fontId="17" fillId="0" borderId="56"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130" fillId="78" borderId="55" xfId="510" applyFont="1" applyFill="1" applyBorder="1" applyAlignment="1">
      <alignment horizontal="center" vertical="center"/>
    </xf>
    <xf numFmtId="0" fontId="130" fillId="78" borderId="57" xfId="510" applyFont="1" applyFill="1" applyBorder="1" applyAlignment="1">
      <alignment horizontal="center" vertical="center"/>
    </xf>
    <xf numFmtId="0" fontId="130" fillId="78" borderId="0" xfId="510" applyFont="1" applyFill="1" applyAlignment="1">
      <alignment horizontal="center" vertical="center"/>
    </xf>
    <xf numFmtId="0" fontId="130" fillId="78" borderId="50" xfId="510" applyFont="1" applyFill="1" applyBorder="1" applyAlignment="1">
      <alignment horizontal="center" vertical="center"/>
    </xf>
    <xf numFmtId="0" fontId="130" fillId="78" borderId="35" xfId="510" applyFont="1" applyFill="1" applyBorder="1" applyAlignment="1">
      <alignment horizontal="center" vertical="center"/>
    </xf>
    <xf numFmtId="0" fontId="124" fillId="79" borderId="53" xfId="0" applyFont="1" applyFill="1" applyBorder="1" applyAlignment="1">
      <alignment horizontal="center" vertical="center" wrapText="1"/>
    </xf>
    <xf numFmtId="0" fontId="124" fillId="79" borderId="27" xfId="0" applyFont="1" applyFill="1" applyBorder="1" applyAlignment="1">
      <alignment horizontal="center" vertical="center" wrapText="1"/>
    </xf>
    <xf numFmtId="0" fontId="124" fillId="79" borderId="27" xfId="0" applyFont="1" applyFill="1" applyBorder="1" applyAlignment="1">
      <alignment horizontal="center" vertical="center"/>
    </xf>
    <xf numFmtId="0" fontId="124" fillId="79" borderId="28" xfId="0" applyFont="1" applyFill="1" applyBorder="1" applyAlignment="1">
      <alignment horizontal="center" vertical="center"/>
    </xf>
    <xf numFmtId="0" fontId="124" fillId="79" borderId="19" xfId="0" applyFont="1" applyFill="1" applyBorder="1" applyAlignment="1">
      <alignment horizontal="center" vertical="center"/>
    </xf>
    <xf numFmtId="0" fontId="124" fillId="79" borderId="29" xfId="0" applyFont="1" applyFill="1" applyBorder="1" applyAlignment="1">
      <alignment horizontal="center" vertical="center"/>
    </xf>
    <xf numFmtId="0" fontId="124" fillId="79" borderId="47" xfId="0" applyFont="1" applyFill="1" applyBorder="1" applyAlignment="1">
      <alignment horizontal="center" vertical="center" wrapText="1"/>
    </xf>
    <xf numFmtId="0" fontId="124" fillId="79" borderId="19" xfId="0" applyFont="1" applyFill="1" applyBorder="1" applyAlignment="1">
      <alignment horizontal="center" vertical="center" wrapText="1"/>
    </xf>
    <xf numFmtId="0" fontId="4" fillId="40" borderId="51" xfId="510" applyFill="1" applyBorder="1" applyAlignment="1" applyProtection="1">
      <alignment horizontal="center" vertical="center"/>
      <protection locked="0"/>
    </xf>
    <xf numFmtId="0" fontId="4" fillId="40" borderId="30" xfId="510" applyFill="1" applyBorder="1" applyAlignment="1" applyProtection="1">
      <alignment horizontal="center" vertical="center"/>
      <protection locked="0"/>
    </xf>
    <xf numFmtId="0" fontId="124" fillId="0" borderId="30" xfId="0" applyFont="1" applyBorder="1" applyAlignment="1">
      <alignment horizontal="center" vertical="center"/>
    </xf>
    <xf numFmtId="0" fontId="124" fillId="0" borderId="31" xfId="0" applyFont="1" applyBorder="1" applyAlignment="1">
      <alignment horizontal="center" vertical="center"/>
    </xf>
    <xf numFmtId="0" fontId="69" fillId="0" borderId="69" xfId="0" applyFont="1" applyBorder="1" applyAlignment="1">
      <alignment horizontal="center" vertical="center" wrapText="1"/>
    </xf>
    <xf numFmtId="0" fontId="69" fillId="0" borderId="70" xfId="0" applyFont="1" applyBorder="1" applyAlignment="1">
      <alignment horizontal="center" vertical="center" wrapText="1"/>
    </xf>
    <xf numFmtId="0" fontId="69" fillId="0" borderId="44" xfId="0" applyFont="1" applyBorder="1" applyAlignment="1">
      <alignment horizontal="center" vertical="center" wrapText="1"/>
    </xf>
    <xf numFmtId="0" fontId="98" fillId="0" borderId="0" xfId="0" applyFont="1" applyAlignment="1">
      <alignment horizontal="left" wrapText="1"/>
    </xf>
    <xf numFmtId="0" fontId="0" fillId="0" borderId="0" xfId="0" applyAlignment="1">
      <alignment horizontal="left" wrapText="1"/>
    </xf>
    <xf numFmtId="0" fontId="147" fillId="0" borderId="53" xfId="0" applyFont="1" applyBorder="1" applyAlignment="1">
      <alignment horizontal="center" vertical="center" wrapText="1"/>
    </xf>
    <xf numFmtId="0" fontId="147" fillId="0" borderId="51" xfId="0" applyFont="1" applyBorder="1" applyAlignment="1">
      <alignment horizontal="center" vertical="center" wrapText="1"/>
    </xf>
    <xf numFmtId="0" fontId="147" fillId="0" borderId="27" xfId="0" applyFont="1" applyBorder="1" applyAlignment="1">
      <alignment horizontal="center" vertical="center" wrapText="1"/>
    </xf>
    <xf numFmtId="0" fontId="147" fillId="0" borderId="30" xfId="0" applyFont="1" applyBorder="1" applyAlignment="1">
      <alignment horizontal="center" vertical="center" wrapText="1"/>
    </xf>
    <xf numFmtId="0" fontId="147" fillId="0" borderId="28" xfId="0" applyFont="1" applyBorder="1" applyAlignment="1">
      <alignment horizontal="center" vertical="center" wrapText="1"/>
    </xf>
    <xf numFmtId="0" fontId="8" fillId="87" borderId="39" xfId="0" applyFont="1" applyFill="1" applyBorder="1" applyAlignment="1" applyProtection="1">
      <alignment horizontal="left" vertical="center" wrapText="1"/>
      <protection locked="0"/>
    </xf>
    <xf numFmtId="0" fontId="8" fillId="87" borderId="40" xfId="0" applyFont="1" applyFill="1" applyBorder="1" applyAlignment="1" applyProtection="1">
      <alignment horizontal="left" vertical="center" wrapText="1"/>
      <protection locked="0"/>
    </xf>
    <xf numFmtId="0" fontId="8" fillId="87" borderId="38" xfId="0" applyFont="1" applyFill="1" applyBorder="1" applyAlignment="1" applyProtection="1">
      <alignment horizontal="left" vertical="center" wrapText="1"/>
      <protection locked="0"/>
    </xf>
    <xf numFmtId="0" fontId="8" fillId="32" borderId="39" xfId="0" applyFont="1" applyFill="1" applyBorder="1" applyAlignment="1" applyProtection="1">
      <alignment horizontal="left" vertical="center" wrapText="1"/>
      <protection locked="0"/>
    </xf>
    <xf numFmtId="0" fontId="9" fillId="41" borderId="20" xfId="0" applyFont="1" applyFill="1" applyBorder="1" applyAlignment="1" applyProtection="1">
      <alignment horizontal="left" vertical="center" wrapText="1"/>
      <protection locked="0"/>
    </xf>
    <xf numFmtId="0" fontId="12" fillId="30" borderId="36" xfId="510" applyFont="1" applyFill="1" applyBorder="1" applyAlignment="1">
      <alignment horizontal="left" vertical="center"/>
    </xf>
    <xf numFmtId="0" fontId="12" fillId="30" borderId="43" xfId="510" applyFont="1" applyFill="1" applyBorder="1" applyAlignment="1">
      <alignment horizontal="left" vertical="center"/>
    </xf>
    <xf numFmtId="0" fontId="12" fillId="30" borderId="34" xfId="510" applyFont="1" applyFill="1" applyBorder="1" applyAlignment="1">
      <alignment horizontal="left" vertical="center"/>
    </xf>
    <xf numFmtId="0" fontId="8" fillId="81" borderId="69" xfId="0" applyFont="1" applyFill="1" applyBorder="1" applyAlignment="1">
      <alignment horizontal="center" vertical="center"/>
    </xf>
    <xf numFmtId="0" fontId="8" fillId="81" borderId="44" xfId="0" applyFont="1" applyFill="1" applyBorder="1" applyAlignment="1">
      <alignment horizontal="center" vertical="center"/>
    </xf>
    <xf numFmtId="0" fontId="8" fillId="81" borderId="70" xfId="0" applyFont="1" applyFill="1" applyBorder="1" applyAlignment="1">
      <alignment horizontal="center" vertical="center"/>
    </xf>
    <xf numFmtId="0" fontId="8" fillId="0" borderId="39" xfId="0" applyFont="1" applyBorder="1" applyAlignment="1">
      <alignment horizontal="center" vertical="center" wrapText="1"/>
    </xf>
    <xf numFmtId="0" fontId="8" fillId="0" borderId="40" xfId="0" applyFont="1" applyBorder="1" applyAlignment="1">
      <alignment horizontal="center" vertical="center"/>
    </xf>
    <xf numFmtId="0" fontId="8" fillId="0" borderId="38" xfId="0" applyFont="1" applyBorder="1" applyAlignment="1">
      <alignment horizontal="center" vertical="center"/>
    </xf>
    <xf numFmtId="0" fontId="8" fillId="79" borderId="39" xfId="0" applyFont="1" applyFill="1" applyBorder="1" applyAlignment="1">
      <alignment horizontal="center" vertical="center" wrapText="1"/>
    </xf>
    <xf numFmtId="0" fontId="8" fillId="79" borderId="40" xfId="0" applyFont="1" applyFill="1" applyBorder="1" applyAlignment="1">
      <alignment horizontal="center" vertical="center" wrapText="1"/>
    </xf>
    <xf numFmtId="0" fontId="8" fillId="79" borderId="38" xfId="0" applyFont="1" applyFill="1" applyBorder="1" applyAlignment="1">
      <alignment horizontal="center" vertical="center" wrapText="1"/>
    </xf>
    <xf numFmtId="0" fontId="8" fillId="79" borderId="39" xfId="0" applyFont="1" applyFill="1" applyBorder="1" applyAlignment="1">
      <alignment horizontal="left" vertical="center" wrapText="1"/>
    </xf>
    <xf numFmtId="0" fontId="8" fillId="79" borderId="40" xfId="0" applyFont="1" applyFill="1" applyBorder="1" applyAlignment="1">
      <alignment horizontal="left" vertical="center" wrapText="1"/>
    </xf>
    <xf numFmtId="0" fontId="8" fillId="79" borderId="38" xfId="0" applyFont="1" applyFill="1" applyBorder="1" applyAlignment="1">
      <alignment horizontal="left" vertical="center" wrapText="1"/>
    </xf>
    <xf numFmtId="0" fontId="8" fillId="79" borderId="26" xfId="0" applyFont="1" applyFill="1" applyBorder="1" applyAlignment="1">
      <alignment horizontal="left" vertical="center" wrapText="1"/>
    </xf>
    <xf numFmtId="0" fontId="8" fillId="79" borderId="64" xfId="0" applyFont="1" applyFill="1" applyBorder="1" applyAlignment="1">
      <alignment horizontal="left" vertical="center" wrapText="1"/>
    </xf>
    <xf numFmtId="0" fontId="8" fillId="79" borderId="65" xfId="0" applyFont="1" applyFill="1" applyBorder="1" applyAlignment="1">
      <alignment horizontal="left" vertical="center" wrapText="1"/>
    </xf>
    <xf numFmtId="0" fontId="8" fillId="79" borderId="66" xfId="0" applyFont="1" applyFill="1" applyBorder="1" applyAlignment="1">
      <alignment horizontal="left" vertical="center" wrapText="1"/>
    </xf>
    <xf numFmtId="0" fontId="8" fillId="79" borderId="25" xfId="0" applyFont="1" applyFill="1" applyBorder="1" applyAlignment="1">
      <alignment horizontal="left" vertical="center" wrapText="1"/>
    </xf>
    <xf numFmtId="0" fontId="8" fillId="79" borderId="67" xfId="0" applyFont="1" applyFill="1" applyBorder="1" applyAlignment="1">
      <alignment horizontal="left" vertical="center" wrapText="1"/>
    </xf>
    <xf numFmtId="0" fontId="139" fillId="0" borderId="39" xfId="0" applyFont="1" applyBorder="1" applyAlignment="1">
      <alignment horizontal="center" vertical="center"/>
    </xf>
    <xf numFmtId="0" fontId="139" fillId="0" borderId="40" xfId="0" applyFont="1" applyBorder="1" applyAlignment="1">
      <alignment horizontal="center" vertical="center"/>
    </xf>
    <xf numFmtId="0" fontId="139" fillId="0" borderId="38" xfId="0" applyFont="1" applyBorder="1" applyAlignment="1">
      <alignment horizontal="center" vertical="center"/>
    </xf>
    <xf numFmtId="0" fontId="8" fillId="0" borderId="26"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39" xfId="0" applyFont="1" applyBorder="1" applyAlignment="1">
      <alignment horizontal="center" vertical="center"/>
    </xf>
    <xf numFmtId="0" fontId="33" fillId="33" borderId="38" xfId="0" applyFont="1" applyFill="1" applyBorder="1" applyAlignment="1">
      <alignment horizontal="center" vertical="center" wrapText="1"/>
    </xf>
    <xf numFmtId="0" fontId="33" fillId="33" borderId="20" xfId="0" applyFont="1" applyFill="1" applyBorder="1" applyAlignment="1">
      <alignment horizontal="center" vertical="center" wrapText="1"/>
    </xf>
    <xf numFmtId="0" fontId="136" fillId="0" borderId="64" xfId="0" applyFont="1" applyBorder="1" applyAlignment="1">
      <alignment horizontal="center" vertical="center" wrapText="1"/>
    </xf>
    <xf numFmtId="0" fontId="136" fillId="0" borderId="65" xfId="0" applyFont="1" applyBorder="1" applyAlignment="1">
      <alignment horizontal="center" vertical="center" wrapText="1"/>
    </xf>
    <xf numFmtId="0" fontId="136" fillId="0" borderId="66" xfId="0" applyFont="1" applyBorder="1" applyAlignment="1">
      <alignment horizontal="center" vertical="center" wrapText="1"/>
    </xf>
    <xf numFmtId="0" fontId="136" fillId="0" borderId="25" xfId="0" applyFont="1" applyBorder="1" applyAlignment="1">
      <alignment horizontal="center" vertical="center" wrapText="1"/>
    </xf>
    <xf numFmtId="0" fontId="136" fillId="0" borderId="67" xfId="0" applyFont="1" applyBorder="1" applyAlignment="1">
      <alignment horizontal="center" vertical="center" wrapText="1"/>
    </xf>
    <xf numFmtId="0" fontId="136" fillId="0" borderId="39" xfId="0" applyFont="1" applyBorder="1" applyAlignment="1">
      <alignment horizontal="center" vertical="center"/>
    </xf>
    <xf numFmtId="0" fontId="136" fillId="0" borderId="40" xfId="0" applyFont="1" applyBorder="1" applyAlignment="1">
      <alignment horizontal="center" vertical="center"/>
    </xf>
    <xf numFmtId="0" fontId="136" fillId="0" borderId="38" xfId="0" applyFont="1" applyBorder="1" applyAlignment="1">
      <alignment horizontal="center" vertical="center"/>
    </xf>
    <xf numFmtId="0" fontId="139" fillId="0" borderId="20" xfId="0" applyFont="1" applyBorder="1" applyAlignment="1">
      <alignment horizontal="center" vertical="center"/>
    </xf>
    <xf numFmtId="0" fontId="8" fillId="79" borderId="40" xfId="0" applyFont="1" applyFill="1" applyBorder="1" applyAlignment="1">
      <alignment horizontal="center" vertical="center"/>
    </xf>
    <xf numFmtId="0" fontId="8" fillId="79" borderId="38" xfId="0" applyFont="1" applyFill="1" applyBorder="1" applyAlignment="1">
      <alignment horizontal="center" vertical="center"/>
    </xf>
    <xf numFmtId="9" fontId="8" fillId="0" borderId="39" xfId="0" applyNumberFormat="1"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left" vertical="center" wrapText="1"/>
    </xf>
    <xf numFmtId="0" fontId="8" fillId="0" borderId="64" xfId="0" applyFont="1" applyBorder="1" applyAlignment="1">
      <alignment horizontal="left" vertical="center" wrapText="1"/>
    </xf>
    <xf numFmtId="0" fontId="8" fillId="0" borderId="65" xfId="0" applyFont="1" applyBorder="1" applyAlignment="1">
      <alignment horizontal="left" vertical="center" wrapText="1"/>
    </xf>
    <xf numFmtId="0" fontId="8" fillId="0" borderId="66" xfId="0" applyFont="1" applyBorder="1" applyAlignment="1">
      <alignment horizontal="left" vertical="center" wrapText="1"/>
    </xf>
    <xf numFmtId="0" fontId="8" fillId="0" borderId="25" xfId="0" applyFont="1" applyBorder="1" applyAlignment="1">
      <alignment horizontal="left" vertical="center" wrapText="1"/>
    </xf>
    <xf numFmtId="0" fontId="8" fillId="0" borderId="67" xfId="0" applyFont="1" applyBorder="1" applyAlignment="1">
      <alignment horizontal="left" vertical="center" wrapText="1"/>
    </xf>
    <xf numFmtId="0" fontId="8" fillId="0" borderId="39" xfId="0" applyFont="1" applyBorder="1" applyAlignment="1">
      <alignment horizontal="left" vertical="center" wrapText="1"/>
    </xf>
    <xf numFmtId="0" fontId="8" fillId="0" borderId="40" xfId="0" applyFont="1" applyBorder="1" applyAlignment="1">
      <alignment horizontal="left" vertical="center" wrapText="1"/>
    </xf>
    <xf numFmtId="0" fontId="8" fillId="0" borderId="38" xfId="0" applyFont="1" applyBorder="1" applyAlignment="1">
      <alignment horizontal="left" vertical="center" wrapText="1"/>
    </xf>
    <xf numFmtId="0" fontId="8" fillId="0" borderId="20" xfId="0" applyFont="1" applyBorder="1" applyAlignment="1">
      <alignment horizontal="left" vertical="center" wrapText="1"/>
    </xf>
    <xf numFmtId="0" fontId="136" fillId="0" borderId="40" xfId="0" applyFont="1" applyBorder="1" applyAlignment="1">
      <alignment horizontal="left" vertical="center" wrapText="1"/>
    </xf>
    <xf numFmtId="0" fontId="136" fillId="0" borderId="38" xfId="0" applyFont="1" applyBorder="1" applyAlignment="1">
      <alignment horizontal="left" vertical="center" wrapText="1"/>
    </xf>
    <xf numFmtId="0" fontId="136" fillId="0" borderId="64" xfId="0" applyFont="1" applyBorder="1" applyAlignment="1">
      <alignment horizontal="left" vertical="center" wrapText="1"/>
    </xf>
    <xf numFmtId="0" fontId="136" fillId="0" borderId="65" xfId="0" applyFont="1" applyBorder="1" applyAlignment="1">
      <alignment horizontal="left" vertical="center" wrapText="1"/>
    </xf>
    <xf numFmtId="0" fontId="136" fillId="0" borderId="66" xfId="0" applyFont="1" applyBorder="1" applyAlignment="1">
      <alignment horizontal="left" vertical="center" wrapText="1"/>
    </xf>
    <xf numFmtId="0" fontId="136" fillId="0" borderId="25" xfId="0" applyFont="1" applyBorder="1" applyAlignment="1">
      <alignment horizontal="left" vertical="center" wrapText="1"/>
    </xf>
    <xf numFmtId="0" fontId="136" fillId="0" borderId="67" xfId="0" applyFont="1" applyBorder="1" applyAlignment="1">
      <alignment horizontal="left" vertical="center" wrapText="1"/>
    </xf>
    <xf numFmtId="0" fontId="8" fillId="0" borderId="20" xfId="0" applyFont="1" applyBorder="1" applyAlignment="1">
      <alignment horizontal="center" vertical="center"/>
    </xf>
    <xf numFmtId="9" fontId="8" fillId="0" borderId="20" xfId="0" applyNumberFormat="1" applyFont="1" applyBorder="1" applyAlignment="1">
      <alignment horizontal="center" vertical="center"/>
    </xf>
    <xf numFmtId="0" fontId="140" fillId="92" borderId="26" xfId="0" applyFont="1" applyFill="1" applyBorder="1" applyAlignment="1">
      <alignment horizontal="left" vertical="center" wrapText="1"/>
    </xf>
    <xf numFmtId="0" fontId="140" fillId="92" borderId="64" xfId="0" applyFont="1" applyFill="1" applyBorder="1" applyAlignment="1">
      <alignment horizontal="left" vertical="center" wrapText="1"/>
    </xf>
    <xf numFmtId="0" fontId="140" fillId="92" borderId="65" xfId="0" applyFont="1" applyFill="1" applyBorder="1" applyAlignment="1">
      <alignment horizontal="left" vertical="center" wrapText="1"/>
    </xf>
    <xf numFmtId="0" fontId="140" fillId="92" borderId="66" xfId="0" applyFont="1" applyFill="1" applyBorder="1" applyAlignment="1">
      <alignment horizontal="left" vertical="center" wrapText="1"/>
    </xf>
    <xf numFmtId="0" fontId="140" fillId="92" borderId="25" xfId="0" applyFont="1" applyFill="1" applyBorder="1" applyAlignment="1">
      <alignment horizontal="left" vertical="center" wrapText="1"/>
    </xf>
    <xf numFmtId="0" fontId="140" fillId="92" borderId="67" xfId="0" applyFont="1" applyFill="1" applyBorder="1" applyAlignment="1">
      <alignment horizontal="left" vertical="center" wrapText="1"/>
    </xf>
    <xf numFmtId="0" fontId="140" fillId="92" borderId="20" xfId="0" applyFont="1" applyFill="1" applyBorder="1" applyAlignment="1">
      <alignment horizontal="left" vertical="center" wrapText="1"/>
    </xf>
    <xf numFmtId="0" fontId="8" fillId="79" borderId="20" xfId="0" applyFont="1" applyFill="1" applyBorder="1" applyAlignment="1">
      <alignment horizontal="center" vertical="center" wrapText="1"/>
    </xf>
    <xf numFmtId="0" fontId="8" fillId="79" borderId="20" xfId="0" applyFont="1" applyFill="1" applyBorder="1" applyAlignment="1">
      <alignment horizontal="center" vertical="center"/>
    </xf>
    <xf numFmtId="0" fontId="8" fillId="79" borderId="20" xfId="0" applyFont="1" applyFill="1" applyBorder="1" applyAlignment="1">
      <alignment horizontal="left" vertical="center" wrapText="1"/>
    </xf>
    <xf numFmtId="1" fontId="9" fillId="30" borderId="39" xfId="0" applyNumberFormat="1" applyFont="1" applyFill="1" applyBorder="1" applyAlignment="1">
      <alignment horizontal="center" vertical="center" wrapText="1"/>
    </xf>
    <xf numFmtId="0" fontId="8" fillId="0" borderId="40" xfId="0" applyFont="1" applyBorder="1"/>
    <xf numFmtId="0" fontId="8" fillId="0" borderId="38" xfId="0" applyFont="1" applyBorder="1"/>
    <xf numFmtId="0" fontId="33" fillId="33" borderId="39" xfId="0" applyFont="1" applyFill="1" applyBorder="1" applyAlignment="1">
      <alignment horizontal="center" vertical="center" wrapText="1"/>
    </xf>
    <xf numFmtId="0" fontId="8" fillId="0" borderId="26" xfId="0" quotePrefix="1" applyFont="1" applyBorder="1" applyAlignment="1">
      <alignment horizontal="left" vertical="center" wrapText="1"/>
    </xf>
    <xf numFmtId="0" fontId="103" fillId="0" borderId="39" xfId="0" applyFont="1" applyBorder="1" applyAlignment="1">
      <alignment horizontal="left" vertical="center" wrapText="1"/>
    </xf>
    <xf numFmtId="0" fontId="8" fillId="0" borderId="40" xfId="0" applyFont="1" applyBorder="1" applyAlignment="1">
      <alignment horizontal="center" vertical="center" wrapText="1"/>
    </xf>
    <xf numFmtId="0" fontId="8" fillId="0" borderId="38" xfId="0" applyFont="1" applyBorder="1" applyAlignment="1">
      <alignment horizontal="center" vertical="center" wrapText="1"/>
    </xf>
    <xf numFmtId="0" fontId="12" fillId="0" borderId="18" xfId="0" applyFont="1" applyBorder="1" applyAlignment="1">
      <alignment horizontal="center" vertical="center"/>
    </xf>
    <xf numFmtId="0" fontId="12" fillId="0" borderId="68" xfId="0" applyFont="1" applyBorder="1" applyAlignment="1">
      <alignment horizontal="center" vertical="center"/>
    </xf>
    <xf numFmtId="0" fontId="12" fillId="0" borderId="26" xfId="0" applyFont="1" applyBorder="1" applyAlignment="1">
      <alignment horizontal="center" vertical="center" wrapText="1"/>
    </xf>
    <xf numFmtId="0" fontId="12" fillId="0" borderId="6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39"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64"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67" xfId="0" applyFont="1" applyBorder="1" applyAlignment="1">
      <alignment horizontal="center" vertical="center" wrapText="1"/>
    </xf>
    <xf numFmtId="0" fontId="136" fillId="0" borderId="39" xfId="0" applyFont="1" applyBorder="1" applyAlignment="1">
      <alignment horizontal="center" vertical="center" wrapText="1"/>
    </xf>
    <xf numFmtId="0" fontId="136" fillId="0" borderId="40" xfId="0" applyFont="1" applyBorder="1" applyAlignment="1">
      <alignment horizontal="center" vertical="center" wrapText="1"/>
    </xf>
    <xf numFmtId="0" fontId="136" fillId="0" borderId="38" xfId="0" applyFont="1" applyBorder="1" applyAlignment="1">
      <alignment horizontal="center" vertical="center" wrapText="1"/>
    </xf>
    <xf numFmtId="0" fontId="12" fillId="0" borderId="38" xfId="0" applyFont="1" applyBorder="1" applyAlignment="1">
      <alignment horizontal="center" vertical="center" wrapText="1"/>
    </xf>
    <xf numFmtId="49" fontId="8" fillId="0" borderId="39" xfId="0" applyNumberFormat="1" applyFont="1" applyBorder="1" applyAlignment="1">
      <alignment horizontal="center" vertical="center" wrapText="1"/>
    </xf>
    <xf numFmtId="49" fontId="8" fillId="0" borderId="40" xfId="0" applyNumberFormat="1" applyFont="1" applyBorder="1" applyAlignment="1">
      <alignment horizontal="center" vertical="center" wrapText="1"/>
    </xf>
    <xf numFmtId="49" fontId="8" fillId="0" borderId="38" xfId="0" applyNumberFormat="1" applyFont="1" applyBorder="1" applyAlignment="1">
      <alignment horizontal="center" vertical="center" wrapText="1"/>
    </xf>
    <xf numFmtId="0" fontId="142" fillId="92" borderId="38" xfId="0" applyFont="1" applyFill="1" applyBorder="1" applyAlignment="1">
      <alignment horizontal="center" vertical="center" wrapText="1"/>
    </xf>
    <xf numFmtId="0" fontId="142" fillId="92" borderId="20" xfId="0" applyFont="1" applyFill="1" applyBorder="1" applyAlignment="1">
      <alignment horizontal="center" vertical="center" wrapText="1"/>
    </xf>
    <xf numFmtId="14" fontId="8" fillId="0" borderId="39" xfId="0" quotePrefix="1" applyNumberFormat="1" applyFont="1" applyBorder="1" applyAlignment="1">
      <alignment horizontal="center" vertical="center" wrapText="1"/>
    </xf>
    <xf numFmtId="0" fontId="103" fillId="0" borderId="40" xfId="0" applyFont="1" applyBorder="1" applyAlignment="1">
      <alignment horizontal="left" vertical="center" wrapText="1"/>
    </xf>
    <xf numFmtId="0" fontId="103" fillId="0" borderId="38" xfId="0" applyFont="1" applyBorder="1" applyAlignment="1">
      <alignment horizontal="left" vertical="center" wrapText="1"/>
    </xf>
    <xf numFmtId="0" fontId="9" fillId="0" borderId="26" xfId="0" applyFont="1" applyBorder="1" applyAlignment="1">
      <alignment horizontal="left" vertical="center" wrapText="1"/>
    </xf>
    <xf numFmtId="0" fontId="9" fillId="0" borderId="64" xfId="0" applyFont="1" applyBorder="1" applyAlignment="1">
      <alignment horizontal="left" vertical="center" wrapText="1"/>
    </xf>
    <xf numFmtId="0" fontId="9" fillId="0" borderId="65" xfId="0" applyFont="1" applyBorder="1" applyAlignment="1">
      <alignment horizontal="left" vertical="center" wrapText="1"/>
    </xf>
    <xf numFmtId="0" fontId="9" fillId="0" borderId="66" xfId="0" applyFont="1" applyBorder="1" applyAlignment="1">
      <alignment horizontal="left" vertical="center" wrapText="1"/>
    </xf>
    <xf numFmtId="0" fontId="9" fillId="0" borderId="25" xfId="0" applyFont="1" applyBorder="1" applyAlignment="1">
      <alignment horizontal="left" vertical="center" wrapText="1"/>
    </xf>
    <xf numFmtId="0" fontId="9" fillId="0" borderId="67" xfId="0" applyFont="1" applyBorder="1" applyAlignment="1">
      <alignment horizontal="left" vertical="center" wrapText="1"/>
    </xf>
    <xf numFmtId="0" fontId="8" fillId="0" borderId="20" xfId="0" applyFont="1" applyBorder="1" applyAlignment="1">
      <alignment vertical="center" wrapText="1"/>
    </xf>
    <xf numFmtId="0" fontId="12" fillId="30" borderId="36" xfId="510" applyFont="1" applyFill="1" applyBorder="1" applyAlignment="1">
      <alignment vertical="center"/>
    </xf>
    <xf numFmtId="0" fontId="133" fillId="0" borderId="34" xfId="0" applyFont="1" applyBorder="1" applyAlignment="1">
      <alignment vertical="center"/>
    </xf>
    <xf numFmtId="0" fontId="12" fillId="0" borderId="20" xfId="0" applyFont="1" applyBorder="1" applyAlignment="1">
      <alignment horizontal="center" vertical="center" wrapText="1"/>
    </xf>
    <xf numFmtId="0" fontId="133" fillId="0" borderId="20" xfId="0" applyFont="1" applyBorder="1" applyAlignment="1">
      <alignment horizontal="center" vertical="center" wrapText="1"/>
    </xf>
    <xf numFmtId="0" fontId="18" fillId="0" borderId="20" xfId="0" applyFont="1" applyBorder="1" applyAlignment="1">
      <alignment horizontal="center" vertical="center" wrapText="1"/>
    </xf>
    <xf numFmtId="0" fontId="135" fillId="0" borderId="39" xfId="0" applyFont="1" applyBorder="1" applyAlignment="1">
      <alignment horizontal="center" vertical="center" wrapText="1"/>
    </xf>
    <xf numFmtId="0" fontId="135" fillId="0" borderId="38" xfId="0" applyFont="1" applyBorder="1" applyAlignment="1">
      <alignment horizontal="center" vertical="center" wrapText="1"/>
    </xf>
    <xf numFmtId="9" fontId="8" fillId="0" borderId="39" xfId="0" applyNumberFormat="1" applyFont="1" applyBorder="1" applyAlignment="1">
      <alignment horizontal="center" vertical="center" wrapText="1"/>
    </xf>
    <xf numFmtId="0" fontId="135" fillId="0" borderId="20" xfId="0" applyFont="1" applyBorder="1" applyAlignment="1">
      <alignment horizontal="center" vertical="center" wrapText="1"/>
    </xf>
    <xf numFmtId="0" fontId="136" fillId="0" borderId="20" xfId="0" applyFont="1" applyBorder="1" applyAlignment="1">
      <alignment horizontal="center" vertical="center"/>
    </xf>
    <xf numFmtId="0" fontId="140" fillId="92" borderId="20" xfId="0" applyFont="1" applyFill="1" applyBorder="1" applyAlignment="1">
      <alignment horizontal="center" vertical="center"/>
    </xf>
    <xf numFmtId="0" fontId="140" fillId="92" borderId="26" xfId="0" applyFont="1" applyFill="1" applyBorder="1" applyAlignment="1">
      <alignment horizontal="center" vertical="center" wrapText="1"/>
    </xf>
    <xf numFmtId="0" fontId="140" fillId="92" borderId="64" xfId="0" applyFont="1" applyFill="1" applyBorder="1" applyAlignment="1">
      <alignment horizontal="center" vertical="center" wrapText="1"/>
    </xf>
    <xf numFmtId="0" fontId="140" fillId="92" borderId="65" xfId="0" applyFont="1" applyFill="1" applyBorder="1" applyAlignment="1">
      <alignment horizontal="center" vertical="center" wrapText="1"/>
    </xf>
    <xf numFmtId="0" fontId="140" fillId="92" borderId="66" xfId="0" applyFont="1" applyFill="1" applyBorder="1" applyAlignment="1">
      <alignment horizontal="center" vertical="center" wrapText="1"/>
    </xf>
    <xf numFmtId="0" fontId="140" fillId="92" borderId="25" xfId="0" applyFont="1" applyFill="1" applyBorder="1" applyAlignment="1">
      <alignment horizontal="center" vertical="center" wrapText="1"/>
    </xf>
    <xf numFmtId="0" fontId="140" fillId="92" borderId="67" xfId="0" applyFont="1" applyFill="1" applyBorder="1" applyAlignment="1">
      <alignment horizontal="center" vertical="center" wrapText="1"/>
    </xf>
    <xf numFmtId="0" fontId="140" fillId="92" borderId="39" xfId="0" applyFont="1" applyFill="1" applyBorder="1" applyAlignment="1">
      <alignment horizontal="left" vertical="center" wrapText="1"/>
    </xf>
    <xf numFmtId="0" fontId="140" fillId="92" borderId="40" xfId="0" applyFont="1" applyFill="1" applyBorder="1" applyAlignment="1">
      <alignment horizontal="left" vertical="center" wrapText="1"/>
    </xf>
    <xf numFmtId="0" fontId="140" fillId="92" borderId="38" xfId="0" applyFont="1" applyFill="1" applyBorder="1" applyAlignment="1">
      <alignment horizontal="left" vertical="center" wrapText="1"/>
    </xf>
    <xf numFmtId="0" fontId="141" fillId="93" borderId="20" xfId="0" applyFont="1" applyFill="1" applyBorder="1" applyAlignment="1">
      <alignment horizontal="left" vertical="center" wrapText="1"/>
    </xf>
    <xf numFmtId="9" fontId="140" fillId="92" borderId="20" xfId="0" applyNumberFormat="1" applyFont="1" applyFill="1" applyBorder="1" applyAlignment="1">
      <alignment horizontal="center" vertical="center"/>
    </xf>
    <xf numFmtId="0" fontId="8" fillId="0" borderId="36" xfId="0" applyFont="1" applyBorder="1" applyAlignment="1">
      <alignment horizontal="left"/>
    </xf>
    <xf numFmtId="0" fontId="8" fillId="0" borderId="43" xfId="0" applyFont="1" applyBorder="1" applyAlignment="1">
      <alignment horizontal="left"/>
    </xf>
    <xf numFmtId="0" fontId="15" fillId="0" borderId="0" xfId="0" applyFont="1" applyAlignment="1">
      <alignment horizontal="justify" vertical="center" wrapText="1"/>
    </xf>
    <xf numFmtId="0" fontId="15" fillId="0" borderId="0" xfId="0" applyFont="1" applyAlignment="1">
      <alignment horizontal="justify" vertical="top" wrapText="1"/>
    </xf>
    <xf numFmtId="164" fontId="8" fillId="88" borderId="26" xfId="418" applyNumberFormat="1" applyFont="1" applyFill="1" applyBorder="1" applyAlignment="1" applyProtection="1">
      <alignment horizontal="left" vertical="center"/>
    </xf>
    <xf numFmtId="164" fontId="8" fillId="88" borderId="64" xfId="418" applyNumberFormat="1" applyFont="1" applyFill="1" applyBorder="1" applyAlignment="1" applyProtection="1">
      <alignment horizontal="left" vertical="center"/>
    </xf>
    <xf numFmtId="164" fontId="8" fillId="88" borderId="65" xfId="418" applyNumberFormat="1" applyFont="1" applyFill="1" applyBorder="1" applyAlignment="1" applyProtection="1">
      <alignment horizontal="left" vertical="center"/>
    </xf>
    <xf numFmtId="164" fontId="8" fillId="88" borderId="66" xfId="418" applyNumberFormat="1" applyFont="1" applyFill="1" applyBorder="1" applyAlignment="1" applyProtection="1">
      <alignment horizontal="left" vertical="center"/>
    </xf>
    <xf numFmtId="164" fontId="8" fillId="0" borderId="20" xfId="418" applyNumberFormat="1" applyFont="1" applyFill="1" applyBorder="1" applyAlignment="1" applyProtection="1">
      <alignment horizontal="center" vertical="center"/>
    </xf>
    <xf numFmtId="164" fontId="8" fillId="0" borderId="39" xfId="418" applyNumberFormat="1" applyFont="1" applyFill="1" applyBorder="1" applyAlignment="1" applyProtection="1">
      <alignment horizontal="center" wrapText="1"/>
    </xf>
    <xf numFmtId="164" fontId="8" fillId="0" borderId="40" xfId="418" applyNumberFormat="1" applyFont="1" applyFill="1" applyBorder="1" applyAlignment="1" applyProtection="1">
      <alignment horizontal="center" wrapText="1"/>
    </xf>
    <xf numFmtId="164" fontId="8" fillId="90" borderId="18" xfId="418" applyNumberFormat="1" applyFont="1" applyFill="1" applyBorder="1" applyAlignment="1" applyProtection="1">
      <alignment horizontal="left" vertical="center" wrapText="1"/>
    </xf>
    <xf numFmtId="164" fontId="8" fillId="90" borderId="86" xfId="418" applyNumberFormat="1" applyFont="1" applyFill="1" applyBorder="1" applyAlignment="1" applyProtection="1">
      <alignment horizontal="left" vertical="center" wrapText="1"/>
    </xf>
    <xf numFmtId="164" fontId="8" fillId="90" borderId="68" xfId="418" applyNumberFormat="1" applyFont="1" applyFill="1" applyBorder="1" applyAlignment="1" applyProtection="1">
      <alignment horizontal="left" vertical="center" wrapText="1"/>
    </xf>
    <xf numFmtId="164" fontId="8" fillId="91" borderId="26" xfId="418" applyNumberFormat="1" applyFont="1" applyFill="1" applyBorder="1" applyAlignment="1" applyProtection="1">
      <alignment horizontal="left" vertical="center"/>
    </xf>
    <xf numFmtId="164" fontId="8" fillId="91" borderId="64" xfId="418" applyNumberFormat="1" applyFont="1" applyFill="1" applyBorder="1" applyAlignment="1" applyProtection="1">
      <alignment horizontal="left" vertical="center"/>
    </xf>
    <xf numFmtId="164" fontId="8" fillId="91" borderId="25" xfId="418" applyNumberFormat="1" applyFont="1" applyFill="1" applyBorder="1" applyAlignment="1" applyProtection="1">
      <alignment horizontal="left" vertical="center"/>
    </xf>
    <xf numFmtId="164" fontId="8" fillId="91" borderId="67" xfId="418" applyNumberFormat="1" applyFont="1" applyFill="1" applyBorder="1" applyAlignment="1" applyProtection="1">
      <alignment horizontal="left" vertical="center"/>
    </xf>
    <xf numFmtId="0" fontId="8" fillId="0" borderId="20" xfId="0" applyFont="1" applyBorder="1" applyAlignment="1">
      <alignment horizontal="center" vertical="center" wrapText="1"/>
    </xf>
    <xf numFmtId="0" fontId="140" fillId="92" borderId="20" xfId="0" applyFont="1" applyFill="1" applyBorder="1" applyAlignment="1">
      <alignment horizontal="center" vertical="center" wrapText="1"/>
    </xf>
    <xf numFmtId="0" fontId="140" fillId="92" borderId="38" xfId="0" applyFont="1" applyFill="1" applyBorder="1" applyAlignment="1">
      <alignment horizontal="center" vertical="center" wrapText="1"/>
    </xf>
    <xf numFmtId="0" fontId="8" fillId="0" borderId="85"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40" xfId="0" applyFont="1" applyBorder="1" applyAlignment="1">
      <alignment horizontal="left" vertical="center"/>
    </xf>
    <xf numFmtId="0" fontId="72" fillId="0" borderId="19" xfId="0" applyFont="1" applyBorder="1" applyAlignment="1">
      <alignment horizontal="center" vertical="center" wrapText="1"/>
    </xf>
    <xf numFmtId="0" fontId="72" fillId="0" borderId="36" xfId="0" applyFont="1" applyBorder="1" applyAlignment="1">
      <alignment horizontal="center" vertical="center" wrapText="1"/>
    </xf>
    <xf numFmtId="0" fontId="72" fillId="0" borderId="0" xfId="0" applyFont="1" applyAlignment="1">
      <alignment horizontal="center" vertical="center" wrapText="1"/>
    </xf>
    <xf numFmtId="0" fontId="102" fillId="0" borderId="0" xfId="0" applyFont="1" applyAlignment="1">
      <alignment horizontal="left" vertical="center"/>
    </xf>
    <xf numFmtId="0" fontId="10" fillId="0" borderId="0" xfId="510" applyFont="1" applyAlignment="1">
      <alignment horizontal="left" wrapText="1"/>
    </xf>
    <xf numFmtId="0" fontId="8" fillId="0" borderId="24" xfId="0" applyFont="1" applyBorder="1" applyAlignment="1">
      <alignment horizontal="center" vertical="center" wrapText="1"/>
    </xf>
    <xf numFmtId="0" fontId="8" fillId="0" borderId="63" xfId="0" applyFont="1" applyBorder="1" applyAlignment="1">
      <alignment horizontal="center" vertical="center" wrapText="1"/>
    </xf>
    <xf numFmtId="0" fontId="23" fillId="28" borderId="21" xfId="0" applyFont="1" applyFill="1" applyBorder="1" applyAlignment="1">
      <alignment horizontal="center" vertical="center"/>
    </xf>
    <xf numFmtId="0" fontId="23" fillId="28" borderId="55" xfId="0" applyFont="1" applyFill="1" applyBorder="1" applyAlignment="1">
      <alignment horizontal="center" vertical="center"/>
    </xf>
    <xf numFmtId="0" fontId="23" fillId="28" borderId="37" xfId="0" applyFont="1" applyFill="1" applyBorder="1" applyAlignment="1">
      <alignment horizontal="center" vertical="center"/>
    </xf>
    <xf numFmtId="0" fontId="23" fillId="28" borderId="23" xfId="0" applyFont="1" applyFill="1" applyBorder="1" applyAlignment="1">
      <alignment horizontal="center" vertical="center"/>
    </xf>
    <xf numFmtId="0" fontId="23" fillId="28" borderId="50" xfId="0" applyFont="1" applyFill="1" applyBorder="1" applyAlignment="1">
      <alignment horizontal="center" vertical="center"/>
    </xf>
    <xf numFmtId="0" fontId="23" fillId="28" borderId="35" xfId="0" applyFont="1" applyFill="1" applyBorder="1" applyAlignment="1">
      <alignment horizontal="center" vertical="center"/>
    </xf>
    <xf numFmtId="0" fontId="9" fillId="0" borderId="46"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3" xfId="0" applyFont="1" applyBorder="1" applyAlignment="1">
      <alignment horizontal="center" vertical="center" wrapText="1"/>
    </xf>
    <xf numFmtId="0" fontId="8" fillId="0" borderId="71" xfId="510" applyFont="1" applyBorder="1" applyAlignment="1">
      <alignment horizontal="center" vertical="center"/>
    </xf>
    <xf numFmtId="0" fontId="8" fillId="0" borderId="72" xfId="510" applyFont="1" applyBorder="1" applyAlignment="1">
      <alignment horizontal="center" vertical="center"/>
    </xf>
    <xf numFmtId="0" fontId="8" fillId="0" borderId="24" xfId="510" applyFont="1" applyBorder="1" applyAlignment="1">
      <alignment horizontal="center" vertical="center"/>
    </xf>
    <xf numFmtId="0" fontId="23" fillId="29" borderId="23" xfId="0" applyFont="1" applyFill="1" applyBorder="1" applyAlignment="1">
      <alignment horizontal="center" vertical="center"/>
    </xf>
    <xf numFmtId="0" fontId="23" fillId="29" borderId="50" xfId="0" applyFont="1" applyFill="1" applyBorder="1" applyAlignment="1">
      <alignment horizontal="center" vertical="center"/>
    </xf>
    <xf numFmtId="0" fontId="23" fillId="29" borderId="35" xfId="0" applyFont="1" applyFill="1" applyBorder="1" applyAlignment="1">
      <alignment horizontal="center" vertical="center"/>
    </xf>
    <xf numFmtId="0" fontId="8" fillId="0" borderId="48" xfId="0" applyFont="1" applyBorder="1" applyAlignment="1">
      <alignment horizontal="center" vertical="center" wrapText="1"/>
    </xf>
    <xf numFmtId="0" fontId="0" fillId="0" borderId="24" xfId="0" applyBorder="1" applyAlignment="1">
      <alignment horizontal="center" vertical="center" wrapText="1"/>
    </xf>
    <xf numFmtId="0" fontId="0" fillId="0" borderId="63" xfId="0" applyBorder="1" applyAlignment="1">
      <alignment horizontal="center" vertical="center" wrapText="1"/>
    </xf>
    <xf numFmtId="0" fontId="8" fillId="0" borderId="61" xfId="510" applyFont="1" applyBorder="1" applyAlignment="1">
      <alignment horizontal="center" textRotation="90" wrapText="1"/>
    </xf>
    <xf numFmtId="0" fontId="8" fillId="0" borderId="63" xfId="510" applyFont="1" applyBorder="1" applyAlignment="1">
      <alignment horizontal="center" textRotation="90" wrapText="1"/>
    </xf>
    <xf numFmtId="0" fontId="9" fillId="0" borderId="29" xfId="0" applyFont="1" applyBorder="1" applyAlignment="1">
      <alignment horizontal="center" textRotation="90" wrapText="1"/>
    </xf>
    <xf numFmtId="0" fontId="15" fillId="0" borderId="19" xfId="0" applyFont="1" applyBorder="1" applyAlignment="1">
      <alignment horizontal="left" vertical="center" wrapText="1"/>
    </xf>
    <xf numFmtId="0" fontId="0" fillId="0" borderId="19" xfId="0" applyBorder="1" applyAlignment="1">
      <alignment horizontal="left" vertical="center" wrapText="1"/>
    </xf>
    <xf numFmtId="0" fontId="8" fillId="0" borderId="41" xfId="0" applyFont="1" applyBorder="1" applyAlignment="1">
      <alignment horizontal="center" textRotation="90" wrapText="1"/>
    </xf>
    <xf numFmtId="0" fontId="8" fillId="0" borderId="47" xfId="0" applyFont="1" applyBorder="1" applyAlignment="1">
      <alignment horizontal="center" textRotation="90" wrapText="1"/>
    </xf>
    <xf numFmtId="0" fontId="8" fillId="0" borderId="19" xfId="510" applyFont="1" applyBorder="1" applyAlignment="1">
      <alignment horizontal="center" textRotation="90" wrapText="1"/>
    </xf>
    <xf numFmtId="0" fontId="8" fillId="0" borderId="43" xfId="0" applyFont="1" applyBorder="1" applyAlignment="1">
      <alignment horizontal="center" textRotation="90" wrapText="1"/>
    </xf>
    <xf numFmtId="0" fontId="8" fillId="0" borderId="29" xfId="510" applyFont="1" applyBorder="1" applyAlignment="1">
      <alignment horizontal="center" textRotation="90" wrapText="1"/>
    </xf>
    <xf numFmtId="0" fontId="8" fillId="35" borderId="19" xfId="0" applyFont="1" applyFill="1" applyBorder="1" applyAlignment="1">
      <alignment horizontal="center" textRotation="90" wrapText="1"/>
    </xf>
    <xf numFmtId="0" fontId="0" fillId="0" borderId="19" xfId="0" applyBorder="1" applyAlignment="1">
      <alignment horizontal="center" textRotation="90" wrapText="1"/>
    </xf>
    <xf numFmtId="0" fontId="9" fillId="27" borderId="47" xfId="510" applyFont="1" applyFill="1" applyBorder="1" applyAlignment="1">
      <alignment horizontal="center" textRotation="90" wrapText="1"/>
    </xf>
    <xf numFmtId="0" fontId="9" fillId="27" borderId="29" xfId="0" applyFont="1" applyFill="1" applyBorder="1" applyAlignment="1">
      <alignment horizontal="center" textRotation="90" wrapText="1"/>
    </xf>
    <xf numFmtId="0" fontId="15" fillId="0" borderId="19" xfId="0" quotePrefix="1" applyFont="1" applyBorder="1" applyAlignment="1">
      <alignment horizontal="center" vertical="center" wrapText="1"/>
    </xf>
    <xf numFmtId="0" fontId="15" fillId="0" borderId="19" xfId="0" applyFont="1" applyBorder="1" applyAlignment="1">
      <alignment horizontal="center" vertical="center"/>
    </xf>
    <xf numFmtId="0" fontId="15" fillId="31" borderId="19" xfId="0" applyFont="1" applyFill="1" applyBorder="1" applyAlignment="1">
      <alignment horizontal="center" vertical="center" wrapText="1"/>
    </xf>
    <xf numFmtId="1" fontId="26" fillId="36" borderId="19" xfId="0" applyNumberFormat="1" applyFont="1" applyFill="1" applyBorder="1" applyAlignment="1">
      <alignment horizontal="center" vertical="center"/>
    </xf>
    <xf numFmtId="0" fontId="15" fillId="28" borderId="19" xfId="0" applyFont="1" applyFill="1" applyBorder="1" applyAlignment="1">
      <alignment horizontal="center" vertical="center" wrapText="1"/>
    </xf>
    <xf numFmtId="0" fontId="29" fillId="42" borderId="36" xfId="0" applyFont="1" applyFill="1" applyBorder="1" applyAlignment="1">
      <alignment horizontal="left" vertical="center"/>
    </xf>
    <xf numFmtId="0" fontId="29" fillId="42" borderId="43" xfId="0" applyFont="1" applyFill="1" applyBorder="1" applyAlignment="1">
      <alignment horizontal="left" vertical="center"/>
    </xf>
    <xf numFmtId="0" fontId="29" fillId="42" borderId="34" xfId="0" applyFont="1" applyFill="1" applyBorder="1" applyAlignment="1">
      <alignment horizontal="left" vertical="center"/>
    </xf>
    <xf numFmtId="14" fontId="29" fillId="30" borderId="36" xfId="0" applyNumberFormat="1" applyFont="1" applyFill="1" applyBorder="1" applyAlignment="1">
      <alignment horizontal="center" vertical="center"/>
    </xf>
    <xf numFmtId="14" fontId="29" fillId="30" borderId="43" xfId="0" applyNumberFormat="1" applyFont="1" applyFill="1" applyBorder="1" applyAlignment="1">
      <alignment horizontal="center" vertical="center"/>
    </xf>
    <xf numFmtId="14" fontId="29" fillId="30" borderId="34" xfId="0" applyNumberFormat="1" applyFont="1" applyFill="1" applyBorder="1" applyAlignment="1">
      <alignment horizontal="center" vertical="center"/>
    </xf>
    <xf numFmtId="0" fontId="75" fillId="0" borderId="19" xfId="0" applyFont="1" applyBorder="1" applyAlignment="1">
      <alignment horizontal="center" textRotation="90" wrapText="1"/>
    </xf>
    <xf numFmtId="0" fontId="76" fillId="0" borderId="19" xfId="0" applyFont="1" applyBorder="1" applyAlignment="1">
      <alignment horizontal="center" textRotation="90" wrapText="1"/>
    </xf>
    <xf numFmtId="0" fontId="26" fillId="0" borderId="19" xfId="0" applyFont="1" applyBorder="1" applyAlignment="1">
      <alignment horizontal="center" vertical="center"/>
    </xf>
    <xf numFmtId="0" fontId="43" fillId="0" borderId="0" xfId="0" applyFont="1" applyAlignment="1">
      <alignment horizontal="left" wrapText="1"/>
    </xf>
    <xf numFmtId="0" fontId="26" fillId="0" borderId="50" xfId="0" applyFont="1" applyBorder="1" applyAlignment="1">
      <alignment horizontal="left"/>
    </xf>
    <xf numFmtId="0" fontId="8" fillId="0" borderId="53" xfId="0" applyFont="1"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164" fontId="18" fillId="31" borderId="21" xfId="419" applyNumberFormat="1" applyFont="1" applyFill="1" applyBorder="1" applyAlignment="1" applyProtection="1">
      <alignment horizontal="center" vertical="center" wrapText="1"/>
    </xf>
    <xf numFmtId="164" fontId="18" fillId="31" borderId="55" xfId="419" applyNumberFormat="1" applyFont="1" applyFill="1" applyBorder="1" applyAlignment="1" applyProtection="1">
      <alignment horizontal="center" vertical="center" wrapText="1"/>
    </xf>
    <xf numFmtId="0" fontId="23" fillId="31" borderId="55" xfId="0" applyFont="1" applyFill="1" applyBorder="1" applyAlignment="1">
      <alignment horizontal="center" vertical="center"/>
    </xf>
    <xf numFmtId="0" fontId="23" fillId="31" borderId="37" xfId="0" applyFont="1" applyFill="1" applyBorder="1" applyAlignment="1">
      <alignment horizontal="center" vertical="center"/>
    </xf>
    <xf numFmtId="0" fontId="23" fillId="29" borderId="21" xfId="0" applyFont="1" applyFill="1" applyBorder="1" applyAlignment="1">
      <alignment horizontal="center" vertical="center"/>
    </xf>
    <xf numFmtId="0" fontId="19" fillId="29" borderId="55" xfId="0" applyFont="1" applyFill="1" applyBorder="1" applyAlignment="1">
      <alignment horizontal="center" vertical="center"/>
    </xf>
    <xf numFmtId="0" fontId="19" fillId="29" borderId="37" xfId="0" applyFont="1" applyFill="1" applyBorder="1" applyAlignment="1">
      <alignment horizontal="center" vertical="center"/>
    </xf>
    <xf numFmtId="0" fontId="23" fillId="31" borderId="23" xfId="0" applyFont="1" applyFill="1" applyBorder="1" applyAlignment="1">
      <alignment horizontal="center" vertical="center" wrapText="1"/>
    </xf>
    <xf numFmtId="0" fontId="23" fillId="31" borderId="50" xfId="0" applyFont="1" applyFill="1" applyBorder="1" applyAlignment="1">
      <alignment horizontal="center" vertical="center" wrapText="1"/>
    </xf>
    <xf numFmtId="0" fontId="23" fillId="31" borderId="35" xfId="0" applyFont="1" applyFill="1" applyBorder="1" applyAlignment="1">
      <alignment horizontal="center" vertical="center" wrapText="1"/>
    </xf>
    <xf numFmtId="0" fontId="23" fillId="33" borderId="21" xfId="0" applyFont="1" applyFill="1" applyBorder="1" applyAlignment="1">
      <alignment horizontal="center" vertical="center"/>
    </xf>
    <xf numFmtId="0" fontId="23" fillId="33" borderId="55" xfId="0" applyFont="1" applyFill="1" applyBorder="1" applyAlignment="1">
      <alignment horizontal="center" vertical="center"/>
    </xf>
    <xf numFmtId="0" fontId="23" fillId="33" borderId="37" xfId="0" applyFont="1" applyFill="1" applyBorder="1" applyAlignment="1">
      <alignment horizontal="center" vertical="center"/>
    </xf>
    <xf numFmtId="0" fontId="25" fillId="33" borderId="23" xfId="0" applyFont="1" applyFill="1" applyBorder="1" applyAlignment="1">
      <alignment horizontal="center" vertical="center" wrapText="1"/>
    </xf>
    <xf numFmtId="0" fontId="25" fillId="33" borderId="50" xfId="0" applyFont="1" applyFill="1" applyBorder="1" applyAlignment="1">
      <alignment horizontal="center" vertical="center" wrapText="1"/>
    </xf>
    <xf numFmtId="0" fontId="25" fillId="33" borderId="35" xfId="0" applyFont="1" applyFill="1" applyBorder="1" applyAlignment="1">
      <alignment horizontal="center" vertical="center" wrapText="1"/>
    </xf>
    <xf numFmtId="0" fontId="8" fillId="0" borderId="73" xfId="510" applyFont="1" applyBorder="1" applyAlignment="1">
      <alignment horizontal="center" vertical="center"/>
    </xf>
    <xf numFmtId="0" fontId="26" fillId="0" borderId="19" xfId="0" applyFont="1" applyBorder="1" applyAlignment="1">
      <alignment horizontal="left" vertical="center"/>
    </xf>
    <xf numFmtId="0" fontId="15" fillId="29" borderId="19" xfId="0" applyFont="1" applyFill="1" applyBorder="1" applyAlignment="1">
      <alignment horizontal="center" vertical="center" wrapText="1"/>
    </xf>
    <xf numFmtId="0" fontId="58" fillId="43" borderId="19" xfId="0" applyFont="1" applyFill="1" applyBorder="1" applyAlignment="1">
      <alignment horizontal="center"/>
    </xf>
    <xf numFmtId="0" fontId="9" fillId="27" borderId="19" xfId="0" applyFont="1" applyFill="1" applyBorder="1" applyAlignment="1">
      <alignment horizontal="center" textRotation="90" wrapText="1"/>
    </xf>
    <xf numFmtId="0" fontId="8" fillId="0" borderId="46"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10" fontId="8" fillId="0" borderId="69" xfId="419" applyNumberFormat="1" applyFont="1" applyFill="1" applyBorder="1" applyAlignment="1" applyProtection="1">
      <alignment horizontal="center" vertical="center"/>
    </xf>
    <xf numFmtId="10" fontId="8" fillId="0" borderId="44" xfId="419" applyNumberFormat="1" applyFont="1" applyFill="1" applyBorder="1" applyAlignment="1" applyProtection="1">
      <alignment horizontal="center" vertical="center"/>
    </xf>
    <xf numFmtId="10" fontId="8" fillId="0" borderId="70" xfId="419" applyNumberFormat="1" applyFont="1" applyFill="1" applyBorder="1" applyAlignment="1" applyProtection="1">
      <alignment horizontal="center" vertical="center"/>
    </xf>
    <xf numFmtId="0" fontId="8" fillId="0" borderId="22" xfId="510" applyFont="1" applyBorder="1" applyAlignment="1">
      <alignment horizontal="center" textRotation="90" wrapText="1"/>
    </xf>
    <xf numFmtId="0" fontId="8" fillId="0" borderId="24" xfId="510" applyFont="1" applyBorder="1" applyAlignment="1">
      <alignment horizontal="center" textRotation="90" wrapText="1"/>
    </xf>
    <xf numFmtId="164" fontId="9" fillId="0" borderId="46" xfId="419" applyNumberFormat="1" applyFont="1" applyFill="1" applyBorder="1" applyAlignment="1" applyProtection="1">
      <alignment vertical="center"/>
    </xf>
    <xf numFmtId="164" fontId="9" fillId="0" borderId="32" xfId="419" applyNumberFormat="1" applyFont="1" applyFill="1" applyBorder="1" applyAlignment="1" applyProtection="1">
      <alignment vertical="center"/>
    </xf>
    <xf numFmtId="164" fontId="9" fillId="0" borderId="33" xfId="419" applyNumberFormat="1" applyFont="1" applyFill="1" applyBorder="1" applyAlignment="1" applyProtection="1">
      <alignment vertical="center"/>
    </xf>
    <xf numFmtId="0" fontId="15" fillId="0" borderId="19" xfId="0" applyFont="1" applyBorder="1" applyAlignment="1">
      <alignment horizontal="left" vertical="center"/>
    </xf>
    <xf numFmtId="0" fontId="0" fillId="0" borderId="19" xfId="0" applyBorder="1" applyAlignment="1">
      <alignment horizontal="left" vertical="center"/>
    </xf>
    <xf numFmtId="0" fontId="8" fillId="0" borderId="47" xfId="510" applyFont="1" applyBorder="1" applyAlignment="1">
      <alignment horizontal="center" textRotation="90" wrapText="1"/>
    </xf>
    <xf numFmtId="0" fontId="8" fillId="0" borderId="69" xfId="0" applyFont="1" applyBorder="1" applyAlignment="1">
      <alignment horizontal="center" vertical="center"/>
    </xf>
    <xf numFmtId="0" fontId="8" fillId="0" borderId="44" xfId="0" applyFont="1" applyBorder="1" applyAlignment="1">
      <alignment horizontal="center" vertical="center"/>
    </xf>
    <xf numFmtId="0" fontId="8" fillId="0" borderId="70" xfId="0" applyFont="1" applyBorder="1" applyAlignment="1">
      <alignment horizontal="center" vertical="center"/>
    </xf>
    <xf numFmtId="0" fontId="99" fillId="0" borderId="0" xfId="510" applyFont="1" applyAlignment="1">
      <alignment horizontal="left" wrapText="1"/>
    </xf>
    <xf numFmtId="0" fontId="9" fillId="36" borderId="39" xfId="0" applyFont="1" applyFill="1" applyBorder="1" applyAlignment="1">
      <alignment horizontal="center" wrapText="1"/>
    </xf>
    <xf numFmtId="0" fontId="9" fillId="36" borderId="40" xfId="0" applyFont="1" applyFill="1" applyBorder="1" applyAlignment="1">
      <alignment horizontal="center" wrapText="1"/>
    </xf>
    <xf numFmtId="0" fontId="9" fillId="36" borderId="38" xfId="0" applyFont="1" applyFill="1" applyBorder="1" applyAlignment="1">
      <alignment horizontal="center" wrapText="1"/>
    </xf>
    <xf numFmtId="0" fontId="8" fillId="36" borderId="39" xfId="0" applyFont="1" applyFill="1" applyBorder="1" applyAlignment="1">
      <alignment horizontal="center" vertical="center" wrapText="1"/>
    </xf>
    <xf numFmtId="0" fontId="8" fillId="36" borderId="40" xfId="0" applyFont="1" applyFill="1" applyBorder="1" applyAlignment="1">
      <alignment horizontal="center" vertical="center" wrapText="1"/>
    </xf>
    <xf numFmtId="0" fontId="8" fillId="36" borderId="38" xfId="0" applyFont="1" applyFill="1" applyBorder="1" applyAlignment="1">
      <alignment horizontal="center" vertical="center" wrapText="1"/>
    </xf>
    <xf numFmtId="0" fontId="9" fillId="27" borderId="46" xfId="0" applyFont="1" applyFill="1" applyBorder="1" applyAlignment="1">
      <alignment horizontal="center" vertical="center" wrapText="1"/>
    </xf>
    <xf numFmtId="0" fontId="9" fillId="27" borderId="32" xfId="0" applyFont="1" applyFill="1" applyBorder="1" applyAlignment="1">
      <alignment horizontal="center" vertical="center" wrapText="1"/>
    </xf>
    <xf numFmtId="0" fontId="9" fillId="27" borderId="33" xfId="0" applyFont="1" applyFill="1" applyBorder="1" applyAlignment="1">
      <alignment horizontal="center" vertical="center" wrapText="1"/>
    </xf>
    <xf numFmtId="0" fontId="33" fillId="35" borderId="19" xfId="0" applyFont="1" applyFill="1" applyBorder="1" applyAlignment="1">
      <alignment horizontal="center" vertical="center" wrapText="1"/>
    </xf>
    <xf numFmtId="0" fontId="71" fillId="33" borderId="21" xfId="0" applyFont="1" applyFill="1" applyBorder="1" applyAlignment="1">
      <alignment horizontal="center" vertical="center"/>
    </xf>
    <xf numFmtId="0" fontId="71" fillId="33" borderId="37" xfId="0" applyFont="1" applyFill="1" applyBorder="1" applyAlignment="1">
      <alignment horizontal="center" vertical="center"/>
    </xf>
    <xf numFmtId="0" fontId="2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9" xfId="0" applyBorder="1" applyProtection="1">
      <protection locked="0"/>
    </xf>
    <xf numFmtId="0" fontId="29" fillId="0" borderId="21" xfId="0" applyFont="1" applyBorder="1" applyAlignment="1">
      <alignment horizontal="center" vertical="center" wrapText="1"/>
    </xf>
    <xf numFmtId="0" fontId="14" fillId="0" borderId="23" xfId="0" applyFont="1" applyBorder="1" applyAlignment="1">
      <alignment horizontal="center" vertical="center"/>
    </xf>
    <xf numFmtId="0" fontId="29" fillId="0" borderId="21" xfId="0" applyFont="1" applyBorder="1" applyAlignment="1">
      <alignment horizontal="center" vertical="center"/>
    </xf>
    <xf numFmtId="0" fontId="29" fillId="0" borderId="19" xfId="0" applyFont="1" applyBorder="1" applyAlignment="1">
      <alignment horizontal="left" vertical="center" wrapText="1"/>
    </xf>
    <xf numFmtId="0" fontId="14" fillId="0" borderId="19" xfId="0" applyFont="1" applyBorder="1" applyAlignment="1">
      <alignment horizontal="left" vertical="center"/>
    </xf>
    <xf numFmtId="0" fontId="0" fillId="0" borderId="19" xfId="0" applyBorder="1"/>
    <xf numFmtId="0" fontId="26" fillId="0" borderId="21" xfId="0" applyFont="1" applyBorder="1" applyAlignment="1">
      <alignment horizontal="center" vertical="center" wrapText="1"/>
    </xf>
    <xf numFmtId="0" fontId="26" fillId="0" borderId="23" xfId="0" applyFont="1" applyBorder="1" applyAlignment="1">
      <alignment horizontal="center" vertical="center"/>
    </xf>
    <xf numFmtId="0" fontId="26" fillId="0" borderId="22" xfId="0" applyFont="1" applyBorder="1" applyAlignment="1">
      <alignment horizontal="center" vertical="center" wrapText="1"/>
    </xf>
    <xf numFmtId="0" fontId="70" fillId="0" borderId="24" xfId="0" applyFont="1" applyBorder="1" applyAlignment="1">
      <alignment horizontal="center" vertical="center"/>
    </xf>
    <xf numFmtId="0" fontId="116" fillId="33" borderId="19" xfId="0" applyFont="1" applyFill="1" applyBorder="1" applyAlignment="1">
      <alignment horizontal="right" vertical="center"/>
    </xf>
    <xf numFmtId="0" fontId="116" fillId="29" borderId="19" xfId="0" applyFont="1" applyFill="1" applyBorder="1" applyAlignment="1">
      <alignment horizontal="right" vertical="center"/>
    </xf>
    <xf numFmtId="0" fontId="113" fillId="31" borderId="65" xfId="0" applyFont="1" applyFill="1" applyBorder="1" applyAlignment="1">
      <alignment horizontal="center" vertical="center" wrapText="1"/>
    </xf>
    <xf numFmtId="0" fontId="116" fillId="35" borderId="19" xfId="0" applyFont="1" applyFill="1" applyBorder="1" applyAlignment="1">
      <alignment horizontal="right" vertical="center"/>
    </xf>
    <xf numFmtId="49" fontId="113" fillId="35" borderId="60" xfId="0" applyNumberFormat="1" applyFont="1" applyFill="1" applyBorder="1" applyAlignment="1">
      <alignment horizontal="center" vertical="center" wrapText="1"/>
    </xf>
    <xf numFmtId="0" fontId="113" fillId="35" borderId="65" xfId="0" applyFont="1" applyFill="1" applyBorder="1" applyAlignment="1">
      <alignment horizontal="center" vertical="center" wrapText="1"/>
    </xf>
    <xf numFmtId="49" fontId="113" fillId="35" borderId="84" xfId="0" applyNumberFormat="1" applyFont="1" applyFill="1" applyBorder="1" applyAlignment="1">
      <alignment horizontal="center" vertical="center" wrapText="1"/>
    </xf>
    <xf numFmtId="1" fontId="4" fillId="40" borderId="36" xfId="510" applyNumberFormat="1" applyFill="1" applyBorder="1" applyAlignment="1" applyProtection="1">
      <alignment horizontal="left" vertical="center"/>
      <protection locked="0"/>
    </xf>
    <xf numFmtId="1" fontId="4" fillId="40" borderId="43" xfId="510" applyNumberFormat="1" applyFill="1" applyBorder="1" applyAlignment="1" applyProtection="1">
      <alignment horizontal="left" vertical="center"/>
      <protection locked="0"/>
    </xf>
    <xf numFmtId="1" fontId="4" fillId="40" borderId="34" xfId="510" applyNumberFormat="1" applyFill="1" applyBorder="1" applyAlignment="1" applyProtection="1">
      <alignment horizontal="left" vertical="center"/>
      <protection locked="0"/>
    </xf>
  </cellXfs>
  <cellStyles count="581">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3" xfId="10" xr:uid="{00000000-0005-0000-0000-000009000000}"/>
    <cellStyle name="20 % - Akzent1 4" xfId="11" xr:uid="{00000000-0005-0000-0000-00000A000000}"/>
    <cellStyle name="20 % - Akzent1 4 2" xfId="12" xr:uid="{00000000-0005-0000-0000-00000B000000}"/>
    <cellStyle name="20 % - Akzent1 4 3" xfId="13" xr:uid="{00000000-0005-0000-0000-00000C000000}"/>
    <cellStyle name="20 % - Akzent1 5" xfId="14" xr:uid="{00000000-0005-0000-0000-00000D000000}"/>
    <cellStyle name="20 % - Akzent1 6" xfId="15" xr:uid="{00000000-0005-0000-0000-00000E000000}"/>
    <cellStyle name="20 % - Akzent1 7" xfId="16" xr:uid="{00000000-0005-0000-0000-00000F000000}"/>
    <cellStyle name="20 % - Akzent2 2" xfId="17" xr:uid="{00000000-0005-0000-0000-000010000000}"/>
    <cellStyle name="20 % - Akzent2 2 2" xfId="18" xr:uid="{00000000-0005-0000-0000-000011000000}"/>
    <cellStyle name="20 % - Akzent2 2 3" xfId="19" xr:uid="{00000000-0005-0000-0000-000012000000}"/>
    <cellStyle name="20 % - Akzent2 2 3 2" xfId="20" xr:uid="{00000000-0005-0000-0000-000013000000}"/>
    <cellStyle name="20 % - Akzent2 2 3 2 2" xfId="21" xr:uid="{00000000-0005-0000-0000-000014000000}"/>
    <cellStyle name="20 % - Akzent2 2 3 3" xfId="22" xr:uid="{00000000-0005-0000-0000-000015000000}"/>
    <cellStyle name="20 % - Akzent2 2 4" xfId="23" xr:uid="{00000000-0005-0000-0000-000016000000}"/>
    <cellStyle name="20 % - Akzent2 3" xfId="24" xr:uid="{00000000-0005-0000-0000-000017000000}"/>
    <cellStyle name="20 % - Akzent2 3 2" xfId="25" xr:uid="{00000000-0005-0000-0000-000018000000}"/>
    <cellStyle name="20 % - Akzent2 3 3" xfId="26" xr:uid="{00000000-0005-0000-0000-000019000000}"/>
    <cellStyle name="20 % - Akzent2 4" xfId="27" xr:uid="{00000000-0005-0000-0000-00001A000000}"/>
    <cellStyle name="20 % - Akzent2 4 2" xfId="28" xr:uid="{00000000-0005-0000-0000-00001B000000}"/>
    <cellStyle name="20 % - Akzent2 4 3" xfId="29" xr:uid="{00000000-0005-0000-0000-00001C000000}"/>
    <cellStyle name="20 % - Akzent2 5" xfId="30" xr:uid="{00000000-0005-0000-0000-00001D000000}"/>
    <cellStyle name="20 % - Akzent2 6" xfId="31" xr:uid="{00000000-0005-0000-0000-00001E000000}"/>
    <cellStyle name="20 % - Akzent2 7" xfId="32" xr:uid="{00000000-0005-0000-0000-00001F000000}"/>
    <cellStyle name="20 % - Akzent3 2" xfId="33" xr:uid="{00000000-0005-0000-0000-000020000000}"/>
    <cellStyle name="20 % - Akzent3 2 2" xfId="34" xr:uid="{00000000-0005-0000-0000-000021000000}"/>
    <cellStyle name="20 % - Akzent3 2 3" xfId="35" xr:uid="{00000000-0005-0000-0000-000022000000}"/>
    <cellStyle name="20 % - Akzent3 2 3 2" xfId="36" xr:uid="{00000000-0005-0000-0000-000023000000}"/>
    <cellStyle name="20 % - Akzent3 2 3 2 2" xfId="37" xr:uid="{00000000-0005-0000-0000-000024000000}"/>
    <cellStyle name="20 % - Akzent3 2 3 3" xfId="38" xr:uid="{00000000-0005-0000-0000-000025000000}"/>
    <cellStyle name="20 % - Akzent3 2 4" xfId="39" xr:uid="{00000000-0005-0000-0000-000026000000}"/>
    <cellStyle name="20 % - Akzent3 3" xfId="40" xr:uid="{00000000-0005-0000-0000-000027000000}"/>
    <cellStyle name="20 % - Akzent3 3 2" xfId="41" xr:uid="{00000000-0005-0000-0000-000028000000}"/>
    <cellStyle name="20 % - Akzent3 3 3" xfId="42" xr:uid="{00000000-0005-0000-0000-000029000000}"/>
    <cellStyle name="20 % - Akzent3 4" xfId="43" xr:uid="{00000000-0005-0000-0000-00002A000000}"/>
    <cellStyle name="20 % - Akzent3 4 2" xfId="44" xr:uid="{00000000-0005-0000-0000-00002B000000}"/>
    <cellStyle name="20 % - Akzent3 4 3" xfId="45" xr:uid="{00000000-0005-0000-0000-00002C000000}"/>
    <cellStyle name="20 % - Akzent3 5" xfId="46" xr:uid="{00000000-0005-0000-0000-00002D000000}"/>
    <cellStyle name="20 % - Akzent3 6" xfId="47" xr:uid="{00000000-0005-0000-0000-00002E000000}"/>
    <cellStyle name="20 % - Akzent3 7" xfId="48" xr:uid="{00000000-0005-0000-0000-00002F000000}"/>
    <cellStyle name="20 % - Akzent4 2" xfId="49" xr:uid="{00000000-0005-0000-0000-000030000000}"/>
    <cellStyle name="20 % - Akzent4 2 2" xfId="50" xr:uid="{00000000-0005-0000-0000-000031000000}"/>
    <cellStyle name="20 % - Akzent4 2 3" xfId="51" xr:uid="{00000000-0005-0000-0000-000032000000}"/>
    <cellStyle name="20 % - Akzent4 2 3 2" xfId="52" xr:uid="{00000000-0005-0000-0000-000033000000}"/>
    <cellStyle name="20 % - Akzent4 2 3 2 2" xfId="53" xr:uid="{00000000-0005-0000-0000-000034000000}"/>
    <cellStyle name="20 % - Akzent4 2 3 3" xfId="54" xr:uid="{00000000-0005-0000-0000-000035000000}"/>
    <cellStyle name="20 % - Akzent4 2 4" xfId="55" xr:uid="{00000000-0005-0000-0000-000036000000}"/>
    <cellStyle name="20 % - Akzent4 3" xfId="56" xr:uid="{00000000-0005-0000-0000-000037000000}"/>
    <cellStyle name="20 % - Akzent4 3 2" xfId="57" xr:uid="{00000000-0005-0000-0000-000038000000}"/>
    <cellStyle name="20 % - Akzent4 3 3" xfId="58" xr:uid="{00000000-0005-0000-0000-000039000000}"/>
    <cellStyle name="20 % - Akzent4 4" xfId="59" xr:uid="{00000000-0005-0000-0000-00003A000000}"/>
    <cellStyle name="20 % - Akzent4 4 2" xfId="60" xr:uid="{00000000-0005-0000-0000-00003B000000}"/>
    <cellStyle name="20 % - Akzent4 4 3" xfId="61" xr:uid="{00000000-0005-0000-0000-00003C000000}"/>
    <cellStyle name="20 % - Akzent4 5" xfId="62" xr:uid="{00000000-0005-0000-0000-00003D000000}"/>
    <cellStyle name="20 % - Akzent4 6" xfId="63" xr:uid="{00000000-0005-0000-0000-00003E000000}"/>
    <cellStyle name="20 % - Akzent4 7" xfId="64" xr:uid="{00000000-0005-0000-0000-00003F000000}"/>
    <cellStyle name="20 % - Akzent5 2" xfId="65" xr:uid="{00000000-0005-0000-0000-000040000000}"/>
    <cellStyle name="20 % - Akzent5 2 2" xfId="66" xr:uid="{00000000-0005-0000-0000-000041000000}"/>
    <cellStyle name="20 % - Akzent5 2 2 2" xfId="67" xr:uid="{00000000-0005-0000-0000-000042000000}"/>
    <cellStyle name="20 % - Akzent5 2 3" xfId="68" xr:uid="{00000000-0005-0000-0000-000043000000}"/>
    <cellStyle name="20 % - Akzent5 3" xfId="69" xr:uid="{00000000-0005-0000-0000-000044000000}"/>
    <cellStyle name="20 % - Akzent5 3 2" xfId="70" xr:uid="{00000000-0005-0000-0000-000045000000}"/>
    <cellStyle name="20 % - Akzent5 3 3" xfId="71" xr:uid="{00000000-0005-0000-0000-000046000000}"/>
    <cellStyle name="20 % - Akzent5 4" xfId="72" xr:uid="{00000000-0005-0000-0000-000047000000}"/>
    <cellStyle name="20 % - Akzent5 4 2" xfId="73" xr:uid="{00000000-0005-0000-0000-000048000000}"/>
    <cellStyle name="20 % - Akzent5 4 3" xfId="74" xr:uid="{00000000-0005-0000-0000-000049000000}"/>
    <cellStyle name="20 % - Akzent5 5" xfId="75" xr:uid="{00000000-0005-0000-0000-00004A000000}"/>
    <cellStyle name="20 % - Akzent5 6" xfId="76" xr:uid="{00000000-0005-0000-0000-00004B000000}"/>
    <cellStyle name="20 % - Akzent5 7" xfId="77" xr:uid="{00000000-0005-0000-0000-00004C000000}"/>
    <cellStyle name="20 % - Akzent6 2" xfId="78" xr:uid="{00000000-0005-0000-0000-00004D000000}"/>
    <cellStyle name="20 % - Akzent6 3" xfId="79" xr:uid="{00000000-0005-0000-0000-00004E000000}"/>
    <cellStyle name="20 % - Akzent6 3 2" xfId="80" xr:uid="{00000000-0005-0000-0000-00004F000000}"/>
    <cellStyle name="20 % - Akzent6 3 3" xfId="81" xr:uid="{00000000-0005-0000-0000-000050000000}"/>
    <cellStyle name="20 % - Akzent6 4" xfId="82" xr:uid="{00000000-0005-0000-0000-000051000000}"/>
    <cellStyle name="20 % - Akzent6 4 2" xfId="83" xr:uid="{00000000-0005-0000-0000-000052000000}"/>
    <cellStyle name="20 % - Akzent6 4 3" xfId="84" xr:uid="{00000000-0005-0000-0000-000053000000}"/>
    <cellStyle name="20 % - Akzent6 5" xfId="85" xr:uid="{00000000-0005-0000-0000-000054000000}"/>
    <cellStyle name="20 % - Akzent6 6" xfId="86" xr:uid="{00000000-0005-0000-0000-000055000000}"/>
    <cellStyle name="20 % - Akzent6 7" xfId="87" xr:uid="{00000000-0005-0000-0000-000056000000}"/>
    <cellStyle name="40 % - Akzent1 2" xfId="88" xr:uid="{00000000-0005-0000-0000-000057000000}"/>
    <cellStyle name="40 % - Akzent1 2 2" xfId="89" xr:uid="{00000000-0005-0000-0000-000058000000}"/>
    <cellStyle name="40 % - Akzent1 2 3" xfId="90" xr:uid="{00000000-0005-0000-0000-000059000000}"/>
    <cellStyle name="40 % - Akzent1 3" xfId="91" xr:uid="{00000000-0005-0000-0000-00005A000000}"/>
    <cellStyle name="40 % - Akzent1 3 2" xfId="92" xr:uid="{00000000-0005-0000-0000-00005B000000}"/>
    <cellStyle name="40 % - Akzent1 3 3" xfId="93" xr:uid="{00000000-0005-0000-0000-00005C000000}"/>
    <cellStyle name="40 % - Akzent1 4" xfId="94" xr:uid="{00000000-0005-0000-0000-00005D000000}"/>
    <cellStyle name="40 % - Akzent1 4 2" xfId="95" xr:uid="{00000000-0005-0000-0000-00005E000000}"/>
    <cellStyle name="40 % - Akzent1 4 3" xfId="96" xr:uid="{00000000-0005-0000-0000-00005F000000}"/>
    <cellStyle name="40 % - Akzent1 5" xfId="97" xr:uid="{00000000-0005-0000-0000-000060000000}"/>
    <cellStyle name="40 % - Akzent1 6" xfId="98" xr:uid="{00000000-0005-0000-0000-000061000000}"/>
    <cellStyle name="40 % - Akzent1 7" xfId="99" xr:uid="{00000000-0005-0000-0000-000062000000}"/>
    <cellStyle name="40 % - Akzent2 2" xfId="100" xr:uid="{00000000-0005-0000-0000-000063000000}"/>
    <cellStyle name="40 % - Akzent2 3" xfId="101" xr:uid="{00000000-0005-0000-0000-000064000000}"/>
    <cellStyle name="40 % - Akzent2 3 2" xfId="102" xr:uid="{00000000-0005-0000-0000-000065000000}"/>
    <cellStyle name="40 % - Akzent2 3 3" xfId="103" xr:uid="{00000000-0005-0000-0000-000066000000}"/>
    <cellStyle name="40 % - Akzent2 4" xfId="104" xr:uid="{00000000-0005-0000-0000-000067000000}"/>
    <cellStyle name="40 % - Akzent2 4 2" xfId="105" xr:uid="{00000000-0005-0000-0000-000068000000}"/>
    <cellStyle name="40 % - Akzent2 4 3" xfId="106" xr:uid="{00000000-0005-0000-0000-000069000000}"/>
    <cellStyle name="40 % - Akzent2 5" xfId="107" xr:uid="{00000000-0005-0000-0000-00006A000000}"/>
    <cellStyle name="40 % - Akzent2 6" xfId="108" xr:uid="{00000000-0005-0000-0000-00006B000000}"/>
    <cellStyle name="40 % - Akzent2 7" xfId="109" xr:uid="{00000000-0005-0000-0000-00006C000000}"/>
    <cellStyle name="40 % - Akzent3 2" xfId="110" xr:uid="{00000000-0005-0000-0000-00006D000000}"/>
    <cellStyle name="40 % - Akzent3 2 2" xfId="111" xr:uid="{00000000-0005-0000-0000-00006E000000}"/>
    <cellStyle name="40 % - Akzent3 2 3" xfId="112" xr:uid="{00000000-0005-0000-0000-00006F000000}"/>
    <cellStyle name="40 % - Akzent3 2 3 2" xfId="113" xr:uid="{00000000-0005-0000-0000-000070000000}"/>
    <cellStyle name="40 % - Akzent3 2 3 2 2" xfId="114" xr:uid="{00000000-0005-0000-0000-000071000000}"/>
    <cellStyle name="40 % - Akzent3 2 3 3" xfId="115" xr:uid="{00000000-0005-0000-0000-000072000000}"/>
    <cellStyle name="40 % - Akzent3 2 4" xfId="116" xr:uid="{00000000-0005-0000-0000-000073000000}"/>
    <cellStyle name="40 % - Akzent3 3" xfId="117" xr:uid="{00000000-0005-0000-0000-000074000000}"/>
    <cellStyle name="40 % - Akzent3 3 2" xfId="118" xr:uid="{00000000-0005-0000-0000-000075000000}"/>
    <cellStyle name="40 % - Akzent3 3 3" xfId="119" xr:uid="{00000000-0005-0000-0000-000076000000}"/>
    <cellStyle name="40 % - Akzent3 4" xfId="120" xr:uid="{00000000-0005-0000-0000-000077000000}"/>
    <cellStyle name="40 % - Akzent3 4 2" xfId="121" xr:uid="{00000000-0005-0000-0000-000078000000}"/>
    <cellStyle name="40 % - Akzent3 4 3" xfId="122" xr:uid="{00000000-0005-0000-0000-000079000000}"/>
    <cellStyle name="40 % - Akzent3 5" xfId="123" xr:uid="{00000000-0005-0000-0000-00007A000000}"/>
    <cellStyle name="40 % - Akzent3 6" xfId="124" xr:uid="{00000000-0005-0000-0000-00007B000000}"/>
    <cellStyle name="40 % - Akzent3 7" xfId="125" xr:uid="{00000000-0005-0000-0000-00007C000000}"/>
    <cellStyle name="40 % - Akzent4 2" xfId="126" xr:uid="{00000000-0005-0000-0000-00007D000000}"/>
    <cellStyle name="40 % - Akzent4 2 2" xfId="127" xr:uid="{00000000-0005-0000-0000-00007E000000}"/>
    <cellStyle name="40 % - Akzent4 2 2 2" xfId="128" xr:uid="{00000000-0005-0000-0000-00007F000000}"/>
    <cellStyle name="40 % - Akzent4 2 3" xfId="129" xr:uid="{00000000-0005-0000-0000-000080000000}"/>
    <cellStyle name="40 % - Akzent4 3" xfId="130" xr:uid="{00000000-0005-0000-0000-000081000000}"/>
    <cellStyle name="40 % - Akzent4 3 2" xfId="131" xr:uid="{00000000-0005-0000-0000-000082000000}"/>
    <cellStyle name="40 % - Akzent4 3 3" xfId="132" xr:uid="{00000000-0005-0000-0000-000083000000}"/>
    <cellStyle name="40 % - Akzent4 4" xfId="133" xr:uid="{00000000-0005-0000-0000-000084000000}"/>
    <cellStyle name="40 % - Akzent4 4 2" xfId="134" xr:uid="{00000000-0005-0000-0000-000085000000}"/>
    <cellStyle name="40 % - Akzent4 4 3" xfId="135" xr:uid="{00000000-0005-0000-0000-000086000000}"/>
    <cellStyle name="40 % - Akzent4 5" xfId="136" xr:uid="{00000000-0005-0000-0000-000087000000}"/>
    <cellStyle name="40 % - Akzent4 6" xfId="137" xr:uid="{00000000-0005-0000-0000-000088000000}"/>
    <cellStyle name="40 % - Akzent4 7" xfId="138" xr:uid="{00000000-0005-0000-0000-000089000000}"/>
    <cellStyle name="40 % - Akzent5 2" xfId="139" xr:uid="{00000000-0005-0000-0000-00008A000000}"/>
    <cellStyle name="40 % - Akzent5 2 2" xfId="140" xr:uid="{00000000-0005-0000-0000-00008B000000}"/>
    <cellStyle name="40 % - Akzent5 2 3" xfId="141" xr:uid="{00000000-0005-0000-0000-00008C000000}"/>
    <cellStyle name="40 % - Akzent5 3" xfId="142" xr:uid="{00000000-0005-0000-0000-00008D000000}"/>
    <cellStyle name="40 % - Akzent5 3 2" xfId="143" xr:uid="{00000000-0005-0000-0000-00008E000000}"/>
    <cellStyle name="40 % - Akzent5 3 3" xfId="144" xr:uid="{00000000-0005-0000-0000-00008F000000}"/>
    <cellStyle name="40 % - Akzent5 4" xfId="145" xr:uid="{00000000-0005-0000-0000-000090000000}"/>
    <cellStyle name="40 % - Akzent5 4 2" xfId="146" xr:uid="{00000000-0005-0000-0000-000091000000}"/>
    <cellStyle name="40 % - Akzent5 4 3" xfId="147" xr:uid="{00000000-0005-0000-0000-000092000000}"/>
    <cellStyle name="40 % - Akzent5 5" xfId="148" xr:uid="{00000000-0005-0000-0000-000093000000}"/>
    <cellStyle name="40 % - Akzent5 6" xfId="149" xr:uid="{00000000-0005-0000-0000-000094000000}"/>
    <cellStyle name="40 % - Akzent5 7" xfId="150" xr:uid="{00000000-0005-0000-0000-000095000000}"/>
    <cellStyle name="40 % - Akzent6 2" xfId="151" xr:uid="{00000000-0005-0000-0000-000096000000}"/>
    <cellStyle name="40 % - Akzent6 2 2" xfId="152" xr:uid="{00000000-0005-0000-0000-000097000000}"/>
    <cellStyle name="40 % - Akzent6 2 2 2" xfId="153" xr:uid="{00000000-0005-0000-0000-000098000000}"/>
    <cellStyle name="40 % - Akzent6 2 3" xfId="154" xr:uid="{00000000-0005-0000-0000-000099000000}"/>
    <cellStyle name="40 % - Akzent6 3" xfId="155" xr:uid="{00000000-0005-0000-0000-00009A000000}"/>
    <cellStyle name="40 % - Akzent6 3 2" xfId="156" xr:uid="{00000000-0005-0000-0000-00009B000000}"/>
    <cellStyle name="40 % - Akzent6 3 3" xfId="157" xr:uid="{00000000-0005-0000-0000-00009C000000}"/>
    <cellStyle name="40 % - Akzent6 4" xfId="158" xr:uid="{00000000-0005-0000-0000-00009D000000}"/>
    <cellStyle name="40 % - Akzent6 4 2" xfId="159" xr:uid="{00000000-0005-0000-0000-00009E000000}"/>
    <cellStyle name="40 % - Akzent6 4 3" xfId="160" xr:uid="{00000000-0005-0000-0000-00009F000000}"/>
    <cellStyle name="40 % - Akzent6 5" xfId="161" xr:uid="{00000000-0005-0000-0000-0000A0000000}"/>
    <cellStyle name="40 % - Akzent6 6" xfId="162" xr:uid="{00000000-0005-0000-0000-0000A1000000}"/>
    <cellStyle name="40 % - Akzent6 7" xfId="163" xr:uid="{00000000-0005-0000-0000-0000A2000000}"/>
    <cellStyle name="60 % - Akzent1 2" xfId="164" xr:uid="{00000000-0005-0000-0000-0000A3000000}"/>
    <cellStyle name="60 % - Akzent1 2 2" xfId="165" xr:uid="{00000000-0005-0000-0000-0000A4000000}"/>
    <cellStyle name="60 % - Akzent1 2 2 2" xfId="166" xr:uid="{00000000-0005-0000-0000-0000A5000000}"/>
    <cellStyle name="60 % - Akzent1 2 3" xfId="167" xr:uid="{00000000-0005-0000-0000-0000A6000000}"/>
    <cellStyle name="60 % - Akzent1 3" xfId="168" xr:uid="{00000000-0005-0000-0000-0000A7000000}"/>
    <cellStyle name="60 % - Akzent1 4" xfId="169" xr:uid="{00000000-0005-0000-0000-0000A8000000}"/>
    <cellStyle name="60 % - Akzent1 5" xfId="170" xr:uid="{00000000-0005-0000-0000-0000A9000000}"/>
    <cellStyle name="60 % - Akzent1 6" xfId="171" xr:uid="{00000000-0005-0000-0000-0000AA000000}"/>
    <cellStyle name="60 % - Akzent2 2" xfId="172" xr:uid="{00000000-0005-0000-0000-0000AB000000}"/>
    <cellStyle name="60 % - Akzent2 3" xfId="173" xr:uid="{00000000-0005-0000-0000-0000AC000000}"/>
    <cellStyle name="60 % - Akzent2 4" xfId="174" xr:uid="{00000000-0005-0000-0000-0000AD000000}"/>
    <cellStyle name="60 % - Akzent2 5" xfId="175" xr:uid="{00000000-0005-0000-0000-0000AE000000}"/>
    <cellStyle name="60 % - Akzent2 6" xfId="176" xr:uid="{00000000-0005-0000-0000-0000AF000000}"/>
    <cellStyle name="60 % - Akzent3 2" xfId="177" xr:uid="{00000000-0005-0000-0000-0000B0000000}"/>
    <cellStyle name="60 % - Akzent3 3" xfId="178" xr:uid="{00000000-0005-0000-0000-0000B1000000}"/>
    <cellStyle name="60 % - Akzent3 4" xfId="179" xr:uid="{00000000-0005-0000-0000-0000B2000000}"/>
    <cellStyle name="60 % - Akzent3 5" xfId="180" xr:uid="{00000000-0005-0000-0000-0000B3000000}"/>
    <cellStyle name="60 % - Akzent3 6" xfId="181" xr:uid="{00000000-0005-0000-0000-0000B4000000}"/>
    <cellStyle name="60 % - Akzent4 2" xfId="182" xr:uid="{00000000-0005-0000-0000-0000B5000000}"/>
    <cellStyle name="60 % - Akzent4 2 2" xfId="183" xr:uid="{00000000-0005-0000-0000-0000B6000000}"/>
    <cellStyle name="60 % - Akzent4 2 3" xfId="184" xr:uid="{00000000-0005-0000-0000-0000B7000000}"/>
    <cellStyle name="60 % - Akzent4 2 3 2" xfId="185" xr:uid="{00000000-0005-0000-0000-0000B8000000}"/>
    <cellStyle name="60 % - Akzent4 2 3 2 2" xfId="186" xr:uid="{00000000-0005-0000-0000-0000B9000000}"/>
    <cellStyle name="60 % - Akzent4 2 3 3" xfId="187" xr:uid="{00000000-0005-0000-0000-0000BA000000}"/>
    <cellStyle name="60 % - Akzent4 2 4" xfId="188" xr:uid="{00000000-0005-0000-0000-0000BB000000}"/>
    <cellStyle name="60 % - Akzent4 3" xfId="189" xr:uid="{00000000-0005-0000-0000-0000BC000000}"/>
    <cellStyle name="60 % - Akzent4 4" xfId="190" xr:uid="{00000000-0005-0000-0000-0000BD000000}"/>
    <cellStyle name="60 % - Akzent4 5" xfId="191" xr:uid="{00000000-0005-0000-0000-0000BE000000}"/>
    <cellStyle name="60 % - Akzent4 6" xfId="192" xr:uid="{00000000-0005-0000-0000-0000BF000000}"/>
    <cellStyle name="60 % - Akzent5 2" xfId="193" xr:uid="{00000000-0005-0000-0000-0000C0000000}"/>
    <cellStyle name="60 % - Akzent5 2 2" xfId="194" xr:uid="{00000000-0005-0000-0000-0000C1000000}"/>
    <cellStyle name="60 % - Akzent5 2 2 2" xfId="195" xr:uid="{00000000-0005-0000-0000-0000C2000000}"/>
    <cellStyle name="60 % - Akzent5 2 3" xfId="196" xr:uid="{00000000-0005-0000-0000-0000C3000000}"/>
    <cellStyle name="60 % - Akzent5 3" xfId="197" xr:uid="{00000000-0005-0000-0000-0000C4000000}"/>
    <cellStyle name="60 % - Akzent5 4" xfId="198" xr:uid="{00000000-0005-0000-0000-0000C5000000}"/>
    <cellStyle name="60 % - Akzent5 5" xfId="199" xr:uid="{00000000-0005-0000-0000-0000C6000000}"/>
    <cellStyle name="60 % - Akzent5 6" xfId="200" xr:uid="{00000000-0005-0000-0000-0000C7000000}"/>
    <cellStyle name="60 % - Akzent6 2" xfId="201" xr:uid="{00000000-0005-0000-0000-0000C8000000}"/>
    <cellStyle name="60 % - Akzent6 2 2" xfId="202" xr:uid="{00000000-0005-0000-0000-0000C9000000}"/>
    <cellStyle name="60 % - Akzent6 2 3" xfId="203" xr:uid="{00000000-0005-0000-0000-0000CA000000}"/>
    <cellStyle name="60 % - Akzent6 2 3 2" xfId="204" xr:uid="{00000000-0005-0000-0000-0000CB000000}"/>
    <cellStyle name="60 % - Akzent6 2 3 2 2" xfId="205" xr:uid="{00000000-0005-0000-0000-0000CC000000}"/>
    <cellStyle name="60 % - Akzent6 2 3 3" xfId="206" xr:uid="{00000000-0005-0000-0000-0000CD000000}"/>
    <cellStyle name="60 % - Akzent6 2 4" xfId="207" xr:uid="{00000000-0005-0000-0000-0000CE000000}"/>
    <cellStyle name="60 % - Akzent6 3" xfId="208" xr:uid="{00000000-0005-0000-0000-0000CF000000}"/>
    <cellStyle name="60 % - Akzent6 4" xfId="209" xr:uid="{00000000-0005-0000-0000-0000D0000000}"/>
    <cellStyle name="60 % - Akzent6 5" xfId="210" xr:uid="{00000000-0005-0000-0000-0000D1000000}"/>
    <cellStyle name="60 % - Akzent6 6" xfId="211" xr:uid="{00000000-0005-0000-0000-0000D2000000}"/>
    <cellStyle name="Accent1" xfId="234" xr:uid="{00000000-0005-0000-0000-0000D3000000}"/>
    <cellStyle name="Accent1 2" xfId="212" xr:uid="{00000000-0005-0000-0000-0000D4000000}"/>
    <cellStyle name="Accent1 3" xfId="213" xr:uid="{00000000-0005-0000-0000-0000D5000000}"/>
    <cellStyle name="Accent1 3 2" xfId="214" xr:uid="{00000000-0005-0000-0000-0000D6000000}"/>
    <cellStyle name="Accent1 4" xfId="215" xr:uid="{00000000-0005-0000-0000-0000D7000000}"/>
    <cellStyle name="Accent1 5" xfId="216" xr:uid="{00000000-0005-0000-0000-0000D8000000}"/>
    <cellStyle name="Accent1 6" xfId="217" xr:uid="{00000000-0005-0000-0000-0000D9000000}"/>
    <cellStyle name="Accent2" xfId="237" xr:uid="{00000000-0005-0000-0000-0000DA000000}"/>
    <cellStyle name="Accent2 2" xfId="218" xr:uid="{00000000-0005-0000-0000-0000DB000000}"/>
    <cellStyle name="Accent2 3" xfId="219" xr:uid="{00000000-0005-0000-0000-0000DC000000}"/>
    <cellStyle name="Accent2 4" xfId="220" xr:uid="{00000000-0005-0000-0000-0000DD000000}"/>
    <cellStyle name="Accent2 5" xfId="221" xr:uid="{00000000-0005-0000-0000-0000DE000000}"/>
    <cellStyle name="Accent3" xfId="240" xr:uid="{00000000-0005-0000-0000-0000DF000000}"/>
    <cellStyle name="Accent3 2" xfId="222" xr:uid="{00000000-0005-0000-0000-0000E0000000}"/>
    <cellStyle name="Accent3 3" xfId="223" xr:uid="{00000000-0005-0000-0000-0000E1000000}"/>
    <cellStyle name="Accent4" xfId="243" xr:uid="{00000000-0005-0000-0000-0000E2000000}"/>
    <cellStyle name="Accent4 2" xfId="224" xr:uid="{00000000-0005-0000-0000-0000E3000000}"/>
    <cellStyle name="Accent4 3" xfId="225" xr:uid="{00000000-0005-0000-0000-0000E4000000}"/>
    <cellStyle name="Accent4 3 2" xfId="226" xr:uid="{00000000-0005-0000-0000-0000E5000000}"/>
    <cellStyle name="Accent4 4" xfId="227" xr:uid="{00000000-0005-0000-0000-0000E6000000}"/>
    <cellStyle name="Accent4 5" xfId="228" xr:uid="{00000000-0005-0000-0000-0000E7000000}"/>
    <cellStyle name="Accent4 6" xfId="229" xr:uid="{00000000-0005-0000-0000-0000E8000000}"/>
    <cellStyle name="Accent5" xfId="246" xr:uid="{00000000-0005-0000-0000-0000E9000000}"/>
    <cellStyle name="Accent5 2" xfId="230" xr:uid="{00000000-0005-0000-0000-0000EA000000}"/>
    <cellStyle name="Accent5 3" xfId="231" xr:uid="{00000000-0005-0000-0000-0000EB000000}"/>
    <cellStyle name="Accent6" xfId="249" xr:uid="{00000000-0005-0000-0000-0000EC000000}"/>
    <cellStyle name="Accent6 2" xfId="232" xr:uid="{00000000-0005-0000-0000-0000ED000000}"/>
    <cellStyle name="Accent6 3" xfId="233" xr:uid="{00000000-0005-0000-0000-0000EE000000}"/>
    <cellStyle name="Akzent1 2" xfId="235" xr:uid="{00000000-0005-0000-0000-0000EF000000}"/>
    <cellStyle name="Akzent1 3" xfId="236" xr:uid="{00000000-0005-0000-0000-0000F0000000}"/>
    <cellStyle name="Akzent2 2" xfId="238" xr:uid="{00000000-0005-0000-0000-0000F1000000}"/>
    <cellStyle name="Akzent2 3" xfId="239" xr:uid="{00000000-0005-0000-0000-0000F2000000}"/>
    <cellStyle name="Akzent3 2" xfId="241" xr:uid="{00000000-0005-0000-0000-0000F3000000}"/>
    <cellStyle name="Akzent3 3" xfId="242" xr:uid="{00000000-0005-0000-0000-0000F4000000}"/>
    <cellStyle name="Akzent4 2" xfId="244" xr:uid="{00000000-0005-0000-0000-0000F5000000}"/>
    <cellStyle name="Akzent4 3" xfId="245" xr:uid="{00000000-0005-0000-0000-0000F6000000}"/>
    <cellStyle name="Akzent5 2" xfId="247" xr:uid="{00000000-0005-0000-0000-0000F7000000}"/>
    <cellStyle name="Akzent5 3" xfId="248" xr:uid="{00000000-0005-0000-0000-0000F8000000}"/>
    <cellStyle name="Akzent6 2" xfId="250" xr:uid="{00000000-0005-0000-0000-0000F9000000}"/>
    <cellStyle name="Akzent6 3" xfId="251" xr:uid="{00000000-0005-0000-0000-0000FA000000}"/>
    <cellStyle name="Ausgabe 2" xfId="252" xr:uid="{00000000-0005-0000-0000-0000FB000000}"/>
    <cellStyle name="Ausgabe 2 2" xfId="253" xr:uid="{00000000-0005-0000-0000-0000FC000000}"/>
    <cellStyle name="Ausgabe 2 2 2" xfId="254" xr:uid="{00000000-0005-0000-0000-0000FD000000}"/>
    <cellStyle name="Ausgabe 2 2 3" xfId="255" xr:uid="{00000000-0005-0000-0000-0000FE000000}"/>
    <cellStyle name="Ausgabe 2 2 3 2" xfId="256" xr:uid="{00000000-0005-0000-0000-0000FF000000}"/>
    <cellStyle name="Ausgabe 2 3" xfId="257" xr:uid="{00000000-0005-0000-0000-000000010000}"/>
    <cellStyle name="Ausgabe 2 3 2" xfId="258" xr:uid="{00000000-0005-0000-0000-000001010000}"/>
    <cellStyle name="Ausgabe 2 3 2 2" xfId="259" xr:uid="{00000000-0005-0000-0000-000002010000}"/>
    <cellStyle name="Ausgabe 2 3 3" xfId="260" xr:uid="{00000000-0005-0000-0000-000003010000}"/>
    <cellStyle name="Ausgabe 2 3 3 2" xfId="261" xr:uid="{00000000-0005-0000-0000-000004010000}"/>
    <cellStyle name="Ausgabe 2 4" xfId="262" xr:uid="{00000000-0005-0000-0000-000005010000}"/>
    <cellStyle name="Ausgabe 2 5" xfId="263" xr:uid="{00000000-0005-0000-0000-000006010000}"/>
    <cellStyle name="Ausgabe 2 5 2" xfId="264" xr:uid="{00000000-0005-0000-0000-000007010000}"/>
    <cellStyle name="Ausgabe 3" xfId="265" xr:uid="{00000000-0005-0000-0000-000008010000}"/>
    <cellStyle name="Ausgabe 3 2" xfId="266" xr:uid="{00000000-0005-0000-0000-000009010000}"/>
    <cellStyle name="Ausgabe 3 3" xfId="267" xr:uid="{00000000-0005-0000-0000-00000A010000}"/>
    <cellStyle name="Ausgabe 3 3 2" xfId="268" xr:uid="{00000000-0005-0000-0000-00000B010000}"/>
    <cellStyle name="Ausgabe 4" xfId="269" xr:uid="{00000000-0005-0000-0000-00000C010000}"/>
    <cellStyle name="Ausgabe 5" xfId="270" xr:uid="{00000000-0005-0000-0000-00000D010000}"/>
    <cellStyle name="Ausgabe 6" xfId="271" xr:uid="{00000000-0005-0000-0000-00000E010000}"/>
    <cellStyle name="Ausgabe 7" xfId="272" xr:uid="{00000000-0005-0000-0000-00000F010000}"/>
    <cellStyle name="Ausgabe 7 2" xfId="273" xr:uid="{00000000-0005-0000-0000-000010010000}"/>
    <cellStyle name="Ausgabe 7 3" xfId="274" xr:uid="{00000000-0005-0000-0000-000011010000}"/>
    <cellStyle name="Ausgabe 7 3 2" xfId="275" xr:uid="{00000000-0005-0000-0000-000012010000}"/>
    <cellStyle name="Ausgabe 7 3 3" xfId="276" xr:uid="{00000000-0005-0000-0000-000013010000}"/>
    <cellStyle name="Ausgabe 7 4" xfId="277" xr:uid="{00000000-0005-0000-0000-000014010000}"/>
    <cellStyle name="Ausgabe 8" xfId="278" xr:uid="{00000000-0005-0000-0000-000015010000}"/>
    <cellStyle name="Ausgabe 8 2" xfId="279" xr:uid="{00000000-0005-0000-0000-000016010000}"/>
    <cellStyle name="Bad" xfId="507" xr:uid="{00000000-0005-0000-0000-000017010000}"/>
    <cellStyle name="Bad 2" xfId="280" xr:uid="{00000000-0005-0000-0000-000018010000}"/>
    <cellStyle name="Bad 3" xfId="281" xr:uid="{00000000-0005-0000-0000-000019010000}"/>
    <cellStyle name="Berechnung 2" xfId="282" xr:uid="{00000000-0005-0000-0000-00001A010000}"/>
    <cellStyle name="Berechnung 2 2" xfId="283" xr:uid="{00000000-0005-0000-0000-00001B010000}"/>
    <cellStyle name="Berechnung 2 3" xfId="284" xr:uid="{00000000-0005-0000-0000-00001C010000}"/>
    <cellStyle name="Berechnung 2 3 2" xfId="285" xr:uid="{00000000-0005-0000-0000-00001D010000}"/>
    <cellStyle name="Berechnung 2 3 2 2" xfId="286" xr:uid="{00000000-0005-0000-0000-00001E010000}"/>
    <cellStyle name="Berechnung 2 3 3" xfId="287" xr:uid="{00000000-0005-0000-0000-00001F010000}"/>
    <cellStyle name="Berechnung 2 4" xfId="288" xr:uid="{00000000-0005-0000-0000-000020010000}"/>
    <cellStyle name="Berechnung 3" xfId="289" xr:uid="{00000000-0005-0000-0000-000021010000}"/>
    <cellStyle name="Berechnung 4" xfId="290" xr:uid="{00000000-0005-0000-0000-000022010000}"/>
    <cellStyle name="Berechnung 5" xfId="291" xr:uid="{00000000-0005-0000-0000-000023010000}"/>
    <cellStyle name="Berechnung 6" xfId="292" xr:uid="{00000000-0005-0000-0000-000024010000}"/>
    <cellStyle name="Berechnung 7" xfId="293" xr:uid="{00000000-0005-0000-0000-000025010000}"/>
    <cellStyle name="Berechnung 7 2" xfId="294" xr:uid="{00000000-0005-0000-0000-000026010000}"/>
    <cellStyle name="Berechnung 7 3" xfId="295" xr:uid="{00000000-0005-0000-0000-000027010000}"/>
    <cellStyle name="Berechnung 8" xfId="296" xr:uid="{00000000-0005-0000-0000-000028010000}"/>
    <cellStyle name="Calculation 2" xfId="297" xr:uid="{00000000-0005-0000-0000-000029010000}"/>
    <cellStyle name="Check Cell" xfId="576" xr:uid="{00000000-0005-0000-0000-00002A010000}"/>
    <cellStyle name="Check Cell 2" xfId="298" xr:uid="{00000000-0005-0000-0000-00002B010000}"/>
    <cellStyle name="Check Cell 3" xfId="299" xr:uid="{00000000-0005-0000-0000-00002C010000}"/>
    <cellStyle name="Check Cell 4" xfId="300" xr:uid="{00000000-0005-0000-0000-00002D010000}"/>
    <cellStyle name="Check Cell 5" xfId="301" xr:uid="{00000000-0005-0000-0000-00002E010000}"/>
    <cellStyle name="Eingabe 2" xfId="302" xr:uid="{00000000-0005-0000-0000-00002F010000}"/>
    <cellStyle name="Eingabe 3" xfId="303" xr:uid="{00000000-0005-0000-0000-000030010000}"/>
    <cellStyle name="Eingabe 4" xfId="304" xr:uid="{00000000-0005-0000-0000-000031010000}"/>
    <cellStyle name="Eingabe 5" xfId="305" xr:uid="{00000000-0005-0000-0000-000032010000}"/>
    <cellStyle name="Eingabe 6" xfId="306" xr:uid="{00000000-0005-0000-0000-000033010000}"/>
    <cellStyle name="Eingabe 7" xfId="307" xr:uid="{00000000-0005-0000-0000-000034010000}"/>
    <cellStyle name="Ergebnis 2" xfId="308" xr:uid="{00000000-0005-0000-0000-000035010000}"/>
    <cellStyle name="Ergebnis 2 2" xfId="309" xr:uid="{00000000-0005-0000-0000-000036010000}"/>
    <cellStyle name="Ergebnis 2 2 2" xfId="310" xr:uid="{00000000-0005-0000-0000-000037010000}"/>
    <cellStyle name="Ergebnis 2 3" xfId="311" xr:uid="{00000000-0005-0000-0000-000038010000}"/>
    <cellStyle name="Ergebnis 2 4" xfId="312" xr:uid="{00000000-0005-0000-0000-000039010000}"/>
    <cellStyle name="Ergebnis 2 4 2" xfId="313" xr:uid="{00000000-0005-0000-0000-00003A010000}"/>
    <cellStyle name="Ergebnis 2 4 2 2" xfId="314" xr:uid="{00000000-0005-0000-0000-00003B010000}"/>
    <cellStyle name="Ergebnis 2 4 3" xfId="315" xr:uid="{00000000-0005-0000-0000-00003C010000}"/>
    <cellStyle name="Ergebnis 2 5" xfId="316" xr:uid="{00000000-0005-0000-0000-00003D010000}"/>
    <cellStyle name="Ergebnis 3" xfId="317" xr:uid="{00000000-0005-0000-0000-00003E010000}"/>
    <cellStyle name="Ergebnis 3 2" xfId="318" xr:uid="{00000000-0005-0000-0000-00003F010000}"/>
    <cellStyle name="Ergebnis 4" xfId="319" xr:uid="{00000000-0005-0000-0000-000040010000}"/>
    <cellStyle name="Ergebnis 4 2" xfId="320" xr:uid="{00000000-0005-0000-0000-000041010000}"/>
    <cellStyle name="Ergebnis 5" xfId="321" xr:uid="{00000000-0005-0000-0000-000042010000}"/>
    <cellStyle name="Ergebnis 6" xfId="322" xr:uid="{00000000-0005-0000-0000-000043010000}"/>
    <cellStyle name="Ergebnis 7" xfId="323" xr:uid="{00000000-0005-0000-0000-000044010000}"/>
    <cellStyle name="Ergebnis 8" xfId="324" xr:uid="{00000000-0005-0000-0000-000045010000}"/>
    <cellStyle name="Ergebnis 8 2" xfId="325" xr:uid="{00000000-0005-0000-0000-000046010000}"/>
    <cellStyle name="Ergebnis 8 3" xfId="326" xr:uid="{00000000-0005-0000-0000-000047010000}"/>
    <cellStyle name="Ergebnis 9" xfId="327" xr:uid="{00000000-0005-0000-0000-000048010000}"/>
    <cellStyle name="Erklärender Text 2" xfId="328" xr:uid="{00000000-0005-0000-0000-000049010000}"/>
    <cellStyle name="Erklärender Text 3" xfId="329" xr:uid="{00000000-0005-0000-0000-00004A010000}"/>
    <cellStyle name="Erklärender Text 4" xfId="330" xr:uid="{00000000-0005-0000-0000-00004B010000}"/>
    <cellStyle name="Erklärender Text 5" xfId="331" xr:uid="{00000000-0005-0000-0000-00004C010000}"/>
    <cellStyle name="Erklärender Text 6" xfId="332" xr:uid="{00000000-0005-0000-0000-00004D010000}"/>
    <cellStyle name="Good" xfId="335" xr:uid="{00000000-0005-0000-0000-00004E010000}"/>
    <cellStyle name="Good 2" xfId="333" xr:uid="{00000000-0005-0000-0000-00004F010000}"/>
    <cellStyle name="Good 3" xfId="334" xr:uid="{00000000-0005-0000-0000-000050010000}"/>
    <cellStyle name="Gut 2" xfId="336" xr:uid="{00000000-0005-0000-0000-000051010000}"/>
    <cellStyle name="Gut 3" xfId="337" xr:uid="{00000000-0005-0000-0000-000052010000}"/>
    <cellStyle name="Heading 1" xfId="551" xr:uid="{00000000-0005-0000-0000-000053010000}"/>
    <cellStyle name="Heading 1 2" xfId="338" xr:uid="{00000000-0005-0000-0000-000054010000}"/>
    <cellStyle name="Heading 1 2 2" xfId="339" xr:uid="{00000000-0005-0000-0000-000055010000}"/>
    <cellStyle name="Heading 1 3" xfId="340" xr:uid="{00000000-0005-0000-0000-000056010000}"/>
    <cellStyle name="Heading 1 4" xfId="341" xr:uid="{00000000-0005-0000-0000-000057010000}"/>
    <cellStyle name="Heading 1 5" xfId="342" xr:uid="{00000000-0005-0000-0000-000058010000}"/>
    <cellStyle name="Heading 2" xfId="554" xr:uid="{00000000-0005-0000-0000-000059010000}"/>
    <cellStyle name="Heading 2 2" xfId="343" xr:uid="{00000000-0005-0000-0000-00005A010000}"/>
    <cellStyle name="Heading 2 2 2" xfId="344" xr:uid="{00000000-0005-0000-0000-00005B010000}"/>
    <cellStyle name="Heading 2 3" xfId="345" xr:uid="{00000000-0005-0000-0000-00005C010000}"/>
    <cellStyle name="Heading 2 4" xfId="346" xr:uid="{00000000-0005-0000-0000-00005D010000}"/>
    <cellStyle name="Heading 2 5" xfId="347" xr:uid="{00000000-0005-0000-0000-00005E010000}"/>
    <cellStyle name="Heading 3" xfId="557" xr:uid="{00000000-0005-0000-0000-00005F010000}"/>
    <cellStyle name="Heading 3 2" xfId="348" xr:uid="{00000000-0005-0000-0000-000060010000}"/>
    <cellStyle name="Heading 3 2 2" xfId="349" xr:uid="{00000000-0005-0000-0000-000061010000}"/>
    <cellStyle name="Heading 3 3" xfId="350" xr:uid="{00000000-0005-0000-0000-000062010000}"/>
    <cellStyle name="Heading 3 4" xfId="351" xr:uid="{00000000-0005-0000-0000-000063010000}"/>
    <cellStyle name="Heading 3 5" xfId="352" xr:uid="{00000000-0005-0000-0000-000064010000}"/>
    <cellStyle name="Heading 4" xfId="560" xr:uid="{00000000-0005-0000-0000-000065010000}"/>
    <cellStyle name="Heading 4 2" xfId="353" xr:uid="{00000000-0005-0000-0000-000066010000}"/>
    <cellStyle name="Heading 4 2 2" xfId="354" xr:uid="{00000000-0005-0000-0000-000067010000}"/>
    <cellStyle name="Heading 4 3" xfId="355" xr:uid="{00000000-0005-0000-0000-000068010000}"/>
    <cellStyle name="Heading 4 4" xfId="356" xr:uid="{00000000-0005-0000-0000-000069010000}"/>
    <cellStyle name="Heading 4 5" xfId="357" xr:uid="{00000000-0005-0000-0000-00006A010000}"/>
    <cellStyle name="Input 2" xfId="358" xr:uid="{00000000-0005-0000-0000-00006B010000}"/>
    <cellStyle name="Linked Cell" xfId="565" xr:uid="{00000000-0005-0000-0000-00006C010000}"/>
    <cellStyle name="Linked Cell 2" xfId="359" xr:uid="{00000000-0005-0000-0000-00006D010000}"/>
    <cellStyle name="Linked Cell 3" xfId="360" xr:uid="{00000000-0005-0000-0000-00006E010000}"/>
    <cellStyle name="Neutral" xfId="361" builtinId="28" customBuiltin="1"/>
    <cellStyle name="Normal" xfId="0" builtinId="0"/>
    <cellStyle name="Normal 2" xfId="362" xr:uid="{00000000-0005-0000-0000-000070010000}"/>
    <cellStyle name="Note" xfId="370" xr:uid="{00000000-0005-0000-0000-000071010000}"/>
    <cellStyle name="Note 2" xfId="363" xr:uid="{00000000-0005-0000-0000-000072010000}"/>
    <cellStyle name="Note 2 2" xfId="364" xr:uid="{00000000-0005-0000-0000-000073010000}"/>
    <cellStyle name="Note 3" xfId="365" xr:uid="{00000000-0005-0000-0000-000074010000}"/>
    <cellStyle name="Note 4" xfId="366" xr:uid="{00000000-0005-0000-0000-000075010000}"/>
    <cellStyle name="Note 5" xfId="367" xr:uid="{00000000-0005-0000-0000-000076010000}"/>
    <cellStyle name="Note 5 2" xfId="368" xr:uid="{00000000-0005-0000-0000-000077010000}"/>
    <cellStyle name="Note 6" xfId="369" xr:uid="{00000000-0005-0000-0000-000078010000}"/>
    <cellStyle name="Notiz 2" xfId="371" xr:uid="{00000000-0005-0000-0000-000079010000}"/>
    <cellStyle name="Notiz 2 2" xfId="372" xr:uid="{00000000-0005-0000-0000-00007A010000}"/>
    <cellStyle name="Notiz 2 2 2" xfId="373" xr:uid="{00000000-0005-0000-0000-00007B010000}"/>
    <cellStyle name="Notiz 2 2 2 2" xfId="374" xr:uid="{00000000-0005-0000-0000-00007C010000}"/>
    <cellStyle name="Notiz 2 2 2 2 2" xfId="375" xr:uid="{00000000-0005-0000-0000-00007D010000}"/>
    <cellStyle name="Notiz 2 2 2 3" xfId="376" xr:uid="{00000000-0005-0000-0000-00007E010000}"/>
    <cellStyle name="Notiz 2 2 3" xfId="377" xr:uid="{00000000-0005-0000-0000-00007F010000}"/>
    <cellStyle name="Notiz 2 2 3 2" xfId="378" xr:uid="{00000000-0005-0000-0000-000080010000}"/>
    <cellStyle name="Notiz 2 2 4" xfId="379" xr:uid="{00000000-0005-0000-0000-000081010000}"/>
    <cellStyle name="Notiz 2 2 4 2" xfId="380" xr:uid="{00000000-0005-0000-0000-000082010000}"/>
    <cellStyle name="Notiz 2 2 4 3" xfId="381" xr:uid="{00000000-0005-0000-0000-000083010000}"/>
    <cellStyle name="Notiz 2 2 4 3 2" xfId="382" xr:uid="{00000000-0005-0000-0000-000084010000}"/>
    <cellStyle name="Notiz 2 2 4 4" xfId="383" xr:uid="{00000000-0005-0000-0000-000085010000}"/>
    <cellStyle name="Notiz 2 2 4 4 2" xfId="384" xr:uid="{00000000-0005-0000-0000-000086010000}"/>
    <cellStyle name="Notiz 2 2 5" xfId="385" xr:uid="{00000000-0005-0000-0000-000087010000}"/>
    <cellStyle name="Notiz 2 2 5 2" xfId="386" xr:uid="{00000000-0005-0000-0000-000088010000}"/>
    <cellStyle name="Notiz 2 2 5 3" xfId="387" xr:uid="{00000000-0005-0000-0000-000089010000}"/>
    <cellStyle name="Notiz 2 2 5 4" xfId="388" xr:uid="{00000000-0005-0000-0000-00008A010000}"/>
    <cellStyle name="Notiz 2 2 5 4 2" xfId="389" xr:uid="{00000000-0005-0000-0000-00008B010000}"/>
    <cellStyle name="Notiz 2 3" xfId="390" xr:uid="{00000000-0005-0000-0000-00008C010000}"/>
    <cellStyle name="Notiz 2 3 2" xfId="391" xr:uid="{00000000-0005-0000-0000-00008D010000}"/>
    <cellStyle name="Notiz 2 3 2 2" xfId="392" xr:uid="{00000000-0005-0000-0000-00008E010000}"/>
    <cellStyle name="Notiz 2 3 3" xfId="393" xr:uid="{00000000-0005-0000-0000-00008F010000}"/>
    <cellStyle name="Notiz 2 4" xfId="394" xr:uid="{00000000-0005-0000-0000-000090010000}"/>
    <cellStyle name="Notiz 2 4 2" xfId="395" xr:uid="{00000000-0005-0000-0000-000091010000}"/>
    <cellStyle name="Notiz 2 5" xfId="396" xr:uid="{00000000-0005-0000-0000-000092010000}"/>
    <cellStyle name="Notiz 3" xfId="397" xr:uid="{00000000-0005-0000-0000-000093010000}"/>
    <cellStyle name="Notiz 3 2" xfId="398" xr:uid="{00000000-0005-0000-0000-000094010000}"/>
    <cellStyle name="Notiz 3 2 2" xfId="399" xr:uid="{00000000-0005-0000-0000-000095010000}"/>
    <cellStyle name="Notiz 3 2 2 2" xfId="400" xr:uid="{00000000-0005-0000-0000-000096010000}"/>
    <cellStyle name="Notiz 3 2 3" xfId="401" xr:uid="{00000000-0005-0000-0000-000097010000}"/>
    <cellStyle name="Notiz 3 3" xfId="402" xr:uid="{00000000-0005-0000-0000-000098010000}"/>
    <cellStyle name="Notiz 3 3 2" xfId="403" xr:uid="{00000000-0005-0000-0000-000099010000}"/>
    <cellStyle name="Notiz 3 4" xfId="404" xr:uid="{00000000-0005-0000-0000-00009A010000}"/>
    <cellStyle name="Notiz 4" xfId="405" xr:uid="{00000000-0005-0000-0000-00009B010000}"/>
    <cellStyle name="Notiz 4 2" xfId="406" xr:uid="{00000000-0005-0000-0000-00009C010000}"/>
    <cellStyle name="Notiz 4 2 2" xfId="407" xr:uid="{00000000-0005-0000-0000-00009D010000}"/>
    <cellStyle name="Notiz 4 3" xfId="408" xr:uid="{00000000-0005-0000-0000-00009E010000}"/>
    <cellStyle name="Notiz 5" xfId="409" xr:uid="{00000000-0005-0000-0000-00009F010000}"/>
    <cellStyle name="Notiz 5 2" xfId="410" xr:uid="{00000000-0005-0000-0000-0000A0010000}"/>
    <cellStyle name="Notiz 5 2 2" xfId="411" xr:uid="{00000000-0005-0000-0000-0000A1010000}"/>
    <cellStyle name="Notiz 5 3" xfId="412" xr:uid="{00000000-0005-0000-0000-0000A2010000}"/>
    <cellStyle name="Notiz 6" xfId="413" xr:uid="{00000000-0005-0000-0000-0000A3010000}"/>
    <cellStyle name="Notiz 6 2" xfId="414" xr:uid="{00000000-0005-0000-0000-0000A4010000}"/>
    <cellStyle name="Notiz 7" xfId="415" xr:uid="{00000000-0005-0000-0000-0000A5010000}"/>
    <cellStyle name="Notiz 8" xfId="416" xr:uid="{00000000-0005-0000-0000-0000A6010000}"/>
    <cellStyle name="Output 2" xfId="417" xr:uid="{00000000-0005-0000-0000-0000A7010000}"/>
    <cellStyle name="Percent" xfId="419" builtinId="5"/>
    <cellStyle name="Percent 2" xfId="418" xr:uid="{00000000-0005-0000-0000-0000A8010000}"/>
    <cellStyle name="Prozent 10" xfId="420" xr:uid="{00000000-0005-0000-0000-0000AA010000}"/>
    <cellStyle name="Prozent 10 2" xfId="421" xr:uid="{00000000-0005-0000-0000-0000AB010000}"/>
    <cellStyle name="Prozent 10 3" xfId="422" xr:uid="{00000000-0005-0000-0000-0000AC010000}"/>
    <cellStyle name="Prozent 10 4" xfId="423" xr:uid="{00000000-0005-0000-0000-0000AD010000}"/>
    <cellStyle name="Prozent 10 4 2" xfId="424" xr:uid="{00000000-0005-0000-0000-0000AE010000}"/>
    <cellStyle name="Prozent 11" xfId="425" xr:uid="{00000000-0005-0000-0000-0000AF010000}"/>
    <cellStyle name="Prozent 12" xfId="426" xr:uid="{00000000-0005-0000-0000-0000B0010000}"/>
    <cellStyle name="Prozent 2" xfId="427" xr:uid="{00000000-0005-0000-0000-0000B1010000}"/>
    <cellStyle name="Prozent 3" xfId="428" xr:uid="{00000000-0005-0000-0000-0000B2010000}"/>
    <cellStyle name="Prozent 3 2" xfId="429" xr:uid="{00000000-0005-0000-0000-0000B3010000}"/>
    <cellStyle name="Prozent 3 2 2" xfId="430" xr:uid="{00000000-0005-0000-0000-0000B4010000}"/>
    <cellStyle name="Prozent 3 2 2 2" xfId="431" xr:uid="{00000000-0005-0000-0000-0000B5010000}"/>
    <cellStyle name="Prozent 3 2 2 2 2" xfId="432" xr:uid="{00000000-0005-0000-0000-0000B6010000}"/>
    <cellStyle name="Prozent 3 2 2 3" xfId="433" xr:uid="{00000000-0005-0000-0000-0000B7010000}"/>
    <cellStyle name="Prozent 3 2 3" xfId="434" xr:uid="{00000000-0005-0000-0000-0000B8010000}"/>
    <cellStyle name="Prozent 3 2 3 2" xfId="435" xr:uid="{00000000-0005-0000-0000-0000B9010000}"/>
    <cellStyle name="Prozent 3 2 4" xfId="436" xr:uid="{00000000-0005-0000-0000-0000BA010000}"/>
    <cellStyle name="Prozent 3 2 4 2" xfId="437" xr:uid="{00000000-0005-0000-0000-0000BB010000}"/>
    <cellStyle name="Prozent 3 2 4 3" xfId="438" xr:uid="{00000000-0005-0000-0000-0000BC010000}"/>
    <cellStyle name="Prozent 3 2 5" xfId="439" xr:uid="{00000000-0005-0000-0000-0000BD010000}"/>
    <cellStyle name="Prozent 3 3" xfId="440" xr:uid="{00000000-0005-0000-0000-0000BE010000}"/>
    <cellStyle name="Prozent 3 3 2" xfId="441" xr:uid="{00000000-0005-0000-0000-0000BF010000}"/>
    <cellStyle name="Prozent 3 3 2 2" xfId="442" xr:uid="{00000000-0005-0000-0000-0000C0010000}"/>
    <cellStyle name="Prozent 3 3 3" xfId="443" xr:uid="{00000000-0005-0000-0000-0000C1010000}"/>
    <cellStyle name="Prozent 3 4" xfId="444" xr:uid="{00000000-0005-0000-0000-0000C2010000}"/>
    <cellStyle name="Prozent 3 4 2" xfId="445" xr:uid="{00000000-0005-0000-0000-0000C3010000}"/>
    <cellStyle name="Prozent 3 5" xfId="446" xr:uid="{00000000-0005-0000-0000-0000C4010000}"/>
    <cellStyle name="Prozent 4" xfId="447" xr:uid="{00000000-0005-0000-0000-0000C5010000}"/>
    <cellStyle name="Prozent 4 2" xfId="448" xr:uid="{00000000-0005-0000-0000-0000C6010000}"/>
    <cellStyle name="Prozent 4 2 2" xfId="449" xr:uid="{00000000-0005-0000-0000-0000C7010000}"/>
    <cellStyle name="Prozent 4 2 2 2" xfId="450" xr:uid="{00000000-0005-0000-0000-0000C8010000}"/>
    <cellStyle name="Prozent 4 2 2 2 2" xfId="451" xr:uid="{00000000-0005-0000-0000-0000C9010000}"/>
    <cellStyle name="Prozent 4 2 2 3" xfId="452" xr:uid="{00000000-0005-0000-0000-0000CA010000}"/>
    <cellStyle name="Prozent 4 2 3" xfId="453" xr:uid="{00000000-0005-0000-0000-0000CB010000}"/>
    <cellStyle name="Prozent 4 2 3 2" xfId="454" xr:uid="{00000000-0005-0000-0000-0000CC010000}"/>
    <cellStyle name="Prozent 4 2 4" xfId="455" xr:uid="{00000000-0005-0000-0000-0000CD010000}"/>
    <cellStyle name="Prozent 4 3" xfId="456" xr:uid="{00000000-0005-0000-0000-0000CE010000}"/>
    <cellStyle name="Prozent 4 3 2" xfId="457" xr:uid="{00000000-0005-0000-0000-0000CF010000}"/>
    <cellStyle name="Prozent 4 3 2 2" xfId="458" xr:uid="{00000000-0005-0000-0000-0000D0010000}"/>
    <cellStyle name="Prozent 4 3 3" xfId="459" xr:uid="{00000000-0005-0000-0000-0000D1010000}"/>
    <cellStyle name="Prozent 4 3 3 2" xfId="460" xr:uid="{00000000-0005-0000-0000-0000D2010000}"/>
    <cellStyle name="Prozent 4 3 4" xfId="461" xr:uid="{00000000-0005-0000-0000-0000D3010000}"/>
    <cellStyle name="Prozent 4 3 4 2" xfId="462" xr:uid="{00000000-0005-0000-0000-0000D4010000}"/>
    <cellStyle name="Prozent 4 3 4 3" xfId="463" xr:uid="{00000000-0005-0000-0000-0000D5010000}"/>
    <cellStyle name="Prozent 4 3 4 4" xfId="464" xr:uid="{00000000-0005-0000-0000-0000D6010000}"/>
    <cellStyle name="Prozent 4 3 4 4 2" xfId="465" xr:uid="{00000000-0005-0000-0000-0000D7010000}"/>
    <cellStyle name="Prozent 4 4" xfId="466" xr:uid="{00000000-0005-0000-0000-0000D8010000}"/>
    <cellStyle name="Prozent 4 4 2" xfId="467" xr:uid="{00000000-0005-0000-0000-0000D9010000}"/>
    <cellStyle name="Prozent 4 5" xfId="468" xr:uid="{00000000-0005-0000-0000-0000DA010000}"/>
    <cellStyle name="Prozent 5" xfId="469" xr:uid="{00000000-0005-0000-0000-0000DB010000}"/>
    <cellStyle name="Prozent 5 2" xfId="470" xr:uid="{00000000-0005-0000-0000-0000DC010000}"/>
    <cellStyle name="Prozent 5 2 2" xfId="471" xr:uid="{00000000-0005-0000-0000-0000DD010000}"/>
    <cellStyle name="Prozent 5 2 2 2" xfId="472" xr:uid="{00000000-0005-0000-0000-0000DE010000}"/>
    <cellStyle name="Prozent 5 2 3" xfId="473" xr:uid="{00000000-0005-0000-0000-0000DF010000}"/>
    <cellStyle name="Prozent 5 3" xfId="474" xr:uid="{00000000-0005-0000-0000-0000E0010000}"/>
    <cellStyle name="Prozent 5 3 2" xfId="475" xr:uid="{00000000-0005-0000-0000-0000E1010000}"/>
    <cellStyle name="Prozent 5 4" xfId="476" xr:uid="{00000000-0005-0000-0000-0000E2010000}"/>
    <cellStyle name="Prozent 5 4 2" xfId="477" xr:uid="{00000000-0005-0000-0000-0000E3010000}"/>
    <cellStyle name="Prozent 5 4 3" xfId="478" xr:uid="{00000000-0005-0000-0000-0000E4010000}"/>
    <cellStyle name="Prozent 5 4 3 2" xfId="479" xr:uid="{00000000-0005-0000-0000-0000E5010000}"/>
    <cellStyle name="Prozent 5 4 4" xfId="480" xr:uid="{00000000-0005-0000-0000-0000E6010000}"/>
    <cellStyle name="Prozent 5 4 4 2" xfId="481" xr:uid="{00000000-0005-0000-0000-0000E7010000}"/>
    <cellStyle name="Prozent 5 5" xfId="482" xr:uid="{00000000-0005-0000-0000-0000E8010000}"/>
    <cellStyle name="Prozent 5 5 2" xfId="483" xr:uid="{00000000-0005-0000-0000-0000E9010000}"/>
    <cellStyle name="Prozent 5 5 3" xfId="484" xr:uid="{00000000-0005-0000-0000-0000EA010000}"/>
    <cellStyle name="Prozent 5 5 4" xfId="485" xr:uid="{00000000-0005-0000-0000-0000EB010000}"/>
    <cellStyle name="Prozent 5 5 4 2" xfId="486" xr:uid="{00000000-0005-0000-0000-0000EC010000}"/>
    <cellStyle name="Prozent 6" xfId="487" xr:uid="{00000000-0005-0000-0000-0000ED010000}"/>
    <cellStyle name="Prozent 6 2" xfId="488" xr:uid="{00000000-0005-0000-0000-0000EE010000}"/>
    <cellStyle name="Prozent 6 2 2" xfId="489" xr:uid="{00000000-0005-0000-0000-0000EF010000}"/>
    <cellStyle name="Prozent 6 3" xfId="490" xr:uid="{00000000-0005-0000-0000-0000F0010000}"/>
    <cellStyle name="Prozent 7" xfId="491" xr:uid="{00000000-0005-0000-0000-0000F1010000}"/>
    <cellStyle name="Prozent 7 2" xfId="492" xr:uid="{00000000-0005-0000-0000-0000F2010000}"/>
    <cellStyle name="Prozent 7 2 2" xfId="493" xr:uid="{00000000-0005-0000-0000-0000F3010000}"/>
    <cellStyle name="Prozent 7 3" xfId="494" xr:uid="{00000000-0005-0000-0000-0000F4010000}"/>
    <cellStyle name="Prozent 8" xfId="495" xr:uid="{00000000-0005-0000-0000-0000F5010000}"/>
    <cellStyle name="Prozent 8 2" xfId="496" xr:uid="{00000000-0005-0000-0000-0000F6010000}"/>
    <cellStyle name="Prozent 8 2 2" xfId="497" xr:uid="{00000000-0005-0000-0000-0000F7010000}"/>
    <cellStyle name="Prozent 8 2 3" xfId="498" xr:uid="{00000000-0005-0000-0000-0000F8010000}"/>
    <cellStyle name="Prozent 8 3" xfId="499" xr:uid="{00000000-0005-0000-0000-0000F9010000}"/>
    <cellStyle name="Prozent 8 3 2" xfId="500" xr:uid="{00000000-0005-0000-0000-0000FA010000}"/>
    <cellStyle name="Prozent 8 3 2 2" xfId="501" xr:uid="{00000000-0005-0000-0000-0000FB010000}"/>
    <cellStyle name="Prozent 8 3 2 3" xfId="502" xr:uid="{00000000-0005-0000-0000-0000FC010000}"/>
    <cellStyle name="Prozent 8 3 3" xfId="503" xr:uid="{00000000-0005-0000-0000-0000FD010000}"/>
    <cellStyle name="Prozent 8 3 3 2" xfId="504" xr:uid="{00000000-0005-0000-0000-0000FE010000}"/>
    <cellStyle name="Prozent 8 3 3 3" xfId="505" xr:uid="{00000000-0005-0000-0000-0000FF010000}"/>
    <cellStyle name="Prozent 9" xfId="506" xr:uid="{00000000-0005-0000-0000-000000020000}"/>
    <cellStyle name="Schlecht 2" xfId="508" xr:uid="{00000000-0005-0000-0000-000001020000}"/>
    <cellStyle name="Schlecht 3" xfId="509" xr:uid="{00000000-0005-0000-0000-000002020000}"/>
    <cellStyle name="Standard 2" xfId="510" xr:uid="{00000000-0005-0000-0000-000004020000}"/>
    <cellStyle name="Standard 2 2" xfId="511" xr:uid="{00000000-0005-0000-0000-000005020000}"/>
    <cellStyle name="Standard 2 2 2" xfId="512" xr:uid="{00000000-0005-0000-0000-000006020000}"/>
    <cellStyle name="Standard 2 2 3" xfId="513" xr:uid="{00000000-0005-0000-0000-000007020000}"/>
    <cellStyle name="Standard 2 3" xfId="514" xr:uid="{00000000-0005-0000-0000-000008020000}"/>
    <cellStyle name="Standard 2 4" xfId="515" xr:uid="{00000000-0005-0000-0000-000009020000}"/>
    <cellStyle name="Standard 2 5" xfId="516" xr:uid="{00000000-0005-0000-0000-00000A020000}"/>
    <cellStyle name="Standard 2 6" xfId="517" xr:uid="{00000000-0005-0000-0000-00000B020000}"/>
    <cellStyle name="Standard 3" xfId="518" xr:uid="{00000000-0005-0000-0000-00000C020000}"/>
    <cellStyle name="Standard 3 2" xfId="519" xr:uid="{00000000-0005-0000-0000-00000D020000}"/>
    <cellStyle name="Standard 3 2 2" xfId="520" xr:uid="{00000000-0005-0000-0000-00000E020000}"/>
    <cellStyle name="Standard 3 2 2 2" xfId="521" xr:uid="{00000000-0005-0000-0000-00000F020000}"/>
    <cellStyle name="Standard 3 2 2 2 2" xfId="522" xr:uid="{00000000-0005-0000-0000-000010020000}"/>
    <cellStyle name="Standard 3 2 2 3" xfId="523" xr:uid="{00000000-0005-0000-0000-000011020000}"/>
    <cellStyle name="Standard 3 2 3" xfId="524" xr:uid="{00000000-0005-0000-0000-000012020000}"/>
    <cellStyle name="Standard 3 2 3 2" xfId="525" xr:uid="{00000000-0005-0000-0000-000013020000}"/>
    <cellStyle name="Standard 3 2 4" xfId="526" xr:uid="{00000000-0005-0000-0000-000014020000}"/>
    <cellStyle name="Standard 3 2 4 2" xfId="527" xr:uid="{00000000-0005-0000-0000-000015020000}"/>
    <cellStyle name="Standard 3 2 4 3" xfId="528" xr:uid="{00000000-0005-0000-0000-000016020000}"/>
    <cellStyle name="Standard 3 2 5" xfId="529" xr:uid="{00000000-0005-0000-0000-000017020000}"/>
    <cellStyle name="Standard 3 2 6" xfId="530" xr:uid="{00000000-0005-0000-0000-000018020000}"/>
    <cellStyle name="Standard 3 3" xfId="531" xr:uid="{00000000-0005-0000-0000-000019020000}"/>
    <cellStyle name="Standard 3 3 2" xfId="532" xr:uid="{00000000-0005-0000-0000-00001A020000}"/>
    <cellStyle name="Standard 3 3 2 2" xfId="533" xr:uid="{00000000-0005-0000-0000-00001B020000}"/>
    <cellStyle name="Standard 3 3 3" xfId="534" xr:uid="{00000000-0005-0000-0000-00001C020000}"/>
    <cellStyle name="Standard 3 4" xfId="535" xr:uid="{00000000-0005-0000-0000-00001D020000}"/>
    <cellStyle name="Standard 3 4 2" xfId="536" xr:uid="{00000000-0005-0000-0000-00001E020000}"/>
    <cellStyle name="Standard 3 5" xfId="537" xr:uid="{00000000-0005-0000-0000-00001F020000}"/>
    <cellStyle name="Standard 3 6" xfId="538" xr:uid="{00000000-0005-0000-0000-000020020000}"/>
    <cellStyle name="Standard 4" xfId="539" xr:uid="{00000000-0005-0000-0000-000021020000}"/>
    <cellStyle name="Standard 5" xfId="540" xr:uid="{00000000-0005-0000-0000-000022020000}"/>
    <cellStyle name="Standard 5 2" xfId="541" xr:uid="{00000000-0005-0000-0000-000023020000}"/>
    <cellStyle name="Standard_Bearbeitungsqualität 2011" xfId="542" xr:uid="{00000000-0005-0000-0000-000024020000}"/>
    <cellStyle name="Standard_Werte" xfId="543" xr:uid="{00000000-0005-0000-0000-000025020000}"/>
    <cellStyle name="Title" xfId="550" xr:uid="{00000000-0005-0000-0000-000026020000}"/>
    <cellStyle name="Title 2" xfId="544" xr:uid="{00000000-0005-0000-0000-000027020000}"/>
    <cellStyle name="Title 2 2" xfId="545" xr:uid="{00000000-0005-0000-0000-000028020000}"/>
    <cellStyle name="Title 3" xfId="546" xr:uid="{00000000-0005-0000-0000-000029020000}"/>
    <cellStyle name="Title 4" xfId="547" xr:uid="{00000000-0005-0000-0000-00002A020000}"/>
    <cellStyle name="Title 5" xfId="548" xr:uid="{00000000-0005-0000-0000-00002B020000}"/>
    <cellStyle name="Total 2" xfId="549" xr:uid="{00000000-0005-0000-0000-00002C020000}"/>
    <cellStyle name="Überschrift 1 2" xfId="552" xr:uid="{00000000-0005-0000-0000-00002D020000}"/>
    <cellStyle name="Überschrift 1 3" xfId="553" xr:uid="{00000000-0005-0000-0000-00002E020000}"/>
    <cellStyle name="Überschrift 2 2" xfId="555" xr:uid="{00000000-0005-0000-0000-00002F020000}"/>
    <cellStyle name="Überschrift 2 3" xfId="556" xr:uid="{00000000-0005-0000-0000-000030020000}"/>
    <cellStyle name="Überschrift 3 2" xfId="558" xr:uid="{00000000-0005-0000-0000-000031020000}"/>
    <cellStyle name="Überschrift 3 3" xfId="559" xr:uid="{00000000-0005-0000-0000-000032020000}"/>
    <cellStyle name="Überschrift 4 2" xfId="561" xr:uid="{00000000-0005-0000-0000-000033020000}"/>
    <cellStyle name="Überschrift 4 3" xfId="562" xr:uid="{00000000-0005-0000-0000-000034020000}"/>
    <cellStyle name="Überschrift 5" xfId="563" xr:uid="{00000000-0005-0000-0000-000035020000}"/>
    <cellStyle name="Überschrift 6" xfId="564" xr:uid="{00000000-0005-0000-0000-000036020000}"/>
    <cellStyle name="Verknüpfte Zelle 2" xfId="566" xr:uid="{00000000-0005-0000-0000-000037020000}"/>
    <cellStyle name="Verknüpfte Zelle 3" xfId="567" xr:uid="{00000000-0005-0000-0000-000038020000}"/>
    <cellStyle name="Warnender Text 2" xfId="568" xr:uid="{00000000-0005-0000-0000-000039020000}"/>
    <cellStyle name="Warnender Text 2 2" xfId="569" xr:uid="{00000000-0005-0000-0000-00003A020000}"/>
    <cellStyle name="Warnender Text 2 3" xfId="570" xr:uid="{00000000-0005-0000-0000-00003B020000}"/>
    <cellStyle name="Warnender Text 2 3 2" xfId="571" xr:uid="{00000000-0005-0000-0000-00003C020000}"/>
    <cellStyle name="Warnender Text 3" xfId="572" xr:uid="{00000000-0005-0000-0000-00003D020000}"/>
    <cellStyle name="Warnender Text 4" xfId="573" xr:uid="{00000000-0005-0000-0000-00003E020000}"/>
    <cellStyle name="Warnender Text 5" xfId="574" xr:uid="{00000000-0005-0000-0000-00003F020000}"/>
    <cellStyle name="Warnender Text 6" xfId="575" xr:uid="{00000000-0005-0000-0000-000040020000}"/>
    <cellStyle name="Zelle überprüfen 2" xfId="577" xr:uid="{00000000-0005-0000-0000-000041020000}"/>
    <cellStyle name="Zelle überprüfen 2 2" xfId="578" xr:uid="{00000000-0005-0000-0000-000042020000}"/>
    <cellStyle name="Zelle überprüfen 3" xfId="579" xr:uid="{00000000-0005-0000-0000-000043020000}"/>
    <cellStyle name="Zelle überprüfen 4" xfId="580" xr:uid="{00000000-0005-0000-0000-000044020000}"/>
  </cellStyles>
  <dxfs count="13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4" tint="0.79998168889431442"/>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indexed="23"/>
        </patternFill>
      </fill>
    </dxf>
    <dxf>
      <fill>
        <patternFill>
          <bgColor indexed="42"/>
        </patternFill>
      </fill>
    </dxf>
    <dxf>
      <fill>
        <patternFill>
          <bgColor indexed="10"/>
        </patternFill>
      </fill>
    </dxf>
    <dxf>
      <fill>
        <patternFill>
          <bgColor theme="0" tint="-0.24994659260841701"/>
        </patternFill>
      </fill>
    </dxf>
    <dxf>
      <fill>
        <patternFill>
          <bgColor indexed="23"/>
        </patternFill>
      </fill>
    </dxf>
    <dxf>
      <fill>
        <patternFill>
          <bgColor indexed="10"/>
        </patternFill>
      </fill>
    </dxf>
    <dxf>
      <fill>
        <patternFill>
          <bgColor indexed="43"/>
        </patternFill>
      </fill>
    </dxf>
    <dxf>
      <fill>
        <patternFill>
          <bgColor indexed="42"/>
        </patternFill>
      </fill>
    </dxf>
    <dxf>
      <fill>
        <patternFill patternType="solid">
          <bgColor indexed="9"/>
        </patternFill>
      </fill>
    </dxf>
    <dxf>
      <fill>
        <patternFill>
          <bgColor indexed="42"/>
        </patternFill>
      </fill>
    </dxf>
    <dxf>
      <fill>
        <patternFill patternType="none">
          <bgColor indexed="65"/>
        </patternFill>
      </fill>
    </dxf>
    <dxf>
      <fill>
        <patternFill>
          <bgColor theme="0" tint="-0.24994659260841701"/>
        </patternFill>
      </fill>
    </dxf>
    <dxf>
      <fill>
        <patternFill>
          <bgColor indexed="23"/>
        </patternFill>
      </fill>
    </dxf>
    <dxf>
      <fill>
        <patternFill>
          <bgColor indexed="10"/>
        </patternFill>
      </fill>
    </dxf>
    <dxf>
      <fill>
        <patternFill patternType="none">
          <bgColor indexed="65"/>
        </patternFill>
      </fill>
    </dxf>
    <dxf>
      <fill>
        <patternFill>
          <bgColor indexed="23"/>
        </patternFill>
      </fill>
    </dxf>
    <dxf>
      <fill>
        <patternFill>
          <bgColor rgb="FFCCFFCC"/>
        </patternFill>
      </fill>
    </dxf>
    <dxf>
      <fill>
        <patternFill>
          <bgColor indexed="23"/>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border>
        <left/>
        <right/>
        <top/>
        <bottom/>
      </border>
    </dxf>
    <dxf>
      <border>
        <left style="thin">
          <color indexed="64"/>
        </left>
        <right style="thin">
          <color indexed="64"/>
        </right>
        <top style="thin">
          <color indexed="64"/>
        </top>
        <bottom style="thin">
          <color indexed="64"/>
        </bottom>
      </border>
    </dxf>
    <dxf>
      <fill>
        <patternFill>
          <bgColor theme="4" tint="0.79998168889431442"/>
        </patternFill>
      </fill>
    </dxf>
    <dxf>
      <fill>
        <patternFill>
          <bgColor theme="0" tint="-0.24994659260841701"/>
        </patternFill>
      </fill>
    </dxf>
    <dxf>
      <fill>
        <patternFill>
          <bgColor indexed="10"/>
        </patternFill>
      </fill>
    </dxf>
    <dxf>
      <fill>
        <patternFill>
          <bgColor rgb="FF99FF66"/>
        </patternFill>
      </fill>
    </dxf>
    <dxf>
      <fill>
        <patternFill>
          <bgColor indexed="43"/>
        </patternFill>
      </fill>
    </dxf>
    <dxf>
      <fill>
        <patternFill>
          <bgColor rgb="FF99FF66"/>
        </patternFill>
      </fill>
    </dxf>
    <dxf>
      <fill>
        <patternFill>
          <bgColor rgb="FF99FF66"/>
        </patternFill>
      </fill>
    </dxf>
    <dxf>
      <fill>
        <patternFill>
          <bgColor rgb="FFCCFFCC"/>
        </patternFill>
      </fill>
    </dxf>
    <dxf>
      <fill>
        <patternFill>
          <bgColor indexed="42"/>
        </patternFill>
      </fill>
    </dxf>
    <dxf>
      <fill>
        <patternFill>
          <bgColor indexed="42"/>
        </patternFill>
      </fill>
    </dxf>
    <dxf>
      <fill>
        <patternFill>
          <bgColor indexed="43"/>
        </patternFill>
      </fill>
    </dxf>
    <dxf>
      <fill>
        <patternFill>
          <bgColor rgb="FF99FF66"/>
        </patternFill>
      </fill>
    </dxf>
    <dxf>
      <fill>
        <patternFill>
          <bgColor rgb="FFCCFFCC"/>
        </patternFill>
      </fill>
    </dxf>
    <dxf>
      <fill>
        <patternFill>
          <bgColor indexed="10"/>
        </patternFill>
      </fill>
    </dxf>
    <dxf>
      <fill>
        <patternFill>
          <bgColor indexed="42"/>
        </patternFill>
      </fill>
    </dxf>
    <dxf>
      <fill>
        <patternFill>
          <bgColor rgb="FFCCFFCC"/>
        </patternFill>
      </fill>
    </dxf>
    <dxf>
      <fill>
        <patternFill>
          <bgColor indexed="43"/>
        </patternFill>
      </fill>
    </dxf>
    <dxf>
      <fill>
        <patternFill>
          <bgColor rgb="FF99FF66"/>
        </patternFill>
      </fill>
    </dxf>
    <dxf>
      <fill>
        <patternFill>
          <bgColor rgb="FF99FF66"/>
        </patternFill>
      </fill>
    </dxf>
    <dxf>
      <fill>
        <patternFill>
          <bgColor indexed="4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lightUp">
          <fgColor theme="1"/>
        </patternFill>
      </fill>
    </dxf>
    <dxf>
      <fill>
        <patternFill>
          <bgColor rgb="FFC0C0C0"/>
        </patternFill>
      </fill>
    </dxf>
    <dxf>
      <fill>
        <patternFill patternType="lightUp">
          <fgColor theme="1"/>
        </patternFill>
      </fill>
    </dxf>
    <dxf>
      <fill>
        <patternFill>
          <bgColor rgb="FFC0C0C0"/>
        </patternFill>
      </fill>
    </dxf>
    <dxf>
      <fill>
        <patternFill>
          <bgColor rgb="FFC0C0C0"/>
        </patternFill>
      </fill>
    </dxf>
    <dxf>
      <fill>
        <patternFill>
          <bgColor rgb="FFC0C0C0"/>
        </patternFill>
      </fill>
    </dxf>
    <dxf>
      <font>
        <b val="0"/>
        <i val="0"/>
        <strike val="0"/>
        <condense val="0"/>
        <extend val="0"/>
        <outline val="0"/>
        <shadow val="0"/>
        <u val="none"/>
        <vertAlign val="baseline"/>
        <sz val="8"/>
        <color indexed="8"/>
        <name val="Arial"/>
        <scheme val="none"/>
      </font>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border diagonalUp="0" diagonalDown="0">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8"/>
        <color indexed="8"/>
        <name val="Arial"/>
        <scheme val="none"/>
      </font>
    </dxf>
    <dxf>
      <border outline="0">
        <bottom style="thin">
          <color indexed="64"/>
        </bottom>
      </border>
    </dxf>
    <dxf>
      <font>
        <b/>
        <i val="0"/>
        <strike val="0"/>
        <condense val="0"/>
        <extend val="0"/>
        <outline val="0"/>
        <shadow val="0"/>
        <u val="none"/>
        <vertAlign val="baseline"/>
        <sz val="8"/>
        <color auto="1"/>
        <name val="Arial"/>
        <scheme val="none"/>
      </font>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9D9D9"/>
      <color rgb="FFD6FFD6"/>
      <color rgb="FFFF7C80"/>
      <color rgb="FFCCFFCC"/>
      <color rgb="FF99FF66"/>
      <color rgb="FFFFFFCC"/>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8.png"/><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13</xdr:col>
      <xdr:colOff>480123</xdr:colOff>
      <xdr:row>20</xdr:row>
      <xdr:rowOff>9525</xdr:rowOff>
    </xdr:from>
    <xdr:to>
      <xdr:col>14</xdr:col>
      <xdr:colOff>0</xdr:colOff>
      <xdr:row>20</xdr:row>
      <xdr:rowOff>114300</xdr:rowOff>
    </xdr:to>
    <xdr:pic>
      <xdr:nvPicPr>
        <xdr:cNvPr id="200006" name="Grafik 22">
          <a:extLst>
            <a:ext uri="{FF2B5EF4-FFF2-40B4-BE49-F238E27FC236}">
              <a16:creationId xmlns:a16="http://schemas.microsoft.com/office/drawing/2014/main" id="{00000000-0008-0000-0000-000046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04773" y="3009900"/>
          <a:ext cx="10090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13</xdr:row>
      <xdr:rowOff>9525</xdr:rowOff>
    </xdr:from>
    <xdr:to>
      <xdr:col>14</xdr:col>
      <xdr:colOff>0</xdr:colOff>
      <xdr:row>13</xdr:row>
      <xdr:rowOff>114300</xdr:rowOff>
    </xdr:to>
    <xdr:pic>
      <xdr:nvPicPr>
        <xdr:cNvPr id="200007" name="Grafik 25">
          <a:extLst>
            <a:ext uri="{FF2B5EF4-FFF2-40B4-BE49-F238E27FC236}">
              <a16:creationId xmlns:a16="http://schemas.microsoft.com/office/drawing/2014/main" id="{00000000-0008-0000-0000-000047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0892" y="1893591"/>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5</xdr:row>
      <xdr:rowOff>9525</xdr:rowOff>
    </xdr:from>
    <xdr:to>
      <xdr:col>6</xdr:col>
      <xdr:colOff>0</xdr:colOff>
      <xdr:row>5</xdr:row>
      <xdr:rowOff>104775</xdr:rowOff>
    </xdr:to>
    <xdr:pic>
      <xdr:nvPicPr>
        <xdr:cNvPr id="200008" name="Grafik 26">
          <a:extLst>
            <a:ext uri="{FF2B5EF4-FFF2-40B4-BE49-F238E27FC236}">
              <a16:creationId xmlns:a16="http://schemas.microsoft.com/office/drawing/2014/main" id="{00000000-0008-0000-0000-000048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9048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480123</xdr:colOff>
      <xdr:row>11</xdr:row>
      <xdr:rowOff>9525</xdr:rowOff>
    </xdr:from>
    <xdr:to>
      <xdr:col>14</xdr:col>
      <xdr:colOff>0</xdr:colOff>
      <xdr:row>11</xdr:row>
      <xdr:rowOff>114300</xdr:rowOff>
    </xdr:to>
    <xdr:pic>
      <xdr:nvPicPr>
        <xdr:cNvPr id="200012" name="Grafik 25">
          <a:extLst>
            <a:ext uri="{FF2B5EF4-FFF2-40B4-BE49-F238E27FC236}">
              <a16:creationId xmlns:a16="http://schemas.microsoft.com/office/drawing/2014/main" id="{00000000-0008-0000-0000-00004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0892" y="1621448"/>
          <a:ext cx="1060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15</xdr:row>
      <xdr:rowOff>9525</xdr:rowOff>
    </xdr:from>
    <xdr:to>
      <xdr:col>6</xdr:col>
      <xdr:colOff>0</xdr:colOff>
      <xdr:row>15</xdr:row>
      <xdr:rowOff>114300</xdr:rowOff>
    </xdr:to>
    <xdr:pic>
      <xdr:nvPicPr>
        <xdr:cNvPr id="200013" name="Grafik 25">
          <a:extLst>
            <a:ext uri="{FF2B5EF4-FFF2-40B4-BE49-F238E27FC236}">
              <a16:creationId xmlns:a16="http://schemas.microsoft.com/office/drawing/2014/main" id="{00000000-0008-0000-0000-00004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38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323850</xdr:colOff>
      <xdr:row>24</xdr:row>
      <xdr:rowOff>9525</xdr:rowOff>
    </xdr:from>
    <xdr:to>
      <xdr:col>3</xdr:col>
      <xdr:colOff>0</xdr:colOff>
      <xdr:row>24</xdr:row>
      <xdr:rowOff>114300</xdr:rowOff>
    </xdr:to>
    <xdr:pic>
      <xdr:nvPicPr>
        <xdr:cNvPr id="86" name="Grafik 22">
          <a:extLst>
            <a:ext uri="{FF2B5EF4-FFF2-40B4-BE49-F238E27FC236}">
              <a16:creationId xmlns:a16="http://schemas.microsoft.com/office/drawing/2014/main" id="{BE5425C2-56FF-4752-BBCB-E62287556D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2575" y="384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7" name="Grafik 22">
          <a:extLst>
            <a:ext uri="{FF2B5EF4-FFF2-40B4-BE49-F238E27FC236}">
              <a16:creationId xmlns:a16="http://schemas.microsoft.com/office/drawing/2014/main" id="{BFC66575-8897-4436-B7D9-5F9295AE70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8" name="Grafik 22">
          <a:extLst>
            <a:ext uri="{FF2B5EF4-FFF2-40B4-BE49-F238E27FC236}">
              <a16:creationId xmlns:a16="http://schemas.microsoft.com/office/drawing/2014/main" id="{5F425C6F-A0BC-4C98-8885-A8B3FD97C5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505244</xdr:colOff>
      <xdr:row>26</xdr:row>
      <xdr:rowOff>10048</xdr:rowOff>
    </xdr:from>
    <xdr:to>
      <xdr:col>7</xdr:col>
      <xdr:colOff>419</xdr:colOff>
      <xdr:row>26</xdr:row>
      <xdr:rowOff>114823</xdr:rowOff>
    </xdr:to>
    <xdr:pic>
      <xdr:nvPicPr>
        <xdr:cNvPr id="99" name="Grafik 22">
          <a:extLst>
            <a:ext uri="{FF2B5EF4-FFF2-40B4-BE49-F238E27FC236}">
              <a16:creationId xmlns:a16="http://schemas.microsoft.com/office/drawing/2014/main" id="{AD292826-4C42-4E53-B243-E312AF7FA3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444" y="4353448"/>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100" name="Grafik 22">
          <a:extLst>
            <a:ext uri="{FF2B5EF4-FFF2-40B4-BE49-F238E27FC236}">
              <a16:creationId xmlns:a16="http://schemas.microsoft.com/office/drawing/2014/main" id="{84B96A6E-4CAD-46E3-AA5D-CE16E15EE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5848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101" name="Grafik 22">
          <a:extLst>
            <a:ext uri="{FF2B5EF4-FFF2-40B4-BE49-F238E27FC236}">
              <a16:creationId xmlns:a16="http://schemas.microsoft.com/office/drawing/2014/main" id="{A84CA4F5-4983-48DD-AA28-0FBE105C46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102" name="Grafik 22">
          <a:extLst>
            <a:ext uri="{FF2B5EF4-FFF2-40B4-BE49-F238E27FC236}">
              <a16:creationId xmlns:a16="http://schemas.microsoft.com/office/drawing/2014/main" id="{50DB56A3-96D7-4AB7-A34B-9EB8AB1B4B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19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103" name="Grafik 22">
          <a:extLst>
            <a:ext uri="{FF2B5EF4-FFF2-40B4-BE49-F238E27FC236}">
              <a16:creationId xmlns:a16="http://schemas.microsoft.com/office/drawing/2014/main" id="{AA5A7396-37A5-43C2-AD55-F39B0DDAC2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362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104" name="Grafik 22">
          <a:extLst>
            <a:ext uri="{FF2B5EF4-FFF2-40B4-BE49-F238E27FC236}">
              <a16:creationId xmlns:a16="http://schemas.microsoft.com/office/drawing/2014/main" id="{30C199D1-85FB-4163-A40D-05DF5C09FF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534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105" name="Grafik 22">
          <a:extLst>
            <a:ext uri="{FF2B5EF4-FFF2-40B4-BE49-F238E27FC236}">
              <a16:creationId xmlns:a16="http://schemas.microsoft.com/office/drawing/2014/main" id="{448182FC-1DB0-4B77-A2E0-3A8060D58F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705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28</xdr:row>
      <xdr:rowOff>9525</xdr:rowOff>
    </xdr:from>
    <xdr:to>
      <xdr:col>6</xdr:col>
      <xdr:colOff>0</xdr:colOff>
      <xdr:row>28</xdr:row>
      <xdr:rowOff>114300</xdr:rowOff>
    </xdr:to>
    <xdr:pic>
      <xdr:nvPicPr>
        <xdr:cNvPr id="107" name="Grafik 22">
          <a:extLst>
            <a:ext uri="{FF2B5EF4-FFF2-40B4-BE49-F238E27FC236}">
              <a16:creationId xmlns:a16="http://schemas.microsoft.com/office/drawing/2014/main" id="{6E24CF1B-C7BD-401F-A458-EF573120BD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276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29</xdr:row>
      <xdr:rowOff>9525</xdr:rowOff>
    </xdr:from>
    <xdr:to>
      <xdr:col>6</xdr:col>
      <xdr:colOff>0</xdr:colOff>
      <xdr:row>29</xdr:row>
      <xdr:rowOff>114300</xdr:rowOff>
    </xdr:to>
    <xdr:pic>
      <xdr:nvPicPr>
        <xdr:cNvPr id="108" name="Grafik 22">
          <a:extLst>
            <a:ext uri="{FF2B5EF4-FFF2-40B4-BE49-F238E27FC236}">
              <a16:creationId xmlns:a16="http://schemas.microsoft.com/office/drawing/2014/main" id="{2680A01C-C37F-45E8-879A-29997D51D3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4484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34</xdr:row>
      <xdr:rowOff>9525</xdr:rowOff>
    </xdr:from>
    <xdr:to>
      <xdr:col>6</xdr:col>
      <xdr:colOff>0</xdr:colOff>
      <xdr:row>34</xdr:row>
      <xdr:rowOff>114300</xdr:rowOff>
    </xdr:to>
    <xdr:pic>
      <xdr:nvPicPr>
        <xdr:cNvPr id="113" name="Grafik 22">
          <a:extLst>
            <a:ext uri="{FF2B5EF4-FFF2-40B4-BE49-F238E27FC236}">
              <a16:creationId xmlns:a16="http://schemas.microsoft.com/office/drawing/2014/main" id="{A9D6BC2C-E29A-401A-8D7A-F7089BED59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305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35</xdr:row>
      <xdr:rowOff>9525</xdr:rowOff>
    </xdr:from>
    <xdr:to>
      <xdr:col>6</xdr:col>
      <xdr:colOff>0</xdr:colOff>
      <xdr:row>35</xdr:row>
      <xdr:rowOff>114300</xdr:rowOff>
    </xdr:to>
    <xdr:pic>
      <xdr:nvPicPr>
        <xdr:cNvPr id="114" name="Grafik 22">
          <a:extLst>
            <a:ext uri="{FF2B5EF4-FFF2-40B4-BE49-F238E27FC236}">
              <a16:creationId xmlns:a16="http://schemas.microsoft.com/office/drawing/2014/main" id="{93B3189B-DA93-4111-A2B1-D6521DBDC2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115" name="Grafik 22">
          <a:extLst>
            <a:ext uri="{FF2B5EF4-FFF2-40B4-BE49-F238E27FC236}">
              <a16:creationId xmlns:a16="http://schemas.microsoft.com/office/drawing/2014/main" id="{1241EE9A-C04B-464D-843F-B8B61D751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877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116" name="Grafik 22">
          <a:extLst>
            <a:ext uri="{FF2B5EF4-FFF2-40B4-BE49-F238E27FC236}">
              <a16:creationId xmlns:a16="http://schemas.microsoft.com/office/drawing/2014/main" id="{8B171299-E006-4F36-9664-8C7FE0E1E6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048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117" name="Grafik 22">
          <a:extLst>
            <a:ext uri="{FF2B5EF4-FFF2-40B4-BE49-F238E27FC236}">
              <a16:creationId xmlns:a16="http://schemas.microsoft.com/office/drawing/2014/main" id="{6BB87A9E-E213-4437-9C85-5C2B0EA5EE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219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27</xdr:row>
      <xdr:rowOff>9525</xdr:rowOff>
    </xdr:from>
    <xdr:to>
      <xdr:col>5</xdr:col>
      <xdr:colOff>0</xdr:colOff>
      <xdr:row>27</xdr:row>
      <xdr:rowOff>114300</xdr:rowOff>
    </xdr:to>
    <xdr:pic>
      <xdr:nvPicPr>
        <xdr:cNvPr id="118" name="Grafik 22">
          <a:extLst>
            <a:ext uri="{FF2B5EF4-FFF2-40B4-BE49-F238E27FC236}">
              <a16:creationId xmlns:a16="http://schemas.microsoft.com/office/drawing/2014/main" id="{76F24469-346B-4D56-9E1D-2EBFFCB22D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5848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28</xdr:row>
      <xdr:rowOff>9525</xdr:rowOff>
    </xdr:from>
    <xdr:to>
      <xdr:col>5</xdr:col>
      <xdr:colOff>0</xdr:colOff>
      <xdr:row>28</xdr:row>
      <xdr:rowOff>114300</xdr:rowOff>
    </xdr:to>
    <xdr:pic>
      <xdr:nvPicPr>
        <xdr:cNvPr id="119" name="Grafik 22">
          <a:extLst>
            <a:ext uri="{FF2B5EF4-FFF2-40B4-BE49-F238E27FC236}">
              <a16:creationId xmlns:a16="http://schemas.microsoft.com/office/drawing/2014/main" id="{8F2A2E7B-138F-46AF-80B4-916929DD72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29</xdr:row>
      <xdr:rowOff>9525</xdr:rowOff>
    </xdr:from>
    <xdr:to>
      <xdr:col>5</xdr:col>
      <xdr:colOff>0</xdr:colOff>
      <xdr:row>29</xdr:row>
      <xdr:rowOff>114300</xdr:rowOff>
    </xdr:to>
    <xdr:pic>
      <xdr:nvPicPr>
        <xdr:cNvPr id="120" name="Grafik 22">
          <a:extLst>
            <a:ext uri="{FF2B5EF4-FFF2-40B4-BE49-F238E27FC236}">
              <a16:creationId xmlns:a16="http://schemas.microsoft.com/office/drawing/2014/main" id="{0FEC22DE-1C70-4586-AED6-63E18123A0D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19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30</xdr:row>
      <xdr:rowOff>9525</xdr:rowOff>
    </xdr:from>
    <xdr:to>
      <xdr:col>5</xdr:col>
      <xdr:colOff>0</xdr:colOff>
      <xdr:row>30</xdr:row>
      <xdr:rowOff>114300</xdr:rowOff>
    </xdr:to>
    <xdr:pic>
      <xdr:nvPicPr>
        <xdr:cNvPr id="121" name="Grafik 22">
          <a:extLst>
            <a:ext uri="{FF2B5EF4-FFF2-40B4-BE49-F238E27FC236}">
              <a16:creationId xmlns:a16="http://schemas.microsoft.com/office/drawing/2014/main" id="{9A45A1CE-9149-42A0-B671-DE41BC749AF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362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31</xdr:row>
      <xdr:rowOff>9525</xdr:rowOff>
    </xdr:from>
    <xdr:to>
      <xdr:col>5</xdr:col>
      <xdr:colOff>0</xdr:colOff>
      <xdr:row>31</xdr:row>
      <xdr:rowOff>114300</xdr:rowOff>
    </xdr:to>
    <xdr:pic>
      <xdr:nvPicPr>
        <xdr:cNvPr id="122" name="Grafik 22">
          <a:extLst>
            <a:ext uri="{FF2B5EF4-FFF2-40B4-BE49-F238E27FC236}">
              <a16:creationId xmlns:a16="http://schemas.microsoft.com/office/drawing/2014/main" id="{2659E6D8-4A53-4584-9EDA-11A97DEA45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534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32</xdr:row>
      <xdr:rowOff>9525</xdr:rowOff>
    </xdr:from>
    <xdr:to>
      <xdr:col>5</xdr:col>
      <xdr:colOff>0</xdr:colOff>
      <xdr:row>32</xdr:row>
      <xdr:rowOff>114300</xdr:rowOff>
    </xdr:to>
    <xdr:pic>
      <xdr:nvPicPr>
        <xdr:cNvPr id="123" name="Grafik 22">
          <a:extLst>
            <a:ext uri="{FF2B5EF4-FFF2-40B4-BE49-F238E27FC236}">
              <a16:creationId xmlns:a16="http://schemas.microsoft.com/office/drawing/2014/main" id="{BF2889EF-0DBE-4DB5-9E2A-6BA6DDF029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7056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27</xdr:row>
      <xdr:rowOff>9525</xdr:rowOff>
    </xdr:from>
    <xdr:to>
      <xdr:col>6</xdr:col>
      <xdr:colOff>0</xdr:colOff>
      <xdr:row>27</xdr:row>
      <xdr:rowOff>114300</xdr:rowOff>
    </xdr:to>
    <xdr:pic>
      <xdr:nvPicPr>
        <xdr:cNvPr id="124" name="Grafik 22">
          <a:extLst>
            <a:ext uri="{FF2B5EF4-FFF2-40B4-BE49-F238E27FC236}">
              <a16:creationId xmlns:a16="http://schemas.microsoft.com/office/drawing/2014/main" id="{15D18A08-F904-48D5-8004-BEB9FA60E47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105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30</xdr:row>
      <xdr:rowOff>9525</xdr:rowOff>
    </xdr:from>
    <xdr:to>
      <xdr:col>6</xdr:col>
      <xdr:colOff>0</xdr:colOff>
      <xdr:row>30</xdr:row>
      <xdr:rowOff>114300</xdr:rowOff>
    </xdr:to>
    <xdr:pic>
      <xdr:nvPicPr>
        <xdr:cNvPr id="127" name="Grafik 22">
          <a:extLst>
            <a:ext uri="{FF2B5EF4-FFF2-40B4-BE49-F238E27FC236}">
              <a16:creationId xmlns:a16="http://schemas.microsoft.com/office/drawing/2014/main" id="{56129E6E-276A-40EC-BBAA-F724637C28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31</xdr:row>
      <xdr:rowOff>9525</xdr:rowOff>
    </xdr:from>
    <xdr:to>
      <xdr:col>6</xdr:col>
      <xdr:colOff>0</xdr:colOff>
      <xdr:row>31</xdr:row>
      <xdr:rowOff>114300</xdr:rowOff>
    </xdr:to>
    <xdr:pic>
      <xdr:nvPicPr>
        <xdr:cNvPr id="128" name="Grafik 22">
          <a:extLst>
            <a:ext uri="{FF2B5EF4-FFF2-40B4-BE49-F238E27FC236}">
              <a16:creationId xmlns:a16="http://schemas.microsoft.com/office/drawing/2014/main" id="{A64BCE81-ED7C-4521-A7C7-3D132A3912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791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32</xdr:row>
      <xdr:rowOff>9525</xdr:rowOff>
    </xdr:from>
    <xdr:to>
      <xdr:col>6</xdr:col>
      <xdr:colOff>0</xdr:colOff>
      <xdr:row>32</xdr:row>
      <xdr:rowOff>114300</xdr:rowOff>
    </xdr:to>
    <xdr:pic>
      <xdr:nvPicPr>
        <xdr:cNvPr id="129" name="Grafik 22">
          <a:extLst>
            <a:ext uri="{FF2B5EF4-FFF2-40B4-BE49-F238E27FC236}">
              <a16:creationId xmlns:a16="http://schemas.microsoft.com/office/drawing/2014/main" id="{1907F5B8-3201-457F-80B6-BF48A89484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6962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33</xdr:row>
      <xdr:rowOff>9525</xdr:rowOff>
    </xdr:from>
    <xdr:to>
      <xdr:col>6</xdr:col>
      <xdr:colOff>0</xdr:colOff>
      <xdr:row>33</xdr:row>
      <xdr:rowOff>114300</xdr:rowOff>
    </xdr:to>
    <xdr:pic>
      <xdr:nvPicPr>
        <xdr:cNvPr id="130" name="Grafik 22">
          <a:extLst>
            <a:ext uri="{FF2B5EF4-FFF2-40B4-BE49-F238E27FC236}">
              <a16:creationId xmlns:a16="http://schemas.microsoft.com/office/drawing/2014/main" id="{F20750C4-9DFE-4E71-B5A6-E840A59AEE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134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33</xdr:row>
      <xdr:rowOff>9525</xdr:rowOff>
    </xdr:from>
    <xdr:to>
      <xdr:col>5</xdr:col>
      <xdr:colOff>0</xdr:colOff>
      <xdr:row>33</xdr:row>
      <xdr:rowOff>114300</xdr:rowOff>
    </xdr:to>
    <xdr:pic>
      <xdr:nvPicPr>
        <xdr:cNvPr id="133" name="Grafik 22">
          <a:extLst>
            <a:ext uri="{FF2B5EF4-FFF2-40B4-BE49-F238E27FC236}">
              <a16:creationId xmlns:a16="http://schemas.microsoft.com/office/drawing/2014/main" id="{A86D43A6-9606-448E-AE16-812F0AB3E4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6877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34</xdr:row>
      <xdr:rowOff>9525</xdr:rowOff>
    </xdr:from>
    <xdr:to>
      <xdr:col>5</xdr:col>
      <xdr:colOff>0</xdr:colOff>
      <xdr:row>34</xdr:row>
      <xdr:rowOff>114300</xdr:rowOff>
    </xdr:to>
    <xdr:pic>
      <xdr:nvPicPr>
        <xdr:cNvPr id="134" name="Grafik 22">
          <a:extLst>
            <a:ext uri="{FF2B5EF4-FFF2-40B4-BE49-F238E27FC236}">
              <a16:creationId xmlns:a16="http://schemas.microsoft.com/office/drawing/2014/main" id="{B4D3CE74-F90C-40FC-BD9D-A3FDE6D5D8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048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35</xdr:row>
      <xdr:rowOff>9525</xdr:rowOff>
    </xdr:from>
    <xdr:to>
      <xdr:col>5</xdr:col>
      <xdr:colOff>0</xdr:colOff>
      <xdr:row>35</xdr:row>
      <xdr:rowOff>114300</xdr:rowOff>
    </xdr:to>
    <xdr:pic>
      <xdr:nvPicPr>
        <xdr:cNvPr id="135" name="Grafik 22">
          <a:extLst>
            <a:ext uri="{FF2B5EF4-FFF2-40B4-BE49-F238E27FC236}">
              <a16:creationId xmlns:a16="http://schemas.microsoft.com/office/drawing/2014/main" id="{D01E9725-9C34-4E18-8407-2FA38295B5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7219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495300</xdr:colOff>
      <xdr:row>37</xdr:row>
      <xdr:rowOff>9525</xdr:rowOff>
    </xdr:from>
    <xdr:to>
      <xdr:col>6</xdr:col>
      <xdr:colOff>0</xdr:colOff>
      <xdr:row>37</xdr:row>
      <xdr:rowOff>114300</xdr:rowOff>
    </xdr:to>
    <xdr:pic>
      <xdr:nvPicPr>
        <xdr:cNvPr id="136" name="Grafik 22">
          <a:extLst>
            <a:ext uri="{FF2B5EF4-FFF2-40B4-BE49-F238E27FC236}">
              <a16:creationId xmlns:a16="http://schemas.microsoft.com/office/drawing/2014/main" id="{2A00D54A-13D2-44CE-BFF5-49B1CD1F22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648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438150</xdr:colOff>
      <xdr:row>37</xdr:row>
      <xdr:rowOff>9525</xdr:rowOff>
    </xdr:from>
    <xdr:to>
      <xdr:col>5</xdr:col>
      <xdr:colOff>0</xdr:colOff>
      <xdr:row>37</xdr:row>
      <xdr:rowOff>114300</xdr:rowOff>
    </xdr:to>
    <xdr:pic>
      <xdr:nvPicPr>
        <xdr:cNvPr id="137" name="Grafik 22">
          <a:extLst>
            <a:ext uri="{FF2B5EF4-FFF2-40B4-BE49-F238E27FC236}">
              <a16:creationId xmlns:a16="http://schemas.microsoft.com/office/drawing/2014/main" id="{4F17252C-3EDD-437C-837D-94E21B12BA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7391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31</xdr:row>
      <xdr:rowOff>9525</xdr:rowOff>
    </xdr:from>
    <xdr:to>
      <xdr:col>9</xdr:col>
      <xdr:colOff>776340</xdr:colOff>
      <xdr:row>31</xdr:row>
      <xdr:rowOff>114300</xdr:rowOff>
    </xdr:to>
    <xdr:pic>
      <xdr:nvPicPr>
        <xdr:cNvPr id="138" name="Grafik 22">
          <a:extLst>
            <a:ext uri="{FF2B5EF4-FFF2-40B4-BE49-F238E27FC236}">
              <a16:creationId xmlns:a16="http://schemas.microsoft.com/office/drawing/2014/main" id="{1849C7AB-FA52-465C-B855-B19D8849E3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66960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32</xdr:row>
      <xdr:rowOff>9525</xdr:rowOff>
    </xdr:from>
    <xdr:to>
      <xdr:col>9</xdr:col>
      <xdr:colOff>776340</xdr:colOff>
      <xdr:row>32</xdr:row>
      <xdr:rowOff>114300</xdr:rowOff>
    </xdr:to>
    <xdr:pic>
      <xdr:nvPicPr>
        <xdr:cNvPr id="139" name="Grafik 22">
          <a:extLst>
            <a:ext uri="{FF2B5EF4-FFF2-40B4-BE49-F238E27FC236}">
              <a16:creationId xmlns:a16="http://schemas.microsoft.com/office/drawing/2014/main" id="{EEC6DF11-4382-48BF-A12E-9BC93EF118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68675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33</xdr:row>
      <xdr:rowOff>9525</xdr:rowOff>
    </xdr:from>
    <xdr:to>
      <xdr:col>9</xdr:col>
      <xdr:colOff>776340</xdr:colOff>
      <xdr:row>33</xdr:row>
      <xdr:rowOff>114300</xdr:rowOff>
    </xdr:to>
    <xdr:pic>
      <xdr:nvPicPr>
        <xdr:cNvPr id="140" name="Grafik 22">
          <a:extLst>
            <a:ext uri="{FF2B5EF4-FFF2-40B4-BE49-F238E27FC236}">
              <a16:creationId xmlns:a16="http://schemas.microsoft.com/office/drawing/2014/main" id="{30242ABE-CB74-4C2C-9567-504FEB9C2C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038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34</xdr:row>
      <xdr:rowOff>9525</xdr:rowOff>
    </xdr:from>
    <xdr:to>
      <xdr:col>9</xdr:col>
      <xdr:colOff>776340</xdr:colOff>
      <xdr:row>34</xdr:row>
      <xdr:rowOff>114300</xdr:rowOff>
    </xdr:to>
    <xdr:pic>
      <xdr:nvPicPr>
        <xdr:cNvPr id="141" name="Grafik 22">
          <a:extLst>
            <a:ext uri="{FF2B5EF4-FFF2-40B4-BE49-F238E27FC236}">
              <a16:creationId xmlns:a16="http://schemas.microsoft.com/office/drawing/2014/main" id="{858A2C76-8BE7-4B3A-BF90-CCD613B235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2104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35</xdr:row>
      <xdr:rowOff>9525</xdr:rowOff>
    </xdr:from>
    <xdr:to>
      <xdr:col>9</xdr:col>
      <xdr:colOff>776340</xdr:colOff>
      <xdr:row>35</xdr:row>
      <xdr:rowOff>114300</xdr:rowOff>
    </xdr:to>
    <xdr:pic>
      <xdr:nvPicPr>
        <xdr:cNvPr id="142" name="Grafik 22">
          <a:extLst>
            <a:ext uri="{FF2B5EF4-FFF2-40B4-BE49-F238E27FC236}">
              <a16:creationId xmlns:a16="http://schemas.microsoft.com/office/drawing/2014/main" id="{37053A45-65A0-41CA-BFC4-31C3D8B379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7381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40</xdr:row>
      <xdr:rowOff>6569</xdr:rowOff>
    </xdr:from>
    <xdr:to>
      <xdr:col>7</xdr:col>
      <xdr:colOff>635876</xdr:colOff>
      <xdr:row>40</xdr:row>
      <xdr:rowOff>111344</xdr:rowOff>
    </xdr:to>
    <xdr:pic>
      <xdr:nvPicPr>
        <xdr:cNvPr id="144" name="Grafik 22">
          <a:extLst>
            <a:ext uri="{FF2B5EF4-FFF2-40B4-BE49-F238E27FC236}">
              <a16:creationId xmlns:a16="http://schemas.microsoft.com/office/drawing/2014/main" id="{492F4FCC-8E08-4918-BF82-D87DFB6E09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79027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40</xdr:row>
      <xdr:rowOff>9525</xdr:rowOff>
    </xdr:from>
    <xdr:to>
      <xdr:col>9</xdr:col>
      <xdr:colOff>2956</xdr:colOff>
      <xdr:row>40</xdr:row>
      <xdr:rowOff>114300</xdr:rowOff>
    </xdr:to>
    <xdr:pic>
      <xdr:nvPicPr>
        <xdr:cNvPr id="145" name="Grafik 22">
          <a:extLst>
            <a:ext uri="{FF2B5EF4-FFF2-40B4-BE49-F238E27FC236}">
              <a16:creationId xmlns:a16="http://schemas.microsoft.com/office/drawing/2014/main" id="{15063BB8-357F-4263-8B86-EF5CDC6D05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79057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40</xdr:row>
      <xdr:rowOff>6569</xdr:rowOff>
    </xdr:from>
    <xdr:to>
      <xdr:col>9</xdr:col>
      <xdr:colOff>783349</xdr:colOff>
      <xdr:row>40</xdr:row>
      <xdr:rowOff>111344</xdr:rowOff>
    </xdr:to>
    <xdr:pic>
      <xdr:nvPicPr>
        <xdr:cNvPr id="146" name="Grafik 22">
          <a:extLst>
            <a:ext uri="{FF2B5EF4-FFF2-40B4-BE49-F238E27FC236}">
              <a16:creationId xmlns:a16="http://schemas.microsoft.com/office/drawing/2014/main" id="{AED1385A-77D3-404A-903A-ECC377B5CF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4076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41</xdr:row>
      <xdr:rowOff>6569</xdr:rowOff>
    </xdr:from>
    <xdr:to>
      <xdr:col>7</xdr:col>
      <xdr:colOff>635876</xdr:colOff>
      <xdr:row>41</xdr:row>
      <xdr:rowOff>111344</xdr:rowOff>
    </xdr:to>
    <xdr:pic>
      <xdr:nvPicPr>
        <xdr:cNvPr id="147" name="Grafik 22">
          <a:extLst>
            <a:ext uri="{FF2B5EF4-FFF2-40B4-BE49-F238E27FC236}">
              <a16:creationId xmlns:a16="http://schemas.microsoft.com/office/drawing/2014/main" id="{783D2850-E91B-4821-B6FE-820420FE4B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0742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42</xdr:row>
      <xdr:rowOff>6569</xdr:rowOff>
    </xdr:from>
    <xdr:to>
      <xdr:col>7</xdr:col>
      <xdr:colOff>635876</xdr:colOff>
      <xdr:row>42</xdr:row>
      <xdr:rowOff>111344</xdr:rowOff>
    </xdr:to>
    <xdr:pic>
      <xdr:nvPicPr>
        <xdr:cNvPr id="148" name="Grafik 22">
          <a:extLst>
            <a:ext uri="{FF2B5EF4-FFF2-40B4-BE49-F238E27FC236}">
              <a16:creationId xmlns:a16="http://schemas.microsoft.com/office/drawing/2014/main" id="{7F97CB39-8DB3-420C-8E2C-AAC8C9A02F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2456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43</xdr:row>
      <xdr:rowOff>6569</xdr:rowOff>
    </xdr:from>
    <xdr:to>
      <xdr:col>7</xdr:col>
      <xdr:colOff>635876</xdr:colOff>
      <xdr:row>43</xdr:row>
      <xdr:rowOff>111344</xdr:rowOff>
    </xdr:to>
    <xdr:pic>
      <xdr:nvPicPr>
        <xdr:cNvPr id="149" name="Grafik 22">
          <a:extLst>
            <a:ext uri="{FF2B5EF4-FFF2-40B4-BE49-F238E27FC236}">
              <a16:creationId xmlns:a16="http://schemas.microsoft.com/office/drawing/2014/main" id="{8E472767-E1BF-4352-AFD6-353B18CF45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4171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43</xdr:row>
      <xdr:rowOff>9525</xdr:rowOff>
    </xdr:from>
    <xdr:to>
      <xdr:col>9</xdr:col>
      <xdr:colOff>2956</xdr:colOff>
      <xdr:row>43</xdr:row>
      <xdr:rowOff>114300</xdr:rowOff>
    </xdr:to>
    <xdr:pic>
      <xdr:nvPicPr>
        <xdr:cNvPr id="150" name="Grafik 22">
          <a:extLst>
            <a:ext uri="{FF2B5EF4-FFF2-40B4-BE49-F238E27FC236}">
              <a16:creationId xmlns:a16="http://schemas.microsoft.com/office/drawing/2014/main" id="{58D6D7A9-B137-4E94-97D9-8286968BE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420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44</xdr:row>
      <xdr:rowOff>6569</xdr:rowOff>
    </xdr:from>
    <xdr:to>
      <xdr:col>7</xdr:col>
      <xdr:colOff>635876</xdr:colOff>
      <xdr:row>44</xdr:row>
      <xdr:rowOff>111344</xdr:rowOff>
    </xdr:to>
    <xdr:pic>
      <xdr:nvPicPr>
        <xdr:cNvPr id="151" name="Grafik 22">
          <a:extLst>
            <a:ext uri="{FF2B5EF4-FFF2-40B4-BE49-F238E27FC236}">
              <a16:creationId xmlns:a16="http://schemas.microsoft.com/office/drawing/2014/main" id="{21C071CE-EC0B-4B65-A912-66E6BB0298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5885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45</xdr:row>
      <xdr:rowOff>6569</xdr:rowOff>
    </xdr:from>
    <xdr:to>
      <xdr:col>7</xdr:col>
      <xdr:colOff>635876</xdr:colOff>
      <xdr:row>45</xdr:row>
      <xdr:rowOff>111344</xdr:rowOff>
    </xdr:to>
    <xdr:pic>
      <xdr:nvPicPr>
        <xdr:cNvPr id="152" name="Grafik 22">
          <a:extLst>
            <a:ext uri="{FF2B5EF4-FFF2-40B4-BE49-F238E27FC236}">
              <a16:creationId xmlns:a16="http://schemas.microsoft.com/office/drawing/2014/main" id="{F49690AE-68B2-470A-88F5-42E0EF806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7600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46</xdr:row>
      <xdr:rowOff>6569</xdr:rowOff>
    </xdr:from>
    <xdr:to>
      <xdr:col>7</xdr:col>
      <xdr:colOff>635876</xdr:colOff>
      <xdr:row>46</xdr:row>
      <xdr:rowOff>111344</xdr:rowOff>
    </xdr:to>
    <xdr:pic>
      <xdr:nvPicPr>
        <xdr:cNvPr id="153" name="Grafik 22">
          <a:extLst>
            <a:ext uri="{FF2B5EF4-FFF2-40B4-BE49-F238E27FC236}">
              <a16:creationId xmlns:a16="http://schemas.microsoft.com/office/drawing/2014/main" id="{D3A5B68E-AE9A-4E70-8D06-5986C870DB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89314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540626</xdr:colOff>
      <xdr:row>47</xdr:row>
      <xdr:rowOff>6569</xdr:rowOff>
    </xdr:from>
    <xdr:to>
      <xdr:col>7</xdr:col>
      <xdr:colOff>635876</xdr:colOff>
      <xdr:row>47</xdr:row>
      <xdr:rowOff>111344</xdr:rowOff>
    </xdr:to>
    <xdr:pic>
      <xdr:nvPicPr>
        <xdr:cNvPr id="154" name="Grafik 22">
          <a:extLst>
            <a:ext uri="{FF2B5EF4-FFF2-40B4-BE49-F238E27FC236}">
              <a16:creationId xmlns:a16="http://schemas.microsoft.com/office/drawing/2014/main" id="{6AB673D8-D37E-48BC-9ABA-413E7D888F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83901" y="91029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47</xdr:row>
      <xdr:rowOff>9525</xdr:rowOff>
    </xdr:from>
    <xdr:to>
      <xdr:col>9</xdr:col>
      <xdr:colOff>2956</xdr:colOff>
      <xdr:row>47</xdr:row>
      <xdr:rowOff>114300</xdr:rowOff>
    </xdr:to>
    <xdr:pic>
      <xdr:nvPicPr>
        <xdr:cNvPr id="155" name="Grafik 22">
          <a:extLst>
            <a:ext uri="{FF2B5EF4-FFF2-40B4-BE49-F238E27FC236}">
              <a16:creationId xmlns:a16="http://schemas.microsoft.com/office/drawing/2014/main" id="{76900F0A-0DB3-4F80-9F17-BFFCFB9EC6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91059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46</xdr:row>
      <xdr:rowOff>9525</xdr:rowOff>
    </xdr:from>
    <xdr:to>
      <xdr:col>9</xdr:col>
      <xdr:colOff>2956</xdr:colOff>
      <xdr:row>46</xdr:row>
      <xdr:rowOff>114300</xdr:rowOff>
    </xdr:to>
    <xdr:pic>
      <xdr:nvPicPr>
        <xdr:cNvPr id="156" name="Grafik 22">
          <a:extLst>
            <a:ext uri="{FF2B5EF4-FFF2-40B4-BE49-F238E27FC236}">
              <a16:creationId xmlns:a16="http://schemas.microsoft.com/office/drawing/2014/main" id="{909D7C2A-3D5D-42FD-84E5-09BABAE437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9344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45</xdr:row>
      <xdr:rowOff>9525</xdr:rowOff>
    </xdr:from>
    <xdr:to>
      <xdr:col>9</xdr:col>
      <xdr:colOff>2956</xdr:colOff>
      <xdr:row>45</xdr:row>
      <xdr:rowOff>114300</xdr:rowOff>
    </xdr:to>
    <xdr:pic>
      <xdr:nvPicPr>
        <xdr:cNvPr id="157" name="Grafik 22">
          <a:extLst>
            <a:ext uri="{FF2B5EF4-FFF2-40B4-BE49-F238E27FC236}">
              <a16:creationId xmlns:a16="http://schemas.microsoft.com/office/drawing/2014/main" id="{3139E8F5-67A5-44B3-A3BB-F1B61651B2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7630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44</xdr:row>
      <xdr:rowOff>8868</xdr:rowOff>
    </xdr:from>
    <xdr:to>
      <xdr:col>9</xdr:col>
      <xdr:colOff>2956</xdr:colOff>
      <xdr:row>44</xdr:row>
      <xdr:rowOff>114300</xdr:rowOff>
    </xdr:to>
    <xdr:pic>
      <xdr:nvPicPr>
        <xdr:cNvPr id="158" name="Grafik 22">
          <a:extLst>
            <a:ext uri="{FF2B5EF4-FFF2-40B4-BE49-F238E27FC236}">
              <a16:creationId xmlns:a16="http://schemas.microsoft.com/office/drawing/2014/main" id="{B3BED999-8EA3-4AAE-A7F5-03E2CF8B61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590893"/>
          <a:ext cx="95250" cy="1054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41</xdr:row>
      <xdr:rowOff>9525</xdr:rowOff>
    </xdr:from>
    <xdr:to>
      <xdr:col>9</xdr:col>
      <xdr:colOff>2956</xdr:colOff>
      <xdr:row>41</xdr:row>
      <xdr:rowOff>114300</xdr:rowOff>
    </xdr:to>
    <xdr:pic>
      <xdr:nvPicPr>
        <xdr:cNvPr id="159" name="Grafik 22">
          <a:extLst>
            <a:ext uri="{FF2B5EF4-FFF2-40B4-BE49-F238E27FC236}">
              <a16:creationId xmlns:a16="http://schemas.microsoft.com/office/drawing/2014/main" id="{7CECA0AA-DA39-4416-BBE9-BD73B7FED6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0772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507781</xdr:colOff>
      <xdr:row>42</xdr:row>
      <xdr:rowOff>9525</xdr:rowOff>
    </xdr:from>
    <xdr:to>
      <xdr:col>9</xdr:col>
      <xdr:colOff>2956</xdr:colOff>
      <xdr:row>42</xdr:row>
      <xdr:rowOff>114300</xdr:rowOff>
    </xdr:to>
    <xdr:pic>
      <xdr:nvPicPr>
        <xdr:cNvPr id="160" name="Grafik 22">
          <a:extLst>
            <a:ext uri="{FF2B5EF4-FFF2-40B4-BE49-F238E27FC236}">
              <a16:creationId xmlns:a16="http://schemas.microsoft.com/office/drawing/2014/main" id="{72E1E6A4-0374-4165-90ED-816FC546B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9231" y="8248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41</xdr:row>
      <xdr:rowOff>6569</xdr:rowOff>
    </xdr:from>
    <xdr:to>
      <xdr:col>9</xdr:col>
      <xdr:colOff>783349</xdr:colOff>
      <xdr:row>41</xdr:row>
      <xdr:rowOff>111344</xdr:rowOff>
    </xdr:to>
    <xdr:pic>
      <xdr:nvPicPr>
        <xdr:cNvPr id="161" name="Grafik 22">
          <a:extLst>
            <a:ext uri="{FF2B5EF4-FFF2-40B4-BE49-F238E27FC236}">
              <a16:creationId xmlns:a16="http://schemas.microsoft.com/office/drawing/2014/main" id="{9F769FD9-4C94-4DFA-B5C0-5BFFFDD9D5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5790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42</xdr:row>
      <xdr:rowOff>6569</xdr:rowOff>
    </xdr:from>
    <xdr:to>
      <xdr:col>9</xdr:col>
      <xdr:colOff>783349</xdr:colOff>
      <xdr:row>42</xdr:row>
      <xdr:rowOff>111344</xdr:rowOff>
    </xdr:to>
    <xdr:pic>
      <xdr:nvPicPr>
        <xdr:cNvPr id="162" name="Grafik 22">
          <a:extLst>
            <a:ext uri="{FF2B5EF4-FFF2-40B4-BE49-F238E27FC236}">
              <a16:creationId xmlns:a16="http://schemas.microsoft.com/office/drawing/2014/main" id="{41162437-2B6D-4EAE-A469-A18F230F63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7505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43</xdr:row>
      <xdr:rowOff>6569</xdr:rowOff>
    </xdr:from>
    <xdr:to>
      <xdr:col>9</xdr:col>
      <xdr:colOff>783349</xdr:colOff>
      <xdr:row>43</xdr:row>
      <xdr:rowOff>111344</xdr:rowOff>
    </xdr:to>
    <xdr:pic>
      <xdr:nvPicPr>
        <xdr:cNvPr id="163" name="Grafik 22">
          <a:extLst>
            <a:ext uri="{FF2B5EF4-FFF2-40B4-BE49-F238E27FC236}">
              <a16:creationId xmlns:a16="http://schemas.microsoft.com/office/drawing/2014/main" id="{90D24805-681A-47FA-AE8E-157A517455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89219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43</xdr:row>
      <xdr:rowOff>168494</xdr:rowOff>
    </xdr:from>
    <xdr:to>
      <xdr:col>9</xdr:col>
      <xdr:colOff>783349</xdr:colOff>
      <xdr:row>44</xdr:row>
      <xdr:rowOff>101819</xdr:rowOff>
    </xdr:to>
    <xdr:pic>
      <xdr:nvPicPr>
        <xdr:cNvPr id="164" name="Grafik 22">
          <a:extLst>
            <a:ext uri="{FF2B5EF4-FFF2-40B4-BE49-F238E27FC236}">
              <a16:creationId xmlns:a16="http://schemas.microsoft.com/office/drawing/2014/main" id="{8C667DCB-D27A-446E-B026-585C5FF599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08389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44</xdr:row>
      <xdr:rowOff>168494</xdr:rowOff>
    </xdr:from>
    <xdr:to>
      <xdr:col>9</xdr:col>
      <xdr:colOff>783349</xdr:colOff>
      <xdr:row>45</xdr:row>
      <xdr:rowOff>101819</xdr:rowOff>
    </xdr:to>
    <xdr:pic>
      <xdr:nvPicPr>
        <xdr:cNvPr id="165" name="Grafik 22">
          <a:extLst>
            <a:ext uri="{FF2B5EF4-FFF2-40B4-BE49-F238E27FC236}">
              <a16:creationId xmlns:a16="http://schemas.microsoft.com/office/drawing/2014/main" id="{0F51DF92-0E1D-48D8-80D4-6B66320931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4999" y="9522044"/>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46</xdr:row>
      <xdr:rowOff>6569</xdr:rowOff>
    </xdr:from>
    <xdr:to>
      <xdr:col>9</xdr:col>
      <xdr:colOff>783349</xdr:colOff>
      <xdr:row>46</xdr:row>
      <xdr:rowOff>111344</xdr:rowOff>
    </xdr:to>
    <xdr:pic>
      <xdr:nvPicPr>
        <xdr:cNvPr id="166" name="Grafik 22">
          <a:extLst>
            <a:ext uri="{FF2B5EF4-FFF2-40B4-BE49-F238E27FC236}">
              <a16:creationId xmlns:a16="http://schemas.microsoft.com/office/drawing/2014/main" id="{0FF832E2-301C-4FB4-AE44-6EBE386C3C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43631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688099</xdr:colOff>
      <xdr:row>47</xdr:row>
      <xdr:rowOff>6569</xdr:rowOff>
    </xdr:from>
    <xdr:to>
      <xdr:col>9</xdr:col>
      <xdr:colOff>783349</xdr:colOff>
      <xdr:row>47</xdr:row>
      <xdr:rowOff>111344</xdr:rowOff>
    </xdr:to>
    <xdr:pic>
      <xdr:nvPicPr>
        <xdr:cNvPr id="167" name="Grafik 22">
          <a:extLst>
            <a:ext uri="{FF2B5EF4-FFF2-40B4-BE49-F238E27FC236}">
              <a16:creationId xmlns:a16="http://schemas.microsoft.com/office/drawing/2014/main" id="{325545D3-C1E6-4100-ADF4-C528712766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6399" y="9607769"/>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476250</xdr:colOff>
      <xdr:row>54</xdr:row>
      <xdr:rowOff>9525</xdr:rowOff>
    </xdr:from>
    <xdr:to>
      <xdr:col>13</xdr:col>
      <xdr:colOff>0</xdr:colOff>
      <xdr:row>54</xdr:row>
      <xdr:rowOff>114300</xdr:rowOff>
    </xdr:to>
    <xdr:pic>
      <xdr:nvPicPr>
        <xdr:cNvPr id="173" name="Grafik 25">
          <a:extLst>
            <a:ext uri="{FF2B5EF4-FFF2-40B4-BE49-F238E27FC236}">
              <a16:creationId xmlns:a16="http://schemas.microsoft.com/office/drawing/2014/main" id="{77C66563-7D37-49D7-B336-BA21C258C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00850" y="10658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681090</xdr:colOff>
      <xdr:row>55</xdr:row>
      <xdr:rowOff>0</xdr:rowOff>
    </xdr:from>
    <xdr:to>
      <xdr:col>9</xdr:col>
      <xdr:colOff>776340</xdr:colOff>
      <xdr:row>55</xdr:row>
      <xdr:rowOff>104775</xdr:rowOff>
    </xdr:to>
    <xdr:pic>
      <xdr:nvPicPr>
        <xdr:cNvPr id="174" name="Grafik 25">
          <a:extLst>
            <a:ext uri="{FF2B5EF4-FFF2-40B4-BE49-F238E27FC236}">
              <a16:creationId xmlns:a16="http://schemas.microsoft.com/office/drawing/2014/main" id="{F93CC678-C21F-46B2-9EFA-A3C979D6A4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29390" y="113538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489648</xdr:colOff>
      <xdr:row>55</xdr:row>
      <xdr:rowOff>9525</xdr:rowOff>
    </xdr:from>
    <xdr:to>
      <xdr:col>14</xdr:col>
      <xdr:colOff>9525</xdr:colOff>
      <xdr:row>55</xdr:row>
      <xdr:rowOff>114300</xdr:rowOff>
    </xdr:to>
    <xdr:pic>
      <xdr:nvPicPr>
        <xdr:cNvPr id="175" name="Grafik 25">
          <a:extLst>
            <a:ext uri="{FF2B5EF4-FFF2-40B4-BE49-F238E27FC236}">
              <a16:creationId xmlns:a16="http://schemas.microsoft.com/office/drawing/2014/main" id="{A44A1202-BBD8-4ED2-9E14-1450013A9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8123" y="10858500"/>
          <a:ext cx="10090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123825</xdr:colOff>
      <xdr:row>0</xdr:row>
      <xdr:rowOff>28575</xdr:rowOff>
    </xdr:from>
    <xdr:to>
      <xdr:col>14</xdr:col>
      <xdr:colOff>51199</xdr:colOff>
      <xdr:row>4</xdr:row>
      <xdr:rowOff>134937</xdr:rowOff>
    </xdr:to>
    <xdr:pic>
      <xdr:nvPicPr>
        <xdr:cNvPr id="91" name="Grafik 99">
          <a:extLst>
            <a:ext uri="{FF2B5EF4-FFF2-40B4-BE49-F238E27FC236}">
              <a16:creationId xmlns:a16="http://schemas.microsoft.com/office/drawing/2014/main" id="{844C3C27-E78B-4067-A08D-1B17329502DE}"/>
            </a:ext>
          </a:extLst>
        </xdr:cNvPr>
        <xdr:cNvPicPr>
          <a:picLocks noChangeAspect="1"/>
        </xdr:cNvPicPr>
      </xdr:nvPicPr>
      <xdr:blipFill>
        <a:blip xmlns:r="http://schemas.openxmlformats.org/officeDocument/2006/relationships" r:embed="rId2"/>
        <a:stretch>
          <a:fillRect/>
        </a:stretch>
      </xdr:blipFill>
      <xdr:spPr>
        <a:xfrm>
          <a:off x="5810250" y="28575"/>
          <a:ext cx="1670449" cy="725487"/>
        </a:xfrm>
        <a:prstGeom prst="rect">
          <a:avLst/>
        </a:prstGeom>
      </xdr:spPr>
    </xdr:pic>
    <xdr:clientData/>
  </xdr:twoCellAnchor>
  <xdr:twoCellAnchor editAs="oneCell">
    <xdr:from>
      <xdr:col>11</xdr:col>
      <xdr:colOff>476250</xdr:colOff>
      <xdr:row>55</xdr:row>
      <xdr:rowOff>9525</xdr:rowOff>
    </xdr:from>
    <xdr:to>
      <xdr:col>11</xdr:col>
      <xdr:colOff>571500</xdr:colOff>
      <xdr:row>55</xdr:row>
      <xdr:rowOff>114300</xdr:rowOff>
    </xdr:to>
    <xdr:pic>
      <xdr:nvPicPr>
        <xdr:cNvPr id="92" name="Grafik 25">
          <a:extLst>
            <a:ext uri="{FF2B5EF4-FFF2-40B4-BE49-F238E27FC236}">
              <a16:creationId xmlns:a16="http://schemas.microsoft.com/office/drawing/2014/main" id="{39E9B88D-9889-4A94-9171-2C7B0F953E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62675" y="10858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685800</xdr:colOff>
      <xdr:row>37</xdr:row>
      <xdr:rowOff>9525</xdr:rowOff>
    </xdr:from>
    <xdr:to>
      <xdr:col>9</xdr:col>
      <xdr:colOff>781050</xdr:colOff>
      <xdr:row>37</xdr:row>
      <xdr:rowOff>114300</xdr:rowOff>
    </xdr:to>
    <xdr:pic>
      <xdr:nvPicPr>
        <xdr:cNvPr id="93" name="Grafik 22">
          <a:extLst>
            <a:ext uri="{FF2B5EF4-FFF2-40B4-BE49-F238E27FC236}">
              <a16:creationId xmlns:a16="http://schemas.microsoft.com/office/drawing/2014/main" id="{B139DC02-ADEA-4146-8FC6-411F69A9A5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34100" y="75533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30</xdr:row>
      <xdr:rowOff>9525</xdr:rowOff>
    </xdr:from>
    <xdr:to>
      <xdr:col>4</xdr:col>
      <xdr:colOff>0</xdr:colOff>
      <xdr:row>30</xdr:row>
      <xdr:rowOff>114300</xdr:rowOff>
    </xdr:to>
    <xdr:pic>
      <xdr:nvPicPr>
        <xdr:cNvPr id="2" name="Grafik 22">
          <a:extLst>
            <a:ext uri="{FF2B5EF4-FFF2-40B4-BE49-F238E27FC236}">
              <a16:creationId xmlns:a16="http://schemas.microsoft.com/office/drawing/2014/main" id="{236D4248-8575-4FFB-98D9-3372A20557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524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33</xdr:row>
      <xdr:rowOff>7327</xdr:rowOff>
    </xdr:from>
    <xdr:to>
      <xdr:col>4</xdr:col>
      <xdr:colOff>0</xdr:colOff>
      <xdr:row>33</xdr:row>
      <xdr:rowOff>112102</xdr:rowOff>
    </xdr:to>
    <xdr:pic>
      <xdr:nvPicPr>
        <xdr:cNvPr id="3" name="Grafik 22">
          <a:extLst>
            <a:ext uri="{FF2B5EF4-FFF2-40B4-BE49-F238E27FC236}">
              <a16:creationId xmlns:a16="http://schemas.microsoft.com/office/drawing/2014/main" id="{AF66EC0A-2DCF-4EC9-9CFE-4AA77741C7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092462"/>
          <a:ext cx="10404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34</xdr:row>
      <xdr:rowOff>7327</xdr:rowOff>
    </xdr:from>
    <xdr:to>
      <xdr:col>4</xdr:col>
      <xdr:colOff>0</xdr:colOff>
      <xdr:row>34</xdr:row>
      <xdr:rowOff>112102</xdr:rowOff>
    </xdr:to>
    <xdr:pic>
      <xdr:nvPicPr>
        <xdr:cNvPr id="4" name="Grafik 22">
          <a:extLst>
            <a:ext uri="{FF2B5EF4-FFF2-40B4-BE49-F238E27FC236}">
              <a16:creationId xmlns:a16="http://schemas.microsoft.com/office/drawing/2014/main" id="{E9FB3535-6C48-4036-A480-AE6AD44724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260981"/>
          <a:ext cx="10404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31</xdr:row>
      <xdr:rowOff>9525</xdr:rowOff>
    </xdr:from>
    <xdr:to>
      <xdr:col>4</xdr:col>
      <xdr:colOff>0</xdr:colOff>
      <xdr:row>31</xdr:row>
      <xdr:rowOff>114300</xdr:rowOff>
    </xdr:to>
    <xdr:pic>
      <xdr:nvPicPr>
        <xdr:cNvPr id="5" name="Grafik 22">
          <a:extLst>
            <a:ext uri="{FF2B5EF4-FFF2-40B4-BE49-F238E27FC236}">
              <a16:creationId xmlns:a16="http://schemas.microsoft.com/office/drawing/2014/main" id="{588D027E-8DBA-4301-A2B8-BE6823E84C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32</xdr:row>
      <xdr:rowOff>9525</xdr:rowOff>
    </xdr:from>
    <xdr:to>
      <xdr:col>4</xdr:col>
      <xdr:colOff>0</xdr:colOff>
      <xdr:row>32</xdr:row>
      <xdr:rowOff>114300</xdr:rowOff>
    </xdr:to>
    <xdr:pic>
      <xdr:nvPicPr>
        <xdr:cNvPr id="6" name="Grafik 22">
          <a:extLst>
            <a:ext uri="{FF2B5EF4-FFF2-40B4-BE49-F238E27FC236}">
              <a16:creationId xmlns:a16="http://schemas.microsoft.com/office/drawing/2014/main" id="{82561D45-0786-43BD-B242-35C39BDF4F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6867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35</xdr:row>
      <xdr:rowOff>9525</xdr:rowOff>
    </xdr:from>
    <xdr:to>
      <xdr:col>4</xdr:col>
      <xdr:colOff>0</xdr:colOff>
      <xdr:row>35</xdr:row>
      <xdr:rowOff>111369</xdr:rowOff>
    </xdr:to>
    <xdr:pic>
      <xdr:nvPicPr>
        <xdr:cNvPr id="7" name="Grafik 22">
          <a:extLst>
            <a:ext uri="{FF2B5EF4-FFF2-40B4-BE49-F238E27FC236}">
              <a16:creationId xmlns:a16="http://schemas.microsoft.com/office/drawing/2014/main" id="{3C7C3556-7E17-4E58-B14A-EABC747368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2265" y="7431698"/>
          <a:ext cx="104043" cy="101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37</xdr:row>
      <xdr:rowOff>9525</xdr:rowOff>
    </xdr:from>
    <xdr:to>
      <xdr:col>4</xdr:col>
      <xdr:colOff>0</xdr:colOff>
      <xdr:row>37</xdr:row>
      <xdr:rowOff>114300</xdr:rowOff>
    </xdr:to>
    <xdr:pic>
      <xdr:nvPicPr>
        <xdr:cNvPr id="8" name="Grafik 22">
          <a:extLst>
            <a:ext uri="{FF2B5EF4-FFF2-40B4-BE49-F238E27FC236}">
              <a16:creationId xmlns:a16="http://schemas.microsoft.com/office/drawing/2014/main" id="{554E1757-FBCC-421A-ADD4-EFE650127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9350" y="7553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47</xdr:row>
      <xdr:rowOff>9525</xdr:rowOff>
    </xdr:from>
    <xdr:to>
      <xdr:col>4</xdr:col>
      <xdr:colOff>0</xdr:colOff>
      <xdr:row>47</xdr:row>
      <xdr:rowOff>114300</xdr:rowOff>
    </xdr:to>
    <xdr:pic>
      <xdr:nvPicPr>
        <xdr:cNvPr id="9" name="Grafik 22">
          <a:extLst>
            <a:ext uri="{FF2B5EF4-FFF2-40B4-BE49-F238E27FC236}">
              <a16:creationId xmlns:a16="http://schemas.microsoft.com/office/drawing/2014/main" id="{95649684-B68B-41D1-8853-BBB486480F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6107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46</xdr:row>
      <xdr:rowOff>9525</xdr:rowOff>
    </xdr:from>
    <xdr:to>
      <xdr:col>4</xdr:col>
      <xdr:colOff>0</xdr:colOff>
      <xdr:row>46</xdr:row>
      <xdr:rowOff>114300</xdr:rowOff>
    </xdr:to>
    <xdr:pic>
      <xdr:nvPicPr>
        <xdr:cNvPr id="10" name="Grafik 22">
          <a:extLst>
            <a:ext uri="{FF2B5EF4-FFF2-40B4-BE49-F238E27FC236}">
              <a16:creationId xmlns:a16="http://schemas.microsoft.com/office/drawing/2014/main" id="{67578D7C-7206-4016-A23E-79C4241314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4392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45</xdr:row>
      <xdr:rowOff>9525</xdr:rowOff>
    </xdr:from>
    <xdr:to>
      <xdr:col>4</xdr:col>
      <xdr:colOff>0</xdr:colOff>
      <xdr:row>45</xdr:row>
      <xdr:rowOff>114300</xdr:rowOff>
    </xdr:to>
    <xdr:pic>
      <xdr:nvPicPr>
        <xdr:cNvPr id="11" name="Grafik 22">
          <a:extLst>
            <a:ext uri="{FF2B5EF4-FFF2-40B4-BE49-F238E27FC236}">
              <a16:creationId xmlns:a16="http://schemas.microsoft.com/office/drawing/2014/main" id="{419F1CBF-8051-48F0-8D91-467B4662A6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267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44</xdr:row>
      <xdr:rowOff>9525</xdr:rowOff>
    </xdr:from>
    <xdr:to>
      <xdr:col>4</xdr:col>
      <xdr:colOff>0</xdr:colOff>
      <xdr:row>44</xdr:row>
      <xdr:rowOff>114300</xdr:rowOff>
    </xdr:to>
    <xdr:pic>
      <xdr:nvPicPr>
        <xdr:cNvPr id="12" name="Grafik 22">
          <a:extLst>
            <a:ext uri="{FF2B5EF4-FFF2-40B4-BE49-F238E27FC236}">
              <a16:creationId xmlns:a16="http://schemas.microsoft.com/office/drawing/2014/main" id="{D1C26499-E59F-4D22-AB2C-8FBA6B43F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90963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43</xdr:row>
      <xdr:rowOff>9525</xdr:rowOff>
    </xdr:from>
    <xdr:to>
      <xdr:col>4</xdr:col>
      <xdr:colOff>0</xdr:colOff>
      <xdr:row>43</xdr:row>
      <xdr:rowOff>114300</xdr:rowOff>
    </xdr:to>
    <xdr:pic>
      <xdr:nvPicPr>
        <xdr:cNvPr id="13" name="Grafik 22">
          <a:extLst>
            <a:ext uri="{FF2B5EF4-FFF2-40B4-BE49-F238E27FC236}">
              <a16:creationId xmlns:a16="http://schemas.microsoft.com/office/drawing/2014/main" id="{3977C49A-0736-4E45-A811-3C9627A7EB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9249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42</xdr:row>
      <xdr:rowOff>9525</xdr:rowOff>
    </xdr:from>
    <xdr:to>
      <xdr:col>4</xdr:col>
      <xdr:colOff>0</xdr:colOff>
      <xdr:row>42</xdr:row>
      <xdr:rowOff>114300</xdr:rowOff>
    </xdr:to>
    <xdr:pic>
      <xdr:nvPicPr>
        <xdr:cNvPr id="14" name="Grafik 22">
          <a:extLst>
            <a:ext uri="{FF2B5EF4-FFF2-40B4-BE49-F238E27FC236}">
              <a16:creationId xmlns:a16="http://schemas.microsoft.com/office/drawing/2014/main" id="{1E94A93C-1A64-41F8-A667-CCC0B126D8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7534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41</xdr:row>
      <xdr:rowOff>9525</xdr:rowOff>
    </xdr:from>
    <xdr:to>
      <xdr:col>4</xdr:col>
      <xdr:colOff>0</xdr:colOff>
      <xdr:row>41</xdr:row>
      <xdr:rowOff>114300</xdr:rowOff>
    </xdr:to>
    <xdr:pic>
      <xdr:nvPicPr>
        <xdr:cNvPr id="15" name="Grafik 22">
          <a:extLst>
            <a:ext uri="{FF2B5EF4-FFF2-40B4-BE49-F238E27FC236}">
              <a16:creationId xmlns:a16="http://schemas.microsoft.com/office/drawing/2014/main" id="{F55D25E8-764D-4CB7-8D37-06FCDC82CC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5820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40</xdr:row>
      <xdr:rowOff>9525</xdr:rowOff>
    </xdr:from>
    <xdr:to>
      <xdr:col>4</xdr:col>
      <xdr:colOff>0</xdr:colOff>
      <xdr:row>40</xdr:row>
      <xdr:rowOff>114300</xdr:rowOff>
    </xdr:to>
    <xdr:pic>
      <xdr:nvPicPr>
        <xdr:cNvPr id="16" name="Grafik 22">
          <a:extLst>
            <a:ext uri="{FF2B5EF4-FFF2-40B4-BE49-F238E27FC236}">
              <a16:creationId xmlns:a16="http://schemas.microsoft.com/office/drawing/2014/main" id="{5D1C7694-9A66-4497-9321-0ECBE9F64E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8875" y="8410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495300</xdr:colOff>
      <xdr:row>11</xdr:row>
      <xdr:rowOff>9525</xdr:rowOff>
    </xdr:from>
    <xdr:ext cx="104775" cy="104775"/>
    <xdr:pic>
      <xdr:nvPicPr>
        <xdr:cNvPr id="17" name="Grafik 25">
          <a:extLst>
            <a:ext uri="{FF2B5EF4-FFF2-40B4-BE49-F238E27FC236}">
              <a16:creationId xmlns:a16="http://schemas.microsoft.com/office/drawing/2014/main" id="{42A41547-6508-473C-B847-C56783A4EA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1790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495300</xdr:colOff>
      <xdr:row>13</xdr:row>
      <xdr:rowOff>9525</xdr:rowOff>
    </xdr:from>
    <xdr:ext cx="104775" cy="104775"/>
    <xdr:pic>
      <xdr:nvPicPr>
        <xdr:cNvPr id="18" name="Grafik 25">
          <a:extLst>
            <a:ext uri="{FF2B5EF4-FFF2-40B4-BE49-F238E27FC236}">
              <a16:creationId xmlns:a16="http://schemas.microsoft.com/office/drawing/2014/main" id="{F0BEE5CA-AA8E-4B6C-8F68-F439701D18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208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819150</xdr:colOff>
      <xdr:row>36</xdr:row>
      <xdr:rowOff>9525</xdr:rowOff>
    </xdr:from>
    <xdr:ext cx="104775" cy="101844"/>
    <xdr:pic>
      <xdr:nvPicPr>
        <xdr:cNvPr id="19" name="Grafik 22">
          <a:extLst>
            <a:ext uri="{FF2B5EF4-FFF2-40B4-BE49-F238E27FC236}">
              <a16:creationId xmlns:a16="http://schemas.microsoft.com/office/drawing/2014/main" id="{4279103D-EB1D-4443-9370-283D3AAF6E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0800" y="7477125"/>
          <a:ext cx="104775" cy="101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36</xdr:row>
      <xdr:rowOff>9525</xdr:rowOff>
    </xdr:from>
    <xdr:ext cx="104775" cy="104775"/>
    <xdr:pic>
      <xdr:nvPicPr>
        <xdr:cNvPr id="20" name="Grafik 22">
          <a:extLst>
            <a:ext uri="{FF2B5EF4-FFF2-40B4-BE49-F238E27FC236}">
              <a16:creationId xmlns:a16="http://schemas.microsoft.com/office/drawing/2014/main" id="{10213005-B876-41ED-8523-12622AAF33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36</xdr:row>
      <xdr:rowOff>9525</xdr:rowOff>
    </xdr:from>
    <xdr:ext cx="104775" cy="104775"/>
    <xdr:pic>
      <xdr:nvPicPr>
        <xdr:cNvPr id="21" name="Grafik 22">
          <a:extLst>
            <a:ext uri="{FF2B5EF4-FFF2-40B4-BE49-F238E27FC236}">
              <a16:creationId xmlns:a16="http://schemas.microsoft.com/office/drawing/2014/main" id="{04618B93-AB7B-4DC4-8E3D-B45930D959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495300</xdr:colOff>
      <xdr:row>36</xdr:row>
      <xdr:rowOff>9525</xdr:rowOff>
    </xdr:from>
    <xdr:ext cx="104775" cy="104775"/>
    <xdr:pic>
      <xdr:nvPicPr>
        <xdr:cNvPr id="22" name="Grafik 22">
          <a:extLst>
            <a:ext uri="{FF2B5EF4-FFF2-40B4-BE49-F238E27FC236}">
              <a16:creationId xmlns:a16="http://schemas.microsoft.com/office/drawing/2014/main" id="{8E74CD63-7CC2-4FCC-B70D-9A2CFB7BB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3800" y="747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685800</xdr:colOff>
      <xdr:row>36</xdr:row>
      <xdr:rowOff>9525</xdr:rowOff>
    </xdr:from>
    <xdr:to>
      <xdr:col>9</xdr:col>
      <xdr:colOff>781050</xdr:colOff>
      <xdr:row>36</xdr:row>
      <xdr:rowOff>114300</xdr:rowOff>
    </xdr:to>
    <xdr:pic>
      <xdr:nvPicPr>
        <xdr:cNvPr id="23" name="Grafik 22">
          <a:extLst>
            <a:ext uri="{FF2B5EF4-FFF2-40B4-BE49-F238E27FC236}">
              <a16:creationId xmlns:a16="http://schemas.microsoft.com/office/drawing/2014/main" id="{E3259874-3350-4242-A3A7-912BB5E8B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7648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1314450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5FF201FF-91C1-4561-BF57-28D7018985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1314450</xdr:colOff>
      <xdr:row>9</xdr:row>
      <xdr:rowOff>9525</xdr:rowOff>
    </xdr:from>
    <xdr:to>
      <xdr:col>4</xdr:col>
      <xdr:colOff>0</xdr:colOff>
      <xdr:row>9</xdr:row>
      <xdr:rowOff>114300</xdr:rowOff>
    </xdr:to>
    <xdr:pic>
      <xdr:nvPicPr>
        <xdr:cNvPr id="4" name="Grafik 15">
          <a:extLst>
            <a:ext uri="{FF2B5EF4-FFF2-40B4-BE49-F238E27FC236}">
              <a16:creationId xmlns:a16="http://schemas.microsoft.com/office/drawing/2014/main" id="{07E6AE99-A6C3-40C5-A0C6-7706EEEC7F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6350"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BC9876D0-66C6-4A99-9F17-19E0231744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0096701A-5A95-47CA-B64D-07D712DAB0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71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1343025</xdr:colOff>
      <xdr:row>0</xdr:row>
      <xdr:rowOff>38100</xdr:rowOff>
    </xdr:from>
    <xdr:to>
      <xdr:col>4</xdr:col>
      <xdr:colOff>1362075</xdr:colOff>
      <xdr:row>3</xdr:row>
      <xdr:rowOff>170917</xdr:rowOff>
    </xdr:to>
    <xdr:pic>
      <xdr:nvPicPr>
        <xdr:cNvPr id="7" name="Grafik 1">
          <a:extLst>
            <a:ext uri="{FF2B5EF4-FFF2-40B4-BE49-F238E27FC236}">
              <a16:creationId xmlns:a16="http://schemas.microsoft.com/office/drawing/2014/main" id="{E4EAC94F-F5EC-4727-9CCB-8AEE71A5C04A}"/>
            </a:ext>
          </a:extLst>
        </xdr:cNvPr>
        <xdr:cNvPicPr>
          <a:picLocks noChangeAspect="1"/>
        </xdr:cNvPicPr>
      </xdr:nvPicPr>
      <xdr:blipFill>
        <a:blip xmlns:r="http://schemas.openxmlformats.org/officeDocument/2006/relationships" r:embed="rId2"/>
        <a:stretch>
          <a:fillRect/>
        </a:stretch>
      </xdr:blipFill>
      <xdr:spPr>
        <a:xfrm>
          <a:off x="8877300" y="38100"/>
          <a:ext cx="14382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781050</xdr:colOff>
      <xdr:row>3</xdr:row>
      <xdr:rowOff>9525</xdr:rowOff>
    </xdr:from>
    <xdr:to>
      <xdr:col>4</xdr:col>
      <xdr:colOff>0</xdr:colOff>
      <xdr:row>3</xdr:row>
      <xdr:rowOff>114300</xdr:rowOff>
    </xdr:to>
    <xdr:pic>
      <xdr:nvPicPr>
        <xdr:cNvPr id="199039" name="Grafik 6">
          <a:extLst>
            <a:ext uri="{FF2B5EF4-FFF2-40B4-BE49-F238E27FC236}">
              <a16:creationId xmlns:a16="http://schemas.microsoft.com/office/drawing/2014/main" id="{00000000-0008-0000-0400-00007F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272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17</xdr:row>
      <xdr:rowOff>9525</xdr:rowOff>
    </xdr:from>
    <xdr:to>
      <xdr:col>14</xdr:col>
      <xdr:colOff>523875</xdr:colOff>
      <xdr:row>17</xdr:row>
      <xdr:rowOff>114300</xdr:rowOff>
    </xdr:to>
    <xdr:pic>
      <xdr:nvPicPr>
        <xdr:cNvPr id="199040" name="Grafik 13">
          <a:extLst>
            <a:ext uri="{FF2B5EF4-FFF2-40B4-BE49-F238E27FC236}">
              <a16:creationId xmlns:a16="http://schemas.microsoft.com/office/drawing/2014/main" id="{00000000-0008-0000-0400-000080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858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314325</xdr:colOff>
      <xdr:row>3</xdr:row>
      <xdr:rowOff>9525</xdr:rowOff>
    </xdr:from>
    <xdr:to>
      <xdr:col>13</xdr:col>
      <xdr:colOff>0</xdr:colOff>
      <xdr:row>3</xdr:row>
      <xdr:rowOff>114300</xdr:rowOff>
    </xdr:to>
    <xdr:pic>
      <xdr:nvPicPr>
        <xdr:cNvPr id="199042" name="Grafik 6">
          <a:extLst>
            <a:ext uri="{FF2B5EF4-FFF2-40B4-BE49-F238E27FC236}">
              <a16:creationId xmlns:a16="http://schemas.microsoft.com/office/drawing/2014/main" id="{00000000-0008-0000-0400-000082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72400"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14</xdr:row>
      <xdr:rowOff>9525</xdr:rowOff>
    </xdr:from>
    <xdr:to>
      <xdr:col>14</xdr:col>
      <xdr:colOff>523875</xdr:colOff>
      <xdr:row>14</xdr:row>
      <xdr:rowOff>114300</xdr:rowOff>
    </xdr:to>
    <xdr:pic>
      <xdr:nvPicPr>
        <xdr:cNvPr id="199043" name="Grafik 18">
          <a:extLst>
            <a:ext uri="{FF2B5EF4-FFF2-40B4-BE49-F238E27FC236}">
              <a16:creationId xmlns:a16="http://schemas.microsoft.com/office/drawing/2014/main" id="{00000000-0008-0000-0400-000083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19</xdr:row>
      <xdr:rowOff>9525</xdr:rowOff>
    </xdr:from>
    <xdr:to>
      <xdr:col>14</xdr:col>
      <xdr:colOff>523875</xdr:colOff>
      <xdr:row>19</xdr:row>
      <xdr:rowOff>114300</xdr:rowOff>
    </xdr:to>
    <xdr:pic>
      <xdr:nvPicPr>
        <xdr:cNvPr id="199044" name="Grafik 13">
          <a:extLst>
            <a:ext uri="{FF2B5EF4-FFF2-40B4-BE49-F238E27FC236}">
              <a16:creationId xmlns:a16="http://schemas.microsoft.com/office/drawing/2014/main" id="{00000000-0008-0000-0400-000084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930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22</xdr:row>
      <xdr:rowOff>9525</xdr:rowOff>
    </xdr:from>
    <xdr:to>
      <xdr:col>14</xdr:col>
      <xdr:colOff>523875</xdr:colOff>
      <xdr:row>22</xdr:row>
      <xdr:rowOff>114300</xdr:rowOff>
    </xdr:to>
    <xdr:pic>
      <xdr:nvPicPr>
        <xdr:cNvPr id="199045" name="Grafik 13">
          <a:extLst>
            <a:ext uri="{FF2B5EF4-FFF2-40B4-BE49-F238E27FC236}">
              <a16:creationId xmlns:a16="http://schemas.microsoft.com/office/drawing/2014/main" id="{00000000-0008-0000-0400-000085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0391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28</xdr:row>
      <xdr:rowOff>9525</xdr:rowOff>
    </xdr:from>
    <xdr:to>
      <xdr:col>14</xdr:col>
      <xdr:colOff>523875</xdr:colOff>
      <xdr:row>28</xdr:row>
      <xdr:rowOff>114300</xdr:rowOff>
    </xdr:to>
    <xdr:pic>
      <xdr:nvPicPr>
        <xdr:cNvPr id="199046" name="Grafik 13">
          <a:extLst>
            <a:ext uri="{FF2B5EF4-FFF2-40B4-BE49-F238E27FC236}">
              <a16:creationId xmlns:a16="http://schemas.microsoft.com/office/drawing/2014/main" id="{00000000-0008-0000-0400-000086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1477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8</xdr:row>
      <xdr:rowOff>9525</xdr:rowOff>
    </xdr:from>
    <xdr:to>
      <xdr:col>14</xdr:col>
      <xdr:colOff>523875</xdr:colOff>
      <xdr:row>8</xdr:row>
      <xdr:rowOff>114300</xdr:rowOff>
    </xdr:to>
    <xdr:pic>
      <xdr:nvPicPr>
        <xdr:cNvPr id="199051" name="Grafik 6">
          <a:extLst>
            <a:ext uri="{FF2B5EF4-FFF2-40B4-BE49-F238E27FC236}">
              <a16:creationId xmlns:a16="http://schemas.microsoft.com/office/drawing/2014/main" id="{00000000-0008-0000-0400-00008B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53244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11</xdr:row>
      <xdr:rowOff>9525</xdr:rowOff>
    </xdr:from>
    <xdr:to>
      <xdr:col>14</xdr:col>
      <xdr:colOff>523875</xdr:colOff>
      <xdr:row>11</xdr:row>
      <xdr:rowOff>114300</xdr:rowOff>
    </xdr:to>
    <xdr:pic>
      <xdr:nvPicPr>
        <xdr:cNvPr id="199052" name="Grafik 6">
          <a:extLst>
            <a:ext uri="{FF2B5EF4-FFF2-40B4-BE49-F238E27FC236}">
              <a16:creationId xmlns:a16="http://schemas.microsoft.com/office/drawing/2014/main" id="{00000000-0008-0000-0400-00008C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6410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35</xdr:row>
      <xdr:rowOff>9525</xdr:rowOff>
    </xdr:from>
    <xdr:to>
      <xdr:col>14</xdr:col>
      <xdr:colOff>523875</xdr:colOff>
      <xdr:row>35</xdr:row>
      <xdr:rowOff>114300</xdr:rowOff>
    </xdr:to>
    <xdr:pic>
      <xdr:nvPicPr>
        <xdr:cNvPr id="199053" name="Grafik 13">
          <a:extLst>
            <a:ext uri="{FF2B5EF4-FFF2-40B4-BE49-F238E27FC236}">
              <a16:creationId xmlns:a16="http://schemas.microsoft.com/office/drawing/2014/main" id="{00000000-0008-0000-0400-00008D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3154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41</xdr:row>
      <xdr:rowOff>9525</xdr:rowOff>
    </xdr:from>
    <xdr:to>
      <xdr:col>14</xdr:col>
      <xdr:colOff>523875</xdr:colOff>
      <xdr:row>41</xdr:row>
      <xdr:rowOff>114300</xdr:rowOff>
    </xdr:to>
    <xdr:pic>
      <xdr:nvPicPr>
        <xdr:cNvPr id="199055" name="Grafik 13">
          <a:extLst>
            <a:ext uri="{FF2B5EF4-FFF2-40B4-BE49-F238E27FC236}">
              <a16:creationId xmlns:a16="http://schemas.microsoft.com/office/drawing/2014/main" id="{00000000-0008-0000-0400-00008F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16973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47</xdr:row>
      <xdr:rowOff>9525</xdr:rowOff>
    </xdr:from>
    <xdr:to>
      <xdr:col>14</xdr:col>
      <xdr:colOff>523875</xdr:colOff>
      <xdr:row>47</xdr:row>
      <xdr:rowOff>114300</xdr:rowOff>
    </xdr:to>
    <xdr:pic>
      <xdr:nvPicPr>
        <xdr:cNvPr id="199056" name="Grafik 13">
          <a:extLst>
            <a:ext uri="{FF2B5EF4-FFF2-40B4-BE49-F238E27FC236}">
              <a16:creationId xmlns:a16="http://schemas.microsoft.com/office/drawing/2014/main" id="{00000000-0008-0000-0400-0000900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21526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60" name="Grafik 29">
          <a:extLst>
            <a:ext uri="{FF2B5EF4-FFF2-40B4-BE49-F238E27FC236}">
              <a16:creationId xmlns:a16="http://schemas.microsoft.com/office/drawing/2014/main" id="{00000000-0008-0000-0400-000094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193548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61" name="Grafik 29">
          <a:extLst>
            <a:ext uri="{FF2B5EF4-FFF2-40B4-BE49-F238E27FC236}">
              <a16:creationId xmlns:a16="http://schemas.microsoft.com/office/drawing/2014/main" id="{00000000-0008-0000-0400-000095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0440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323850</xdr:colOff>
      <xdr:row>41</xdr:row>
      <xdr:rowOff>9525</xdr:rowOff>
    </xdr:from>
    <xdr:to>
      <xdr:col>14</xdr:col>
      <xdr:colOff>419100</xdr:colOff>
      <xdr:row>41</xdr:row>
      <xdr:rowOff>114300</xdr:rowOff>
    </xdr:to>
    <xdr:pic>
      <xdr:nvPicPr>
        <xdr:cNvPr id="199065" name="Grafik 29">
          <a:extLst>
            <a:ext uri="{FF2B5EF4-FFF2-40B4-BE49-F238E27FC236}">
              <a16:creationId xmlns:a16="http://schemas.microsoft.com/office/drawing/2014/main" id="{00000000-0008-0000-0400-000099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29650" y="169735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0</xdr:rowOff>
    </xdr:from>
    <xdr:to>
      <xdr:col>14</xdr:col>
      <xdr:colOff>523875</xdr:colOff>
      <xdr:row>46</xdr:row>
      <xdr:rowOff>104775</xdr:rowOff>
    </xdr:to>
    <xdr:pic>
      <xdr:nvPicPr>
        <xdr:cNvPr id="199070" name="Grafik 29">
          <a:extLst>
            <a:ext uri="{FF2B5EF4-FFF2-40B4-BE49-F238E27FC236}">
              <a16:creationId xmlns:a16="http://schemas.microsoft.com/office/drawing/2014/main" id="{00000000-0008-0000-0400-00009E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00787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428625</xdr:colOff>
      <xdr:row>46</xdr:row>
      <xdr:rowOff>9525</xdr:rowOff>
    </xdr:from>
    <xdr:to>
      <xdr:col>14</xdr:col>
      <xdr:colOff>523875</xdr:colOff>
      <xdr:row>46</xdr:row>
      <xdr:rowOff>114300</xdr:rowOff>
    </xdr:to>
    <xdr:pic>
      <xdr:nvPicPr>
        <xdr:cNvPr id="199071" name="Grafik 29">
          <a:extLst>
            <a:ext uri="{FF2B5EF4-FFF2-40B4-BE49-F238E27FC236}">
              <a16:creationId xmlns:a16="http://schemas.microsoft.com/office/drawing/2014/main" id="{00000000-0008-0000-0400-00009F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211645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409575</xdr:colOff>
      <xdr:row>16</xdr:row>
      <xdr:rowOff>9525</xdr:rowOff>
    </xdr:from>
    <xdr:to>
      <xdr:col>14</xdr:col>
      <xdr:colOff>523875</xdr:colOff>
      <xdr:row>16</xdr:row>
      <xdr:rowOff>95250</xdr:rowOff>
    </xdr:to>
    <xdr:pic>
      <xdr:nvPicPr>
        <xdr:cNvPr id="199072" name="Grafik 29">
          <a:extLst>
            <a:ext uri="{FF2B5EF4-FFF2-40B4-BE49-F238E27FC236}">
              <a16:creationId xmlns:a16="http://schemas.microsoft.com/office/drawing/2014/main" id="{00000000-0008-0000-0400-0000A009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15375" y="82200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14</xdr:col>
      <xdr:colOff>419100</xdr:colOff>
      <xdr:row>50</xdr:row>
      <xdr:rowOff>9525</xdr:rowOff>
    </xdr:from>
    <xdr:ext cx="104775" cy="104775"/>
    <xdr:pic>
      <xdr:nvPicPr>
        <xdr:cNvPr id="34" name="Grafik 13">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2747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14</xdr:col>
      <xdr:colOff>419100</xdr:colOff>
      <xdr:row>32</xdr:row>
      <xdr:rowOff>9525</xdr:rowOff>
    </xdr:from>
    <xdr:to>
      <xdr:col>14</xdr:col>
      <xdr:colOff>523875</xdr:colOff>
      <xdr:row>32</xdr:row>
      <xdr:rowOff>114300</xdr:rowOff>
    </xdr:to>
    <xdr:pic>
      <xdr:nvPicPr>
        <xdr:cNvPr id="35" name="Grafik 13">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2906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5</xdr:row>
      <xdr:rowOff>9525</xdr:rowOff>
    </xdr:from>
    <xdr:to>
      <xdr:col>0</xdr:col>
      <xdr:colOff>419100</xdr:colOff>
      <xdr:row>5</xdr:row>
      <xdr:rowOff>114300</xdr:rowOff>
    </xdr:to>
    <xdr:pic>
      <xdr:nvPicPr>
        <xdr:cNvPr id="36" name="Grafik 6">
          <a:extLst>
            <a:ext uri="{FF2B5EF4-FFF2-40B4-BE49-F238E27FC236}">
              <a16:creationId xmlns:a16="http://schemas.microsoft.com/office/drawing/2014/main" id="{0B16C813-DC98-4196-A89C-69CC90F82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477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276225</xdr:colOff>
      <xdr:row>5</xdr:row>
      <xdr:rowOff>9525</xdr:rowOff>
    </xdr:from>
    <xdr:to>
      <xdr:col>1</xdr:col>
      <xdr:colOff>381000</xdr:colOff>
      <xdr:row>5</xdr:row>
      <xdr:rowOff>114300</xdr:rowOff>
    </xdr:to>
    <xdr:pic>
      <xdr:nvPicPr>
        <xdr:cNvPr id="37" name="Grafik 6">
          <a:extLst>
            <a:ext uri="{FF2B5EF4-FFF2-40B4-BE49-F238E27FC236}">
              <a16:creationId xmlns:a16="http://schemas.microsoft.com/office/drawing/2014/main" id="{5080CB4D-C19C-406D-9BC6-94661528E0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324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419100</xdr:colOff>
      <xdr:row>5</xdr:row>
      <xdr:rowOff>9525</xdr:rowOff>
    </xdr:from>
    <xdr:to>
      <xdr:col>14</xdr:col>
      <xdr:colOff>523875</xdr:colOff>
      <xdr:row>5</xdr:row>
      <xdr:rowOff>114300</xdr:rowOff>
    </xdr:to>
    <xdr:pic>
      <xdr:nvPicPr>
        <xdr:cNvPr id="38" name="Grafik 6">
          <a:extLst>
            <a:ext uri="{FF2B5EF4-FFF2-40B4-BE49-F238E27FC236}">
              <a16:creationId xmlns:a16="http://schemas.microsoft.com/office/drawing/2014/main" id="{54107411-3C2F-4D5D-A696-CFC6131CAC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63025" y="477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4591050</xdr:colOff>
      <xdr:row>6</xdr:row>
      <xdr:rowOff>9525</xdr:rowOff>
    </xdr:from>
    <xdr:to>
      <xdr:col>17</xdr:col>
      <xdr:colOff>0</xdr:colOff>
      <xdr:row>6</xdr:row>
      <xdr:rowOff>114300</xdr:rowOff>
    </xdr:to>
    <xdr:pic>
      <xdr:nvPicPr>
        <xdr:cNvPr id="39" name="Grafik 18">
          <a:extLst>
            <a:ext uri="{FF2B5EF4-FFF2-40B4-BE49-F238E27FC236}">
              <a16:creationId xmlns:a16="http://schemas.microsoft.com/office/drawing/2014/main" id="{51BBC42E-6788-4567-916E-AC08735004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06550" y="5038725"/>
          <a:ext cx="12382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304800</xdr:colOff>
      <xdr:row>0</xdr:row>
      <xdr:rowOff>0</xdr:rowOff>
    </xdr:from>
    <xdr:to>
      <xdr:col>15</xdr:col>
      <xdr:colOff>627012</xdr:colOff>
      <xdr:row>3</xdr:row>
      <xdr:rowOff>175373</xdr:rowOff>
    </xdr:to>
    <xdr:pic>
      <xdr:nvPicPr>
        <xdr:cNvPr id="40" name="Grafik 34">
          <a:extLst>
            <a:ext uri="{FF2B5EF4-FFF2-40B4-BE49-F238E27FC236}">
              <a16:creationId xmlns:a16="http://schemas.microsoft.com/office/drawing/2014/main" id="{0A987F5E-1A78-46AC-B02D-AB769DF032F2}"/>
            </a:ext>
          </a:extLst>
        </xdr:cNvPr>
        <xdr:cNvPicPr>
          <a:picLocks noChangeAspect="1"/>
        </xdr:cNvPicPr>
      </xdr:nvPicPr>
      <xdr:blipFill>
        <a:blip xmlns:r="http://schemas.openxmlformats.org/officeDocument/2006/relationships" r:embed="rId3"/>
        <a:stretch>
          <a:fillRect/>
        </a:stretch>
      </xdr:blipFill>
      <xdr:spPr>
        <a:xfrm>
          <a:off x="8181975" y="0"/>
          <a:ext cx="1674762" cy="727823"/>
        </a:xfrm>
        <a:prstGeom prst="rect">
          <a:avLst/>
        </a:prstGeom>
      </xdr:spPr>
    </xdr:pic>
    <xdr:clientData/>
  </xdr:twoCellAnchor>
  <xdr:twoCellAnchor editAs="oneCell">
    <xdr:from>
      <xdr:col>14</xdr:col>
      <xdr:colOff>419100</xdr:colOff>
      <xdr:row>25</xdr:row>
      <xdr:rowOff>9525</xdr:rowOff>
    </xdr:from>
    <xdr:to>
      <xdr:col>14</xdr:col>
      <xdr:colOff>523875</xdr:colOff>
      <xdr:row>25</xdr:row>
      <xdr:rowOff>114300</xdr:rowOff>
    </xdr:to>
    <xdr:pic>
      <xdr:nvPicPr>
        <xdr:cNvPr id="41" name="Grafik 13">
          <a:extLst>
            <a:ext uri="{FF2B5EF4-FFF2-40B4-BE49-F238E27FC236}">
              <a16:creationId xmlns:a16="http://schemas.microsoft.com/office/drawing/2014/main" id="{6C29AA6C-2E03-4A69-985B-1A96506380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05900" y="11458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10</xdr:row>
      <xdr:rowOff>9525</xdr:rowOff>
    </xdr:from>
    <xdr:to>
      <xdr:col>2</xdr:col>
      <xdr:colOff>1143000</xdr:colOff>
      <xdr:row>10</xdr:row>
      <xdr:rowOff>114300</xdr:rowOff>
    </xdr:to>
    <xdr:pic>
      <xdr:nvPicPr>
        <xdr:cNvPr id="2" name="Grafik 6">
          <a:extLst>
            <a:ext uri="{FF2B5EF4-FFF2-40B4-BE49-F238E27FC236}">
              <a16:creationId xmlns:a16="http://schemas.microsoft.com/office/drawing/2014/main" id="{B2D620F0-2DF8-4772-AEA4-9529E568DB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47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790575</xdr:colOff>
      <xdr:row>10</xdr:row>
      <xdr:rowOff>0</xdr:rowOff>
    </xdr:from>
    <xdr:to>
      <xdr:col>6</xdr:col>
      <xdr:colOff>895350</xdr:colOff>
      <xdr:row>10</xdr:row>
      <xdr:rowOff>104775</xdr:rowOff>
    </xdr:to>
    <xdr:pic>
      <xdr:nvPicPr>
        <xdr:cNvPr id="3" name="Grafik 6">
          <a:extLst>
            <a:ext uri="{FF2B5EF4-FFF2-40B4-BE49-F238E27FC236}">
              <a16:creationId xmlns:a16="http://schemas.microsoft.com/office/drawing/2014/main" id="{6BAD2846-5BD2-4012-939B-2F55242E0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2575" y="3467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34</xdr:row>
      <xdr:rowOff>0</xdr:rowOff>
    </xdr:from>
    <xdr:to>
      <xdr:col>2</xdr:col>
      <xdr:colOff>1143000</xdr:colOff>
      <xdr:row>34</xdr:row>
      <xdr:rowOff>104775</xdr:rowOff>
    </xdr:to>
    <xdr:pic>
      <xdr:nvPicPr>
        <xdr:cNvPr id="5" name="Grafik 13">
          <a:extLst>
            <a:ext uri="{FF2B5EF4-FFF2-40B4-BE49-F238E27FC236}">
              <a16:creationId xmlns:a16="http://schemas.microsoft.com/office/drawing/2014/main" id="{025A3707-9B3F-49D4-9211-572DDF12F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1287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37</xdr:row>
      <xdr:rowOff>9525</xdr:rowOff>
    </xdr:from>
    <xdr:to>
      <xdr:col>2</xdr:col>
      <xdr:colOff>1143000</xdr:colOff>
      <xdr:row>37</xdr:row>
      <xdr:rowOff>114300</xdr:rowOff>
    </xdr:to>
    <xdr:pic>
      <xdr:nvPicPr>
        <xdr:cNvPr id="6" name="Grafik 13">
          <a:extLst>
            <a:ext uri="{FF2B5EF4-FFF2-40B4-BE49-F238E27FC236}">
              <a16:creationId xmlns:a16="http://schemas.microsoft.com/office/drawing/2014/main" id="{8FC4D4AC-1720-4DF9-A742-CFB8ECCE96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3068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40</xdr:row>
      <xdr:rowOff>0</xdr:rowOff>
    </xdr:from>
    <xdr:to>
      <xdr:col>2</xdr:col>
      <xdr:colOff>1143000</xdr:colOff>
      <xdr:row>40</xdr:row>
      <xdr:rowOff>104775</xdr:rowOff>
    </xdr:to>
    <xdr:pic>
      <xdr:nvPicPr>
        <xdr:cNvPr id="7" name="Grafik 13">
          <a:extLst>
            <a:ext uri="{FF2B5EF4-FFF2-40B4-BE49-F238E27FC236}">
              <a16:creationId xmlns:a16="http://schemas.microsoft.com/office/drawing/2014/main" id="{5F1A10FF-98CD-4861-976A-64C50872B13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4430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46</xdr:row>
      <xdr:rowOff>9525</xdr:rowOff>
    </xdr:from>
    <xdr:to>
      <xdr:col>2</xdr:col>
      <xdr:colOff>1143000</xdr:colOff>
      <xdr:row>46</xdr:row>
      <xdr:rowOff>114300</xdr:rowOff>
    </xdr:to>
    <xdr:pic>
      <xdr:nvPicPr>
        <xdr:cNvPr id="8" name="Grafik 13">
          <a:extLst>
            <a:ext uri="{FF2B5EF4-FFF2-40B4-BE49-F238E27FC236}">
              <a16:creationId xmlns:a16="http://schemas.microsoft.com/office/drawing/2014/main" id="{024F115E-5F02-4F5A-A084-E474DFC4F3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6925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49</xdr:row>
      <xdr:rowOff>9525</xdr:rowOff>
    </xdr:from>
    <xdr:to>
      <xdr:col>2</xdr:col>
      <xdr:colOff>1143000</xdr:colOff>
      <xdr:row>49</xdr:row>
      <xdr:rowOff>114300</xdr:rowOff>
    </xdr:to>
    <xdr:pic>
      <xdr:nvPicPr>
        <xdr:cNvPr id="9" name="Grafik 13">
          <a:extLst>
            <a:ext uri="{FF2B5EF4-FFF2-40B4-BE49-F238E27FC236}">
              <a16:creationId xmlns:a16="http://schemas.microsoft.com/office/drawing/2014/main" id="{76503A12-5196-4844-905C-8EC66B652E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8011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52</xdr:row>
      <xdr:rowOff>0</xdr:rowOff>
    </xdr:from>
    <xdr:to>
      <xdr:col>2</xdr:col>
      <xdr:colOff>1143000</xdr:colOff>
      <xdr:row>52</xdr:row>
      <xdr:rowOff>104775</xdr:rowOff>
    </xdr:to>
    <xdr:pic>
      <xdr:nvPicPr>
        <xdr:cNvPr id="10" name="Grafik 13">
          <a:extLst>
            <a:ext uri="{FF2B5EF4-FFF2-40B4-BE49-F238E27FC236}">
              <a16:creationId xmlns:a16="http://schemas.microsoft.com/office/drawing/2014/main" id="{0349994C-8DA3-41FA-84BF-AF9B956D39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9088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58</xdr:row>
      <xdr:rowOff>9525</xdr:rowOff>
    </xdr:from>
    <xdr:to>
      <xdr:col>2</xdr:col>
      <xdr:colOff>1143000</xdr:colOff>
      <xdr:row>58</xdr:row>
      <xdr:rowOff>114300</xdr:rowOff>
    </xdr:to>
    <xdr:pic>
      <xdr:nvPicPr>
        <xdr:cNvPr id="11" name="Grafik 13">
          <a:extLst>
            <a:ext uri="{FF2B5EF4-FFF2-40B4-BE49-F238E27FC236}">
              <a16:creationId xmlns:a16="http://schemas.microsoft.com/office/drawing/2014/main" id="{58DA93FB-13AB-45DF-9C0B-59B1DDF5BB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1269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61</xdr:row>
      <xdr:rowOff>9525</xdr:rowOff>
    </xdr:from>
    <xdr:to>
      <xdr:col>2</xdr:col>
      <xdr:colOff>1143000</xdr:colOff>
      <xdr:row>61</xdr:row>
      <xdr:rowOff>114300</xdr:rowOff>
    </xdr:to>
    <xdr:pic>
      <xdr:nvPicPr>
        <xdr:cNvPr id="12" name="Grafik 13">
          <a:extLst>
            <a:ext uri="{FF2B5EF4-FFF2-40B4-BE49-F238E27FC236}">
              <a16:creationId xmlns:a16="http://schemas.microsoft.com/office/drawing/2014/main" id="{267FE80C-B9EA-4404-9838-AB300A9E9E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5241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64</xdr:row>
      <xdr:rowOff>9525</xdr:rowOff>
    </xdr:from>
    <xdr:to>
      <xdr:col>2</xdr:col>
      <xdr:colOff>1143000</xdr:colOff>
      <xdr:row>64</xdr:row>
      <xdr:rowOff>114300</xdr:rowOff>
    </xdr:to>
    <xdr:pic>
      <xdr:nvPicPr>
        <xdr:cNvPr id="13" name="Grafik 13">
          <a:extLst>
            <a:ext uri="{FF2B5EF4-FFF2-40B4-BE49-F238E27FC236}">
              <a16:creationId xmlns:a16="http://schemas.microsoft.com/office/drawing/2014/main" id="{30A5CCC6-1FA4-4D9D-9E52-C441694971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272986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1057275</xdr:colOff>
      <xdr:row>67</xdr:row>
      <xdr:rowOff>0</xdr:rowOff>
    </xdr:from>
    <xdr:to>
      <xdr:col>3</xdr:col>
      <xdr:colOff>9525</xdr:colOff>
      <xdr:row>67</xdr:row>
      <xdr:rowOff>104775</xdr:rowOff>
    </xdr:to>
    <xdr:pic>
      <xdr:nvPicPr>
        <xdr:cNvPr id="14" name="Grafik 13">
          <a:extLst>
            <a:ext uri="{FF2B5EF4-FFF2-40B4-BE49-F238E27FC236}">
              <a16:creationId xmlns:a16="http://schemas.microsoft.com/office/drawing/2014/main" id="{23FC1776-C9CC-426A-BA37-B94664A344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6425" y="28374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73</xdr:row>
      <xdr:rowOff>9525</xdr:rowOff>
    </xdr:from>
    <xdr:to>
      <xdr:col>2</xdr:col>
      <xdr:colOff>1143000</xdr:colOff>
      <xdr:row>73</xdr:row>
      <xdr:rowOff>114300</xdr:rowOff>
    </xdr:to>
    <xdr:pic>
      <xdr:nvPicPr>
        <xdr:cNvPr id="15" name="Grafik 13">
          <a:extLst>
            <a:ext uri="{FF2B5EF4-FFF2-40B4-BE49-F238E27FC236}">
              <a16:creationId xmlns:a16="http://schemas.microsoft.com/office/drawing/2014/main" id="{63468F9B-D67C-4447-94B7-E26F6EA37C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1670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76</xdr:row>
      <xdr:rowOff>9525</xdr:rowOff>
    </xdr:from>
    <xdr:to>
      <xdr:col>2</xdr:col>
      <xdr:colOff>1143000</xdr:colOff>
      <xdr:row>76</xdr:row>
      <xdr:rowOff>114300</xdr:rowOff>
    </xdr:to>
    <xdr:pic>
      <xdr:nvPicPr>
        <xdr:cNvPr id="16" name="Grafik 13">
          <a:extLst>
            <a:ext uri="{FF2B5EF4-FFF2-40B4-BE49-F238E27FC236}">
              <a16:creationId xmlns:a16="http://schemas.microsoft.com/office/drawing/2014/main" id="{AD5B04AE-33F4-48FF-8D3D-32456FDC01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3442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1038225</xdr:colOff>
      <xdr:row>79</xdr:row>
      <xdr:rowOff>9525</xdr:rowOff>
    </xdr:from>
    <xdr:to>
      <xdr:col>2</xdr:col>
      <xdr:colOff>1143000</xdr:colOff>
      <xdr:row>79</xdr:row>
      <xdr:rowOff>114300</xdr:rowOff>
    </xdr:to>
    <xdr:pic>
      <xdr:nvPicPr>
        <xdr:cNvPr id="17" name="Grafik 13">
          <a:extLst>
            <a:ext uri="{FF2B5EF4-FFF2-40B4-BE49-F238E27FC236}">
              <a16:creationId xmlns:a16="http://schemas.microsoft.com/office/drawing/2014/main" id="{E7D0CD01-D502-4046-91A5-A395DF5275C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34928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2124075</xdr:colOff>
      <xdr:row>7</xdr:row>
      <xdr:rowOff>9525</xdr:rowOff>
    </xdr:from>
    <xdr:to>
      <xdr:col>10</xdr:col>
      <xdr:colOff>0</xdr:colOff>
      <xdr:row>7</xdr:row>
      <xdr:rowOff>114300</xdr:rowOff>
    </xdr:to>
    <xdr:pic>
      <xdr:nvPicPr>
        <xdr:cNvPr id="192788" name="Grafik 3">
          <a:extLst>
            <a:ext uri="{FF2B5EF4-FFF2-40B4-BE49-F238E27FC236}">
              <a16:creationId xmlns:a16="http://schemas.microsoft.com/office/drawing/2014/main" id="{00000000-0008-0000-0700-000014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1085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333375</xdr:colOff>
      <xdr:row>7</xdr:row>
      <xdr:rowOff>9525</xdr:rowOff>
    </xdr:from>
    <xdr:to>
      <xdr:col>6</xdr:col>
      <xdr:colOff>0</xdr:colOff>
      <xdr:row>7</xdr:row>
      <xdr:rowOff>104775</xdr:rowOff>
    </xdr:to>
    <xdr:pic>
      <xdr:nvPicPr>
        <xdr:cNvPr id="192789" name="Grafik 4">
          <a:extLst>
            <a:ext uri="{FF2B5EF4-FFF2-40B4-BE49-F238E27FC236}">
              <a16:creationId xmlns:a16="http://schemas.microsoft.com/office/drawing/2014/main" id="{00000000-0008-0000-0700-000015F1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28975" y="10858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2124075</xdr:colOff>
      <xdr:row>5</xdr:row>
      <xdr:rowOff>9525</xdr:rowOff>
    </xdr:from>
    <xdr:to>
      <xdr:col>10</xdr:col>
      <xdr:colOff>0</xdr:colOff>
      <xdr:row>5</xdr:row>
      <xdr:rowOff>114300</xdr:rowOff>
    </xdr:to>
    <xdr:pic>
      <xdr:nvPicPr>
        <xdr:cNvPr id="192790" name="Grafik 3">
          <a:extLst>
            <a:ext uri="{FF2B5EF4-FFF2-40B4-BE49-F238E27FC236}">
              <a16:creationId xmlns:a16="http://schemas.microsoft.com/office/drawing/2014/main" id="{00000000-0008-0000-0700-000016F1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5802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1</xdr:row>
      <xdr:rowOff>104775</xdr:rowOff>
    </xdr:from>
    <xdr:to>
      <xdr:col>10</xdr:col>
      <xdr:colOff>2181225</xdr:colOff>
      <xdr:row>2</xdr:row>
      <xdr:rowOff>171450</xdr:rowOff>
    </xdr:to>
    <xdr:pic>
      <xdr:nvPicPr>
        <xdr:cNvPr id="192791" name="Grafik 1">
          <a:extLst>
            <a:ext uri="{FF2B5EF4-FFF2-40B4-BE49-F238E27FC236}">
              <a16:creationId xmlns:a16="http://schemas.microsoft.com/office/drawing/2014/main" id="{00000000-0008-0000-0700-000017F102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905750" y="1047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28</xdr:col>
      <xdr:colOff>257175</xdr:colOff>
      <xdr:row>1</xdr:row>
      <xdr:rowOff>0</xdr:rowOff>
    </xdr:from>
    <xdr:to>
      <xdr:col>32</xdr:col>
      <xdr:colOff>295275</xdr:colOff>
      <xdr:row>4</xdr:row>
      <xdr:rowOff>66675</xdr:rowOff>
    </xdr:to>
    <xdr:pic>
      <xdr:nvPicPr>
        <xdr:cNvPr id="193881" name="Grafik 1">
          <a:extLst>
            <a:ext uri="{FF2B5EF4-FFF2-40B4-BE49-F238E27FC236}">
              <a16:creationId xmlns:a16="http://schemas.microsoft.com/office/drawing/2014/main" id="{00000000-0008-0000-0900-000059F502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9525" y="57150"/>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438150</xdr:colOff>
      <xdr:row>30</xdr:row>
      <xdr:rowOff>9525</xdr:rowOff>
    </xdr:from>
    <xdr:to>
      <xdr:col>19</xdr:col>
      <xdr:colOff>0</xdr:colOff>
      <xdr:row>30</xdr:row>
      <xdr:rowOff>85725</xdr:rowOff>
    </xdr:to>
    <xdr:pic>
      <xdr:nvPicPr>
        <xdr:cNvPr id="193882" name="Grafik 5">
          <a:extLst>
            <a:ext uri="{FF2B5EF4-FFF2-40B4-BE49-F238E27FC236}">
              <a16:creationId xmlns:a16="http://schemas.microsoft.com/office/drawing/2014/main" id="{00000000-0008-0000-0900-00005AF5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91150" y="637222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133350</xdr:colOff>
      <xdr:row>5</xdr:row>
      <xdr:rowOff>9525</xdr:rowOff>
    </xdr:from>
    <xdr:to>
      <xdr:col>26</xdr:col>
      <xdr:colOff>0</xdr:colOff>
      <xdr:row>5</xdr:row>
      <xdr:rowOff>114300</xdr:rowOff>
    </xdr:to>
    <xdr:pic>
      <xdr:nvPicPr>
        <xdr:cNvPr id="193883" name="Grafik 3">
          <a:extLst>
            <a:ext uri="{FF2B5EF4-FFF2-40B4-BE49-F238E27FC236}">
              <a16:creationId xmlns:a16="http://schemas.microsoft.com/office/drawing/2014/main" id="{00000000-0008-0000-0900-00005B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2750" y="6953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133350</xdr:colOff>
      <xdr:row>7</xdr:row>
      <xdr:rowOff>9525</xdr:rowOff>
    </xdr:from>
    <xdr:to>
      <xdr:col>26</xdr:col>
      <xdr:colOff>0</xdr:colOff>
      <xdr:row>7</xdr:row>
      <xdr:rowOff>114300</xdr:rowOff>
    </xdr:to>
    <xdr:pic>
      <xdr:nvPicPr>
        <xdr:cNvPr id="193884" name="Grafik 3">
          <a:extLst>
            <a:ext uri="{FF2B5EF4-FFF2-40B4-BE49-F238E27FC236}">
              <a16:creationId xmlns:a16="http://schemas.microsoft.com/office/drawing/2014/main" id="{00000000-0008-0000-0900-00005C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62750" y="971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133350</xdr:colOff>
      <xdr:row>7</xdr:row>
      <xdr:rowOff>9525</xdr:rowOff>
    </xdr:from>
    <xdr:to>
      <xdr:col>7</xdr:col>
      <xdr:colOff>0</xdr:colOff>
      <xdr:row>7</xdr:row>
      <xdr:rowOff>114300</xdr:rowOff>
    </xdr:to>
    <xdr:pic>
      <xdr:nvPicPr>
        <xdr:cNvPr id="193885" name="Grafik 3">
          <a:extLst>
            <a:ext uri="{FF2B5EF4-FFF2-40B4-BE49-F238E27FC236}">
              <a16:creationId xmlns:a16="http://schemas.microsoft.com/office/drawing/2014/main" id="{00000000-0008-0000-0900-00005DF502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66925" y="9715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1162050</xdr:colOff>
      <xdr:row>5</xdr:row>
      <xdr:rowOff>9525</xdr:rowOff>
    </xdr:from>
    <xdr:to>
      <xdr:col>6</xdr:col>
      <xdr:colOff>0</xdr:colOff>
      <xdr:row>5</xdr:row>
      <xdr:rowOff>114300</xdr:rowOff>
    </xdr:to>
    <xdr:pic>
      <xdr:nvPicPr>
        <xdr:cNvPr id="194905" name="Grafik 3">
          <a:extLst>
            <a:ext uri="{FF2B5EF4-FFF2-40B4-BE49-F238E27FC236}">
              <a16:creationId xmlns:a16="http://schemas.microsoft.com/office/drawing/2014/main" id="{00000000-0008-0000-0A00-000059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2925" y="866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1162050</xdr:colOff>
      <xdr:row>7</xdr:row>
      <xdr:rowOff>9525</xdr:rowOff>
    </xdr:from>
    <xdr:to>
      <xdr:col>6</xdr:col>
      <xdr:colOff>0</xdr:colOff>
      <xdr:row>7</xdr:row>
      <xdr:rowOff>104775</xdr:rowOff>
    </xdr:to>
    <xdr:pic>
      <xdr:nvPicPr>
        <xdr:cNvPr id="194906" name="Grafik 4">
          <a:extLst>
            <a:ext uri="{FF2B5EF4-FFF2-40B4-BE49-F238E27FC236}">
              <a16:creationId xmlns:a16="http://schemas.microsoft.com/office/drawing/2014/main" id="{00000000-0008-0000-0A00-00005A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62925" y="11430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1657350</xdr:colOff>
      <xdr:row>7</xdr:row>
      <xdr:rowOff>9525</xdr:rowOff>
    </xdr:from>
    <xdr:to>
      <xdr:col>2</xdr:col>
      <xdr:colOff>0</xdr:colOff>
      <xdr:row>7</xdr:row>
      <xdr:rowOff>104775</xdr:rowOff>
    </xdr:to>
    <xdr:pic>
      <xdr:nvPicPr>
        <xdr:cNvPr id="194907" name="Grafik 4">
          <a:extLst>
            <a:ext uri="{FF2B5EF4-FFF2-40B4-BE49-F238E27FC236}">
              <a16:creationId xmlns:a16="http://schemas.microsoft.com/office/drawing/2014/main" id="{00000000-0008-0000-0A00-00005B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11430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1657350</xdr:colOff>
      <xdr:row>14</xdr:row>
      <xdr:rowOff>9525</xdr:rowOff>
    </xdr:from>
    <xdr:to>
      <xdr:col>2</xdr:col>
      <xdr:colOff>0</xdr:colOff>
      <xdr:row>14</xdr:row>
      <xdr:rowOff>104775</xdr:rowOff>
    </xdr:to>
    <xdr:pic>
      <xdr:nvPicPr>
        <xdr:cNvPr id="194908" name="Grafik 4">
          <a:extLst>
            <a:ext uri="{FF2B5EF4-FFF2-40B4-BE49-F238E27FC236}">
              <a16:creationId xmlns:a16="http://schemas.microsoft.com/office/drawing/2014/main" id="{00000000-0008-0000-0A00-00005CF9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23145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638175</xdr:colOff>
      <xdr:row>1</xdr:row>
      <xdr:rowOff>57150</xdr:rowOff>
    </xdr:from>
    <xdr:to>
      <xdr:col>6</xdr:col>
      <xdr:colOff>800100</xdr:colOff>
      <xdr:row>2</xdr:row>
      <xdr:rowOff>142875</xdr:rowOff>
    </xdr:to>
    <xdr:pic>
      <xdr:nvPicPr>
        <xdr:cNvPr id="194909" name="Grafik 1">
          <a:extLst>
            <a:ext uri="{FF2B5EF4-FFF2-40B4-BE49-F238E27FC236}">
              <a16:creationId xmlns:a16="http://schemas.microsoft.com/office/drawing/2014/main" id="{00000000-0008-0000-0A00-00005DF9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39050"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4_excel-kb%20auditjahr%202025\organe\gyn\eb_gz-J1-1_daten_240816.xlsx" TargetMode="External"/><Relationship Id="rId1" Type="http://schemas.openxmlformats.org/officeDocument/2006/relationships/externalLinkPath" Target="/06_daten/09_excel-kennzahlenb&#246;gen/14_excel-kb%20auditjahr%202025/organe/gyn/eb_gz-J1-1_daten_2408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enquelle"/>
      <sheetName val="Basisdaten"/>
      <sheetName val="HilfstabelleSD"/>
      <sheetName val="HilfstabelleB"/>
      <sheetName val="Studien"/>
      <sheetName val="HilfstabelleStudien"/>
      <sheetName val="Kennzahlenbogen_(KB)"/>
      <sheetName val="HilfstabelleKB"/>
      <sheetName val="Berechnung1"/>
      <sheetName val="Datendefizite_KB"/>
      <sheetName val="Hilfstabelle Datendef_KB"/>
    </sheetNames>
    <sheetDataSet>
      <sheetData sheetId="0">
        <row r="65">
          <cell r="A65" t="str">
            <v>Baden-Württemberg</v>
          </cell>
          <cell r="B65" t="str">
            <v>Bayern</v>
          </cell>
          <cell r="C65" t="str">
            <v>Berlin</v>
          </cell>
          <cell r="D65" t="str">
            <v>Brandenburg</v>
          </cell>
          <cell r="E65" t="str">
            <v>Bremen</v>
          </cell>
          <cell r="F65" t="str">
            <v>Hamburg</v>
          </cell>
          <cell r="G65" t="str">
            <v>Hessen</v>
          </cell>
          <cell r="H65" t="str">
            <v>Mecklenburg-Vorpommern</v>
          </cell>
          <cell r="I65" t="str">
            <v>Niedersachsen</v>
          </cell>
          <cell r="J65" t="str">
            <v>Nordrhein-Westfalen</v>
          </cell>
          <cell r="K65" t="str">
            <v>Rheinland-Pfalz</v>
          </cell>
          <cell r="L65" t="str">
            <v>Saarland</v>
          </cell>
          <cell r="M65" t="str">
            <v>Sachsen</v>
          </cell>
          <cell r="N65" t="str">
            <v>Sachsen-Anhalt</v>
          </cell>
          <cell r="O65" t="str">
            <v>Schleswig-Holstein</v>
          </cell>
          <cell r="P65" t="str">
            <v>Thüringen</v>
          </cell>
          <cell r="Q65" t="str">
            <v>Schweiz</v>
          </cell>
          <cell r="R65" t="str">
            <v>Österreich</v>
          </cell>
          <cell r="S65" t="str">
            <v>Italien</v>
          </cell>
        </row>
        <row r="66">
          <cell r="A66" t="str">
            <v>Comprehensive Cancer Center Freiburg</v>
          </cell>
          <cell r="B66" t="str">
            <v>Bevölkerungsbezogenes Krebsregister Bayern</v>
          </cell>
          <cell r="C66" t="str">
            <v>Charité Comprehensive Cancer Center</v>
          </cell>
          <cell r="D66" t="str">
            <v>Gemeinsames Krebsregister Berlin-Brandenburg</v>
          </cell>
          <cell r="E66" t="str">
            <v>Krebsregister des Landes Bremen</v>
          </cell>
          <cell r="F66" t="str">
            <v>Hamburgisches Krebsregister</v>
          </cell>
          <cell r="G66" t="str">
            <v>Hessisches Krebsregister</v>
          </cell>
          <cell r="H66" t="str">
            <v>Tumorzentrum Neubrandenburg</v>
          </cell>
          <cell r="I66" t="str">
            <v>Epidemiologisches Krebsregister Niedersachsen</v>
          </cell>
          <cell r="J66" t="str">
            <v>Westdeutsches Tumorzentrum Essen</v>
          </cell>
          <cell r="K66" t="str">
            <v>Krebsregister Rheinland-Pfalz</v>
          </cell>
          <cell r="L66" t="str">
            <v>Epidemiologisches Krebsregister Saarland</v>
          </cell>
          <cell r="M66" t="str">
            <v>Tumorzentrum Chemnitz</v>
          </cell>
          <cell r="N66" t="str">
            <v>Tumorzentrum Anhalt</v>
          </cell>
          <cell r="O66" t="str">
            <v>klinisches Krebsregister Schleswig Holstein/Lübeck</v>
          </cell>
          <cell r="P66" t="str">
            <v>Tumorzentrum Altenburg</v>
          </cell>
          <cell r="Q66" t="str">
            <v>Krebsregister Schweiz</v>
          </cell>
          <cell r="R66" t="str">
            <v>Krebsregister Österreich</v>
          </cell>
          <cell r="S66" t="str">
            <v>Krebsregister Italien</v>
          </cell>
        </row>
        <row r="67">
          <cell r="A67" t="str">
            <v>Comprehensive Cancer Center Tübingen</v>
          </cell>
          <cell r="B67" t="str">
            <v>Tumorzentrum Augsburg</v>
          </cell>
          <cell r="C67" t="str">
            <v>Gemeinsames Krebsregister Berlin-Brandenburg</v>
          </cell>
          <cell r="D67" t="str">
            <v>Tumorzentrum Land Brandenburg</v>
          </cell>
          <cell r="E67" t="str">
            <v>Keine Anbindung an Klinisches Krebsregister</v>
          </cell>
          <cell r="F67" t="str">
            <v>Keine Anbindung an Klinisches Krebsregister</v>
          </cell>
          <cell r="G67" t="str">
            <v>Krebsregister Hessen</v>
          </cell>
          <cell r="H67" t="str">
            <v>Tumorzentrum Rostock</v>
          </cell>
          <cell r="I67" t="str">
            <v>Kassenärztliche Vereinigung Niedersachsen</v>
          </cell>
          <cell r="J67" t="str">
            <v>Comprehensive Cancer Center Münster</v>
          </cell>
          <cell r="K67" t="str">
            <v>Tumorzentrum Koblenz</v>
          </cell>
          <cell r="L67" t="str">
            <v>Tumorzentrum Homburg</v>
          </cell>
          <cell r="M67" t="str">
            <v>Tumorzentrum Dresden</v>
          </cell>
          <cell r="N67" t="str">
            <v>Tumorzentrum Halle</v>
          </cell>
          <cell r="O67" t="str">
            <v>Krebsregister Schleswig-Holstein</v>
          </cell>
          <cell r="P67" t="str">
            <v>Tumorzentrum Erfurt</v>
          </cell>
          <cell r="Q67" t="str">
            <v>Nicht gelistet</v>
          </cell>
          <cell r="R67" t="str">
            <v>Nicht gelistet</v>
          </cell>
          <cell r="S67" t="str">
            <v>Nicht gelistet</v>
          </cell>
        </row>
        <row r="68">
          <cell r="A68" t="str">
            <v>Comprehensive Cancer Center Ulm</v>
          </cell>
          <cell r="B68" t="str">
            <v>Tumorzentrum Erlangen-Nürnberg</v>
          </cell>
          <cell r="C68" t="str">
            <v>Tumorzentrum Berlin-Buch</v>
          </cell>
          <cell r="D68" t="str">
            <v>GKR (Gemeinsames Krebsregister der Länder)</v>
          </cell>
          <cell r="E68" t="str">
            <v>Nicht gelistet</v>
          </cell>
          <cell r="F68" t="str">
            <v>Nicht gelistet</v>
          </cell>
          <cell r="G68" t="str">
            <v>Onkologischer Schwerpunkt Wiesbaden</v>
          </cell>
          <cell r="H68" t="str">
            <v>Tumorzentrum Schwerin</v>
          </cell>
          <cell r="I68" t="str">
            <v>Krebsregister Niedersachsen</v>
          </cell>
          <cell r="J68" t="str">
            <v xml:space="preserve">Epidemiologisches Krebsregister Münster </v>
          </cell>
          <cell r="K68" t="str">
            <v>Tumorzentrum Rheinland-Pfalz</v>
          </cell>
          <cell r="L68" t="str">
            <v>Keine Anbindung an Klinisches Krebsregister</v>
          </cell>
          <cell r="M68" t="str">
            <v>Tumorzentrum Leipzig</v>
          </cell>
          <cell r="N68" t="str">
            <v>Tumorzentrum Magdeburg</v>
          </cell>
          <cell r="O68" t="str">
            <v>Tumorzentrum Kiel</v>
          </cell>
          <cell r="P68" t="str">
            <v>Tumorzentrum Gera</v>
          </cell>
        </row>
        <row r="69">
          <cell r="A69" t="str">
            <v>Epidemiologisches Krebsregister Baden-Württemberg</v>
          </cell>
          <cell r="B69" t="str">
            <v>Tumorzentrum München</v>
          </cell>
          <cell r="C69" t="str">
            <v>Tumorzentrum für Klinik &amp; Praxis in Berlin</v>
          </cell>
          <cell r="D69" t="str">
            <v>Keine Anbindung an Klinisches Krebsregister</v>
          </cell>
          <cell r="E69" t="str">
            <v>Unbekannt</v>
          </cell>
          <cell r="F69" t="str">
            <v>Unbekannt</v>
          </cell>
          <cell r="G69" t="str">
            <v>Tumorzentrum Kassel</v>
          </cell>
          <cell r="H69" t="str">
            <v>Tumorzentrum Vorpommern</v>
          </cell>
          <cell r="I69" t="str">
            <v>Tumorzentrum Göttingen</v>
          </cell>
          <cell r="J69" t="str">
            <v>Epidemiologisches Krebsregister NRW</v>
          </cell>
          <cell r="K69" t="str">
            <v>Keine Anbindung an Klinisches Krebsregister</v>
          </cell>
          <cell r="L69" t="str">
            <v>Nicht gelistet</v>
          </cell>
          <cell r="M69" t="str">
            <v>Tumorzentrum Ostsachsen</v>
          </cell>
          <cell r="N69" t="str">
            <v>GKR (Gemeinsames Krebsregister der Länder)</v>
          </cell>
          <cell r="O69" t="str">
            <v>Keine Anbindung an Klinisches Krebsregister</v>
          </cell>
          <cell r="P69" t="str">
            <v>Tumorzentrum Jena</v>
          </cell>
        </row>
        <row r="70">
          <cell r="A70" t="str">
            <v>Krebsregister Baden-Württemberg</v>
          </cell>
          <cell r="B70" t="str">
            <v>Tumorzentrum Oberfranken</v>
          </cell>
          <cell r="C70" t="str">
            <v>Tumorzentrum Spandau</v>
          </cell>
          <cell r="D70" t="str">
            <v>Nicht gelistet</v>
          </cell>
          <cell r="G70" t="str">
            <v>Tumorzentrum Marburg</v>
          </cell>
          <cell r="H70" t="str">
            <v>GKR (Gemeinsames Krebsregister der Länder)</v>
          </cell>
          <cell r="I70" t="str">
            <v>Tumorzentrum Hannover</v>
          </cell>
          <cell r="J70" t="str">
            <v>Krebsregister NRW</v>
          </cell>
          <cell r="K70" t="str">
            <v>Nicht gelistet</v>
          </cell>
          <cell r="L70" t="str">
            <v>Unbekannt</v>
          </cell>
          <cell r="M70" t="str">
            <v>Tumorzentrum Zwickau</v>
          </cell>
          <cell r="N70" t="str">
            <v>Keine Anbindung an Klinisches Krebsregister</v>
          </cell>
          <cell r="O70" t="str">
            <v>Nicht gelistet</v>
          </cell>
          <cell r="P70" t="str">
            <v>Tumorzentrum Suhl</v>
          </cell>
        </row>
        <row r="71">
          <cell r="A71" t="str">
            <v>NCT Heidelberg</v>
          </cell>
          <cell r="B71" t="str">
            <v>Tumorzentrum Regensburg</v>
          </cell>
          <cell r="C71" t="str">
            <v>Tumorzentrum Vivantes</v>
          </cell>
          <cell r="D71" t="str">
            <v>Unbekannt</v>
          </cell>
          <cell r="G71" t="str">
            <v>Keine Anbindung an Klinisches Krebsregister</v>
          </cell>
          <cell r="H71" t="str">
            <v>Keine Anbindung an Klinisches Krebsregister</v>
          </cell>
          <cell r="I71" t="str">
            <v>Tumorzentrum Weser-Ems</v>
          </cell>
          <cell r="J71" t="str">
            <v>Onkologischer Schwerpunkt Hamm</v>
          </cell>
          <cell r="K71" t="str">
            <v>Unbekannt</v>
          </cell>
          <cell r="M71" t="str">
            <v>GKR (Gemeinsames Krebsregister der Länder)</v>
          </cell>
          <cell r="N71" t="str">
            <v>Nicht gelistet</v>
          </cell>
          <cell r="O71" t="str">
            <v>Unbekannt</v>
          </cell>
          <cell r="P71" t="str">
            <v>Tumorzentrum Südharz</v>
          </cell>
        </row>
        <row r="72">
          <cell r="A72" t="str">
            <v>Onkol. Schwerpunkt Lörrach-Rheinfelden</v>
          </cell>
          <cell r="B72" t="str">
            <v>Tumorzentrum Würzburg</v>
          </cell>
          <cell r="C72" t="str">
            <v>GKR (Gemeinsames Krebsregister der Länder)</v>
          </cell>
          <cell r="G72" t="str">
            <v>Nicht gelistet</v>
          </cell>
          <cell r="H72" t="str">
            <v>Nicht gelistet</v>
          </cell>
          <cell r="I72" t="str">
            <v>Keine Anbindung an Klinisches Krebsregister</v>
          </cell>
          <cell r="J72" t="str">
            <v>Keine Anbindung an Klinisches Krebsregister</v>
          </cell>
          <cell r="M72" t="str">
            <v>Keine Anbindung an Klinisches Krebsregister</v>
          </cell>
          <cell r="N72" t="str">
            <v>Unbekannt</v>
          </cell>
          <cell r="P72" t="str">
            <v>GKR (Gemeinsames Krebsregister der Länder)</v>
          </cell>
        </row>
        <row r="73">
          <cell r="A73" t="str">
            <v>Onkol. Schwerpunkt Ludwigsburg-Bietigheim</v>
          </cell>
          <cell r="B73" t="str">
            <v>Keine Anbindung an Klinisches Krebsregister</v>
          </cell>
          <cell r="C73" t="str">
            <v>Keine Anbindung an Klinisches Krebsregister</v>
          </cell>
          <cell r="G73" t="str">
            <v>Unbekannt</v>
          </cell>
          <cell r="H73" t="str">
            <v>Unbekannt</v>
          </cell>
          <cell r="I73" t="str">
            <v>Nicht gelistet</v>
          </cell>
          <cell r="J73" t="str">
            <v>Nicht gelistet</v>
          </cell>
          <cell r="M73" t="str">
            <v>Nicht gelistet</v>
          </cell>
          <cell r="P73" t="str">
            <v>Keine Anbindung an Klinisches Krebsregister</v>
          </cell>
        </row>
        <row r="74">
          <cell r="A74" t="str">
            <v>Onkol. Schwerpunkt Villingen-Schwenningen</v>
          </cell>
          <cell r="B74" t="str">
            <v>Nicht gelistet</v>
          </cell>
          <cell r="C74" t="str">
            <v>Nicht gelistet</v>
          </cell>
          <cell r="I74" t="str">
            <v>Unbekannt</v>
          </cell>
          <cell r="J74" t="str">
            <v>Unbekannt</v>
          </cell>
          <cell r="M74" t="str">
            <v>Unbekannt</v>
          </cell>
          <cell r="P74" t="str">
            <v>Nicht gelistet</v>
          </cell>
        </row>
        <row r="75">
          <cell r="A75" t="str">
            <v>Onkologischer Schwerpunkt Göppingen</v>
          </cell>
          <cell r="B75" t="str">
            <v>Unbekannt</v>
          </cell>
          <cell r="C75" t="str">
            <v>Unbekannt</v>
          </cell>
          <cell r="P75" t="str">
            <v>Unbekannt</v>
          </cell>
        </row>
        <row r="76">
          <cell r="A76" t="str">
            <v>Onkologischer Schwerpunkt Heilbronn</v>
          </cell>
        </row>
        <row r="77">
          <cell r="A77" t="str">
            <v>Onkologischer Schwerpunkt Karlsruhe</v>
          </cell>
        </row>
        <row r="78">
          <cell r="A78" t="str">
            <v>Onkologischer Schwerpunkt Konstanz-Singen</v>
          </cell>
        </row>
        <row r="79">
          <cell r="A79" t="str">
            <v>Onkologischer Schwerpunkt Oberschwaben</v>
          </cell>
        </row>
        <row r="80">
          <cell r="A80" t="str">
            <v>Onkologischer Schwerpunkt Ortenaukreis</v>
          </cell>
        </row>
        <row r="81">
          <cell r="A81" t="str">
            <v>Onkologischer Schwerpunkt Ostwürttemberg</v>
          </cell>
        </row>
        <row r="82">
          <cell r="A82" t="str">
            <v>Onkologischer Schwerpunkt Reutlingen</v>
          </cell>
        </row>
        <row r="83">
          <cell r="A83" t="str">
            <v>Onkologischer Schwerpunkt Stuttgart</v>
          </cell>
        </row>
        <row r="84">
          <cell r="A84" t="str">
            <v>Keine Anbindung an Klinisches Krebsregister</v>
          </cell>
        </row>
        <row r="85">
          <cell r="A85" t="str">
            <v>Nicht gelistet</v>
          </cell>
        </row>
        <row r="86">
          <cell r="A86" t="str">
            <v>Unbekannt</v>
          </cell>
        </row>
        <row r="98">
          <cell r="E98" t="str">
            <v/>
          </cell>
        </row>
        <row r="101">
          <cell r="A101" t="str">
            <v>FAG-Z-001-BG</v>
          </cell>
        </row>
        <row r="102">
          <cell r="A102" t="str">
            <v>FAG-Z-002-BG</v>
          </cell>
        </row>
        <row r="103">
          <cell r="A103" t="str">
            <v>FAG-Z-003-BG</v>
          </cell>
        </row>
        <row r="104">
          <cell r="A104" t="str">
            <v>FAG-Z-004-BG</v>
          </cell>
        </row>
        <row r="105">
          <cell r="A105" t="str">
            <v>FAG-Z-005-BG</v>
          </cell>
        </row>
        <row r="106">
          <cell r="A106" t="str">
            <v>FAG-Z-006</v>
          </cell>
        </row>
        <row r="107">
          <cell r="A107" t="str">
            <v>FAG-Z-007-BG</v>
          </cell>
        </row>
        <row r="108">
          <cell r="A108" t="str">
            <v>FAG-Z-008-BG</v>
          </cell>
        </row>
        <row r="109">
          <cell r="A109" t="str">
            <v>FAG-Z-009-BG</v>
          </cell>
        </row>
        <row r="110">
          <cell r="A110" t="str">
            <v>FAG-Z-010-BG</v>
          </cell>
        </row>
        <row r="111">
          <cell r="A111" t="str">
            <v>FAG-Z-011-BG</v>
          </cell>
        </row>
        <row r="112">
          <cell r="A112" t="str">
            <v>FAG-Z-012-BG</v>
          </cell>
        </row>
        <row r="113">
          <cell r="A113" t="str">
            <v>FAG-Z-013-BG</v>
          </cell>
        </row>
        <row r="114">
          <cell r="A114" t="str">
            <v>FAG-Z-014-BG</v>
          </cell>
        </row>
        <row r="115">
          <cell r="A115" t="str">
            <v>FAG-Z-015</v>
          </cell>
        </row>
        <row r="116">
          <cell r="A116" t="str">
            <v>FAG-Z-016-BG</v>
          </cell>
        </row>
        <row r="117">
          <cell r="A117" t="str">
            <v>FAG-Z-017-BG</v>
          </cell>
        </row>
        <row r="118">
          <cell r="A118" t="str">
            <v>FAG-Z-018-BG</v>
          </cell>
        </row>
        <row r="119">
          <cell r="A119" t="str">
            <v>FAG-Z-020-BG</v>
          </cell>
        </row>
        <row r="120">
          <cell r="A120" t="str">
            <v>FAG-Z-021-BG</v>
          </cell>
        </row>
        <row r="121">
          <cell r="A121" t="str">
            <v>FAG-Z-022-BG</v>
          </cell>
        </row>
        <row r="122">
          <cell r="A122" t="str">
            <v>FAG-Z-023-BG</v>
          </cell>
        </row>
        <row r="123">
          <cell r="A123" t="str">
            <v>FAG-Z-024-BG</v>
          </cell>
        </row>
        <row r="124">
          <cell r="A124" t="str">
            <v>FAG-Z-025-BG</v>
          </cell>
        </row>
        <row r="125">
          <cell r="A125" t="str">
            <v>FAG-Z-026-BG</v>
          </cell>
        </row>
        <row r="126">
          <cell r="A126" t="str">
            <v>FAG-Z-027-BG</v>
          </cell>
        </row>
        <row r="127">
          <cell r="A127" t="str">
            <v>FAG-Z-028-BG</v>
          </cell>
        </row>
        <row r="128">
          <cell r="A128" t="str">
            <v>FAG-Z-030-BG</v>
          </cell>
        </row>
        <row r="129">
          <cell r="A129" t="str">
            <v>FAG-Z-031-BG</v>
          </cell>
        </row>
        <row r="130">
          <cell r="A130" t="str">
            <v>FAG-Z-032-BG</v>
          </cell>
        </row>
        <row r="131">
          <cell r="A131" t="str">
            <v>FAG-Z-033-BG</v>
          </cell>
        </row>
        <row r="132">
          <cell r="A132" t="str">
            <v>FAG-Z-034-BG</v>
          </cell>
        </row>
        <row r="133">
          <cell r="A133" t="str">
            <v>FAG-Z-035-BG</v>
          </cell>
        </row>
        <row r="134">
          <cell r="A134" t="str">
            <v>FAG-Z-036-BG</v>
          </cell>
        </row>
        <row r="135">
          <cell r="A135" t="str">
            <v>FAG-Z-037-BG</v>
          </cell>
        </row>
        <row r="136">
          <cell r="A136" t="str">
            <v>FAG-Z-038-BG</v>
          </cell>
        </row>
        <row r="137">
          <cell r="A137" t="str">
            <v>FAG-Z-039-BG</v>
          </cell>
        </row>
        <row r="138">
          <cell r="A138" t="str">
            <v>FAG-Z-040-BG</v>
          </cell>
        </row>
        <row r="139">
          <cell r="A139" t="str">
            <v>FAG-Z-042-BG</v>
          </cell>
        </row>
        <row r="140">
          <cell r="A140" t="str">
            <v>FAG-Z-043-BG</v>
          </cell>
        </row>
        <row r="141">
          <cell r="A141" t="str">
            <v>FAG-Z-044-BG</v>
          </cell>
        </row>
        <row r="142">
          <cell r="A142" t="str">
            <v>FAG-Z-045-BG</v>
          </cell>
        </row>
        <row r="143">
          <cell r="A143" t="str">
            <v>FAG-Z-046-BG</v>
          </cell>
        </row>
        <row r="144">
          <cell r="A144" t="str">
            <v>FAG-Z-047-BG</v>
          </cell>
        </row>
        <row r="145">
          <cell r="A145" t="str">
            <v>FAG-Z-048-BG</v>
          </cell>
        </row>
        <row r="146">
          <cell r="A146" t="str">
            <v>FAG-Z-049-BG</v>
          </cell>
        </row>
        <row r="147">
          <cell r="A147" t="str">
            <v>FAG-Z-050-BG</v>
          </cell>
        </row>
        <row r="148">
          <cell r="A148" t="str">
            <v>FAG-Z-051-BG</v>
          </cell>
        </row>
        <row r="149">
          <cell r="A149" t="str">
            <v>FAG-Z-052-BG</v>
          </cell>
        </row>
        <row r="150">
          <cell r="A150" t="str">
            <v>FAG-Z-053-BG</v>
          </cell>
        </row>
        <row r="151">
          <cell r="A151" t="str">
            <v>FAG-Z-054-BG</v>
          </cell>
        </row>
        <row r="152">
          <cell r="A152" t="str">
            <v>FAG-Z-055</v>
          </cell>
        </row>
        <row r="153">
          <cell r="A153" t="str">
            <v>FAG-Z-056-BG</v>
          </cell>
        </row>
        <row r="154">
          <cell r="A154" t="str">
            <v>FAG-Z-057-BG</v>
          </cell>
        </row>
        <row r="155">
          <cell r="A155" t="str">
            <v>FAG-Z-058-BG</v>
          </cell>
        </row>
        <row r="156">
          <cell r="A156" t="str">
            <v>FAG-Z-059</v>
          </cell>
        </row>
        <row r="157">
          <cell r="A157" t="str">
            <v>FAG-Z-060-BG</v>
          </cell>
        </row>
        <row r="158">
          <cell r="A158" t="str">
            <v>FAG-Z-061-BG</v>
          </cell>
        </row>
        <row r="159">
          <cell r="A159" t="str">
            <v>FAG-Z-062</v>
          </cell>
        </row>
        <row r="160">
          <cell r="A160" t="str">
            <v>FAG-Z-063</v>
          </cell>
        </row>
        <row r="161">
          <cell r="A161" t="str">
            <v>FAG-Z-064-BG</v>
          </cell>
        </row>
        <row r="162">
          <cell r="A162" t="str">
            <v>FAG-Z-065-BG</v>
          </cell>
        </row>
        <row r="163">
          <cell r="A163" t="str">
            <v>FAG-Z-067-BG</v>
          </cell>
        </row>
        <row r="164">
          <cell r="A164" t="str">
            <v>FAG-Z-068-BG</v>
          </cell>
        </row>
        <row r="165">
          <cell r="A165" t="str">
            <v>FAG-Z-069-BG</v>
          </cell>
        </row>
        <row r="166">
          <cell r="A166" t="str">
            <v>FAG-Z-070-BG</v>
          </cell>
        </row>
        <row r="167">
          <cell r="A167" t="str">
            <v>FAG-Z-071-BG</v>
          </cell>
        </row>
        <row r="168">
          <cell r="A168" t="str">
            <v>FAG-Z-072-BG</v>
          </cell>
        </row>
        <row r="169">
          <cell r="A169" t="str">
            <v>FAG-Z-073-BG</v>
          </cell>
        </row>
        <row r="170">
          <cell r="A170" t="str">
            <v>FAG-Z-074-BG</v>
          </cell>
        </row>
        <row r="171">
          <cell r="A171" t="str">
            <v>FAG-Z-076-BG</v>
          </cell>
        </row>
        <row r="172">
          <cell r="A172" t="str">
            <v>FAG-Z-078</v>
          </cell>
        </row>
        <row r="173">
          <cell r="A173" t="str">
            <v>FAG-Z-079</v>
          </cell>
        </row>
        <row r="174">
          <cell r="A174" t="str">
            <v>FAG-Z-080</v>
          </cell>
        </row>
        <row r="175">
          <cell r="A175" t="str">
            <v>FAG-Z-081-BG</v>
          </cell>
        </row>
        <row r="176">
          <cell r="A176" t="str">
            <v>FAG-Z-082-BG</v>
          </cell>
        </row>
        <row r="177">
          <cell r="A177" t="str">
            <v>FAG-Z-083-BG</v>
          </cell>
        </row>
        <row r="178">
          <cell r="A178" t="str">
            <v>FAG-Z-087-BG</v>
          </cell>
        </row>
        <row r="179">
          <cell r="A179" t="str">
            <v>FAG-Z-088-BG</v>
          </cell>
        </row>
        <row r="180">
          <cell r="A180" t="str">
            <v>FAG-Z-089-BG</v>
          </cell>
        </row>
        <row r="181">
          <cell r="A181" t="str">
            <v>FAG-Z-090-BG</v>
          </cell>
        </row>
        <row r="182">
          <cell r="A182" t="str">
            <v>FAG-Z-091-BG</v>
          </cell>
        </row>
        <row r="183">
          <cell r="A183" t="str">
            <v>FAG-Z-092</v>
          </cell>
        </row>
        <row r="184">
          <cell r="A184" t="str">
            <v>FAG-Z-093-BG</v>
          </cell>
        </row>
        <row r="185">
          <cell r="A185" t="str">
            <v>FAG-Z-094-BG</v>
          </cell>
        </row>
        <row r="186">
          <cell r="A186" t="str">
            <v>FAG-Z-095-BG</v>
          </cell>
        </row>
        <row r="187">
          <cell r="A187" t="str">
            <v>FAG-Z-096-BG</v>
          </cell>
        </row>
        <row r="188">
          <cell r="A188" t="str">
            <v>FAG-Z-097-BG</v>
          </cell>
        </row>
        <row r="189">
          <cell r="A189" t="str">
            <v>FAG-Z-098-BG</v>
          </cell>
        </row>
        <row r="190">
          <cell r="A190" t="str">
            <v>FAG-Z-099-BG</v>
          </cell>
        </row>
        <row r="191">
          <cell r="A191" t="str">
            <v>FAG-Z-101</v>
          </cell>
        </row>
        <row r="192">
          <cell r="A192" t="str">
            <v>FAG-Z-103-BG</v>
          </cell>
        </row>
        <row r="193">
          <cell r="A193" t="str">
            <v>FAG-Z-104-BG</v>
          </cell>
        </row>
        <row r="194">
          <cell r="A194" t="str">
            <v>FAG-Z-105-BG</v>
          </cell>
        </row>
        <row r="195">
          <cell r="A195" t="str">
            <v>FAG-Z-106-BG</v>
          </cell>
        </row>
        <row r="196">
          <cell r="A196" t="str">
            <v>FAG-Z-107</v>
          </cell>
        </row>
        <row r="197">
          <cell r="A197" t="str">
            <v>FAG-Z-110</v>
          </cell>
        </row>
        <row r="198">
          <cell r="A198" t="str">
            <v>FAG-Z-111-BG</v>
          </cell>
        </row>
        <row r="199">
          <cell r="A199" t="str">
            <v>FAG-Z-112</v>
          </cell>
        </row>
        <row r="200">
          <cell r="A200" t="str">
            <v>FAG-Z-115</v>
          </cell>
        </row>
        <row r="201">
          <cell r="A201" t="str">
            <v>FAG-Z-116-BG</v>
          </cell>
        </row>
        <row r="202">
          <cell r="A202" t="str">
            <v>FAG-Z-117-BG</v>
          </cell>
        </row>
        <row r="203">
          <cell r="A203" t="str">
            <v>FAG-Z-118-BG</v>
          </cell>
        </row>
        <row r="204">
          <cell r="A204" t="str">
            <v>FAG-Z-120</v>
          </cell>
        </row>
        <row r="205">
          <cell r="A205" t="str">
            <v>FAG-Z-121-BG</v>
          </cell>
        </row>
        <row r="206">
          <cell r="A206" t="str">
            <v>FAG-Z-122</v>
          </cell>
        </row>
        <row r="207">
          <cell r="A207" t="str">
            <v>FAG-Z-123-BG</v>
          </cell>
        </row>
        <row r="208">
          <cell r="A208" t="str">
            <v>FAG-Z-124-BG</v>
          </cell>
        </row>
        <row r="209">
          <cell r="A209" t="str">
            <v>FAG-Z-125-BG</v>
          </cell>
        </row>
        <row r="210">
          <cell r="A210" t="str">
            <v>FAG-Z-126-BG</v>
          </cell>
        </row>
        <row r="211">
          <cell r="A211" t="str">
            <v>FAG-Z-130-BG</v>
          </cell>
        </row>
        <row r="212">
          <cell r="A212" t="str">
            <v>FAG-Z-131-BG</v>
          </cell>
        </row>
        <row r="213">
          <cell r="A213" t="str">
            <v>FAG-Z-133-BG</v>
          </cell>
        </row>
        <row r="214">
          <cell r="A214" t="str">
            <v>FAG-Z-134-BG</v>
          </cell>
        </row>
        <row r="215">
          <cell r="A215" t="str">
            <v>FAG-Z-135-BG</v>
          </cell>
        </row>
        <row r="216">
          <cell r="A216" t="str">
            <v>FAG-Z-136-BG</v>
          </cell>
        </row>
        <row r="217">
          <cell r="A217" t="str">
            <v>FAG-Z-137-BG</v>
          </cell>
        </row>
        <row r="218">
          <cell r="A218" t="str">
            <v>FAG-Z-138-BG</v>
          </cell>
        </row>
        <row r="219">
          <cell r="A219" t="str">
            <v>FAG-Z-139</v>
          </cell>
        </row>
        <row r="220">
          <cell r="A220" t="str">
            <v>FAG-Z-140-BG</v>
          </cell>
        </row>
        <row r="221">
          <cell r="A221" t="str">
            <v>FAG-Z-141-BG</v>
          </cell>
        </row>
        <row r="222">
          <cell r="A222" t="str">
            <v>FAG-Z-142-BG</v>
          </cell>
        </row>
        <row r="223">
          <cell r="A223" t="str">
            <v>FAG-Z-143-BG</v>
          </cell>
        </row>
        <row r="224">
          <cell r="A224" t="str">
            <v>FAG-Z-144-BG</v>
          </cell>
        </row>
        <row r="225">
          <cell r="A225" t="str">
            <v>FAG-Z-145-BG</v>
          </cell>
        </row>
        <row r="226">
          <cell r="A226" t="str">
            <v>FAG-Z-146</v>
          </cell>
        </row>
        <row r="227">
          <cell r="A227" t="str">
            <v>FAG-Z-147-BG</v>
          </cell>
        </row>
        <row r="228">
          <cell r="A228" t="str">
            <v>FAG-Z-148</v>
          </cell>
        </row>
        <row r="229">
          <cell r="A229" t="str">
            <v>FAG-Z-149-BG</v>
          </cell>
        </row>
        <row r="230">
          <cell r="A230" t="str">
            <v>FAG-Z-150-BG</v>
          </cell>
        </row>
        <row r="231">
          <cell r="A231" t="str">
            <v>FAG-Z-151-BG</v>
          </cell>
        </row>
        <row r="232">
          <cell r="A232" t="str">
            <v>FAG-Z-152</v>
          </cell>
        </row>
        <row r="233">
          <cell r="A233" t="str">
            <v>FAG-Z-153-BG</v>
          </cell>
        </row>
        <row r="234">
          <cell r="A234" t="str">
            <v>FAG-Z-154</v>
          </cell>
        </row>
        <row r="235">
          <cell r="A235" t="str">
            <v>FAG-Z-155-BG</v>
          </cell>
        </row>
        <row r="236">
          <cell r="A236" t="str">
            <v>FAG-Z-157</v>
          </cell>
        </row>
        <row r="237">
          <cell r="A237" t="str">
            <v>FAG-Z-158-BG</v>
          </cell>
        </row>
        <row r="238">
          <cell r="A238" t="str">
            <v>FAG-Z-159-BG</v>
          </cell>
        </row>
        <row r="239">
          <cell r="A239" t="str">
            <v>FAG-Z-160</v>
          </cell>
        </row>
        <row r="240">
          <cell r="A240" t="str">
            <v>FAG-Z-161-BG</v>
          </cell>
        </row>
        <row r="241">
          <cell r="A241" t="str">
            <v>FAG-Z-162-BG</v>
          </cell>
        </row>
        <row r="242">
          <cell r="A242" t="str">
            <v>FAG-Z-163</v>
          </cell>
        </row>
        <row r="243">
          <cell r="A243" t="str">
            <v>FAG-Z-165-BG</v>
          </cell>
        </row>
        <row r="244">
          <cell r="A244" t="str">
            <v>FAG-Z-166-BG</v>
          </cell>
        </row>
        <row r="245">
          <cell r="A245" t="str">
            <v>FAG-Z-168-BG</v>
          </cell>
        </row>
        <row r="246">
          <cell r="A246" t="str">
            <v>FAG-Z-170-BG</v>
          </cell>
        </row>
        <row r="247">
          <cell r="A247" t="str">
            <v>FAG-Z-171-BG</v>
          </cell>
        </row>
        <row r="248">
          <cell r="A248" t="str">
            <v>FAG-Z-172</v>
          </cell>
        </row>
        <row r="249">
          <cell r="A249" t="str">
            <v>FAG-Z-173-BG</v>
          </cell>
        </row>
        <row r="250">
          <cell r="A250" t="str">
            <v>FAG-Z-174-BG</v>
          </cell>
        </row>
        <row r="251">
          <cell r="A251" t="str">
            <v>FAG-Z-176-BG</v>
          </cell>
        </row>
        <row r="252">
          <cell r="A252" t="str">
            <v>FAG-Z-177-BG</v>
          </cell>
        </row>
        <row r="253">
          <cell r="A253" t="str">
            <v>FAG-Z-178-BG</v>
          </cell>
        </row>
        <row r="254">
          <cell r="A254" t="str">
            <v>FAG-Z-179-BG</v>
          </cell>
        </row>
        <row r="255">
          <cell r="A255" t="str">
            <v>FAG-Z-180-BG</v>
          </cell>
        </row>
        <row r="256">
          <cell r="A256" t="str">
            <v>FAG-Z-181</v>
          </cell>
        </row>
        <row r="257">
          <cell r="A257" t="str">
            <v>FAG-Z-182-BG</v>
          </cell>
        </row>
        <row r="258">
          <cell r="A258" t="str">
            <v>FAG-Z-185</v>
          </cell>
        </row>
        <row r="259">
          <cell r="A259" t="str">
            <v>FAG-Z-186</v>
          </cell>
        </row>
        <row r="260">
          <cell r="A260" t="str">
            <v>FAG-Z-187-BG</v>
          </cell>
        </row>
        <row r="261">
          <cell r="A261" t="str">
            <v>FAG-Z-188-BG</v>
          </cell>
        </row>
        <row r="262">
          <cell r="A262" t="str">
            <v>FAG-Z-189</v>
          </cell>
        </row>
        <row r="263">
          <cell r="A263" t="str">
            <v>FAG-Z-190-BG</v>
          </cell>
        </row>
        <row r="264">
          <cell r="A264" t="str">
            <v>FAG-Z-191</v>
          </cell>
        </row>
        <row r="265">
          <cell r="A265" t="str">
            <v>FAG-Z-192-BG</v>
          </cell>
        </row>
        <row r="266">
          <cell r="A266" t="str">
            <v>FAG-Z-193</v>
          </cell>
        </row>
        <row r="267">
          <cell r="A267" t="str">
            <v>FAG-Z-195-BG</v>
          </cell>
        </row>
        <row r="268">
          <cell r="A268" t="str">
            <v>FAG-Z-196</v>
          </cell>
        </row>
        <row r="269">
          <cell r="A269" t="str">
            <v>FAG-Z-197-BG</v>
          </cell>
        </row>
        <row r="270">
          <cell r="A270" t="str">
            <v>FAG-Z-199</v>
          </cell>
        </row>
        <row r="271">
          <cell r="A271" t="str">
            <v>FAG-Z-200-BG</v>
          </cell>
        </row>
        <row r="272">
          <cell r="A272" t="str">
            <v>FAG-Z-201-BG</v>
          </cell>
        </row>
        <row r="273">
          <cell r="A273" t="str">
            <v>FAG-Z-202-BG</v>
          </cell>
        </row>
        <row r="274">
          <cell r="A274" t="str">
            <v>FAG-Z-203-BG</v>
          </cell>
        </row>
        <row r="275">
          <cell r="A275" t="str">
            <v>FAG-Z-204-BG</v>
          </cell>
        </row>
        <row r="276">
          <cell r="A276" t="str">
            <v>FAG-Z-205-BG</v>
          </cell>
        </row>
        <row r="277">
          <cell r="A277" t="str">
            <v>FAG-Z-206-BG</v>
          </cell>
        </row>
        <row r="278">
          <cell r="A278" t="str">
            <v>FAG-Z-207</v>
          </cell>
        </row>
        <row r="279">
          <cell r="A279" t="str">
            <v>FAG-Z-208-BG</v>
          </cell>
        </row>
        <row r="280">
          <cell r="A280" t="str">
            <v>FAG-Z-209-BG</v>
          </cell>
        </row>
        <row r="281">
          <cell r="A281" t="str">
            <v>FAG-Z-210-BG</v>
          </cell>
        </row>
        <row r="282">
          <cell r="A282" t="str">
            <v>FAG-Z-211-BG</v>
          </cell>
        </row>
        <row r="283">
          <cell r="A283" t="str">
            <v>FAG-Z-212-BG</v>
          </cell>
        </row>
        <row r="284">
          <cell r="A284" t="str">
            <v>FAG-Z-213</v>
          </cell>
        </row>
        <row r="285">
          <cell r="A285" t="str">
            <v>FAG-Z-214</v>
          </cell>
        </row>
        <row r="286">
          <cell r="A286" t="str">
            <v>FAG-Z-215-BG</v>
          </cell>
        </row>
        <row r="287">
          <cell r="A287" t="str">
            <v>FAG-Z-217</v>
          </cell>
        </row>
        <row r="288">
          <cell r="A288" t="str">
            <v>FAG-Z-218-BG</v>
          </cell>
        </row>
        <row r="289">
          <cell r="A289" t="str">
            <v>FAG-Z-219</v>
          </cell>
        </row>
        <row r="290">
          <cell r="A290" t="str">
            <v>FAG-Z-220</v>
          </cell>
        </row>
        <row r="291">
          <cell r="A291" t="str">
            <v>FAG-Z-221</v>
          </cell>
        </row>
        <row r="292">
          <cell r="A292" t="str">
            <v>FAG-Z-222</v>
          </cell>
        </row>
        <row r="293">
          <cell r="A293" t="str">
            <v>Nicht gelistet</v>
          </cell>
        </row>
      </sheetData>
      <sheetData sheetId="1"/>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67:S88" totalsRowShown="0" headerRowDxfId="134" dataDxfId="132" headerRowBorderDxfId="133" totalsRowBorderDxfId="131">
  <autoFilter ref="A67:S88" xr:uid="{00000000-0009-0000-0100-000001000000}"/>
  <tableColumns count="19">
    <tableColumn id="1" xr3:uid="{00000000-0010-0000-0000-000001000000}" name="Baden-Württemberg" dataDxfId="130"/>
    <tableColumn id="2" xr3:uid="{00000000-0010-0000-0000-000002000000}" name="Bayern" dataDxfId="129"/>
    <tableColumn id="3" xr3:uid="{00000000-0010-0000-0000-000003000000}" name="Berlin" dataDxfId="128"/>
    <tableColumn id="4" xr3:uid="{00000000-0010-0000-0000-000004000000}" name="Brandenburg" dataDxfId="127"/>
    <tableColumn id="5" xr3:uid="{00000000-0010-0000-0000-000005000000}" name="Bremen" dataDxfId="126"/>
    <tableColumn id="6" xr3:uid="{00000000-0010-0000-0000-000006000000}" name="Hamburg" dataDxfId="125"/>
    <tableColumn id="7" xr3:uid="{00000000-0010-0000-0000-000007000000}" name="Hessen" dataDxfId="124"/>
    <tableColumn id="8" xr3:uid="{00000000-0010-0000-0000-000008000000}" name="Mecklenburg-Vorpommern" dataDxfId="123"/>
    <tableColumn id="9" xr3:uid="{00000000-0010-0000-0000-000009000000}" name="Niedersachsen" dataDxfId="122"/>
    <tableColumn id="10" xr3:uid="{00000000-0010-0000-0000-00000A000000}" name="Nordrhein-Westfalen" dataDxfId="121"/>
    <tableColumn id="11" xr3:uid="{00000000-0010-0000-0000-00000B000000}" name="Rheinland-Pfalz" dataDxfId="120"/>
    <tableColumn id="12" xr3:uid="{00000000-0010-0000-0000-00000C000000}" name="Saarland" dataDxfId="119"/>
    <tableColumn id="13" xr3:uid="{00000000-0010-0000-0000-00000D000000}" name="Sachsen" dataDxfId="118"/>
    <tableColumn id="14" xr3:uid="{00000000-0010-0000-0000-00000E000000}" name="Sachsen-Anhalt" dataDxfId="117"/>
    <tableColumn id="15" xr3:uid="{00000000-0010-0000-0000-00000F000000}" name="Schleswig-Holstein" dataDxfId="116"/>
    <tableColumn id="16" xr3:uid="{00000000-0010-0000-0000-000010000000}" name="Thüringen" dataDxfId="115"/>
    <tableColumn id="17" xr3:uid="{00000000-0010-0000-0000-000011000000}" name="Schweiz" dataDxfId="114"/>
    <tableColumn id="18" xr3:uid="{00000000-0010-0000-0000-000012000000}" name="Österreich" dataDxfId="113"/>
    <tableColumn id="19" xr3:uid="{00000000-0010-0000-0000-000013000000}" name="Italien" dataDxfId="11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Q64"/>
  <sheetViews>
    <sheetView showGridLines="0" tabSelected="1" showRuler="0" zoomScaleNormal="100" zoomScaleSheetLayoutView="91" workbookViewId="0">
      <selection activeCell="C6" sqref="C6:F6"/>
    </sheetView>
  </sheetViews>
  <sheetFormatPr defaultColWidth="11.42578125" defaultRowHeight="12.75" x14ac:dyDescent="0.2"/>
  <cols>
    <col min="1" max="1" width="7.5703125" style="328" customWidth="1"/>
    <col min="2" max="2" width="12.5703125" style="328" customWidth="1"/>
    <col min="3" max="3" width="6.42578125" style="328" customWidth="1"/>
    <col min="4" max="4" width="13.85546875" style="328" customWidth="1"/>
    <col min="5" max="5" width="8.140625" style="328" customWidth="1"/>
    <col min="6" max="7" width="9" style="328" customWidth="1"/>
    <col min="8" max="8" width="9.5703125" style="328" customWidth="1"/>
    <col min="9" max="9" width="9" style="328" customWidth="1"/>
    <col min="10" max="10" width="11.85546875" style="328" customWidth="1"/>
    <col min="11" max="14" width="8.7109375" style="328" customWidth="1"/>
    <col min="15" max="15" width="1.7109375" style="328" customWidth="1"/>
    <col min="16" max="16384" width="11.42578125" style="328"/>
  </cols>
  <sheetData>
    <row r="1" spans="1:14" ht="6.95" customHeight="1" x14ac:dyDescent="0.2"/>
    <row r="2" spans="1:14" ht="15.95" customHeight="1" x14ac:dyDescent="0.2">
      <c r="A2" s="14" t="s">
        <v>948</v>
      </c>
      <c r="B2" s="329"/>
    </row>
    <row r="3" spans="1:14" ht="15.95" customHeight="1" x14ac:dyDescent="0.2">
      <c r="A3" s="400" t="s">
        <v>504</v>
      </c>
      <c r="B3" s="330"/>
    </row>
    <row r="4" spans="1:14" ht="10.5" customHeight="1" x14ac:dyDescent="0.2"/>
    <row r="5" spans="1:14" ht="21.75" customHeight="1" x14ac:dyDescent="0.2">
      <c r="E5" s="331"/>
      <c r="F5" s="331"/>
      <c r="G5" s="331"/>
      <c r="H5" s="331"/>
      <c r="I5" s="331"/>
      <c r="J5" s="331"/>
      <c r="K5" s="331"/>
      <c r="L5" s="331"/>
      <c r="M5" s="331"/>
      <c r="N5" s="331"/>
    </row>
    <row r="6" spans="1:14" ht="15.95" customHeight="1" x14ac:dyDescent="0.2">
      <c r="A6" s="383" t="s">
        <v>505</v>
      </c>
      <c r="B6" s="332"/>
      <c r="C6" s="599"/>
      <c r="D6" s="599"/>
      <c r="E6" s="600"/>
      <c r="F6" s="600"/>
      <c r="G6" s="333"/>
      <c r="H6" s="334"/>
      <c r="I6" s="334"/>
      <c r="M6" s="594"/>
      <c r="N6" s="594"/>
    </row>
    <row r="7" spans="1:14" ht="8.1" customHeight="1" x14ac:dyDescent="0.2">
      <c r="A7" s="23"/>
      <c r="E7" s="335"/>
      <c r="F7" s="335"/>
      <c r="G7" s="335"/>
      <c r="H7" s="335"/>
      <c r="I7" s="335"/>
      <c r="J7" s="335"/>
      <c r="K7" s="335"/>
      <c r="L7" s="335"/>
      <c r="M7" s="335"/>
      <c r="N7" s="336"/>
    </row>
    <row r="8" spans="1:14" ht="15.95" customHeight="1" x14ac:dyDescent="0.2">
      <c r="A8" s="383" t="s">
        <v>506</v>
      </c>
      <c r="B8" s="332"/>
      <c r="C8" s="595" t="str">
        <f>IF($C$6="","",Datenquelle!B98)</f>
        <v/>
      </c>
      <c r="D8" s="596"/>
      <c r="E8" s="597"/>
      <c r="F8" s="597"/>
      <c r="G8" s="597"/>
      <c r="H8" s="597"/>
      <c r="I8" s="597"/>
      <c r="J8" s="597"/>
      <c r="K8" s="597"/>
      <c r="L8" s="597"/>
      <c r="M8" s="597"/>
      <c r="N8" s="598"/>
    </row>
    <row r="9" spans="1:14" ht="8.1" customHeight="1" x14ac:dyDescent="0.2">
      <c r="A9" s="19"/>
      <c r="B9" s="335"/>
      <c r="C9" s="340"/>
      <c r="D9" s="340"/>
      <c r="E9" s="340"/>
      <c r="F9" s="340"/>
      <c r="G9" s="340"/>
      <c r="H9" s="340"/>
      <c r="I9" s="340"/>
      <c r="J9" s="340"/>
      <c r="K9" s="340"/>
      <c r="L9" s="331"/>
      <c r="M9" s="331"/>
      <c r="N9" s="331"/>
    </row>
    <row r="10" spans="1:14" ht="15.95" customHeight="1" x14ac:dyDescent="0.2">
      <c r="A10" s="383" t="s">
        <v>507</v>
      </c>
      <c r="B10" s="332"/>
      <c r="C10" s="595" t="str">
        <f>IF($C$6="","",Datenquelle!C98)</f>
        <v/>
      </c>
      <c r="D10" s="596"/>
      <c r="E10" s="597"/>
      <c r="F10" s="597"/>
      <c r="G10" s="597"/>
      <c r="H10" s="597"/>
      <c r="I10" s="597"/>
      <c r="J10" s="597"/>
      <c r="K10" s="597"/>
      <c r="L10" s="597"/>
      <c r="M10" s="597"/>
      <c r="N10" s="598"/>
    </row>
    <row r="11" spans="1:14" ht="8.1" customHeight="1" x14ac:dyDescent="0.2">
      <c r="A11" s="19"/>
      <c r="B11" s="335"/>
      <c r="C11" s="335"/>
      <c r="D11" s="335"/>
      <c r="E11" s="335"/>
      <c r="F11" s="335"/>
      <c r="G11" s="335"/>
      <c r="H11" s="335"/>
      <c r="I11" s="335"/>
      <c r="J11" s="335"/>
      <c r="K11" s="335"/>
    </row>
    <row r="12" spans="1:14" ht="15.95" customHeight="1" x14ac:dyDescent="0.2">
      <c r="A12" s="572" t="s">
        <v>910</v>
      </c>
      <c r="B12" s="572"/>
      <c r="C12" s="960"/>
      <c r="D12" s="961"/>
      <c r="E12" s="961"/>
      <c r="F12" s="962"/>
      <c r="J12" s="248" t="s">
        <v>938</v>
      </c>
      <c r="L12" s="604"/>
      <c r="M12" s="604"/>
      <c r="N12" s="604"/>
    </row>
    <row r="13" spans="1:14" ht="8.1" customHeight="1" x14ac:dyDescent="0.2">
      <c r="A13" s="572"/>
      <c r="B13" s="572"/>
      <c r="E13" s="335"/>
      <c r="F13" s="335"/>
      <c r="G13" s="335"/>
      <c r="H13" s="335"/>
      <c r="I13" s="335"/>
      <c r="J13" s="23"/>
    </row>
    <row r="14" spans="1:14" ht="15.95" customHeight="1" x14ac:dyDescent="0.2">
      <c r="A14" s="572" t="s">
        <v>911</v>
      </c>
      <c r="B14" s="572"/>
      <c r="C14" s="960"/>
      <c r="D14" s="961"/>
      <c r="E14" s="961"/>
      <c r="F14" s="962"/>
      <c r="J14" s="23" t="s">
        <v>937</v>
      </c>
      <c r="L14" s="605" t="str">
        <f>IF($C$6="","",Datenquelle!F98)</f>
        <v/>
      </c>
      <c r="M14" s="605"/>
      <c r="N14" s="605"/>
    </row>
    <row r="15" spans="1:14" ht="8.1" customHeight="1" x14ac:dyDescent="0.2">
      <c r="A15" s="572"/>
      <c r="B15" s="572"/>
      <c r="E15" s="335"/>
      <c r="F15" s="335"/>
      <c r="G15" s="335"/>
      <c r="H15" s="335"/>
      <c r="I15" s="335"/>
      <c r="J15" s="23"/>
      <c r="L15" s="335"/>
      <c r="M15" s="335"/>
      <c r="N15" s="336"/>
    </row>
    <row r="16" spans="1:14" ht="15.95" customHeight="1" x14ac:dyDescent="0.2">
      <c r="A16" s="248" t="s">
        <v>508</v>
      </c>
      <c r="B16" s="337"/>
      <c r="C16" s="601"/>
      <c r="D16" s="602"/>
      <c r="E16" s="602"/>
      <c r="F16" s="603"/>
      <c r="J16" s="23" t="s">
        <v>939</v>
      </c>
      <c r="L16" s="606">
        <v>2025</v>
      </c>
      <c r="M16" s="606"/>
      <c r="N16" s="606"/>
    </row>
    <row r="17" spans="1:17" ht="10.5" customHeight="1" x14ac:dyDescent="0.2">
      <c r="A17" s="332"/>
      <c r="B17" s="332"/>
      <c r="K17" s="329"/>
      <c r="M17" s="338"/>
    </row>
    <row r="18" spans="1:17" ht="15.75" customHeight="1" x14ac:dyDescent="0.2">
      <c r="A18" s="573" t="s">
        <v>509</v>
      </c>
      <c r="B18" s="573"/>
      <c r="C18" s="573"/>
      <c r="D18" s="573"/>
      <c r="E18" s="573"/>
      <c r="F18" s="573"/>
      <c r="G18" s="573"/>
      <c r="H18" s="23"/>
    </row>
    <row r="19" spans="1:17" ht="15.75" customHeight="1" x14ac:dyDescent="0.2">
      <c r="A19" s="574"/>
      <c r="B19" s="574"/>
      <c r="C19" s="574"/>
      <c r="D19" s="574"/>
      <c r="E19" s="574"/>
      <c r="F19" s="574"/>
      <c r="G19" s="574"/>
      <c r="H19" s="23"/>
    </row>
    <row r="20" spans="1:17" ht="6.95" customHeight="1" x14ac:dyDescent="0.2">
      <c r="A20" s="339"/>
      <c r="B20" s="339"/>
      <c r="C20" s="339"/>
      <c r="D20" s="339"/>
      <c r="E20" s="339"/>
      <c r="F20" s="339"/>
      <c r="G20" s="339"/>
      <c r="H20" s="340"/>
      <c r="I20" s="340"/>
      <c r="K20" s="335"/>
      <c r="L20" s="335"/>
    </row>
    <row r="21" spans="1:17" ht="15.75" customHeight="1" x14ac:dyDescent="0.2">
      <c r="A21" s="573" t="s">
        <v>510</v>
      </c>
      <c r="B21" s="573"/>
      <c r="C21" s="573"/>
      <c r="D21" s="573"/>
      <c r="E21" s="573"/>
      <c r="F21" s="573"/>
      <c r="G21" s="573"/>
      <c r="H21" s="543" t="s">
        <v>421</v>
      </c>
      <c r="I21" s="543"/>
      <c r="J21" s="543"/>
      <c r="K21" s="543"/>
      <c r="L21" s="543"/>
      <c r="M21" s="543"/>
      <c r="N21" s="544"/>
    </row>
    <row r="22" spans="1:17" ht="15.75" customHeight="1" x14ac:dyDescent="0.2">
      <c r="A22" s="545"/>
      <c r="B22" s="546"/>
      <c r="C22" s="546"/>
      <c r="D22" s="546"/>
      <c r="E22" s="546"/>
      <c r="F22" s="546"/>
      <c r="G22" s="546"/>
      <c r="H22" s="547" t="s">
        <v>511</v>
      </c>
      <c r="I22" s="548"/>
      <c r="J22" s="548"/>
      <c r="K22" s="548"/>
      <c r="L22" s="548"/>
      <c r="M22" s="548"/>
      <c r="N22" s="549"/>
    </row>
    <row r="23" spans="1:17" ht="10.5" customHeight="1" x14ac:dyDescent="0.2">
      <c r="L23" s="329"/>
      <c r="Q23" s="341"/>
    </row>
    <row r="24" spans="1:17" ht="16.5" customHeight="1" x14ac:dyDescent="0.2">
      <c r="A24" s="554"/>
      <c r="B24" s="555"/>
      <c r="C24" s="555"/>
      <c r="D24" s="555"/>
      <c r="E24" s="555"/>
      <c r="F24" s="555"/>
      <c r="G24" s="555"/>
      <c r="H24" s="555"/>
      <c r="I24" s="555"/>
      <c r="J24" s="555"/>
      <c r="K24" s="555"/>
      <c r="L24" s="555"/>
      <c r="M24" s="555"/>
      <c r="N24" s="555"/>
      <c r="Q24" s="341"/>
    </row>
    <row r="25" spans="1:17" ht="21" customHeight="1" x14ac:dyDescent="0.2">
      <c r="A25" s="556" t="s">
        <v>512</v>
      </c>
      <c r="B25" s="557"/>
      <c r="C25" s="557"/>
      <c r="D25" s="537" t="s">
        <v>513</v>
      </c>
      <c r="E25" s="538"/>
      <c r="F25" s="538"/>
      <c r="G25" s="538"/>
      <c r="H25" s="538"/>
      <c r="I25" s="538"/>
      <c r="J25" s="539"/>
      <c r="K25" s="552" t="s">
        <v>514</v>
      </c>
      <c r="L25" s="553"/>
      <c r="M25" s="562" t="s">
        <v>515</v>
      </c>
      <c r="N25" s="563"/>
      <c r="Q25" s="341"/>
    </row>
    <row r="26" spans="1:17" ht="18.75" customHeight="1" x14ac:dyDescent="0.2">
      <c r="A26" s="558"/>
      <c r="B26" s="559"/>
      <c r="C26" s="559"/>
      <c r="D26" s="540" t="s">
        <v>516</v>
      </c>
      <c r="E26" s="541"/>
      <c r="F26" s="541"/>
      <c r="G26" s="541"/>
      <c r="H26" s="541"/>
      <c r="I26" s="542"/>
      <c r="J26" s="570" t="s">
        <v>950</v>
      </c>
      <c r="K26" s="568" t="s">
        <v>518</v>
      </c>
      <c r="L26" s="564" t="s">
        <v>517</v>
      </c>
      <c r="M26" s="566" t="s">
        <v>519</v>
      </c>
      <c r="N26" s="550" t="s">
        <v>520</v>
      </c>
      <c r="Q26" s="341"/>
    </row>
    <row r="27" spans="1:17" ht="130.5" customHeight="1" x14ac:dyDescent="0.2">
      <c r="A27" s="560"/>
      <c r="B27" s="561"/>
      <c r="C27" s="561"/>
      <c r="D27" s="437" t="s">
        <v>872</v>
      </c>
      <c r="E27" s="433" t="s">
        <v>868</v>
      </c>
      <c r="F27" s="432" t="s">
        <v>949</v>
      </c>
      <c r="G27" s="342" t="s">
        <v>869</v>
      </c>
      <c r="H27" s="432" t="s">
        <v>870</v>
      </c>
      <c r="I27" s="432" t="s">
        <v>871</v>
      </c>
      <c r="J27" s="571"/>
      <c r="K27" s="569"/>
      <c r="L27" s="565"/>
      <c r="M27" s="567"/>
      <c r="N27" s="551"/>
      <c r="Q27" s="341"/>
    </row>
    <row r="28" spans="1:17" ht="13.5" customHeight="1" x14ac:dyDescent="0.2">
      <c r="A28" s="636" t="s">
        <v>810</v>
      </c>
      <c r="B28" s="584" t="s">
        <v>428</v>
      </c>
      <c r="C28" s="585"/>
      <c r="D28" s="434"/>
      <c r="E28" s="434"/>
      <c r="F28" s="386"/>
      <c r="G28" s="387"/>
      <c r="H28" s="578" t="s">
        <v>521</v>
      </c>
      <c r="I28" s="579"/>
      <c r="J28" s="386"/>
      <c r="K28" s="609"/>
      <c r="L28" s="612"/>
      <c r="M28" s="615" t="str">
        <f>IF(AND(E38="",F38="",K28=""),"",SUM(E38,F38,K28))</f>
        <v/>
      </c>
      <c r="N28" s="633" t="str">
        <f>IF(AND(D38="",J38="",L28=""),"",SUM(D38,J38,L28))</f>
        <v/>
      </c>
    </row>
    <row r="29" spans="1:17" ht="13.5" customHeight="1" x14ac:dyDescent="0.2">
      <c r="A29" s="637"/>
      <c r="B29" s="584" t="s">
        <v>429</v>
      </c>
      <c r="C29" s="585"/>
      <c r="D29" s="434"/>
      <c r="E29" s="434"/>
      <c r="F29" s="386"/>
      <c r="G29" s="387"/>
      <c r="H29" s="580"/>
      <c r="I29" s="581"/>
      <c r="J29" s="386"/>
      <c r="K29" s="610"/>
      <c r="L29" s="613"/>
      <c r="M29" s="616"/>
      <c r="N29" s="634"/>
    </row>
    <row r="30" spans="1:17" ht="13.5" customHeight="1" x14ac:dyDescent="0.2">
      <c r="A30" s="637"/>
      <c r="B30" s="584" t="s">
        <v>430</v>
      </c>
      <c r="C30" s="585"/>
      <c r="D30" s="434"/>
      <c r="E30" s="434"/>
      <c r="F30" s="386"/>
      <c r="G30" s="387"/>
      <c r="H30" s="580"/>
      <c r="I30" s="581"/>
      <c r="J30" s="386"/>
      <c r="K30" s="610"/>
      <c r="L30" s="613"/>
      <c r="M30" s="616"/>
      <c r="N30" s="634"/>
    </row>
    <row r="31" spans="1:17" ht="13.5" customHeight="1" x14ac:dyDescent="0.2">
      <c r="A31" s="637"/>
      <c r="B31" s="584" t="s">
        <v>431</v>
      </c>
      <c r="C31" s="585"/>
      <c r="D31" s="434"/>
      <c r="E31" s="434"/>
      <c r="F31" s="386"/>
      <c r="G31" s="387"/>
      <c r="H31" s="580"/>
      <c r="I31" s="581"/>
      <c r="J31" s="386"/>
      <c r="K31" s="610"/>
      <c r="L31" s="613"/>
      <c r="M31" s="616"/>
      <c r="N31" s="634"/>
    </row>
    <row r="32" spans="1:17" ht="13.5" customHeight="1" x14ac:dyDescent="0.2">
      <c r="A32" s="637"/>
      <c r="B32" s="584" t="s">
        <v>432</v>
      </c>
      <c r="C32" s="585"/>
      <c r="D32" s="434"/>
      <c r="E32" s="434"/>
      <c r="F32" s="386"/>
      <c r="G32" s="387"/>
      <c r="H32" s="580"/>
      <c r="I32" s="581"/>
      <c r="J32" s="386"/>
      <c r="K32" s="610"/>
      <c r="L32" s="613"/>
      <c r="M32" s="616"/>
      <c r="N32" s="634"/>
    </row>
    <row r="33" spans="1:16" ht="13.5" customHeight="1" x14ac:dyDescent="0.2">
      <c r="A33" s="637"/>
      <c r="B33" s="584" t="s">
        <v>433</v>
      </c>
      <c r="C33" s="585"/>
      <c r="D33" s="434"/>
      <c r="E33" s="434"/>
      <c r="F33" s="386"/>
      <c r="G33" s="387"/>
      <c r="H33" s="580"/>
      <c r="I33" s="581"/>
      <c r="J33" s="386"/>
      <c r="K33" s="610"/>
      <c r="L33" s="613"/>
      <c r="M33" s="616"/>
      <c r="N33" s="634"/>
    </row>
    <row r="34" spans="1:16" ht="13.5" customHeight="1" x14ac:dyDescent="0.2">
      <c r="A34" s="637"/>
      <c r="B34" s="584" t="s">
        <v>434</v>
      </c>
      <c r="C34" s="585"/>
      <c r="D34" s="434"/>
      <c r="E34" s="434"/>
      <c r="F34" s="386"/>
      <c r="G34" s="387"/>
      <c r="H34" s="580"/>
      <c r="I34" s="581"/>
      <c r="J34" s="386"/>
      <c r="K34" s="610"/>
      <c r="L34" s="613"/>
      <c r="M34" s="616"/>
      <c r="N34" s="634"/>
    </row>
    <row r="35" spans="1:16" ht="13.5" customHeight="1" x14ac:dyDescent="0.2">
      <c r="A35" s="637"/>
      <c r="B35" s="584" t="s">
        <v>435</v>
      </c>
      <c r="C35" s="585"/>
      <c r="D35" s="434"/>
      <c r="E35" s="434"/>
      <c r="F35" s="386"/>
      <c r="G35" s="387"/>
      <c r="H35" s="580"/>
      <c r="I35" s="581"/>
      <c r="J35" s="386"/>
      <c r="K35" s="610"/>
      <c r="L35" s="613"/>
      <c r="M35" s="616"/>
      <c r="N35" s="634"/>
    </row>
    <row r="36" spans="1:16" ht="13.5" customHeight="1" x14ac:dyDescent="0.2">
      <c r="A36" s="637"/>
      <c r="B36" s="589" t="s">
        <v>951</v>
      </c>
      <c r="C36" s="585"/>
      <c r="D36" s="434"/>
      <c r="E36" s="434"/>
      <c r="F36" s="386"/>
      <c r="G36" s="387"/>
      <c r="H36" s="580"/>
      <c r="I36" s="581"/>
      <c r="J36" s="386"/>
      <c r="K36" s="610"/>
      <c r="L36" s="613"/>
      <c r="M36" s="616"/>
      <c r="N36" s="634"/>
    </row>
    <row r="37" spans="1:16" ht="13.5" customHeight="1" x14ac:dyDescent="0.2">
      <c r="A37" s="637"/>
      <c r="B37" s="589" t="s">
        <v>952</v>
      </c>
      <c r="C37" s="585"/>
      <c r="D37" s="434"/>
      <c r="E37" s="434"/>
      <c r="F37" s="386"/>
      <c r="G37" s="535"/>
      <c r="H37" s="580"/>
      <c r="I37" s="581"/>
      <c r="J37" s="386"/>
      <c r="K37" s="610"/>
      <c r="L37" s="613"/>
      <c r="M37" s="616"/>
      <c r="N37" s="634"/>
    </row>
    <row r="38" spans="1:16" ht="13.5" customHeight="1" x14ac:dyDescent="0.2">
      <c r="A38" s="638"/>
      <c r="B38" s="589" t="s">
        <v>522</v>
      </c>
      <c r="C38" s="590"/>
      <c r="D38" s="439" t="str">
        <f>IF(AND(D28="",D29="",D30="",D31="",D32="",D33="",D33="",D34="",D35="",D36="",D37=""),"",SUM(D28:D37))</f>
        <v/>
      </c>
      <c r="E38" s="435" t="str">
        <f>IF(AND(E28="",E29="",E30="",E31="",E32="",E33="",E33="",E34="",E35="",E36="",E37=""),"",SUM(E28:E37))</f>
        <v/>
      </c>
      <c r="F38" s="344" t="str">
        <f>IF(AND(F28="",F29="",F30="",F31="",F32="",F33="",F33="",F34="",F35="",F36="",F37=""),"",SUM(F28:F37))</f>
        <v/>
      </c>
      <c r="G38" s="345" t="str">
        <f>IF(AND(G28="",G29="",G30="",G31="",G32="",G33="",G33="",G34="",G35="",G36="",G37=""),"",SUM(G28:G37))</f>
        <v/>
      </c>
      <c r="H38" s="580"/>
      <c r="I38" s="581"/>
      <c r="J38" s="346" t="str">
        <f>IF(AND(J28="",J29="",J30="",J31="",J32="",J33="",J33="",J34="",J35="",J36="",J37=""),"",SUM(J28:J37))</f>
        <v/>
      </c>
      <c r="K38" s="611"/>
      <c r="L38" s="614"/>
      <c r="M38" s="617"/>
      <c r="N38" s="635"/>
    </row>
    <row r="39" spans="1:16" ht="40.5" customHeight="1" x14ac:dyDescent="0.2">
      <c r="A39" s="586" t="s">
        <v>854</v>
      </c>
      <c r="B39" s="587"/>
      <c r="C39" s="588"/>
      <c r="D39" s="434"/>
      <c r="E39" s="434"/>
      <c r="F39" s="386"/>
      <c r="G39" s="347"/>
      <c r="H39" s="582"/>
      <c r="I39" s="583"/>
      <c r="J39" s="386"/>
      <c r="K39" s="401"/>
      <c r="L39" s="402"/>
      <c r="M39" s="348" t="str">
        <f>IF(AND(E39="",K39="",F39=""),"",SUM(E39,F39,K39))</f>
        <v/>
      </c>
      <c r="N39" s="349" t="str">
        <f>IF(AND(D39="",J39="",L39=""),"",SUM(D39,J39,L39))</f>
        <v/>
      </c>
      <c r="P39" s="350"/>
    </row>
    <row r="40" spans="1:16" ht="13.5" customHeight="1" x14ac:dyDescent="0.2">
      <c r="A40" s="591" t="s">
        <v>850</v>
      </c>
      <c r="B40" s="630" t="s">
        <v>467</v>
      </c>
      <c r="C40" s="631"/>
      <c r="D40" s="438"/>
      <c r="E40" s="639" t="s">
        <v>521</v>
      </c>
      <c r="F40" s="639"/>
      <c r="G40" s="640"/>
      <c r="H40" s="343"/>
      <c r="I40" s="343"/>
      <c r="J40" s="386"/>
      <c r="K40" s="609"/>
      <c r="L40" s="612"/>
      <c r="M40" s="549" t="str">
        <f>IF(AND(H50="",I50="",K40=""),"",SUM(H50:I50,K40))</f>
        <v/>
      </c>
      <c r="N40" s="632" t="str">
        <f>IF(AND(D50="",J50="",L40=""),"",SUM(D50,J50,L40))</f>
        <v/>
      </c>
    </row>
    <row r="41" spans="1:16" ht="13.5" customHeight="1" x14ac:dyDescent="0.2">
      <c r="A41" s="592"/>
      <c r="B41" s="630" t="s">
        <v>468</v>
      </c>
      <c r="C41" s="631"/>
      <c r="D41" s="385"/>
      <c r="E41" s="641"/>
      <c r="F41" s="641"/>
      <c r="G41" s="640"/>
      <c r="H41" s="386"/>
      <c r="I41" s="386"/>
      <c r="J41" s="386"/>
      <c r="K41" s="610"/>
      <c r="L41" s="613"/>
      <c r="M41" s="549"/>
      <c r="N41" s="632"/>
    </row>
    <row r="42" spans="1:16" ht="13.5" customHeight="1" x14ac:dyDescent="0.2">
      <c r="A42" s="592"/>
      <c r="B42" s="630" t="s">
        <v>469</v>
      </c>
      <c r="C42" s="631"/>
      <c r="D42" s="385"/>
      <c r="E42" s="641"/>
      <c r="F42" s="641"/>
      <c r="G42" s="640"/>
      <c r="H42" s="386"/>
      <c r="I42" s="386"/>
      <c r="J42" s="386"/>
      <c r="K42" s="610"/>
      <c r="L42" s="613"/>
      <c r="M42" s="549"/>
      <c r="N42" s="632"/>
    </row>
    <row r="43" spans="1:16" ht="13.5" customHeight="1" x14ac:dyDescent="0.2">
      <c r="A43" s="592"/>
      <c r="B43" s="630" t="s">
        <v>470</v>
      </c>
      <c r="C43" s="631"/>
      <c r="D43" s="385"/>
      <c r="E43" s="641"/>
      <c r="F43" s="641"/>
      <c r="G43" s="640"/>
      <c r="H43" s="386"/>
      <c r="I43" s="386"/>
      <c r="J43" s="386"/>
      <c r="K43" s="610"/>
      <c r="L43" s="613"/>
      <c r="M43" s="549"/>
      <c r="N43" s="632"/>
    </row>
    <row r="44" spans="1:16" ht="13.5" customHeight="1" x14ac:dyDescent="0.2">
      <c r="A44" s="592"/>
      <c r="B44" s="630" t="s">
        <v>471</v>
      </c>
      <c r="C44" s="631"/>
      <c r="D44" s="385"/>
      <c r="E44" s="641"/>
      <c r="F44" s="641"/>
      <c r="G44" s="640"/>
      <c r="H44" s="386"/>
      <c r="I44" s="386"/>
      <c r="J44" s="386"/>
      <c r="K44" s="610"/>
      <c r="L44" s="613"/>
      <c r="M44" s="549"/>
      <c r="N44" s="632"/>
    </row>
    <row r="45" spans="1:16" ht="13.5" customHeight="1" x14ac:dyDescent="0.2">
      <c r="A45" s="592"/>
      <c r="B45" s="630" t="s">
        <v>472</v>
      </c>
      <c r="C45" s="631"/>
      <c r="D45" s="385"/>
      <c r="E45" s="641"/>
      <c r="F45" s="641"/>
      <c r="G45" s="640"/>
      <c r="H45" s="386"/>
      <c r="I45" s="386"/>
      <c r="J45" s="386"/>
      <c r="K45" s="610"/>
      <c r="L45" s="613"/>
      <c r="M45" s="549"/>
      <c r="N45" s="632"/>
    </row>
    <row r="46" spans="1:16" ht="13.5" customHeight="1" x14ac:dyDescent="0.2">
      <c r="A46" s="592"/>
      <c r="B46" s="630" t="s">
        <v>473</v>
      </c>
      <c r="C46" s="631"/>
      <c r="D46" s="385"/>
      <c r="E46" s="641"/>
      <c r="F46" s="641"/>
      <c r="G46" s="640"/>
      <c r="H46" s="386"/>
      <c r="I46" s="386"/>
      <c r="J46" s="386"/>
      <c r="K46" s="610"/>
      <c r="L46" s="613"/>
      <c r="M46" s="549"/>
      <c r="N46" s="632"/>
    </row>
    <row r="47" spans="1:16" ht="13.5" customHeight="1" x14ac:dyDescent="0.2">
      <c r="A47" s="592"/>
      <c r="B47" s="630" t="s">
        <v>474</v>
      </c>
      <c r="C47" s="631"/>
      <c r="D47" s="385"/>
      <c r="E47" s="641"/>
      <c r="F47" s="641"/>
      <c r="G47" s="640"/>
      <c r="H47" s="386"/>
      <c r="I47" s="386"/>
      <c r="J47" s="386"/>
      <c r="K47" s="610"/>
      <c r="L47" s="613"/>
      <c r="M47" s="549"/>
      <c r="N47" s="632"/>
    </row>
    <row r="48" spans="1:16" ht="13.5" customHeight="1" x14ac:dyDescent="0.2">
      <c r="A48" s="592"/>
      <c r="B48" s="630" t="s">
        <v>475</v>
      </c>
      <c r="C48" s="631"/>
      <c r="D48" s="385"/>
      <c r="E48" s="641"/>
      <c r="F48" s="641"/>
      <c r="G48" s="640"/>
      <c r="H48" s="386"/>
      <c r="I48" s="386"/>
      <c r="J48" s="386"/>
      <c r="K48" s="610"/>
      <c r="L48" s="613"/>
      <c r="M48" s="549"/>
      <c r="N48" s="632"/>
    </row>
    <row r="49" spans="1:14" ht="13.5" customHeight="1" x14ac:dyDescent="0.2">
      <c r="A49" s="592"/>
      <c r="B49" s="630" t="s">
        <v>476</v>
      </c>
      <c r="C49" s="631"/>
      <c r="D49" s="385"/>
      <c r="E49" s="641"/>
      <c r="F49" s="641"/>
      <c r="G49" s="640"/>
      <c r="H49" s="386"/>
      <c r="I49" s="386"/>
      <c r="J49" s="386"/>
      <c r="K49" s="610"/>
      <c r="L49" s="613"/>
      <c r="M49" s="549"/>
      <c r="N49" s="632"/>
    </row>
    <row r="50" spans="1:14" ht="13.5" customHeight="1" x14ac:dyDescent="0.2">
      <c r="A50" s="593"/>
      <c r="B50" s="589" t="s">
        <v>522</v>
      </c>
      <c r="C50" s="585"/>
      <c r="D50" s="440" t="str">
        <f>IF(AND(D40="",D41="",D42="",D43="",D44="",D45="",D46="",D47="",D48="",D49=""),"",SUM(D40:D49))</f>
        <v/>
      </c>
      <c r="E50" s="641"/>
      <c r="F50" s="641"/>
      <c r="G50" s="640"/>
      <c r="H50" s="388" t="str">
        <f>IF(AND(H40="",H41="",H42="",H43="",H44="",H45="",H46="",H46="",H47="",H48="",H49=""),"",SUM(H40:H49))</f>
        <v/>
      </c>
      <c r="I50" s="388" t="str">
        <f>IF(AND(I40="",I41="",I42="",I43="",I44="",I45="",I46="",I46="",I47="",I48="",I49=""),"",SUM(I40:I49))</f>
        <v/>
      </c>
      <c r="J50" s="389" t="str">
        <f>IF(AND(J40="",J41="",J42="",J43="",J44="",J45="",J46="",J46="",J47="",J48="",J49=""),"",SUM(J40:J49))</f>
        <v/>
      </c>
      <c r="K50" s="610"/>
      <c r="L50" s="613"/>
      <c r="M50" s="549"/>
      <c r="N50" s="632"/>
    </row>
    <row r="51" spans="1:14" ht="13.5" customHeight="1" x14ac:dyDescent="0.2">
      <c r="A51" s="586" t="s">
        <v>851</v>
      </c>
      <c r="B51" s="587"/>
      <c r="C51" s="588"/>
      <c r="D51" s="385"/>
      <c r="E51" s="641"/>
      <c r="F51" s="641"/>
      <c r="G51" s="640"/>
      <c r="H51" s="386"/>
      <c r="I51" s="386"/>
      <c r="J51" s="386"/>
      <c r="K51" s="385"/>
      <c r="L51" s="386"/>
      <c r="M51" s="351" t="str">
        <f>IF(AND(H51="",I51="",K51=""),"",SUM(H51:I51,K51))</f>
        <v/>
      </c>
      <c r="N51" s="349" t="str">
        <f>IF(AND(D51,J51="",L51=""),"",SUM(D51,J51,L51))</f>
        <v/>
      </c>
    </row>
    <row r="52" spans="1:14" ht="13.5" customHeight="1" x14ac:dyDescent="0.2">
      <c r="A52" s="586" t="s">
        <v>811</v>
      </c>
      <c r="B52" s="587"/>
      <c r="C52" s="588"/>
      <c r="D52" s="385"/>
      <c r="E52" s="641"/>
      <c r="F52" s="641"/>
      <c r="G52" s="640"/>
      <c r="H52" s="386"/>
      <c r="I52" s="386"/>
      <c r="J52" s="386"/>
      <c r="K52" s="385"/>
      <c r="L52" s="386"/>
      <c r="M52" s="351" t="str">
        <f>IF(AND(H52="",I52="",K52=""),"",SUM(H52:I52,K52))</f>
        <v/>
      </c>
      <c r="N52" s="349" t="str">
        <f>IF(AND(D52,J52="",L52=""),"",SUM(D52,J52,L52))</f>
        <v/>
      </c>
    </row>
    <row r="53" spans="1:14" ht="13.5" customHeight="1" x14ac:dyDescent="0.2">
      <c r="A53" s="586" t="s">
        <v>523</v>
      </c>
      <c r="B53" s="587"/>
      <c r="C53" s="588"/>
      <c r="D53" s="385"/>
      <c r="E53" s="641"/>
      <c r="F53" s="641"/>
      <c r="G53" s="640"/>
      <c r="H53" s="386"/>
      <c r="I53" s="386"/>
      <c r="J53" s="386"/>
      <c r="K53" s="385"/>
      <c r="L53" s="386"/>
      <c r="M53" s="351" t="str">
        <f>IF(AND(H53="",I53="",K53=""),"",SUM(H53:I53,K53))</f>
        <v/>
      </c>
      <c r="N53" s="349" t="str">
        <f>IF(AND(D53="",J53="",L53=""),"",SUM(D53,J53,L53))</f>
        <v/>
      </c>
    </row>
    <row r="54" spans="1:14" ht="41.25" customHeight="1" x14ac:dyDescent="0.2">
      <c r="A54" s="586" t="s">
        <v>852</v>
      </c>
      <c r="B54" s="587"/>
      <c r="C54" s="588"/>
      <c r="D54" s="385"/>
      <c r="E54" s="642"/>
      <c r="F54" s="642"/>
      <c r="G54" s="643"/>
      <c r="H54" s="386"/>
      <c r="I54" s="386"/>
      <c r="J54" s="386"/>
      <c r="K54" s="385"/>
      <c r="L54" s="386"/>
      <c r="M54" s="351" t="str">
        <f>IF(AND(H54="",I54="",K54=""),"",SUM(H54:I54,K54))</f>
        <v/>
      </c>
      <c r="N54" s="349" t="str">
        <f>IF(AND(D54,J54="",L54=""),"",SUM(D54,J54,L54))</f>
        <v/>
      </c>
    </row>
    <row r="55" spans="1:14" ht="15.75" customHeight="1" x14ac:dyDescent="0.2">
      <c r="A55" s="622"/>
      <c r="B55" s="623"/>
      <c r="C55" s="624"/>
      <c r="D55" s="441" t="str">
        <f>IF(AND(D38="",D39="",D50="",D51="",D52="",D53="",D54=""),"",SUM(D38,D39,D50,D51,D52,D53,D54))</f>
        <v/>
      </c>
      <c r="E55" s="436" t="str">
        <f>IF(AND(E38="",E39=""),"",SUM(E38,E39))</f>
        <v/>
      </c>
      <c r="F55" s="353" t="str">
        <f>IF(AND(F38="",F39=""),"",SUM(F38,F39))</f>
        <v/>
      </c>
      <c r="G55" s="536" t="str">
        <f>IF(G38="","",G38)</f>
        <v/>
      </c>
      <c r="H55" s="353" t="str">
        <f>IF(AND(H50="",H51="",H52="",H53="",H54=""),"",SUM(H50:H54))</f>
        <v/>
      </c>
      <c r="I55" s="353" t="str">
        <f>IF(AND(I50="",I51="",I52="",I53="",I54=""),"",SUM(I50:I54))</f>
        <v/>
      </c>
      <c r="J55" s="354" t="str">
        <f>IF(AND(J38="",J39="",J50="",J51="",J52="",J53="",J54=""),"",SUM(J38,J39,J50:J54))</f>
        <v/>
      </c>
      <c r="K55" s="352" t="str">
        <f>IF(AND(K28="",K39="",K40="",K51="",K52="",K53="",K54=""),"",SUM(K28:K54))</f>
        <v/>
      </c>
      <c r="L55" s="355" t="str">
        <f>IF(AND(L28="",L39="",L40="",L51="",L52="",L53="",L54=""),"",SUM(L28:L54))</f>
        <v/>
      </c>
      <c r="M55" s="390" t="str">
        <f>IF(AND(E55="",F55="",H55="",I55="",K55=""),"",SUM(E55:F55)+SUM(H55:I55)+SUM(K55))</f>
        <v/>
      </c>
      <c r="N55" s="353" t="str">
        <f>IF(AND(J55="",L55="",D55),"",J55+L55+D55)</f>
        <v/>
      </c>
    </row>
    <row r="56" spans="1:14" ht="15.75" customHeight="1" x14ac:dyDescent="0.2">
      <c r="A56" s="625"/>
      <c r="B56" s="626"/>
      <c r="C56" s="627"/>
      <c r="D56" s="575" t="str">
        <f>IF(AND(E55="",F55="",H55="",I55="",J55="",D55=""),"",SUM(D55:F55)+SUM(H55:J55))</f>
        <v/>
      </c>
      <c r="E56" s="576"/>
      <c r="F56" s="576"/>
      <c r="G56" s="576"/>
      <c r="H56" s="576"/>
      <c r="I56" s="576"/>
      <c r="J56" s="577"/>
      <c r="K56" s="628" t="str">
        <f>IF(AND(K55="",L55=""),"",SUM(K55:L55))</f>
        <v/>
      </c>
      <c r="L56" s="629"/>
      <c r="M56" s="620" t="str">
        <f>IF(AND(M55="",N55=""),"",SUM(M55:N55))</f>
        <v/>
      </c>
      <c r="N56" s="621"/>
    </row>
    <row r="57" spans="1:14" ht="18" customHeight="1" thickBot="1" x14ac:dyDescent="0.25">
      <c r="A57" s="356"/>
      <c r="B57" s="356"/>
      <c r="C57" s="356"/>
      <c r="D57" s="356"/>
      <c r="E57" s="357"/>
      <c r="F57" s="357"/>
      <c r="G57" s="357"/>
      <c r="H57" s="357"/>
      <c r="I57" s="357"/>
      <c r="J57" s="357"/>
      <c r="K57" s="357"/>
      <c r="L57" s="357"/>
      <c r="M57" s="358"/>
      <c r="N57" s="358"/>
    </row>
    <row r="58" spans="1:14" ht="23.25" customHeight="1" x14ac:dyDescent="0.2">
      <c r="A58" s="644" t="s">
        <v>955</v>
      </c>
      <c r="B58" s="645"/>
      <c r="C58" s="645"/>
      <c r="D58" s="645"/>
      <c r="E58" s="645"/>
      <c r="F58" s="645"/>
      <c r="G58" s="645"/>
      <c r="H58" s="645"/>
      <c r="I58" s="645"/>
      <c r="J58" s="645"/>
      <c r="K58" s="646" t="s">
        <v>522</v>
      </c>
      <c r="L58" s="646"/>
      <c r="M58" s="646"/>
      <c r="N58" s="647"/>
    </row>
    <row r="59" spans="1:14" ht="37.5" customHeight="1" x14ac:dyDescent="0.2">
      <c r="A59" s="650" t="s">
        <v>956</v>
      </c>
      <c r="B59" s="651"/>
      <c r="C59" s="651"/>
      <c r="D59" s="651" t="s">
        <v>957</v>
      </c>
      <c r="E59" s="651"/>
      <c r="F59" s="648" t="s">
        <v>958</v>
      </c>
      <c r="G59" s="648"/>
      <c r="H59" s="651" t="s">
        <v>959</v>
      </c>
      <c r="I59" s="648"/>
      <c r="J59" s="648"/>
      <c r="K59" s="648"/>
      <c r="L59" s="648"/>
      <c r="M59" s="648"/>
      <c r="N59" s="649"/>
    </row>
    <row r="60" spans="1:14" ht="27.75" customHeight="1" thickBot="1" x14ac:dyDescent="0.25">
      <c r="A60" s="652"/>
      <c r="B60" s="653"/>
      <c r="C60" s="653"/>
      <c r="D60" s="653"/>
      <c r="E60" s="653"/>
      <c r="F60" s="653"/>
      <c r="G60" s="653"/>
      <c r="H60" s="653"/>
      <c r="I60" s="653"/>
      <c r="J60" s="653"/>
      <c r="K60" s="654">
        <f>IF(AND(A60="",D60="",F60="",H60=""),0,SUM(A60:J60))</f>
        <v>0</v>
      </c>
      <c r="L60" s="654"/>
      <c r="M60" s="654"/>
      <c r="N60" s="655"/>
    </row>
    <row r="61" spans="1:14" ht="14.25" customHeight="1" x14ac:dyDescent="0.2">
      <c r="A61" s="356"/>
      <c r="B61" s="356"/>
      <c r="C61" s="356"/>
      <c r="D61" s="356"/>
      <c r="E61" s="357"/>
      <c r="F61" s="357"/>
      <c r="G61" s="357"/>
      <c r="H61" s="357"/>
      <c r="I61" s="357"/>
      <c r="J61" s="357"/>
      <c r="K61" s="357"/>
      <c r="L61" s="357"/>
      <c r="M61" s="358"/>
      <c r="N61" s="358"/>
    </row>
    <row r="62" spans="1:14" ht="81.75" customHeight="1" x14ac:dyDescent="0.2">
      <c r="A62" s="619" t="s">
        <v>953</v>
      </c>
      <c r="B62" s="619"/>
      <c r="C62" s="619"/>
      <c r="D62" s="619"/>
      <c r="E62" s="619"/>
      <c r="F62" s="619"/>
      <c r="G62" s="619"/>
      <c r="H62" s="619"/>
      <c r="I62" s="619"/>
      <c r="J62" s="619"/>
      <c r="K62" s="619"/>
      <c r="L62" s="619"/>
      <c r="M62" s="619"/>
      <c r="N62" s="619"/>
    </row>
    <row r="63" spans="1:14" ht="165" customHeight="1" x14ac:dyDescent="0.2">
      <c r="A63" s="607" t="s">
        <v>954</v>
      </c>
      <c r="B63" s="618"/>
      <c r="C63" s="618"/>
      <c r="D63" s="618"/>
      <c r="E63" s="618"/>
      <c r="F63" s="618"/>
      <c r="G63" s="618"/>
      <c r="H63" s="618"/>
      <c r="I63" s="618"/>
      <c r="J63" s="618"/>
      <c r="K63" s="618"/>
      <c r="L63" s="618"/>
      <c r="M63" s="618"/>
      <c r="N63" s="618"/>
    </row>
    <row r="64" spans="1:14" x14ac:dyDescent="0.2">
      <c r="A64" s="607"/>
      <c r="B64" s="608"/>
      <c r="C64" s="608"/>
      <c r="D64" s="608"/>
      <c r="E64" s="608"/>
      <c r="F64" s="608"/>
      <c r="G64" s="608"/>
      <c r="H64" s="608"/>
      <c r="I64" s="608"/>
      <c r="J64" s="608"/>
      <c r="K64" s="608"/>
      <c r="L64" s="608"/>
      <c r="M64" s="608"/>
      <c r="N64" s="608"/>
    </row>
  </sheetData>
  <sheetProtection algorithmName="SHA-512" hashValue="yM9HWjpmsXArRO+uBIOzFarqutCkA8HbPahhKCPnT2wN412KRTeLqA8E8GroJd3a6v8AtpXpi/63/Hjhw3pjkQ==" saltValue="OH3TQHOHVHdk/1yOJEGB6g==" spinCount="100000" sheet="1" objects="1" scenarios="1" selectLockedCells="1"/>
  <dataConsolidate/>
  <mergeCells count="87">
    <mergeCell ref="A60:C60"/>
    <mergeCell ref="D60:E60"/>
    <mergeCell ref="F60:G60"/>
    <mergeCell ref="H60:J60"/>
    <mergeCell ref="K60:N60"/>
    <mergeCell ref="A58:J58"/>
    <mergeCell ref="K58:N59"/>
    <mergeCell ref="A59:C59"/>
    <mergeCell ref="D59:E59"/>
    <mergeCell ref="F59:G59"/>
    <mergeCell ref="H59:J59"/>
    <mergeCell ref="N28:N38"/>
    <mergeCell ref="A28:A38"/>
    <mergeCell ref="B28:C28"/>
    <mergeCell ref="B48:C48"/>
    <mergeCell ref="E40:G54"/>
    <mergeCell ref="B45:C45"/>
    <mergeCell ref="B46:C46"/>
    <mergeCell ref="B49:C49"/>
    <mergeCell ref="B44:C44"/>
    <mergeCell ref="B50:C50"/>
    <mergeCell ref="B47:C47"/>
    <mergeCell ref="B43:C43"/>
    <mergeCell ref="B40:C40"/>
    <mergeCell ref="K40:K50"/>
    <mergeCell ref="B37:C37"/>
    <mergeCell ref="A64:N64"/>
    <mergeCell ref="K28:K38"/>
    <mergeCell ref="L28:L38"/>
    <mergeCell ref="M28:M38"/>
    <mergeCell ref="A63:N63"/>
    <mergeCell ref="A62:N62"/>
    <mergeCell ref="M56:N56"/>
    <mergeCell ref="A55:C55"/>
    <mergeCell ref="A54:C54"/>
    <mergeCell ref="A56:C56"/>
    <mergeCell ref="K56:L56"/>
    <mergeCell ref="B42:C42"/>
    <mergeCell ref="L40:L50"/>
    <mergeCell ref="M40:M50"/>
    <mergeCell ref="N40:N50"/>
    <mergeCell ref="B41:C41"/>
    <mergeCell ref="M6:N6"/>
    <mergeCell ref="C10:N10"/>
    <mergeCell ref="C6:F6"/>
    <mergeCell ref="C8:N8"/>
    <mergeCell ref="C16:F16"/>
    <mergeCell ref="C12:F12"/>
    <mergeCell ref="C14:F14"/>
    <mergeCell ref="L12:N12"/>
    <mergeCell ref="L14:N14"/>
    <mergeCell ref="L16:N16"/>
    <mergeCell ref="D56:J56"/>
    <mergeCell ref="H28:I39"/>
    <mergeCell ref="B30:C30"/>
    <mergeCell ref="B31:C31"/>
    <mergeCell ref="A52:C52"/>
    <mergeCell ref="B29:C29"/>
    <mergeCell ref="B32:C32"/>
    <mergeCell ref="B33:C33"/>
    <mergeCell ref="B36:C36"/>
    <mergeCell ref="B38:C38"/>
    <mergeCell ref="B35:C35"/>
    <mergeCell ref="A40:A50"/>
    <mergeCell ref="A51:C51"/>
    <mergeCell ref="A53:C53"/>
    <mergeCell ref="B34:C34"/>
    <mergeCell ref="A39:C39"/>
    <mergeCell ref="A12:B13"/>
    <mergeCell ref="A14:B15"/>
    <mergeCell ref="A18:G18"/>
    <mergeCell ref="A19:G19"/>
    <mergeCell ref="A21:G21"/>
    <mergeCell ref="D25:J25"/>
    <mergeCell ref="D26:I26"/>
    <mergeCell ref="H21:N21"/>
    <mergeCell ref="A22:G22"/>
    <mergeCell ref="H22:N22"/>
    <mergeCell ref="N26:N27"/>
    <mergeCell ref="K25:L25"/>
    <mergeCell ref="A24:N24"/>
    <mergeCell ref="A25:C27"/>
    <mergeCell ref="M25:N25"/>
    <mergeCell ref="L26:L27"/>
    <mergeCell ref="M26:M27"/>
    <mergeCell ref="K26:K27"/>
    <mergeCell ref="J26:J27"/>
  </mergeCells>
  <phoneticPr fontId="35" type="noConversion"/>
  <conditionalFormatting sqref="A19">
    <cfRule type="expression" dxfId="111" priority="21" stopIfTrue="1">
      <formula>LEN(TRIM(A19))=0</formula>
    </cfRule>
  </conditionalFormatting>
  <conditionalFormatting sqref="A22 H40:I40">
    <cfRule type="expression" dxfId="110" priority="42" stopIfTrue="1">
      <formula>LEN(TRIM(A22))=0</formula>
    </cfRule>
  </conditionalFormatting>
  <conditionalFormatting sqref="A60">
    <cfRule type="expression" dxfId="109" priority="4" stopIfTrue="1">
      <formula>LEN(TRIM(A60))=0</formula>
    </cfRule>
  </conditionalFormatting>
  <conditionalFormatting sqref="C12">
    <cfRule type="expression" dxfId="108" priority="7">
      <formula>$A$19&lt;&gt;"Germany"</formula>
    </cfRule>
    <cfRule type="expression" dxfId="107" priority="8" stopIfTrue="1">
      <formula>LEN(TRIM(C12))=0</formula>
    </cfRule>
  </conditionalFormatting>
  <conditionalFormatting sqref="C14">
    <cfRule type="expression" dxfId="106" priority="5">
      <formula>$A$19&lt;&gt;"Germany"</formula>
    </cfRule>
    <cfRule type="expression" dxfId="105" priority="6" stopIfTrue="1">
      <formula>LEN(TRIM(C14))=0</formula>
    </cfRule>
  </conditionalFormatting>
  <conditionalFormatting sqref="C16">
    <cfRule type="expression" dxfId="104" priority="40" stopIfTrue="1">
      <formula>LEN(TRIM(C16))=0</formula>
    </cfRule>
  </conditionalFormatting>
  <conditionalFormatting sqref="C6:D6">
    <cfRule type="expression" dxfId="103" priority="39" stopIfTrue="1">
      <formula>LEN(TRIM(C6))=0</formula>
    </cfRule>
  </conditionalFormatting>
  <conditionalFormatting sqref="D40:D49">
    <cfRule type="expression" dxfId="102" priority="17" stopIfTrue="1">
      <formula>LEN(TRIM(D40))=0</formula>
    </cfRule>
  </conditionalFormatting>
  <conditionalFormatting sqref="D51:D54">
    <cfRule type="expression" dxfId="101" priority="16" stopIfTrue="1">
      <formula>LEN(TRIM(D51))=0</formula>
    </cfRule>
  </conditionalFormatting>
  <conditionalFormatting sqref="D60">
    <cfRule type="expression" dxfId="100" priority="3" stopIfTrue="1">
      <formula>LEN(TRIM(D60))=0</formula>
    </cfRule>
  </conditionalFormatting>
  <conditionalFormatting sqref="D39:F39">
    <cfRule type="expression" dxfId="99" priority="32" stopIfTrue="1">
      <formula>LEN(TRIM(D39))=0</formula>
    </cfRule>
  </conditionalFormatting>
  <conditionalFormatting sqref="D28:G37">
    <cfRule type="expression" dxfId="98" priority="19" stopIfTrue="1">
      <formula>LEN(TRIM(D28))=0</formula>
    </cfRule>
  </conditionalFormatting>
  <conditionalFormatting sqref="F60">
    <cfRule type="expression" dxfId="97" priority="2" stopIfTrue="1">
      <formula>LEN(TRIM(F60))=0</formula>
    </cfRule>
  </conditionalFormatting>
  <conditionalFormatting sqref="H60">
    <cfRule type="expression" dxfId="96" priority="1" stopIfTrue="1">
      <formula>LEN(TRIM(H60))=0</formula>
    </cfRule>
  </conditionalFormatting>
  <conditionalFormatting sqref="H41:J49">
    <cfRule type="expression" dxfId="95" priority="29" stopIfTrue="1">
      <formula>LEN(TRIM(H41))=0</formula>
    </cfRule>
  </conditionalFormatting>
  <conditionalFormatting sqref="H51:L54">
    <cfRule type="expression" dxfId="94" priority="24" stopIfTrue="1">
      <formula>LEN(TRIM(H51))=0</formula>
    </cfRule>
  </conditionalFormatting>
  <conditionalFormatting sqref="J28:J37">
    <cfRule type="expression" dxfId="93" priority="31" stopIfTrue="1">
      <formula>LEN(TRIM(J28))=0</formula>
    </cfRule>
  </conditionalFormatting>
  <conditionalFormatting sqref="J39:J40">
    <cfRule type="expression" dxfId="92" priority="30" stopIfTrue="1">
      <formula>LEN(TRIM(J39))=0</formula>
    </cfRule>
  </conditionalFormatting>
  <conditionalFormatting sqref="K28:L41">
    <cfRule type="expression" dxfId="91" priority="26" stopIfTrue="1">
      <formula>LEN(TRIM(K28))=0</formula>
    </cfRule>
  </conditionalFormatting>
  <conditionalFormatting sqref="L12">
    <cfRule type="expression" dxfId="90" priority="13" stopIfTrue="1">
      <formula>LEN(TRIM(L12))=0</formula>
    </cfRule>
  </conditionalFormatting>
  <dataValidations xWindow="315" yWindow="383" count="13">
    <dataValidation allowBlank="1" showInputMessage="1" showErrorMessage="1" errorTitle="Eingabefehler" sqref="L14 M28:N57 M61:N61" xr:uid="{00000000-0002-0000-0000-000000000000}"/>
    <dataValidation type="whole" allowBlank="1" showInputMessage="1" showErrorMessage="1" errorTitle="Eingabefehler" error="Ganze Zahl zwischen 0 und 5000 eingeben." sqref="G39" xr:uid="{00000000-0002-0000-0000-000002000000}">
      <formula1>0</formula1>
      <formula2>5000</formula2>
    </dataValidation>
    <dataValidation type="date" errorStyle="information" allowBlank="1" showInputMessage="1" showErrorMessage="1" errorTitle="Kennzahlenjahr" error="Es können nur Kennzahlenjahre von 2012 bis 2014 eingetragen werden." sqref="M17" xr:uid="{00000000-0002-0000-0000-000004000000}">
      <formula1>2010</formula1>
      <formula2>2012</formula2>
    </dataValidation>
    <dataValidation showInputMessage="1" showErrorMessage="1" errorTitle="Hinweis" error="Auswahl treffen über Dropdown-Liste." sqref="H6:I6" xr:uid="{00000000-0002-0000-0000-000005000000}"/>
    <dataValidation type="list" showInputMessage="1" showErrorMessage="1" errorTitle="Hinweis" error="Auswahl treffen über Dropdown-Liste." sqref="I19" xr:uid="{00000000-0002-0000-0000-000006000000}">
      <formula1>zentrumsintern___ohne_Krebsregister</formula1>
    </dataValidation>
    <dataValidation type="whole" allowBlank="1" showInputMessage="1" showErrorMessage="1" errorTitle="Input data error" error="Cannot be greater than the sum of column D + E." sqref="G28:G37" xr:uid="{00000000-0002-0000-0000-000007000000}">
      <formula1>0</formula1>
      <formula2>E28+F28</formula2>
    </dataValidation>
    <dataValidation type="whole" allowBlank="1" showInputMessage="1" showErrorMessage="1" errorTitle="Input data error" error="Whole number between 0 and 5000." sqref="H40:I40 J28:J37 J39:J40 H41:J49 K28:L54 D28:F37 E39:F39 D51:D54 D39:D49 H51:J54 A60:J60" xr:uid="{00000000-0002-0000-0000-000008000000}">
      <formula1>0</formula1>
      <formula2>5000</formula2>
    </dataValidation>
    <dataValidation type="textLength" allowBlank="1" showErrorMessage="1" errorTitle="Input data error" error="Nur Texteingabe bis 100 Zeichen möglich." prompt="Name, Vorname" sqref="C16 G12:I12" xr:uid="{00000000-0002-0000-0000-000009000000}">
      <formula1>0</formula1>
      <formula2>100</formula2>
    </dataValidation>
    <dataValidation type="textLength" allowBlank="1" showInputMessage="1" showErrorMessage="1" errorTitle="Input data error" error="Text up to 100 characters." sqref="C8:N8 C10:N10" xr:uid="{00000000-0002-0000-0000-00000A000000}">
      <formula1>0</formula1>
      <formula2>100</formula2>
    </dataValidation>
    <dataValidation errorStyle="information" allowBlank="1" showInputMessage="1" showErrorMessage="1" errorTitle="Kennzahlenjahr" error="Es können nur Kennzahlenjahre von 2012 bis 2014 eingetragen werden." sqref="L16" xr:uid="{00000000-0002-0000-0000-000003000000}"/>
    <dataValidation type="date" allowBlank="1" showErrorMessage="1" errorTitle="Input data error" error="Format: dd.mm.yyyy_x000a__x000a_Time period between 01.10.2025 - 31.01.2027." sqref="L12:N12" xr:uid="{1E733C1C-5D27-4843-8A18-00278697829B}">
      <formula1>45931</formula1>
      <formula2>46418</formula2>
    </dataValidation>
    <dataValidation type="whole" allowBlank="1" showErrorMessage="1" errorTitle="Input data error" error="The Institution identification (II) number must be a 9-digit sequence of numbers beginning with 26." prompt="Name, Vorname" sqref="C12:F12" xr:uid="{287751CC-4936-4F5A-B974-63E2F13E5467}">
      <formula1>260000000</formula1>
      <formula2>269999999</formula2>
    </dataValidation>
    <dataValidation type="whole" allowBlank="1" showErrorMessage="1" errorTitle="Input data error" error="The Clinical sites number must be a 9-digit sequence of numbers beginning with 77." prompt="Name, Vorname" sqref="C14:F14" xr:uid="{1096EDD2-3331-4F4B-A50C-2CF4026DB5C3}">
      <formula1>770000000</formula1>
      <formula2>779999999</formula2>
    </dataValidation>
  </dataValidations>
  <pageMargins left="0.59055118110236227" right="0.19685039370078741" top="0.39370078740157483" bottom="0.39370078740157483" header="0.11811023622047245" footer="0.11811023622047245"/>
  <pageSetup paperSize="9" scale="71" fitToHeight="0" orientation="portrait" r:id="rId1"/>
  <headerFooter>
    <oddFooter>&amp;L&amp;"Arial,Regular"&amp;7&amp;F&amp;R&amp;"Arial,Regular"&amp;7&amp;P                &amp;K00+000 .</oddFooter>
  </headerFooter>
  <rowBreaks count="1" manualBreakCount="1">
    <brk id="60" max="14" man="1"/>
  </rowBreaks>
  <ignoredErrors>
    <ignoredError sqref="J9:N9 E9" emptyCellReference="1"/>
  </ignoredErrors>
  <drawing r:id="rId2"/>
  <legacyDrawing r:id="rId3"/>
  <legacyDrawingHF r:id="rId4"/>
  <extLst>
    <ext xmlns:x14="http://schemas.microsoft.com/office/spreadsheetml/2009/9/main" uri="{CCE6A557-97BC-4b89-ADB6-D9C93CAAB3DF}">
      <x14:dataValidations xmlns:xm="http://schemas.microsoft.com/office/excel/2006/main" xWindow="315" yWindow="383" count="4">
        <x14:dataValidation type="list" showInputMessage="1" showErrorMessage="1" errorTitle="Input data error" error="Please make a selection via drop-down list." xr:uid="{00000000-0002-0000-0000-00000B000000}">
          <x14:formula1>
            <xm:f>Datenquelle!$B$1:$B$53</xm:f>
          </x14:formula1>
          <xm:sqref>A22</xm:sqref>
        </x14:dataValidation>
        <x14:dataValidation type="list" allowBlank="1" showInputMessage="1" showErrorMessage="1" errorTitle="Input data error" error="Please make a selection via drop-down list." xr:uid="{00000000-0002-0000-0000-00000D000000}">
          <x14:formula1>
            <xm:f>Datenquelle!$A$105:$A$298</xm:f>
          </x14:formula1>
          <xm:sqref>H19</xm:sqref>
        </x14:dataValidation>
        <x14:dataValidation type="list" allowBlank="1" showInputMessage="1" showErrorMessage="1" errorTitle="Input data error" error="Please make a selection via drop-down list." xr:uid="{F43CB660-0CD3-4CFC-B1CD-021483D701BB}">
          <x14:formula1>
            <xm:f>Datenquelle!$A$105:$A$300</xm:f>
          </x14:formula1>
          <xm:sqref>A19:G19</xm:sqref>
        </x14:dataValidation>
        <x14:dataValidation type="list" showInputMessage="1" showErrorMessage="1" errorTitle="Indication" error="Select option via drop-down list" xr:uid="{00000000-0002-0000-0000-00000C000000}">
          <x14:formula1>
            <xm:f>Datenquelle!$A$101:$A$101</xm:f>
          </x14:formula1>
          <xm:sqref>C6:F6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M35"/>
  <sheetViews>
    <sheetView showGridLines="0" showRuler="0" showWhiteSpace="0" topLeftCell="A2" zoomScaleNormal="100" zoomScaleSheetLayoutView="90" workbookViewId="0">
      <selection activeCell="D28" sqref="D28"/>
    </sheetView>
  </sheetViews>
  <sheetFormatPr defaultColWidth="11.42578125" defaultRowHeight="15" x14ac:dyDescent="0.25"/>
  <cols>
    <col min="1" max="1" width="3.5703125" customWidth="1"/>
    <col min="2" max="2" width="17.42578125" customWidth="1"/>
    <col min="3" max="3" width="6.85546875" customWidth="1"/>
    <col min="4" max="4" width="8.85546875" customWidth="1"/>
    <col min="5" max="5" width="6.85546875" customWidth="1"/>
    <col min="6" max="6" width="6.5703125" customWidth="1"/>
    <col min="7" max="7" width="6.7109375" customWidth="1"/>
    <col min="8" max="8" width="7.140625" customWidth="1"/>
    <col min="9" max="9" width="10.140625" customWidth="1"/>
    <col min="10" max="10" width="33.42578125" customWidth="1"/>
    <col min="11" max="11" width="33.5703125" customWidth="1"/>
    <col min="12" max="12" width="2.28515625" customWidth="1"/>
    <col min="13" max="13" width="13.28515625" hidden="1" customWidth="1"/>
    <col min="14" max="16" width="9.140625" customWidth="1"/>
  </cols>
  <sheetData>
    <row r="1" spans="1:13" s="5" customFormat="1" ht="20.25" hidden="1" customHeight="1" x14ac:dyDescent="0.2">
      <c r="B1" s="151" t="e">
        <f ca="1">IF($M$11=TRUE,"A1:L15",CONCATENATE("A1:L",(MATCH("",A:A,-1)-1)))</f>
        <v>#REF!</v>
      </c>
    </row>
    <row r="2" spans="1:13" s="5" customFormat="1" ht="17.25" customHeight="1" x14ac:dyDescent="0.2">
      <c r="A2" s="23" t="s">
        <v>503</v>
      </c>
    </row>
    <row r="3" spans="1:13" s="5" customFormat="1" ht="16.5" x14ac:dyDescent="0.25">
      <c r="A3" s="20" t="s">
        <v>307</v>
      </c>
      <c r="K3" s="21"/>
    </row>
    <row r="4" spans="1:13" s="5" customFormat="1" ht="14.25" x14ac:dyDescent="0.2">
      <c r="K4" s="21"/>
    </row>
    <row r="5" spans="1:13" s="5" customFormat="1" ht="15" customHeight="1" x14ac:dyDescent="0.2">
      <c r="C5" s="12"/>
      <c r="D5" s="12"/>
      <c r="E5" s="12"/>
      <c r="F5" s="12"/>
      <c r="G5" s="12"/>
      <c r="H5" s="12"/>
      <c r="I5" s="12"/>
      <c r="J5" s="12"/>
      <c r="K5" s="21"/>
    </row>
    <row r="6" spans="1:13" s="23" customFormat="1" ht="15" customHeight="1" x14ac:dyDescent="0.2">
      <c r="B6" s="26" t="s">
        <v>246</v>
      </c>
      <c r="C6" s="671" t="str">
        <f>IF('Basic Data'!C8=0,"",'Basic Data'!C8)</f>
        <v/>
      </c>
      <c r="D6" s="672"/>
      <c r="E6" s="672"/>
      <c r="F6" s="672"/>
      <c r="G6" s="672"/>
      <c r="H6" s="672"/>
      <c r="I6" s="672"/>
      <c r="J6" s="673"/>
      <c r="K6" s="21"/>
    </row>
    <row r="7" spans="1:13" s="23" customFormat="1" ht="6.95" customHeight="1" x14ac:dyDescent="0.2">
      <c r="B7" s="7"/>
      <c r="C7" s="12"/>
      <c r="D7" s="12"/>
      <c r="E7" s="12"/>
      <c r="F7" s="12"/>
      <c r="G7" s="12"/>
      <c r="H7" s="12"/>
      <c r="I7" s="12"/>
      <c r="J7" s="12"/>
      <c r="K7" s="21"/>
    </row>
    <row r="8" spans="1:13" s="23" customFormat="1" ht="15" customHeight="1" x14ac:dyDescent="0.2">
      <c r="B8" s="26" t="s">
        <v>186</v>
      </c>
      <c r="C8" s="671" t="str">
        <f>IF('Basic Data'!C6=0,"",'Basic Data'!C6)</f>
        <v/>
      </c>
      <c r="D8" s="672"/>
      <c r="E8" s="672"/>
      <c r="F8" s="673"/>
      <c r="H8" s="23" t="s">
        <v>6</v>
      </c>
      <c r="I8" s="6"/>
      <c r="J8" s="37" t="str">
        <f>IF('Basic Data'!L12=0,"",'Basic Data'!L12)</f>
        <v/>
      </c>
      <c r="K8" s="21"/>
    </row>
    <row r="9" spans="1:13" s="5" customFormat="1" ht="14.25" customHeight="1" x14ac:dyDescent="0.2">
      <c r="K9" s="21"/>
    </row>
    <row r="10" spans="1:13" s="5" customFormat="1" ht="14.25" customHeight="1" x14ac:dyDescent="0.25">
      <c r="B10" s="9" t="e">
        <f ca="1">IF($M$11=TRUE,"Kein Datendefizit vorhanden","")</f>
        <v>#REF!</v>
      </c>
      <c r="K10" s="21"/>
      <c r="M10" s="166" t="s">
        <v>3</v>
      </c>
    </row>
    <row r="11" spans="1:13" s="5" customFormat="1" ht="15" customHeight="1" x14ac:dyDescent="0.2">
      <c r="B11" s="152" t="e">
        <f ca="1">IF($M$11=TRUE,"","Übertragung erfolgt automatisch aus Kennzahlenbogen (Ist-Werte, Begründungen und Aktionen)")</f>
        <v>#REF!</v>
      </c>
      <c r="K11" s="21"/>
      <c r="M11" s="166" t="e">
        <f t="array" aca="1" ref="M11" ca="1">$A$14:$K$33=""</f>
        <v>#REF!</v>
      </c>
    </row>
    <row r="12" spans="1:13" ht="17.25" customHeight="1" x14ac:dyDescent="0.25">
      <c r="A12" s="831" t="e">
        <f ca="1">IF($M$11=TRUE,"","KN")</f>
        <v>#REF!</v>
      </c>
      <c r="B12" s="831" t="e">
        <f ca="1">IF($M$11=TRUE,"","Kennzahlendefinition")</f>
        <v>#REF!</v>
      </c>
      <c r="C12" s="831" t="e">
        <f ca="1">IF($M$11=TRUE,"","Vorgaben Datenqualität")</f>
        <v>#REF!</v>
      </c>
      <c r="D12" s="831"/>
      <c r="E12" s="831"/>
      <c r="F12" s="831" t="e">
        <f ca="1">IF($M$11=TRUE,"","Ist-Werte")</f>
        <v>#REF!</v>
      </c>
      <c r="G12" s="831"/>
      <c r="H12" s="831"/>
      <c r="I12" s="832" t="e">
        <f ca="1">IF($M$11=TRUE,"","Daten-qualität")</f>
        <v>#REF!</v>
      </c>
      <c r="J12" s="833" t="e">
        <f ca="1">IF($M$11=TRUE,"","Verifizierung Zentrum")</f>
        <v>#REF!</v>
      </c>
      <c r="K12" s="833"/>
    </row>
    <row r="13" spans="1:13" ht="24" customHeight="1" x14ac:dyDescent="0.25">
      <c r="A13" s="831"/>
      <c r="B13" s="831"/>
      <c r="C13" s="147" t="e">
        <f ca="1">IF($M$11=TRUE,"","Plausi unklar")</f>
        <v>#REF!</v>
      </c>
      <c r="D13" s="147" t="e">
        <f ca="1">IF($M$11=TRUE,"","Sollvorgabe")</f>
        <v>#REF!</v>
      </c>
      <c r="E13" s="147" t="e">
        <f ca="1">IF($M$11=TRUE,"","Plausi unklar")</f>
        <v>#REF!</v>
      </c>
      <c r="F13" s="147" t="e">
        <f ca="1">IF($M$11=TRUE,"","Zähler / Anzahl")</f>
        <v>#REF!</v>
      </c>
      <c r="G13" s="147" t="e">
        <f ca="1">IF($M$11=TRUE,"","Nenner")</f>
        <v>#REF!</v>
      </c>
      <c r="H13" s="147" t="e">
        <f ca="1">IF($M$11=TRUE,"","Quote")</f>
        <v>#REF!</v>
      </c>
      <c r="I13" s="832"/>
      <c r="J13" s="99" t="e">
        <f ca="1">IF($M$11=TRUE,"","Begründung / Ursache")</f>
        <v>#REF!</v>
      </c>
      <c r="K13" s="234" t="e">
        <f ca="1">IF($M$11=TRUE,"","Eingeleitete / geplante Aktionen")</f>
        <v>#REF!</v>
      </c>
    </row>
    <row r="14" spans="1:13" ht="169.5" customHeight="1" x14ac:dyDescent="0.25">
      <c r="A14" s="74" t="e">
        <f ca="1">'Hilfstabelle Datendef_KB'!O2</f>
        <v>#REF!</v>
      </c>
      <c r="B14" s="157" t="e">
        <f ca="1">'Hilfstabelle Datendef_KB'!P2</f>
        <v>#REF!</v>
      </c>
      <c r="C14" s="154" t="e">
        <f ca="1">'Hilfstabelle Datendef_KB'!Q2</f>
        <v>#REF!</v>
      </c>
      <c r="D14" s="154" t="e">
        <f ca="1">'Hilfstabelle Datendef_KB'!R2</f>
        <v>#REF!</v>
      </c>
      <c r="E14" s="154" t="e">
        <f ca="1">'Hilfstabelle Datendef_KB'!S2</f>
        <v>#REF!</v>
      </c>
      <c r="F14" s="156" t="e">
        <f ca="1">'Hilfstabelle Datendef_KB'!T2</f>
        <v>#REF!</v>
      </c>
      <c r="G14" s="156" t="e">
        <f ca="1">'Hilfstabelle Datendef_KB'!U2</f>
        <v>#REF!</v>
      </c>
      <c r="H14" s="153" t="e">
        <f ca="1">'Hilfstabelle Datendef_KB'!V2</f>
        <v>#REF!</v>
      </c>
      <c r="I14" s="74" t="e">
        <f ca="1">'Hilfstabelle Datendef_KB'!W2</f>
        <v>#REF!</v>
      </c>
      <c r="J14" s="207" t="e">
        <f ca="1">'Hilfstabelle Datendef_KB'!X2</f>
        <v>#REF!</v>
      </c>
      <c r="K14" s="155" t="e">
        <f ca="1">'Hilfstabelle Datendef_KB'!Y2</f>
        <v>#REF!</v>
      </c>
    </row>
    <row r="15" spans="1:13" ht="169.5" customHeight="1" x14ac:dyDescent="0.25">
      <c r="A15" s="74" t="e">
        <f ca="1">'Hilfstabelle Datendef_KB'!O3</f>
        <v>#REF!</v>
      </c>
      <c r="B15" s="157" t="e">
        <f ca="1">'Hilfstabelle Datendef_KB'!P3</f>
        <v>#REF!</v>
      </c>
      <c r="C15" s="154" t="e">
        <f ca="1">'Hilfstabelle Datendef_KB'!Q3</f>
        <v>#REF!</v>
      </c>
      <c r="D15" s="154" t="e">
        <f ca="1">'Hilfstabelle Datendef_KB'!R3</f>
        <v>#REF!</v>
      </c>
      <c r="E15" s="154" t="e">
        <f ca="1">'Hilfstabelle Datendef_KB'!S3</f>
        <v>#REF!</v>
      </c>
      <c r="F15" s="156" t="e">
        <f ca="1">'Hilfstabelle Datendef_KB'!T3</f>
        <v>#REF!</v>
      </c>
      <c r="G15" s="156" t="e">
        <f ca="1">'Hilfstabelle Datendef_KB'!U3</f>
        <v>#REF!</v>
      </c>
      <c r="H15" s="153" t="e">
        <f ca="1">'Hilfstabelle Datendef_KB'!V3</f>
        <v>#REF!</v>
      </c>
      <c r="I15" s="74" t="e">
        <f ca="1">'Hilfstabelle Datendef_KB'!W3</f>
        <v>#REF!</v>
      </c>
      <c r="J15" s="207" t="e">
        <f ca="1">'Hilfstabelle Datendef_KB'!X3</f>
        <v>#REF!</v>
      </c>
      <c r="K15" s="155" t="e">
        <f ca="1">'Hilfstabelle Datendef_KB'!Y3</f>
        <v>#REF!</v>
      </c>
    </row>
    <row r="16" spans="1:13" ht="169.5" customHeight="1" x14ac:dyDescent="0.25">
      <c r="A16" s="74" t="e">
        <f ca="1">'Hilfstabelle Datendef_KB'!O4</f>
        <v>#REF!</v>
      </c>
      <c r="B16" s="157" t="e">
        <f ca="1">'Hilfstabelle Datendef_KB'!P4</f>
        <v>#REF!</v>
      </c>
      <c r="C16" s="154" t="e">
        <f ca="1">'Hilfstabelle Datendef_KB'!Q4</f>
        <v>#REF!</v>
      </c>
      <c r="D16" s="154" t="e">
        <f ca="1">'Hilfstabelle Datendef_KB'!R4</f>
        <v>#REF!</v>
      </c>
      <c r="E16" s="154" t="e">
        <f ca="1">'Hilfstabelle Datendef_KB'!S4</f>
        <v>#REF!</v>
      </c>
      <c r="F16" s="156" t="e">
        <f ca="1">'Hilfstabelle Datendef_KB'!T4</f>
        <v>#REF!</v>
      </c>
      <c r="G16" s="156" t="e">
        <f ca="1">'Hilfstabelle Datendef_KB'!U4</f>
        <v>#REF!</v>
      </c>
      <c r="H16" s="153" t="e">
        <f ca="1">'Hilfstabelle Datendef_KB'!V4</f>
        <v>#REF!</v>
      </c>
      <c r="I16" s="74" t="e">
        <f ca="1">'Hilfstabelle Datendef_KB'!W4</f>
        <v>#REF!</v>
      </c>
      <c r="J16" s="207" t="e">
        <f ca="1">'Hilfstabelle Datendef_KB'!X4</f>
        <v>#REF!</v>
      </c>
      <c r="K16" s="155" t="e">
        <f ca="1">'Hilfstabelle Datendef_KB'!Y4</f>
        <v>#REF!</v>
      </c>
    </row>
    <row r="17" spans="1:11" ht="169.5" customHeight="1" x14ac:dyDescent="0.25">
      <c r="A17" s="74" t="e">
        <f ca="1">'Hilfstabelle Datendef_KB'!O5</f>
        <v>#REF!</v>
      </c>
      <c r="B17" s="157" t="e">
        <f ca="1">'Hilfstabelle Datendef_KB'!P5</f>
        <v>#REF!</v>
      </c>
      <c r="C17" s="154" t="e">
        <f ca="1">'Hilfstabelle Datendef_KB'!Q5</f>
        <v>#REF!</v>
      </c>
      <c r="D17" s="154" t="e">
        <f ca="1">'Hilfstabelle Datendef_KB'!R5</f>
        <v>#REF!</v>
      </c>
      <c r="E17" s="154" t="e">
        <f ca="1">'Hilfstabelle Datendef_KB'!S5</f>
        <v>#REF!</v>
      </c>
      <c r="F17" s="156" t="e">
        <f ca="1">'Hilfstabelle Datendef_KB'!T5</f>
        <v>#REF!</v>
      </c>
      <c r="G17" s="156" t="e">
        <f ca="1">'Hilfstabelle Datendef_KB'!U5</f>
        <v>#REF!</v>
      </c>
      <c r="H17" s="153" t="e">
        <f ca="1">'Hilfstabelle Datendef_KB'!V5</f>
        <v>#REF!</v>
      </c>
      <c r="I17" s="74" t="e">
        <f ca="1">'Hilfstabelle Datendef_KB'!W5</f>
        <v>#REF!</v>
      </c>
      <c r="J17" s="207" t="e">
        <f ca="1">'Hilfstabelle Datendef_KB'!X5</f>
        <v>#REF!</v>
      </c>
      <c r="K17" s="155" t="e">
        <f ca="1">'Hilfstabelle Datendef_KB'!Y5</f>
        <v>#REF!</v>
      </c>
    </row>
    <row r="18" spans="1:11" s="49" customFormat="1" ht="169.5" customHeight="1" x14ac:dyDescent="0.25">
      <c r="A18" s="74" t="e">
        <f ca="1">'Hilfstabelle Datendef_KB'!O6</f>
        <v>#REF!</v>
      </c>
      <c r="B18" s="157" t="e">
        <f ca="1">'Hilfstabelle Datendef_KB'!P6</f>
        <v>#REF!</v>
      </c>
      <c r="C18" s="154" t="e">
        <f ca="1">'Hilfstabelle Datendef_KB'!Q6</f>
        <v>#REF!</v>
      </c>
      <c r="D18" s="154" t="e">
        <f ca="1">'Hilfstabelle Datendef_KB'!R6</f>
        <v>#REF!</v>
      </c>
      <c r="E18" s="154" t="e">
        <f ca="1">'Hilfstabelle Datendef_KB'!S6</f>
        <v>#REF!</v>
      </c>
      <c r="F18" s="156" t="e">
        <f ca="1">'Hilfstabelle Datendef_KB'!T6</f>
        <v>#REF!</v>
      </c>
      <c r="G18" s="156" t="e">
        <f ca="1">'Hilfstabelle Datendef_KB'!U6</f>
        <v>#REF!</v>
      </c>
      <c r="H18" s="153" t="e">
        <f ca="1">'Hilfstabelle Datendef_KB'!V6</f>
        <v>#REF!</v>
      </c>
      <c r="I18" s="74" t="e">
        <f ca="1">'Hilfstabelle Datendef_KB'!W6</f>
        <v>#REF!</v>
      </c>
      <c r="J18" s="207" t="e">
        <f ca="1">'Hilfstabelle Datendef_KB'!X6</f>
        <v>#REF!</v>
      </c>
      <c r="K18" s="155" t="e">
        <f ca="1">'Hilfstabelle Datendef_KB'!Y6</f>
        <v>#REF!</v>
      </c>
    </row>
    <row r="19" spans="1:11" ht="169.5" customHeight="1" x14ac:dyDescent="0.25">
      <c r="A19" s="74" t="e">
        <f ca="1">'Hilfstabelle Datendef_KB'!O7</f>
        <v>#REF!</v>
      </c>
      <c r="B19" s="157" t="e">
        <f ca="1">'Hilfstabelle Datendef_KB'!P7</f>
        <v>#REF!</v>
      </c>
      <c r="C19" s="154" t="e">
        <f ca="1">'Hilfstabelle Datendef_KB'!Q7</f>
        <v>#REF!</v>
      </c>
      <c r="D19" s="154" t="e">
        <f ca="1">'Hilfstabelle Datendef_KB'!R7</f>
        <v>#REF!</v>
      </c>
      <c r="E19" s="154" t="e">
        <f ca="1">'Hilfstabelle Datendef_KB'!S7</f>
        <v>#REF!</v>
      </c>
      <c r="F19" s="156" t="e">
        <f ca="1">'Hilfstabelle Datendef_KB'!T7</f>
        <v>#REF!</v>
      </c>
      <c r="G19" s="156" t="e">
        <f ca="1">'Hilfstabelle Datendef_KB'!U7</f>
        <v>#REF!</v>
      </c>
      <c r="H19" s="153" t="e">
        <f ca="1">'Hilfstabelle Datendef_KB'!V7</f>
        <v>#REF!</v>
      </c>
      <c r="I19" s="74" t="e">
        <f ca="1">'Hilfstabelle Datendef_KB'!W7</f>
        <v>#REF!</v>
      </c>
      <c r="J19" s="207" t="e">
        <f ca="1">'Hilfstabelle Datendef_KB'!X7</f>
        <v>#REF!</v>
      </c>
      <c r="K19" s="155" t="e">
        <f ca="1">'Hilfstabelle Datendef_KB'!Y7</f>
        <v>#REF!</v>
      </c>
    </row>
    <row r="20" spans="1:11" s="49" customFormat="1" ht="169.5" customHeight="1" x14ac:dyDescent="0.25">
      <c r="A20" s="74" t="e">
        <f ca="1">'Hilfstabelle Datendef_KB'!O8</f>
        <v>#REF!</v>
      </c>
      <c r="B20" s="157" t="e">
        <f ca="1">'Hilfstabelle Datendef_KB'!P8</f>
        <v>#REF!</v>
      </c>
      <c r="C20" s="154" t="e">
        <f ca="1">'Hilfstabelle Datendef_KB'!Q8</f>
        <v>#REF!</v>
      </c>
      <c r="D20" s="154" t="e">
        <f ca="1">'Hilfstabelle Datendef_KB'!R8</f>
        <v>#REF!</v>
      </c>
      <c r="E20" s="154" t="e">
        <f ca="1">'Hilfstabelle Datendef_KB'!S8</f>
        <v>#REF!</v>
      </c>
      <c r="F20" s="156" t="e">
        <f ca="1">'Hilfstabelle Datendef_KB'!T8</f>
        <v>#REF!</v>
      </c>
      <c r="G20" s="156" t="e">
        <f ca="1">'Hilfstabelle Datendef_KB'!U8</f>
        <v>#REF!</v>
      </c>
      <c r="H20" s="153" t="e">
        <f ca="1">'Hilfstabelle Datendef_KB'!V8</f>
        <v>#REF!</v>
      </c>
      <c r="I20" s="74" t="e">
        <f ca="1">'Hilfstabelle Datendef_KB'!W8</f>
        <v>#REF!</v>
      </c>
      <c r="J20" s="207" t="e">
        <f ca="1">'Hilfstabelle Datendef_KB'!X8</f>
        <v>#REF!</v>
      </c>
      <c r="K20" s="155" t="e">
        <f ca="1">'Hilfstabelle Datendef_KB'!Y8</f>
        <v>#REF!</v>
      </c>
    </row>
    <row r="21" spans="1:11" ht="169.5" customHeight="1" x14ac:dyDescent="0.25">
      <c r="A21" s="74" t="e">
        <f ca="1">'Hilfstabelle Datendef_KB'!O9</f>
        <v>#REF!</v>
      </c>
      <c r="B21" s="157" t="e">
        <f ca="1">'Hilfstabelle Datendef_KB'!P9</f>
        <v>#REF!</v>
      </c>
      <c r="C21" s="154" t="e">
        <f ca="1">'Hilfstabelle Datendef_KB'!Q9</f>
        <v>#REF!</v>
      </c>
      <c r="D21" s="154" t="e">
        <f ca="1">'Hilfstabelle Datendef_KB'!R9</f>
        <v>#REF!</v>
      </c>
      <c r="E21" s="154" t="e">
        <f ca="1">'Hilfstabelle Datendef_KB'!S9</f>
        <v>#REF!</v>
      </c>
      <c r="F21" s="156" t="e">
        <f ca="1">'Hilfstabelle Datendef_KB'!T9</f>
        <v>#REF!</v>
      </c>
      <c r="G21" s="156" t="e">
        <f ca="1">'Hilfstabelle Datendef_KB'!U9</f>
        <v>#REF!</v>
      </c>
      <c r="H21" s="153" t="e">
        <f ca="1">'Hilfstabelle Datendef_KB'!V9</f>
        <v>#REF!</v>
      </c>
      <c r="I21" s="74" t="e">
        <f ca="1">'Hilfstabelle Datendef_KB'!W9</f>
        <v>#REF!</v>
      </c>
      <c r="J21" s="207" t="e">
        <f ca="1">'Hilfstabelle Datendef_KB'!X9</f>
        <v>#REF!</v>
      </c>
      <c r="K21" s="155" t="e">
        <f ca="1">'Hilfstabelle Datendef_KB'!Y9</f>
        <v>#REF!</v>
      </c>
    </row>
    <row r="22" spans="1:11" ht="169.5" customHeight="1" x14ac:dyDescent="0.25">
      <c r="A22" s="74" t="e">
        <f ca="1">'Hilfstabelle Datendef_KB'!O10</f>
        <v>#REF!</v>
      </c>
      <c r="B22" s="157" t="e">
        <f ca="1">'Hilfstabelle Datendef_KB'!P10</f>
        <v>#REF!</v>
      </c>
      <c r="C22" s="154" t="e">
        <f ca="1">'Hilfstabelle Datendef_KB'!Q10</f>
        <v>#REF!</v>
      </c>
      <c r="D22" s="154" t="e">
        <f ca="1">'Hilfstabelle Datendef_KB'!R10</f>
        <v>#REF!</v>
      </c>
      <c r="E22" s="154" t="e">
        <f ca="1">'Hilfstabelle Datendef_KB'!S10</f>
        <v>#REF!</v>
      </c>
      <c r="F22" s="156" t="e">
        <f ca="1">'Hilfstabelle Datendef_KB'!T10</f>
        <v>#REF!</v>
      </c>
      <c r="G22" s="156" t="e">
        <f ca="1">'Hilfstabelle Datendef_KB'!U10</f>
        <v>#REF!</v>
      </c>
      <c r="H22" s="153" t="e">
        <f ca="1">'Hilfstabelle Datendef_KB'!V10</f>
        <v>#REF!</v>
      </c>
      <c r="I22" s="74" t="e">
        <f ca="1">'Hilfstabelle Datendef_KB'!W10</f>
        <v>#REF!</v>
      </c>
      <c r="J22" s="207" t="e">
        <f ca="1">'Hilfstabelle Datendef_KB'!X10</f>
        <v>#REF!</v>
      </c>
      <c r="K22" s="155" t="e">
        <f ca="1">'Hilfstabelle Datendef_KB'!Y10</f>
        <v>#REF!</v>
      </c>
    </row>
    <row r="23" spans="1:11" ht="169.5" customHeight="1" x14ac:dyDescent="0.25">
      <c r="A23" s="74" t="e">
        <f ca="1">'Hilfstabelle Datendef_KB'!O11</f>
        <v>#REF!</v>
      </c>
      <c r="B23" s="157" t="e">
        <f ca="1">'Hilfstabelle Datendef_KB'!P11</f>
        <v>#REF!</v>
      </c>
      <c r="C23" s="154" t="e">
        <f ca="1">'Hilfstabelle Datendef_KB'!Q11</f>
        <v>#REF!</v>
      </c>
      <c r="D23" s="154" t="e">
        <f ca="1">'Hilfstabelle Datendef_KB'!R11</f>
        <v>#REF!</v>
      </c>
      <c r="E23" s="154" t="e">
        <f ca="1">'Hilfstabelle Datendef_KB'!S11</f>
        <v>#REF!</v>
      </c>
      <c r="F23" s="156" t="e">
        <f ca="1">'Hilfstabelle Datendef_KB'!T11</f>
        <v>#REF!</v>
      </c>
      <c r="G23" s="156" t="e">
        <f ca="1">'Hilfstabelle Datendef_KB'!U11</f>
        <v>#REF!</v>
      </c>
      <c r="H23" s="153" t="e">
        <f ca="1">'Hilfstabelle Datendef_KB'!V11</f>
        <v>#REF!</v>
      </c>
      <c r="I23" s="74" t="e">
        <f ca="1">'Hilfstabelle Datendef_KB'!W11</f>
        <v>#REF!</v>
      </c>
      <c r="J23" s="207" t="e">
        <f ca="1">'Hilfstabelle Datendef_KB'!X11</f>
        <v>#REF!</v>
      </c>
      <c r="K23" s="155" t="e">
        <f ca="1">'Hilfstabelle Datendef_KB'!Y11</f>
        <v>#REF!</v>
      </c>
    </row>
    <row r="24" spans="1:11" ht="169.5" customHeight="1" x14ac:dyDescent="0.25">
      <c r="A24" s="74" t="e">
        <f ca="1">'Hilfstabelle Datendef_KB'!O12</f>
        <v>#REF!</v>
      </c>
      <c r="B24" s="157" t="e">
        <f ca="1">'Hilfstabelle Datendef_KB'!P12</f>
        <v>#REF!</v>
      </c>
      <c r="C24" s="154" t="e">
        <f ca="1">'Hilfstabelle Datendef_KB'!Q12</f>
        <v>#REF!</v>
      </c>
      <c r="D24" s="154" t="e">
        <f ca="1">'Hilfstabelle Datendef_KB'!R12</f>
        <v>#REF!</v>
      </c>
      <c r="E24" s="154" t="e">
        <f ca="1">'Hilfstabelle Datendef_KB'!S12</f>
        <v>#REF!</v>
      </c>
      <c r="F24" s="156" t="e">
        <f ca="1">'Hilfstabelle Datendef_KB'!T12</f>
        <v>#REF!</v>
      </c>
      <c r="G24" s="156" t="e">
        <f ca="1">'Hilfstabelle Datendef_KB'!U12</f>
        <v>#REF!</v>
      </c>
      <c r="H24" s="153" t="e">
        <f ca="1">'Hilfstabelle Datendef_KB'!V12</f>
        <v>#REF!</v>
      </c>
      <c r="I24" s="74" t="e">
        <f ca="1">'Hilfstabelle Datendef_KB'!W12</f>
        <v>#REF!</v>
      </c>
      <c r="J24" s="207" t="e">
        <f ca="1">'Hilfstabelle Datendef_KB'!X12</f>
        <v>#REF!</v>
      </c>
      <c r="K24" s="155" t="e">
        <f ca="1">'Hilfstabelle Datendef_KB'!Y12</f>
        <v>#REF!</v>
      </c>
    </row>
    <row r="25" spans="1:11" ht="169.5" customHeight="1" x14ac:dyDescent="0.25">
      <c r="A25" s="74" t="e">
        <f ca="1">'Hilfstabelle Datendef_KB'!O13</f>
        <v>#REF!</v>
      </c>
      <c r="B25" s="157" t="e">
        <f ca="1">'Hilfstabelle Datendef_KB'!P13</f>
        <v>#REF!</v>
      </c>
      <c r="C25" s="154" t="e">
        <f ca="1">'Hilfstabelle Datendef_KB'!Q13</f>
        <v>#REF!</v>
      </c>
      <c r="D25" s="154" t="e">
        <f ca="1">'Hilfstabelle Datendef_KB'!R13</f>
        <v>#REF!</v>
      </c>
      <c r="E25" s="154" t="e">
        <f ca="1">'Hilfstabelle Datendef_KB'!S13</f>
        <v>#REF!</v>
      </c>
      <c r="F25" s="156" t="e">
        <f ca="1">'Hilfstabelle Datendef_KB'!T13</f>
        <v>#REF!</v>
      </c>
      <c r="G25" s="156" t="e">
        <f ca="1">'Hilfstabelle Datendef_KB'!U13</f>
        <v>#REF!</v>
      </c>
      <c r="H25" s="153" t="e">
        <f ca="1">'Hilfstabelle Datendef_KB'!V13</f>
        <v>#REF!</v>
      </c>
      <c r="I25" s="74" t="e">
        <f ca="1">'Hilfstabelle Datendef_KB'!W13</f>
        <v>#REF!</v>
      </c>
      <c r="J25" s="207" t="e">
        <f ca="1">'Hilfstabelle Datendef_KB'!X13</f>
        <v>#REF!</v>
      </c>
      <c r="K25" s="155" t="e">
        <f ca="1">'Hilfstabelle Datendef_KB'!Y13</f>
        <v>#REF!</v>
      </c>
    </row>
    <row r="26" spans="1:11" ht="169.5" customHeight="1" x14ac:dyDescent="0.25">
      <c r="A26" s="74" t="e">
        <f ca="1">'Hilfstabelle Datendef_KB'!O14</f>
        <v>#REF!</v>
      </c>
      <c r="B26" s="157" t="e">
        <f ca="1">'Hilfstabelle Datendef_KB'!P14</f>
        <v>#REF!</v>
      </c>
      <c r="C26" s="154" t="e">
        <f ca="1">'Hilfstabelle Datendef_KB'!Q14</f>
        <v>#REF!</v>
      </c>
      <c r="D26" s="154" t="e">
        <f ca="1">'Hilfstabelle Datendef_KB'!R14</f>
        <v>#REF!</v>
      </c>
      <c r="E26" s="154" t="e">
        <f ca="1">'Hilfstabelle Datendef_KB'!S14</f>
        <v>#REF!</v>
      </c>
      <c r="F26" s="156" t="e">
        <f ca="1">'Hilfstabelle Datendef_KB'!T14</f>
        <v>#REF!</v>
      </c>
      <c r="G26" s="156" t="e">
        <f ca="1">'Hilfstabelle Datendef_KB'!U14</f>
        <v>#REF!</v>
      </c>
      <c r="H26" s="153" t="e">
        <f ca="1">'Hilfstabelle Datendef_KB'!V14</f>
        <v>#REF!</v>
      </c>
      <c r="I26" s="74" t="e">
        <f ca="1">'Hilfstabelle Datendef_KB'!W14</f>
        <v>#REF!</v>
      </c>
      <c r="J26" s="207" t="e">
        <f ca="1">'Hilfstabelle Datendef_KB'!X14</f>
        <v>#REF!</v>
      </c>
      <c r="K26" s="155" t="e">
        <f ca="1">'Hilfstabelle Datendef_KB'!Y14</f>
        <v>#REF!</v>
      </c>
    </row>
    <row r="27" spans="1:11" ht="169.5" customHeight="1" x14ac:dyDescent="0.25">
      <c r="A27" s="74" t="e">
        <f ca="1">'Hilfstabelle Datendef_KB'!O15</f>
        <v>#REF!</v>
      </c>
      <c r="B27" s="157" t="e">
        <f ca="1">'Hilfstabelle Datendef_KB'!P15</f>
        <v>#REF!</v>
      </c>
      <c r="C27" s="154" t="e">
        <f ca="1">'Hilfstabelle Datendef_KB'!Q15</f>
        <v>#REF!</v>
      </c>
      <c r="D27" s="154" t="e">
        <f ca="1">'Hilfstabelle Datendef_KB'!R15</f>
        <v>#REF!</v>
      </c>
      <c r="E27" s="154" t="e">
        <f ca="1">'Hilfstabelle Datendef_KB'!S15</f>
        <v>#REF!</v>
      </c>
      <c r="F27" s="156" t="e">
        <f ca="1">'Hilfstabelle Datendef_KB'!T15</f>
        <v>#REF!</v>
      </c>
      <c r="G27" s="156" t="e">
        <f ca="1">'Hilfstabelle Datendef_KB'!U15</f>
        <v>#REF!</v>
      </c>
      <c r="H27" s="153" t="e">
        <f ca="1">'Hilfstabelle Datendef_KB'!V15</f>
        <v>#REF!</v>
      </c>
      <c r="I27" s="74" t="e">
        <f ca="1">'Hilfstabelle Datendef_KB'!W15</f>
        <v>#REF!</v>
      </c>
      <c r="J27" s="207" t="e">
        <f ca="1">'Hilfstabelle Datendef_KB'!X15</f>
        <v>#REF!</v>
      </c>
      <c r="K27" s="155" t="e">
        <f ca="1">'Hilfstabelle Datendef_KB'!Y15</f>
        <v>#REF!</v>
      </c>
    </row>
    <row r="28" spans="1:11" ht="169.5" customHeight="1" x14ac:dyDescent="0.25">
      <c r="A28" s="74" t="e">
        <f ca="1">'Hilfstabelle Datendef_KB'!O16</f>
        <v>#REF!</v>
      </c>
      <c r="B28" s="157" t="e">
        <f ca="1">'Hilfstabelle Datendef_KB'!P16</f>
        <v>#REF!</v>
      </c>
      <c r="C28" s="154" t="e">
        <f ca="1">'Hilfstabelle Datendef_KB'!Q16</f>
        <v>#REF!</v>
      </c>
      <c r="D28" s="154" t="e">
        <f ca="1">'Hilfstabelle Datendef_KB'!R16</f>
        <v>#REF!</v>
      </c>
      <c r="E28" s="154" t="e">
        <f ca="1">'Hilfstabelle Datendef_KB'!S16</f>
        <v>#REF!</v>
      </c>
      <c r="F28" s="156" t="e">
        <f ca="1">'Hilfstabelle Datendef_KB'!T16</f>
        <v>#REF!</v>
      </c>
      <c r="G28" s="156" t="e">
        <f ca="1">'Hilfstabelle Datendef_KB'!U16</f>
        <v>#REF!</v>
      </c>
      <c r="H28" s="153" t="e">
        <f ca="1">'Hilfstabelle Datendef_KB'!V16</f>
        <v>#REF!</v>
      </c>
      <c r="I28" s="74" t="e">
        <f ca="1">'Hilfstabelle Datendef_KB'!W16</f>
        <v>#REF!</v>
      </c>
      <c r="J28" s="207" t="e">
        <f ca="1">'Hilfstabelle Datendef_KB'!X16</f>
        <v>#REF!</v>
      </c>
      <c r="K28" s="155" t="e">
        <f ca="1">'Hilfstabelle Datendef_KB'!Y16</f>
        <v>#REF!</v>
      </c>
    </row>
    <row r="29" spans="1:11" ht="169.5" customHeight="1" x14ac:dyDescent="0.25">
      <c r="A29" s="74" t="e">
        <f ca="1">'Hilfstabelle Datendef_KB'!O17</f>
        <v>#REF!</v>
      </c>
      <c r="B29" s="157" t="e">
        <f ca="1">'Hilfstabelle Datendef_KB'!P17</f>
        <v>#REF!</v>
      </c>
      <c r="C29" s="154" t="e">
        <f ca="1">'Hilfstabelle Datendef_KB'!Q17</f>
        <v>#REF!</v>
      </c>
      <c r="D29" s="154" t="e">
        <f ca="1">'Hilfstabelle Datendef_KB'!R17</f>
        <v>#REF!</v>
      </c>
      <c r="E29" s="154" t="e">
        <f ca="1">'Hilfstabelle Datendef_KB'!S17</f>
        <v>#REF!</v>
      </c>
      <c r="F29" s="156" t="e">
        <f ca="1">'Hilfstabelle Datendef_KB'!T17</f>
        <v>#REF!</v>
      </c>
      <c r="G29" s="156" t="e">
        <f ca="1">'Hilfstabelle Datendef_KB'!U17</f>
        <v>#REF!</v>
      </c>
      <c r="H29" s="153" t="e">
        <f ca="1">'Hilfstabelle Datendef_KB'!V17</f>
        <v>#REF!</v>
      </c>
      <c r="I29" s="74" t="e">
        <f ca="1">'Hilfstabelle Datendef_KB'!W17</f>
        <v>#REF!</v>
      </c>
      <c r="J29" s="207" t="e">
        <f ca="1">'Hilfstabelle Datendef_KB'!X17</f>
        <v>#REF!</v>
      </c>
      <c r="K29" s="155" t="e">
        <f ca="1">'Hilfstabelle Datendef_KB'!Y17</f>
        <v>#REF!</v>
      </c>
    </row>
    <row r="30" spans="1:11" ht="169.5" customHeight="1" x14ac:dyDescent="0.25">
      <c r="A30" s="74" t="e">
        <f ca="1">'Hilfstabelle Datendef_KB'!O18</f>
        <v>#REF!</v>
      </c>
      <c r="B30" s="157" t="e">
        <f ca="1">'Hilfstabelle Datendef_KB'!P18</f>
        <v>#REF!</v>
      </c>
      <c r="C30" s="154" t="e">
        <f ca="1">'Hilfstabelle Datendef_KB'!Q18</f>
        <v>#REF!</v>
      </c>
      <c r="D30" s="154" t="e">
        <f ca="1">'Hilfstabelle Datendef_KB'!R18</f>
        <v>#REF!</v>
      </c>
      <c r="E30" s="154" t="e">
        <f ca="1">'Hilfstabelle Datendef_KB'!S18</f>
        <v>#REF!</v>
      </c>
      <c r="F30" s="156" t="e">
        <f ca="1">'Hilfstabelle Datendef_KB'!T18</f>
        <v>#REF!</v>
      </c>
      <c r="G30" s="156" t="e">
        <f ca="1">'Hilfstabelle Datendef_KB'!U18</f>
        <v>#REF!</v>
      </c>
      <c r="H30" s="153" t="e">
        <f ca="1">'Hilfstabelle Datendef_KB'!V18</f>
        <v>#REF!</v>
      </c>
      <c r="I30" s="74" t="e">
        <f ca="1">'Hilfstabelle Datendef_KB'!W18</f>
        <v>#REF!</v>
      </c>
      <c r="J30" s="207" t="e">
        <f ca="1">'Hilfstabelle Datendef_KB'!X18</f>
        <v>#REF!</v>
      </c>
      <c r="K30" s="155" t="e">
        <f ca="1">'Hilfstabelle Datendef_KB'!Y18</f>
        <v>#REF!</v>
      </c>
    </row>
    <row r="31" spans="1:11" ht="169.5" customHeight="1" x14ac:dyDescent="0.25">
      <c r="A31" s="74" t="e">
        <f ca="1">'Hilfstabelle Datendef_KB'!O19</f>
        <v>#REF!</v>
      </c>
      <c r="B31" s="157" t="e">
        <f ca="1">'Hilfstabelle Datendef_KB'!P19</f>
        <v>#REF!</v>
      </c>
      <c r="C31" s="154" t="e">
        <f ca="1">'Hilfstabelle Datendef_KB'!Q19</f>
        <v>#REF!</v>
      </c>
      <c r="D31" s="154" t="e">
        <f ca="1">'Hilfstabelle Datendef_KB'!R19</f>
        <v>#REF!</v>
      </c>
      <c r="E31" s="154" t="e">
        <f ca="1">'Hilfstabelle Datendef_KB'!S19</f>
        <v>#REF!</v>
      </c>
      <c r="F31" s="156" t="e">
        <f ca="1">'Hilfstabelle Datendef_KB'!T19</f>
        <v>#REF!</v>
      </c>
      <c r="G31" s="156" t="e">
        <f ca="1">'Hilfstabelle Datendef_KB'!U19</f>
        <v>#REF!</v>
      </c>
      <c r="H31" s="153" t="e">
        <f ca="1">'Hilfstabelle Datendef_KB'!V19</f>
        <v>#REF!</v>
      </c>
      <c r="I31" s="74" t="e">
        <f ca="1">'Hilfstabelle Datendef_KB'!W19</f>
        <v>#REF!</v>
      </c>
      <c r="J31" s="207" t="e">
        <f ca="1">'Hilfstabelle Datendef_KB'!X19</f>
        <v>#REF!</v>
      </c>
      <c r="K31" s="155" t="e">
        <f ca="1">'Hilfstabelle Datendef_KB'!Y19</f>
        <v>#REF!</v>
      </c>
    </row>
    <row r="32" spans="1:11" ht="169.5" customHeight="1" x14ac:dyDescent="0.25">
      <c r="A32" s="74" t="e">
        <f ca="1">'Hilfstabelle Datendef_KB'!O20</f>
        <v>#REF!</v>
      </c>
      <c r="B32" s="157" t="e">
        <f ca="1">'Hilfstabelle Datendef_KB'!P20</f>
        <v>#REF!</v>
      </c>
      <c r="C32" s="154" t="e">
        <f ca="1">'Hilfstabelle Datendef_KB'!Q20</f>
        <v>#REF!</v>
      </c>
      <c r="D32" s="154" t="e">
        <f ca="1">'Hilfstabelle Datendef_KB'!R20</f>
        <v>#REF!</v>
      </c>
      <c r="E32" s="154" t="e">
        <f ca="1">'Hilfstabelle Datendef_KB'!S20</f>
        <v>#REF!</v>
      </c>
      <c r="F32" s="156" t="e">
        <f ca="1">'Hilfstabelle Datendef_KB'!T20</f>
        <v>#REF!</v>
      </c>
      <c r="G32" s="156" t="e">
        <f ca="1">'Hilfstabelle Datendef_KB'!U20</f>
        <v>#REF!</v>
      </c>
      <c r="H32" s="153" t="e">
        <f ca="1">'Hilfstabelle Datendef_KB'!V20</f>
        <v>#REF!</v>
      </c>
      <c r="I32" s="74" t="e">
        <f ca="1">'Hilfstabelle Datendef_KB'!W20</f>
        <v>#REF!</v>
      </c>
      <c r="J32" s="207" t="e">
        <f ca="1">'Hilfstabelle Datendef_KB'!X20</f>
        <v>#REF!</v>
      </c>
      <c r="K32" s="155" t="e">
        <f ca="1">'Hilfstabelle Datendef_KB'!Y20</f>
        <v>#REF!</v>
      </c>
    </row>
    <row r="33" spans="1:11" ht="169.5" customHeight="1" x14ac:dyDescent="0.25">
      <c r="A33" s="74" t="e">
        <f ca="1">'Hilfstabelle Datendef_KB'!O21</f>
        <v>#REF!</v>
      </c>
      <c r="B33" s="157" t="e">
        <f ca="1">'Hilfstabelle Datendef_KB'!P21</f>
        <v>#REF!</v>
      </c>
      <c r="C33" s="154" t="e">
        <f ca="1">'Hilfstabelle Datendef_KB'!Q21</f>
        <v>#REF!</v>
      </c>
      <c r="D33" s="154" t="e">
        <f ca="1">'Hilfstabelle Datendef_KB'!R21</f>
        <v>#REF!</v>
      </c>
      <c r="E33" s="154" t="e">
        <f ca="1">'Hilfstabelle Datendef_KB'!S21</f>
        <v>#REF!</v>
      </c>
      <c r="F33" s="156" t="e">
        <f ca="1">'Hilfstabelle Datendef_KB'!T21</f>
        <v>#REF!</v>
      </c>
      <c r="G33" s="156" t="e">
        <f ca="1">'Hilfstabelle Datendef_KB'!U21</f>
        <v>#REF!</v>
      </c>
      <c r="H33" s="153" t="e">
        <f ca="1">'Hilfstabelle Datendef_KB'!V21</f>
        <v>#REF!</v>
      </c>
      <c r="I33" s="74" t="e">
        <f ca="1">'Hilfstabelle Datendef_KB'!W21</f>
        <v>#REF!</v>
      </c>
      <c r="J33" s="207" t="e">
        <f ca="1">'Hilfstabelle Datendef_KB'!X21</f>
        <v>#REF!</v>
      </c>
      <c r="K33" s="155" t="e">
        <f ca="1">'Hilfstabelle Datendef_KB'!Y21</f>
        <v>#REF!</v>
      </c>
    </row>
    <row r="34" spans="1:11" ht="169.5" customHeight="1" x14ac:dyDescent="0.25">
      <c r="A34" s="74" t="e">
        <f ca="1">'Hilfstabelle Datendef_KB'!O22</f>
        <v>#REF!</v>
      </c>
      <c r="B34" s="157" t="e">
        <f ca="1">'Hilfstabelle Datendef_KB'!P22</f>
        <v>#REF!</v>
      </c>
      <c r="C34" s="154" t="e">
        <f ca="1">'Hilfstabelle Datendef_KB'!Q22</f>
        <v>#REF!</v>
      </c>
      <c r="D34" s="154" t="e">
        <f ca="1">'Hilfstabelle Datendef_KB'!R22</f>
        <v>#REF!</v>
      </c>
      <c r="E34" s="154" t="e">
        <f ca="1">'Hilfstabelle Datendef_KB'!S22</f>
        <v>#REF!</v>
      </c>
      <c r="F34" s="156" t="e">
        <f ca="1">'Hilfstabelle Datendef_KB'!T22</f>
        <v>#REF!</v>
      </c>
      <c r="G34" s="156" t="e">
        <f ca="1">'Hilfstabelle Datendef_KB'!U22</f>
        <v>#REF!</v>
      </c>
      <c r="H34" s="153" t="e">
        <f ca="1">'Hilfstabelle Datendef_KB'!V22</f>
        <v>#REF!</v>
      </c>
      <c r="I34" s="74" t="e">
        <f ca="1">'Hilfstabelle Datendef_KB'!W22</f>
        <v>#REF!</v>
      </c>
      <c r="J34" s="207" t="e">
        <f ca="1">'Hilfstabelle Datendef_KB'!X22</f>
        <v>#REF!</v>
      </c>
      <c r="K34" s="155" t="e">
        <f ca="1">'Hilfstabelle Datendef_KB'!Y22</f>
        <v>#REF!</v>
      </c>
    </row>
    <row r="35" spans="1:11" ht="169.5" customHeight="1" x14ac:dyDescent="0.25">
      <c r="A35" s="74" t="e">
        <f ca="1">'Hilfstabelle Datendef_KB'!O23</f>
        <v>#REF!</v>
      </c>
      <c r="B35" s="157" t="e">
        <f ca="1">'Hilfstabelle Datendef_KB'!P23</f>
        <v>#REF!</v>
      </c>
      <c r="C35" s="154" t="e">
        <f ca="1">'Hilfstabelle Datendef_KB'!Q23</f>
        <v>#REF!</v>
      </c>
      <c r="D35" s="154" t="e">
        <f ca="1">'Hilfstabelle Datendef_KB'!R23</f>
        <v>#REF!</v>
      </c>
      <c r="E35" s="154" t="e">
        <f ca="1">'Hilfstabelle Datendef_KB'!S23</f>
        <v>#REF!</v>
      </c>
      <c r="F35" s="156" t="e">
        <f ca="1">'Hilfstabelle Datendef_KB'!T23</f>
        <v>#REF!</v>
      </c>
      <c r="G35" s="156" t="e">
        <f ca="1">'Hilfstabelle Datendef_KB'!U23</f>
        <v>#REF!</v>
      </c>
      <c r="H35" s="153" t="e">
        <f ca="1">'Hilfstabelle Datendef_KB'!V23</f>
        <v>#REF!</v>
      </c>
      <c r="I35" s="74" t="e">
        <f ca="1">'Hilfstabelle Datendef_KB'!W23</f>
        <v>#REF!</v>
      </c>
      <c r="J35" s="207" t="e">
        <f ca="1">'Hilfstabelle Datendef_KB'!X23</f>
        <v>#REF!</v>
      </c>
      <c r="K35" s="155" t="e">
        <f ca="1">'Hilfstabelle Datendef_KB'!Y23</f>
        <v>#REF!</v>
      </c>
    </row>
  </sheetData>
  <sheetProtection selectLockedCells="1" selectUnlockedCells="1"/>
  <mergeCells count="8">
    <mergeCell ref="C6:J6"/>
    <mergeCell ref="C8:F8"/>
    <mergeCell ref="A12:A13"/>
    <mergeCell ref="I12:I13"/>
    <mergeCell ref="B12:B13"/>
    <mergeCell ref="C12:E12"/>
    <mergeCell ref="F12:H12"/>
    <mergeCell ref="J12:K12"/>
  </mergeCells>
  <phoneticPr fontId="35" type="noConversion"/>
  <conditionalFormatting sqref="A14:H35 J14:K35">
    <cfRule type="notContainsBlanks" dxfId="50" priority="24" stopIfTrue="1">
      <formula>LEN(TRIM(A14))&gt;0</formula>
    </cfRule>
  </conditionalFormatting>
  <conditionalFormatting sqref="A12:J13">
    <cfRule type="expression" dxfId="49" priority="6" stopIfTrue="1">
      <formula>$B$10="Kein Datendefizit vorhanden"</formula>
    </cfRule>
  </conditionalFormatting>
  <conditionalFormatting sqref="I14:I35">
    <cfRule type="expression" dxfId="48" priority="1">
      <formula>AND($I14&lt;&gt;"",$I14="Ausnahme (Plausibilität unklar)")</formula>
    </cfRule>
    <cfRule type="expression" dxfId="47" priority="2">
      <formula>AND($I14&lt;&gt;"",$I14="optional - unvollständig")</formula>
    </cfRule>
    <cfRule type="expression" dxfId="46" priority="20" stopIfTrue="1">
      <formula>OR(AND($I14&lt;&gt;"",$I14="Unvollständig"),AND($I14&lt;&gt;"",$I14="Inkorrekt"),AND($I14&lt;&gt;"",$I14="optional - Inkorrekt"))</formula>
    </cfRule>
    <cfRule type="expression" dxfId="45" priority="21" stopIfTrue="1">
      <formula>OR(AND($I14&lt;&gt;"",$I14="Sollvorgabe nicht erfüllt"),AND($I14&lt;&gt;"",$I14="optional - Sollvorgabe nicht erfüllt"))</formula>
    </cfRule>
    <cfRule type="expression" dxfId="44" priority="22" stopIfTrue="1">
      <formula>OR(AND($I14&lt;&gt;"",$I14="I.O. (Plausibilität unklar)"),AND($I14&lt;&gt;"",$I14="optional - I.O. (Plausibilität unklar)"))</formula>
    </cfRule>
  </conditionalFormatting>
  <conditionalFormatting sqref="J12:K12">
    <cfRule type="expression" dxfId="43" priority="3" stopIfTrue="1">
      <formula>J12&lt;&gt;""</formula>
    </cfRule>
  </conditionalFormatting>
  <conditionalFormatting sqref="K13">
    <cfRule type="expression" dxfId="42" priority="5" stopIfTrue="1">
      <formula>$B$10="Kein Datendefizit vorhanden"</formula>
    </cfRule>
  </conditionalFormatting>
  <pageMargins left="0.39370078740157483" right="0.19685039370078741" top="0.59055118110236227" bottom="0.39370078740157483" header="0.11811023622047245" footer="0.11811023622047245"/>
  <pageSetup paperSize="9" scale="95" orientation="landscape" r:id="rId1"/>
  <headerFooter>
    <oddFooter xml:space="preserve">&amp;L&amp;"Arial,Standard"&amp;7&amp;F&amp;C&amp;"Arial,Standard"&amp;7 © DKG  Alle Rechte vorbehalten&amp;R&amp;"Arial,Standard"&amp;7&amp;P       </oddFooter>
  </headerFooter>
  <rowBreaks count="1" manualBreakCount="1">
    <brk id="15" max="16383" man="1"/>
  </rowBreaks>
  <colBreaks count="1" manualBreakCount="1">
    <brk id="16" max="1048575" man="1"/>
  </colBreaks>
  <ignoredErrors>
    <ignoredError sqref="D13" formula="1"/>
    <ignoredError sqref="C8" emptyCellReference="1"/>
  </ignoredError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dimension ref="A1:Y23"/>
  <sheetViews>
    <sheetView zoomScaleNormal="100" workbookViewId="0">
      <selection activeCell="Q13" sqref="Q13"/>
    </sheetView>
  </sheetViews>
  <sheetFormatPr defaultColWidth="11.42578125" defaultRowHeight="11.25" x14ac:dyDescent="0.25"/>
  <cols>
    <col min="1" max="1" width="18.28515625" style="255" customWidth="1"/>
    <col min="2" max="2" width="9.140625" style="91" customWidth="1"/>
    <col min="3" max="3" width="9.42578125" style="163" customWidth="1"/>
    <col min="4" max="4" width="51.7109375" style="253" bestFit="1" customWidth="1"/>
    <col min="5" max="5" width="9.140625" style="161" customWidth="1"/>
    <col min="6" max="6" width="11.28515625" style="163" customWidth="1"/>
    <col min="7" max="10" width="9.140625" style="161" customWidth="1"/>
    <col min="11" max="11" width="13" style="163" customWidth="1"/>
    <col min="12" max="13" width="25.7109375" style="91" customWidth="1"/>
    <col min="14" max="14" width="9.140625" style="91" customWidth="1"/>
    <col min="15" max="15" width="6.5703125" style="161" customWidth="1"/>
    <col min="16" max="16" width="31" style="253" bestFit="1" customWidth="1"/>
    <col min="17" max="17" width="9.140625" style="161" customWidth="1"/>
    <col min="18" max="18" width="9.140625" style="163" customWidth="1"/>
    <col min="19" max="22" width="9.140625" style="161" customWidth="1"/>
    <col min="23" max="23" width="15.42578125" style="163" customWidth="1"/>
    <col min="24" max="25" width="18.42578125" style="91" customWidth="1"/>
    <col min="26" max="16384" width="11.42578125" style="91"/>
  </cols>
  <sheetData>
    <row r="1" spans="1:25" ht="22.5" x14ac:dyDescent="0.25">
      <c r="A1" s="254" t="s">
        <v>128</v>
      </c>
      <c r="C1" s="158" t="s">
        <v>8</v>
      </c>
      <c r="D1" s="160" t="s">
        <v>259</v>
      </c>
      <c r="E1" s="158" t="s">
        <v>338</v>
      </c>
      <c r="F1" s="159" t="s">
        <v>30</v>
      </c>
      <c r="G1" s="158" t="s">
        <v>338</v>
      </c>
      <c r="H1" s="158" t="s">
        <v>1</v>
      </c>
      <c r="I1" s="158" t="s">
        <v>31</v>
      </c>
      <c r="J1" s="158" t="s">
        <v>57</v>
      </c>
      <c r="K1" s="158" t="s">
        <v>128</v>
      </c>
      <c r="L1" s="145" t="s">
        <v>334</v>
      </c>
      <c r="M1" s="145" t="s">
        <v>333</v>
      </c>
      <c r="O1" s="162" t="s">
        <v>2</v>
      </c>
    </row>
    <row r="2" spans="1:25" ht="34.5" customHeight="1" x14ac:dyDescent="0.25">
      <c r="A2" s="289" t="str">
        <f>IF('Indicators Sheet_(IS)'!P8=0,"",'Indicators Sheet_(IS)'!P8)</f>
        <v>Incomplete</v>
      </c>
      <c r="C2" s="147">
        <f>IF($A2="I.O.","",'Indicators Sheet_(IS)'!A8)</f>
        <v>1</v>
      </c>
      <c r="D2" s="146" t="str">
        <f>IF($A2="I.O.","",'Indicators Sheet_(IS)'!C8)</f>
        <v>Presentation tumour board</v>
      </c>
      <c r="E2" s="164" t="str">
        <f>IF(AND('Indicators Sheet_(IS)'!J8="",$A2&lt;&gt;"I.O."),"-----",IF($A2="I.O.","",'Indicators Sheet_(IS)'!J8))</f>
        <v>-----</v>
      </c>
      <c r="F2" s="165" t="str">
        <f>IF($A2="I.O.","",'Indicators Sheet_(IS)'!K8)</f>
        <v>≥ 90%</v>
      </c>
      <c r="G2" s="164" t="str">
        <f>IF(AND('Indicators Sheet_(IS)'!M8="",$A2&lt;&gt;"I.O."),"-----",IF($A2="I.O.","",'Indicators Sheet_(IS)'!M8))</f>
        <v>-----</v>
      </c>
      <c r="H2" s="144" t="str">
        <f>IF($A2="I.O.","",IF('Indicators Sheet_(IS)'!O8="","-----",'Indicators Sheet_(IS)'!O8))</f>
        <v>-----</v>
      </c>
      <c r="I2" s="144">
        <f>IF($A2="I.O.","",IF('Indicators Sheet_(IS)'!O9="","-----",'Indicators Sheet_(IS)'!O9))</f>
        <v>0</v>
      </c>
      <c r="J2" s="148" t="str">
        <f>IF($A2="I.O.","",IF('Indicators Sheet_(IS)'!O10="",0,'Indicators Sheet_(IS)'!O10))</f>
        <v>n.d.</v>
      </c>
      <c r="K2" s="147" t="str">
        <f>IF($A2="I.O.","",'Indicators Sheet_(IS)'!P8)</f>
        <v>Incomplete</v>
      </c>
      <c r="L2" s="93" t="str">
        <f>IF(AND('Indicators Sheet_(IS)'!Q8="",$A2&lt;&gt;"I.O."),"-----",IF($A2="I.O.","",'Indicators Sheet_(IS)'!Q8))</f>
        <v>-----</v>
      </c>
      <c r="M2" s="93" t="str">
        <f>IF(AND('Indicators Sheet_(IS)'!R8="",$A2&lt;&gt;"I.O."),"-----",IF($A2="I.O.","",'Indicators Sheet_(IS)'!R8))</f>
        <v>-----</v>
      </c>
      <c r="O2" s="64" t="e">
        <f t="array" aca="1" ref="O2" ca="1">IF(ROW()-ROW($D$2:$D$23)+1&gt;ROWS($C$2:$C$23)-COUNTBLANK($C$2:$C$23),"",INDIRECT(ADDRESS(SMALL((IF($C$2:$C$23&lt;&gt;"",ROW($C$2:$C$23),ROW()+ROWS($C$2:$C$23))),ROW()-ROW($D$2:$D$23)+1),COLUMN($C$2:$C$23),4)))</f>
        <v>#REF!</v>
      </c>
      <c r="P2" s="146" t="e">
        <f t="array" aca="1" ref="P2" ca="1">IF(ROW()-ROW($E$2:$E$23)+1&gt;ROWS($D$2:$D$23)-COUNTBLANK($D$2:$D$23),"",INDIRECT(ADDRESS(SMALL((IF($D$2:$D$23&gt;"",ROW($D$2:$D$23),ROW()+ROWS($D$2:$D$23))),ROW()-ROW($E$2:$E$23)+1),COLUMN($D$2:$D$23),4)))</f>
        <v>#REF!</v>
      </c>
      <c r="Q2" s="164" t="e">
        <f t="array" aca="1" ref="Q2" ca="1">IF(ROW()-ROW($F$2:$F$23)+1&gt;ROWS($E$2:$E$23)-COUNTBLANK($E$2:$E$23),"",INDIRECT(ADDRESS(SMALL((IF($E$2:$E$23&gt;"",ROW($E$2:$E$23),ROW()+ROWS($E$2:$E$23))),ROW()-ROW($F$2:$F$23)+1),COLUMN($E$2:$E$23),4)))</f>
        <v>#REF!</v>
      </c>
      <c r="R2" s="165" t="e">
        <f t="array" aca="1" ref="R2" ca="1">IF(ROW()-ROW($G$2:$G$23)+1&gt;ROWS($F$2:$F$23)-COUNTBLANK($F$2:$F$23),"",INDIRECT(ADDRESS(SMALL((IF($F$2:$F$23&gt;"",ROW($F$2:$F$23),ROW()+ROWS($F$2:$F$23))),ROW()-ROW($G$2:$G$23)+1),COLUMN($F$2:$F$23),4)))</f>
        <v>#REF!</v>
      </c>
      <c r="S2" s="164" t="e">
        <f t="array" aca="1" ref="S2" ca="1">IF(ROW()-ROW($H$2:$H$23)+1&gt;ROWS($G$2:$G$23)-COUNTBLANK($G$2:$G$23),"",INDIRECT(ADDRESS(SMALL((IF($G$2:$G$23&lt;&gt;"",ROW($G$2:$G$23),ROW()+ROWS($G$2:$G$23))),ROW()-ROW($H$2:$H$23)+1),COLUMN($G$2:$G$23),4)))</f>
        <v>#REF!</v>
      </c>
      <c r="T2" s="144" t="e">
        <f t="array" aca="1" ref="T2" ca="1">IF(ROW()-ROW($I$2:$I$23)+1&gt;ROWS($H$2:$H$23)-COUNTBLANK($H$2:$H$23),"",INDIRECT(ADDRESS(SMALL((IF($H$2:$H$23&lt;&gt;"",ROW($H$2:$H$23),ROW()+ROWS($H$2:$H$23))),ROW()-ROW($I$2:$I$23)+1),COLUMN($H$2:$H$23),4)))</f>
        <v>#REF!</v>
      </c>
      <c r="U2" s="144" t="e">
        <f t="array" aca="1" ref="U2" ca="1">IF(ROW()-ROW($J$2:$J$23)+1&gt;ROWS($I$2:$I$23)-COUNTBLANK($I$2:$I$23),"",INDIRECT(ADDRESS(SMALL((IF($I$2:$I$23&lt;&gt;"",ROW($I$2:$I$23),ROW()+ROWS($I$2:$I$23))),ROW()-ROW($J$2:$J$23)+1),COLUMN($I$2:$I$23),4)))</f>
        <v>#REF!</v>
      </c>
      <c r="V2" s="148" t="e">
        <f t="array" aca="1" ref="V2" ca="1">IF(ROW()-ROW($K$2:$K$23)+1&gt;ROWS($J$2:$J$23)-COUNTBLANK($J$2:$J$23),"",INDIRECT(ADDRESS(SMALL((IF($J$2:$J$23&lt;&gt;"",ROW($J$2:$J$23),ROW()+ROWS($J$2:$J$23))),ROW()-ROW($K$2:$K$23)+1),COLUMN($J$2:$J$23),4)))</f>
        <v>#REF!</v>
      </c>
      <c r="W2" s="147" t="e">
        <f t="array" aca="1" ref="W2" ca="1">IF(ROW()-ROW($L$2:$L$23)+1&gt;ROWS($K$2:$K$23)-COUNTBLANK($K$2:$K$23),"",INDIRECT(ADDRESS(SMALL((IF($K$2:$K$23&lt;&gt;"",ROW($K$2:$K$23),ROW()+ROWS($K$2:$K$23))),ROW()-ROW($L$2:$L$23)+1),COLUMN($K$2:$K$23),4)))</f>
        <v>#REF!</v>
      </c>
      <c r="X2" s="93" t="e">
        <f t="array" aca="1" ref="X2" ca="1">IF(ROW()-ROW($M$2:$M$23)+1&gt;ROWS($L$2:$L$23)-COUNTBLANK($L$2:$L$23),"",INDIRECT(ADDRESS(SMALL((IF($L$2:$L$23&lt;&gt;"",ROW($L$2:$L$23),ROW()+ROWS($L$2:$L$23))),ROW()-ROW($M$2:$M$23)+1),COLUMN($L$2:$L$23),4)))</f>
        <v>#REF!</v>
      </c>
      <c r="Y2" s="93" t="e">
        <f t="array" aca="1" ref="Y2" ca="1">IF(ROW()-ROW($N$2:$N$23)+1&gt;ROWS($M$2:$M$23)-COUNTBLANK($M$2:$M$23),"",INDIRECT(ADDRESS(SMALL((IF($M$2:$M$23&lt;&gt;"",ROW($M$2:$M$23),ROW()+ROWS($M$2:$M$23))),ROW()-ROW($N$2:$N$23)+1),COLUMN($M$2:$M$23),4)))</f>
        <v>#REF!</v>
      </c>
    </row>
    <row r="3" spans="1:25" ht="34.5" customHeight="1" x14ac:dyDescent="0.25">
      <c r="A3" s="289" t="str">
        <f>IF('Indicators Sheet_(IS)'!P11=0,"",'Indicators Sheet_(IS)'!P11)</f>
        <v>Incomplete</v>
      </c>
      <c r="C3" s="147" t="str">
        <f>IF($A3="I.O.","",'Indicators Sheet_(IS)'!A11)</f>
        <v xml:space="preserve">2
</v>
      </c>
      <c r="D3" s="146" t="str">
        <f>IF($A3="I.O.","",'Indicators Sheet_(IS)'!C11)</f>
        <v xml:space="preserve">Psycho-oncological distress screening </v>
      </c>
      <c r="E3" s="164" t="str">
        <f>IF(AND('Indicators Sheet_(IS)'!J11="",$A3&lt;&gt;"I.O."),"-----",IF($A3="I.O.","",'Indicators Sheet_(IS)'!J11))</f>
        <v>-----</v>
      </c>
      <c r="F3" s="165" t="str">
        <f>IF($A3="I.O.","",'Indicators Sheet_(IS)'!K11)</f>
        <v>≥ 65%</v>
      </c>
      <c r="G3" s="164" t="str">
        <f>IF(AND('Indicators Sheet_(IS)'!M11="",$A3&lt;&gt;"I.O."),"-----",IF($A3="I.O.","",'Indicators Sheet_(IS)'!M11))</f>
        <v>-----</v>
      </c>
      <c r="H3" s="144" t="str">
        <f>IF($A3="I.O.","",IF('Indicators Sheet_(IS)'!O11="","-----",'Indicators Sheet_(IS)'!O11))</f>
        <v>-----</v>
      </c>
      <c r="I3" s="144">
        <f>IF($A3="I.O.","",IF('Indicators Sheet_(IS)'!O12="","-----",'Indicators Sheet_(IS)'!O12))</f>
        <v>0</v>
      </c>
      <c r="J3" s="148" t="str">
        <f>IF($A3="I.O.","",IF('Indicators Sheet_(IS)'!O13="",0,'Indicators Sheet_(IS)'!O13))</f>
        <v>n.d.</v>
      </c>
      <c r="K3" s="147" t="str">
        <f>IF($A3="I.O.","",'Indicators Sheet_(IS)'!P11)</f>
        <v>Incomplete</v>
      </c>
      <c r="L3" s="93" t="str">
        <f>IF(AND('Indicators Sheet_(IS)'!Q11="",$A3&lt;&gt;"I.O."),"-----",IF($A3="I.O.","",'Indicators Sheet_(IS)'!Q11))</f>
        <v>-----</v>
      </c>
      <c r="M3" s="93" t="str">
        <f>IF(AND('Indicators Sheet_(IS)'!R11="",$A3&lt;&gt;"I.O."),"-----",IF($A3="I.O.","",'Indicators Sheet_(IS)'!R11))</f>
        <v>-----</v>
      </c>
      <c r="O3" s="64" t="e">
        <f t="array" aca="1" ref="O3" ca="1">IF(ROW()-ROW($D$2:$D$23)+1&gt;ROWS($C$2:$C$23)-COUNTBLANK($C$2:$C$23),"",INDIRECT(ADDRESS(SMALL((IF($C$2:$C$23&lt;&gt;"",ROW($C$2:$C$23),ROW()+ROWS($C$2:$C$23))),ROW()-ROW($D$2:$D$23)+1),COLUMN($C$2:$C$23),4)))</f>
        <v>#REF!</v>
      </c>
      <c r="P3" s="146" t="e">
        <f t="array" aca="1" ref="P3" ca="1">IF(ROW()-ROW($E$2:$E$23)+1&gt;ROWS($D$2:$D$23)-COUNTBLANK($D$2:$D$23),"",INDIRECT(ADDRESS(SMALL((IF($D$2:$D$23&gt;"",ROW($D$2:$D$23),ROW()+ROWS($D$2:$D$23))),ROW()-ROW($E$2:$E$23)+1),COLUMN($D$2:$D$23),4)))</f>
        <v>#REF!</v>
      </c>
      <c r="Q3" s="164" t="e">
        <f t="array" aca="1" ref="Q3" ca="1">IF(ROW()-ROW($F$2:$F$23)+1&gt;ROWS($E$2:$E$23)-COUNTBLANK($E$2:$E$23),"",INDIRECT(ADDRESS(SMALL((IF($E$2:$E$23&gt;"",ROW($E$2:$E$23),ROW()+ROWS($E$2:$E$23))),ROW()-ROW($F$2:$F$23)+1),COLUMN($E$2:$E$23),4)))</f>
        <v>#REF!</v>
      </c>
      <c r="R3" s="165" t="e">
        <f t="array" aca="1" ref="R3" ca="1">IF(ROW()-ROW($G$2:$G$23)+1&gt;ROWS($F$2:$F$23)-COUNTBLANK($F$2:$F$23),"",INDIRECT(ADDRESS(SMALL((IF($F$2:$F$23&gt;"",ROW($F$2:$F$23),ROW()+ROWS($F$2:$F$23))),ROW()-ROW($G$2:$G$23)+1),COLUMN($F$2:$F$23),4)))</f>
        <v>#REF!</v>
      </c>
      <c r="S3" s="164" t="e">
        <f t="array" aca="1" ref="S3" ca="1">IF(ROW()-ROW($H$2:$H$23)+1&gt;ROWS($G$2:$G$23)-COUNTBLANK($G$2:$G$23),"",INDIRECT(ADDRESS(SMALL((IF($G$2:$G$23&lt;&gt;"",ROW($G$2:$G$23),ROW()+ROWS($G$2:$G$23))),ROW()-ROW($H$2:$H$23)+1),COLUMN($G$2:$G$23),4)))</f>
        <v>#REF!</v>
      </c>
      <c r="T3" s="144" t="e">
        <f t="array" aca="1" ref="T3" ca="1">IF(ROW()-ROW($I$2:$I$23)+1&gt;ROWS($H$2:$H$23)-COUNTBLANK($H$2:$H$23),"",INDIRECT(ADDRESS(SMALL((IF($H$2:$H$23&lt;&gt;"",ROW($H$2:$H$23),ROW()+ROWS($H$2:$H$23))),ROW()-ROW($I$2:$I$23)+1),COLUMN($H$2:$H$23),4)))</f>
        <v>#REF!</v>
      </c>
      <c r="U3" s="144" t="e">
        <f t="array" aca="1" ref="U3" ca="1">IF(ROW()-ROW($J$2:$J$23)+1&gt;ROWS($I$2:$I$23)-COUNTBLANK($I$2:$I$23),"",INDIRECT(ADDRESS(SMALL((IF($I$2:$I$23&lt;&gt;"",ROW($I$2:$I$23),ROW()+ROWS($I$2:$I$23))),ROW()-ROW($J$2:$J$23)+1),COLUMN($I$2:$I$23),4)))</f>
        <v>#REF!</v>
      </c>
      <c r="V3" s="148" t="e">
        <f t="array" aca="1" ref="V3" ca="1">IF(ROW()-ROW($K$2:$K$23)+1&gt;ROWS($J$2:$J$23)-COUNTBLANK($J$2:$J$23),"",INDIRECT(ADDRESS(SMALL((IF($J$2:$J$23&lt;&gt;"",ROW($J$2:$J$23),ROW()+ROWS($J$2:$J$23))),ROW()-ROW($K$2:$K$23)+1),COLUMN($J$2:$J$23),4)))</f>
        <v>#REF!</v>
      </c>
      <c r="W3" s="147" t="e">
        <f t="array" aca="1" ref="W3" ca="1">IF(ROW()-ROW($L$2:$L$23)+1&gt;ROWS($K$2:$K$23)-COUNTBLANK($K$2:$K$23),"",INDIRECT(ADDRESS(SMALL((IF($K$2:$K$23&lt;&gt;"",ROW($K$2:$K$23),ROW()+ROWS($K$2:$K$23))),ROW()-ROW($L$2:$L$23)+1),COLUMN($K$2:$K$23),4)))</f>
        <v>#REF!</v>
      </c>
      <c r="X3" s="93" t="e">
        <f t="array" aca="1" ref="X3" ca="1">IF(ROW()-ROW($M$2:$M$23)+1&gt;ROWS($L$2:$L$23)-COUNTBLANK($L$2:$L$23),"",INDIRECT(ADDRESS(SMALL((IF($L$2:$L$23&lt;&gt;"",ROW($L$2:$L$23),ROW()+ROWS($L$2:$L$23))),ROW()-ROW($M$2:$M$23)+1),COLUMN($L$2:$L$23),4)))</f>
        <v>#REF!</v>
      </c>
      <c r="Y3" s="93" t="e">
        <f t="array" aca="1" ref="Y3" ca="1">IF(ROW()-ROW($N$2:$N$23)+1&gt;ROWS($M$2:$M$23)-COUNTBLANK($M$2:$M$23),"",INDIRECT(ADDRESS(SMALL((IF($M$2:$M$23&lt;&gt;"",ROW($M$2:$M$23),ROW()+ROWS($M$2:$M$23))),ROW()-ROW($N$2:$N$23)+1),COLUMN($M$2:$M$23),4)))</f>
        <v>#REF!</v>
      </c>
    </row>
    <row r="4" spans="1:25" ht="34.5" customHeight="1" x14ac:dyDescent="0.25">
      <c r="A4" s="289" t="str">
        <f>IF('Indicators Sheet_(IS)'!P14=0,"",'Indicators Sheet_(IS)'!P14)</f>
        <v>Incomplete</v>
      </c>
      <c r="C4" s="147">
        <f>IF($A4="I.O.","",'Indicators Sheet_(IS)'!A14)</f>
        <v>3</v>
      </c>
      <c r="D4" s="146" t="str">
        <f>IF($A4="I.O.","",'Indicators Sheet_(IS)'!C14)</f>
        <v>Social service counselling</v>
      </c>
      <c r="E4" s="164" t="str">
        <f>IF(AND('Indicators Sheet_(IS)'!J14="",$A4&lt;&gt;"I.O."),"-----",IF($A4="I.O.","",'Indicators Sheet_(IS)'!J14))</f>
        <v>&lt; 50%</v>
      </c>
      <c r="F4" s="165" t="str">
        <f>IF($A4="I.O.","",'Indicators Sheet_(IS)'!K14)</f>
        <v>No target value</v>
      </c>
      <c r="G4" s="164" t="str">
        <f>IF(AND('Indicators Sheet_(IS)'!M14="",$A4&lt;&gt;"I.O."),"-----",IF($A4="I.O.","",'Indicators Sheet_(IS)'!M14))</f>
        <v>-----</v>
      </c>
      <c r="H4" s="144" t="str">
        <f>IF($A4="I.O.","",IF('Indicators Sheet_(IS)'!O14="","-----",'Indicators Sheet_(IS)'!O14))</f>
        <v>-----</v>
      </c>
      <c r="I4" s="144">
        <f>IF($A4="I.O.","",IF('Indicators Sheet_(IS)'!O15="","-----",'Indicators Sheet_(IS)'!O15))</f>
        <v>0</v>
      </c>
      <c r="J4" s="148" t="str">
        <f>IF($A4="I.O.","",IF('Indicators Sheet_(IS)'!O16="",0,'Indicators Sheet_(IS)'!O16))</f>
        <v>n.d.</v>
      </c>
      <c r="K4" s="147" t="str">
        <f>IF($A4="I.O.","",'Indicators Sheet_(IS)'!P14)</f>
        <v>Incomplete</v>
      </c>
      <c r="L4" s="93" t="str">
        <f>IF(AND('Indicators Sheet_(IS)'!Q14="",$A4&lt;&gt;"I.O."),"-----",IF($A4="I.O.","",'Indicators Sheet_(IS)'!Q14))</f>
        <v>-----</v>
      </c>
      <c r="M4" s="93" t="str">
        <f>IF(AND('Indicators Sheet_(IS)'!R14="",$A4&lt;&gt;"I.O."),"-----",IF($A4="I.O.","",'Indicators Sheet_(IS)'!R14))</f>
        <v>-----</v>
      </c>
      <c r="O4" s="64" t="e">
        <f t="array" aca="1" ref="O4" ca="1">IF(ROW()-ROW($D$2:$D$23)+1&gt;ROWS($C$2:$C$23)-COUNTBLANK($C$2:$C$23),"",INDIRECT(ADDRESS(SMALL((IF($C$2:$C$23&lt;&gt;"",ROW($C$2:$C$23),ROW()+ROWS($C$2:$C$23))),ROW()-ROW($D$2:$D$23)+1),COLUMN($C$2:$C$23),4)))</f>
        <v>#REF!</v>
      </c>
      <c r="P4" s="146" t="e">
        <f t="array" aca="1" ref="P4" ca="1">IF(ROW()-ROW($E$2:$E$23)+1&gt;ROWS($D$2:$D$23)-COUNTBLANK($D$2:$D$23),"",INDIRECT(ADDRESS(SMALL((IF($D$2:$D$23&gt;"",ROW($D$2:$D$23),ROW()+ROWS($D$2:$D$23))),ROW()-ROW($E$2:$E$23)+1),COLUMN($D$2:$D$23),4)))</f>
        <v>#REF!</v>
      </c>
      <c r="Q4" s="164" t="e">
        <f t="array" aca="1" ref="Q4" ca="1">IF(ROW()-ROW($F$2:$F$23)+1&gt;ROWS($E$2:$E$23)-COUNTBLANK($E$2:$E$23),"",INDIRECT(ADDRESS(SMALL((IF($E$2:$E$23&gt;"",ROW($E$2:$E$23),ROW()+ROWS($E$2:$E$23))),ROW()-ROW($F$2:$F$23)+1),COLUMN($E$2:$E$23),4)))</f>
        <v>#REF!</v>
      </c>
      <c r="R4" s="165" t="e">
        <f t="array" aca="1" ref="R4" ca="1">IF(ROW()-ROW($G$2:$G$23)+1&gt;ROWS($F$2:$F$23)-COUNTBLANK($F$2:$F$23),"",INDIRECT(ADDRESS(SMALL((IF($F$2:$F$23&gt;"",ROW($F$2:$F$23),ROW()+ROWS($F$2:$F$23))),ROW()-ROW($G$2:$G$23)+1),COLUMN($F$2:$F$23),4)))</f>
        <v>#REF!</v>
      </c>
      <c r="S4" s="164" t="e">
        <f t="array" aca="1" ref="S4" ca="1">IF(ROW()-ROW($H$2:$H$23)+1&gt;ROWS($G$2:$G$23)-COUNTBLANK($G$2:$G$23),"",INDIRECT(ADDRESS(SMALL((IF($G$2:$G$23&lt;&gt;"",ROW($G$2:$G$23),ROW()+ROWS($G$2:$G$23))),ROW()-ROW($H$2:$H$23)+1),COLUMN($G$2:$G$23),4)))</f>
        <v>#REF!</v>
      </c>
      <c r="T4" s="144" t="e">
        <f t="array" aca="1" ref="T4" ca="1">IF(ROW()-ROW($I$2:$I$23)+1&gt;ROWS($H$2:$H$23)-COUNTBLANK($H$2:$H$23),"",INDIRECT(ADDRESS(SMALL((IF($H$2:$H$23&lt;&gt;"",ROW($H$2:$H$23),ROW()+ROWS($H$2:$H$23))),ROW()-ROW($I$2:$I$23)+1),COLUMN($H$2:$H$23),4)))</f>
        <v>#REF!</v>
      </c>
      <c r="U4" s="144" t="e">
        <f t="array" aca="1" ref="U4" ca="1">IF(ROW()-ROW($J$2:$J$23)+1&gt;ROWS($I$2:$I$23)-COUNTBLANK($I$2:$I$23),"",INDIRECT(ADDRESS(SMALL((IF($I$2:$I$23&lt;&gt;"",ROW($I$2:$I$23),ROW()+ROWS($I$2:$I$23))),ROW()-ROW($J$2:$J$23)+1),COLUMN($I$2:$I$23),4)))</f>
        <v>#REF!</v>
      </c>
      <c r="V4" s="148" t="e">
        <f t="array" aca="1" ref="V4" ca="1">IF(ROW()-ROW($K$2:$K$23)+1&gt;ROWS($J$2:$J$23)-COUNTBLANK($J$2:$J$23),"",INDIRECT(ADDRESS(SMALL((IF($J$2:$J$23&lt;&gt;"",ROW($J$2:$J$23),ROW()+ROWS($J$2:$J$23))),ROW()-ROW($K$2:$K$23)+1),COLUMN($J$2:$J$23),4)))</f>
        <v>#REF!</v>
      </c>
      <c r="W4" s="147" t="e">
        <f t="array" aca="1" ref="W4" ca="1">IF(ROW()-ROW($L$2:$L$23)+1&gt;ROWS($K$2:$K$23)-COUNTBLANK($K$2:$K$23),"",INDIRECT(ADDRESS(SMALL((IF($K$2:$K$23&lt;&gt;"",ROW($K$2:$K$23),ROW()+ROWS($K$2:$K$23))),ROW()-ROW($L$2:$L$23)+1),COLUMN($K$2:$K$23),4)))</f>
        <v>#REF!</v>
      </c>
      <c r="X4" s="93" t="e">
        <f t="array" aca="1" ref="X4" ca="1">IF(ROW()-ROW($M$2:$M$23)+1&gt;ROWS($L$2:$L$23)-COUNTBLANK($L$2:$L$23),"",INDIRECT(ADDRESS(SMALL((IF($L$2:$L$23&lt;&gt;"",ROW($L$2:$L$23),ROW()+ROWS($L$2:$L$23))),ROW()-ROW($M$2:$M$23)+1),COLUMN($L$2:$L$23),4)))</f>
        <v>#REF!</v>
      </c>
      <c r="Y4" s="93" t="e">
        <f t="array" aca="1" ref="Y4" ca="1">IF(ROW()-ROW($N$2:$N$23)+1&gt;ROWS($M$2:$M$23)-COUNTBLANK($M$2:$M$23),"",INDIRECT(ADDRESS(SMALL((IF($M$2:$M$23&lt;&gt;"",ROW($M$2:$M$23),ROW()+ROWS($M$2:$M$23))),ROW()-ROW($N$2:$N$23)+1),COLUMN($M$2:$M$23),4)))</f>
        <v>#REF!</v>
      </c>
    </row>
    <row r="5" spans="1:25" ht="34.5" customHeight="1" x14ac:dyDescent="0.25">
      <c r="A5" s="289" t="str">
        <f>IF('Indicators Sheet_(IS)'!P17=0,"",'Indicators Sheet_(IS)'!P17)</f>
        <v>Incomplete</v>
      </c>
      <c r="C5" s="147">
        <f>IF($A5="I.O.","",'Indicators Sheet_(IS)'!A17)</f>
        <v>4</v>
      </c>
      <c r="D5" s="146" t="str">
        <f>IF($A5="I.O.","",'Indicators Sheet_(IS)'!C17)</f>
        <v>Patients enrolled in a study (see CR 1.7.)</v>
      </c>
      <c r="E5" s="164" t="str">
        <f>IF(AND('Indicators Sheet_(IS)'!J17="",$A5&lt;&gt;"I.O."),"-----",IF($A5="I.O.","",'Indicators Sheet_(IS)'!J17))</f>
        <v>-----</v>
      </c>
      <c r="F5" s="165" t="str">
        <f>IF($A5="I.O.","",'Indicators Sheet_(IS)'!K17)</f>
        <v>≥ 5%</v>
      </c>
      <c r="G5" s="164" t="str">
        <f>IF(AND('Indicators Sheet_(IS)'!M17="",$A5&lt;&gt;"I.O."),"-----",IF($A5="I.O.","",'Indicators Sheet_(IS)'!M17))</f>
        <v>&gt; 65%</v>
      </c>
      <c r="H5" s="144">
        <f>IF($A5="I.O.","",IF('Indicators Sheet_(IS)'!O17="","-----",'Indicators Sheet_(IS)'!O17))</f>
        <v>0</v>
      </c>
      <c r="I5" s="144">
        <f>IF($A5="I.O.","",IF('Indicators Sheet_(IS)'!O18="","-----",'Indicators Sheet_(IS)'!O18))</f>
        <v>0</v>
      </c>
      <c r="J5" s="148" t="str">
        <f>IF($A5="I.O.","",IF('Indicators Sheet_(IS)'!O19="",0,'Indicators Sheet_(IS)'!O19))</f>
        <v>n.d.</v>
      </c>
      <c r="K5" s="147" t="str">
        <f>IF($A5="I.O.","",'Indicators Sheet_(IS)'!P17)</f>
        <v>Incomplete</v>
      </c>
      <c r="L5" s="93" t="str">
        <f>IF(AND('Indicators Sheet_(IS)'!Q17="",$A5&lt;&gt;"I.O."),"-----",IF($A5="I.O.","",'Indicators Sheet_(IS)'!Q17))</f>
        <v>-----</v>
      </c>
      <c r="M5" s="93" t="str">
        <f>IF(AND('Indicators Sheet_(IS)'!R17="",$A5&lt;&gt;"I.O."),"-----",IF($A5="I.O.","",'Indicators Sheet_(IS)'!R17))</f>
        <v>-----</v>
      </c>
      <c r="O5" s="64" t="e">
        <f t="array" aca="1" ref="O5" ca="1">IF(ROW()-ROW($D$2:$D$23)+1&gt;ROWS($C$2:$C$23)-COUNTBLANK($C$2:$C$23),"",INDIRECT(ADDRESS(SMALL((IF($C$2:$C$23&lt;&gt;"",ROW($C$2:$C$23),ROW()+ROWS($C$2:$C$23))),ROW()-ROW($D$2:$D$23)+1),COLUMN($C$2:$C$23),4)))</f>
        <v>#REF!</v>
      </c>
      <c r="P5" s="146" t="e">
        <f t="array" aca="1" ref="P5" ca="1">IF(ROW()-ROW($E$2:$E$23)+1&gt;ROWS($D$2:$D$23)-COUNTBLANK($D$2:$D$23),"",INDIRECT(ADDRESS(SMALL((IF($D$2:$D$23&gt;"",ROW($D$2:$D$23),ROW()+ROWS($D$2:$D$23))),ROW()-ROW($E$2:$E$23)+1),COLUMN($D$2:$D$23),4)))</f>
        <v>#REF!</v>
      </c>
      <c r="Q5" s="164" t="e">
        <f t="array" aca="1" ref="Q5" ca="1">IF(ROW()-ROW($F$2:$F$23)+1&gt;ROWS($E$2:$E$23)-COUNTBLANK($E$2:$E$23),"",INDIRECT(ADDRESS(SMALL((IF($E$2:$E$23&gt;"",ROW($E$2:$E$23),ROW()+ROWS($E$2:$E$23))),ROW()-ROW($F$2:$F$23)+1),COLUMN($E$2:$E$23),4)))</f>
        <v>#REF!</v>
      </c>
      <c r="R5" s="165" t="e">
        <f t="array" aca="1" ref="R5" ca="1">IF(ROW()-ROW($G$2:$G$23)+1&gt;ROWS($F$2:$F$23)-COUNTBLANK($F$2:$F$23),"",INDIRECT(ADDRESS(SMALL((IF($F$2:$F$23&gt;"",ROW($F$2:$F$23),ROW()+ROWS($F$2:$F$23))),ROW()-ROW($G$2:$G$23)+1),COLUMN($F$2:$F$23),4)))</f>
        <v>#REF!</v>
      </c>
      <c r="S5" s="164" t="e">
        <f t="array" aca="1" ref="S5" ca="1">IF(ROW()-ROW($H$2:$H$23)+1&gt;ROWS($G$2:$G$23)-COUNTBLANK($G$2:$G$23),"",INDIRECT(ADDRESS(SMALL((IF($G$2:$G$23&lt;&gt;"",ROW($G$2:$G$23),ROW()+ROWS($G$2:$G$23))),ROW()-ROW($H$2:$H$23)+1),COLUMN($G$2:$G$23),4)))</f>
        <v>#REF!</v>
      </c>
      <c r="T5" s="144" t="e">
        <f t="array" aca="1" ref="T5" ca="1">IF(ROW()-ROW($I$2:$I$23)+1&gt;ROWS($H$2:$H$23)-COUNTBLANK($H$2:$H$23),"",INDIRECT(ADDRESS(SMALL((IF($H$2:$H$23&lt;&gt;"",ROW($H$2:$H$23),ROW()+ROWS($H$2:$H$23))),ROW()-ROW($I$2:$I$23)+1),COLUMN($H$2:$H$23),4)))</f>
        <v>#REF!</v>
      </c>
      <c r="U5" s="144" t="e">
        <f t="array" aca="1" ref="U5" ca="1">IF(ROW()-ROW($J$2:$J$23)+1&gt;ROWS($I$2:$I$23)-COUNTBLANK($I$2:$I$23),"",INDIRECT(ADDRESS(SMALL((IF($I$2:$I$23&lt;&gt;"",ROW($I$2:$I$23),ROW()+ROWS($I$2:$I$23))),ROW()-ROW($J$2:$J$23)+1),COLUMN($I$2:$I$23),4)))</f>
        <v>#REF!</v>
      </c>
      <c r="V5" s="148" t="e">
        <f t="array" aca="1" ref="V5" ca="1">IF(ROW()-ROW($K$2:$K$23)+1&gt;ROWS($J$2:$J$23)-COUNTBLANK($J$2:$J$23),"",INDIRECT(ADDRESS(SMALL((IF($J$2:$J$23&lt;&gt;"",ROW($J$2:$J$23),ROW()+ROWS($J$2:$J$23))),ROW()-ROW($K$2:$K$23)+1),COLUMN($J$2:$J$23),4)))</f>
        <v>#REF!</v>
      </c>
      <c r="W5" s="147" t="e">
        <f t="array" aca="1" ref="W5" ca="1">IF(ROW()-ROW($L$2:$L$23)+1&gt;ROWS($K$2:$K$23)-COUNTBLANK($K$2:$K$23),"",INDIRECT(ADDRESS(SMALL((IF($K$2:$K$23&lt;&gt;"",ROW($K$2:$K$23),ROW()+ROWS($K$2:$K$23))),ROW()-ROW($L$2:$L$23)+1),COLUMN($K$2:$K$23),4)))</f>
        <v>#REF!</v>
      </c>
      <c r="X5" s="93" t="e">
        <f t="array" aca="1" ref="X5" ca="1">IF(ROW()-ROW($M$2:$M$23)+1&gt;ROWS($L$2:$L$23)-COUNTBLANK($L$2:$L$23),"",INDIRECT(ADDRESS(SMALL((IF($L$2:$L$23&lt;&gt;"",ROW($L$2:$L$23),ROW()+ROWS($L$2:$L$23))),ROW()-ROW($M$2:$M$23)+1),COLUMN($L$2:$L$23),4)))</f>
        <v>#REF!</v>
      </c>
      <c r="Y5" s="93" t="e">
        <f t="array" aca="1" ref="Y5" ca="1">IF(ROW()-ROW($N$2:$N$23)+1&gt;ROWS($M$2:$M$23)-COUNTBLANK($M$2:$M$23),"",INDIRECT(ADDRESS(SMALL((IF($M$2:$M$23&lt;&gt;"",ROW($M$2:$M$23),ROW()+ROWS($M$2:$M$23))),ROW()-ROW($N$2:$N$23)+1),COLUMN($M$2:$M$23),4)))</f>
        <v>#REF!</v>
      </c>
    </row>
    <row r="6" spans="1:25" ht="34.5" customHeight="1" x14ac:dyDescent="0.25">
      <c r="A6" s="289" t="str">
        <f>IF('Indicators Sheet_(IS)'!P20=0,"",'Indicators Sheet_(IS)'!P20)</f>
        <v>Incomplete</v>
      </c>
      <c r="C6" s="147">
        <f>IF($A6="I.O.","",'Indicators Sheet_(IS)'!A20)</f>
        <v>5</v>
      </c>
      <c r="D6" s="146" t="str">
        <f>IF($A6="I.O.","",'Indicators Sheet_(IS)'!C20)</f>
        <v>Total case number</v>
      </c>
      <c r="E6" s="164" t="str">
        <f>IF(AND('Indicators Sheet_(IS)'!J20="",$A6&lt;&gt;"I.O."),"-----",IF($A6="I.O.","",'Indicators Sheet_(IS)'!J20))</f>
        <v>-----</v>
      </c>
      <c r="F6" s="165" t="str">
        <f>IF($A6="I.O.","",'Indicators Sheet_(IS)'!K20)</f>
        <v>≥ 75</v>
      </c>
      <c r="G6" s="164" t="str">
        <f>IF(AND('Indicators Sheet_(IS)'!M20="",$A6&lt;&gt;"I.O."),"-----",IF($A6="I.O.","",'Indicators Sheet_(IS)'!M20))</f>
        <v>-----</v>
      </c>
      <c r="H6" s="144">
        <f>IF($A6="I.O.","",IF('Indicators Sheet_(IS)'!O20="","-----",'Indicators Sheet_(IS)'!O20))</f>
        <v>0</v>
      </c>
      <c r="I6" s="144" t="str">
        <f t="shared" ref="I6:J8" si="0">IF($A6="I.O.","","-----")</f>
        <v>-----</v>
      </c>
      <c r="J6" s="148" t="str">
        <f t="shared" si="0"/>
        <v>-----</v>
      </c>
      <c r="K6" s="147" t="str">
        <f>IF($A6="I.O.","",'Indicators Sheet_(IS)'!P20)</f>
        <v>Incomplete</v>
      </c>
      <c r="L6" s="93" t="str">
        <f>IF(AND('Indicators Sheet_(IS)'!Q20="",$A6&lt;&gt;"I.O."),"-----",IF($A6="I.O.","",'Indicators Sheet_(IS)'!Q20))</f>
        <v>-----</v>
      </c>
      <c r="M6" s="93" t="str">
        <f>IF(AND('Indicators Sheet_(IS)'!R20="",$A6&lt;&gt;"I.O."),"-----",IF($A6="I.O.","",'Indicators Sheet_(IS)'!R20))</f>
        <v>-----</v>
      </c>
      <c r="O6" s="64" t="e">
        <f t="array" aca="1" ref="O6" ca="1">IF(ROW()-ROW($D$2:$D$23)+1&gt;ROWS($C$2:$C$23)-COUNTBLANK($C$2:$C$23),"",INDIRECT(ADDRESS(SMALL((IF($C$2:$C$23&lt;&gt;"",ROW($C$2:$C$23),ROW()+ROWS($C$2:$C$23))),ROW()-ROW($D$2:$D$23)+1),COLUMN($C$2:$C$23),4)))</f>
        <v>#REF!</v>
      </c>
      <c r="P6" s="146" t="e">
        <f t="array" aca="1" ref="P6" ca="1">IF(ROW()-ROW($E$2:$E$23)+1&gt;ROWS($D$2:$D$23)-COUNTBLANK($D$2:$D$23),"",INDIRECT(ADDRESS(SMALL((IF($D$2:$D$23&gt;"",ROW($D$2:$D$23),ROW()+ROWS($D$2:$D$23))),ROW()-ROW($E$2:$E$23)+1),COLUMN($D$2:$D$23),4)))</f>
        <v>#REF!</v>
      </c>
      <c r="Q6" s="164" t="e">
        <f t="array" aca="1" ref="Q6" ca="1">IF(ROW()-ROW($F$2:$F$23)+1&gt;ROWS($E$2:$E$23)-COUNTBLANK($E$2:$E$23),"",INDIRECT(ADDRESS(SMALL((IF($E$2:$E$23&gt;"",ROW($E$2:$E$23),ROW()+ROWS($E$2:$E$23))),ROW()-ROW($F$2:$F$23)+1),COLUMN($E$2:$E$23),4)))</f>
        <v>#REF!</v>
      </c>
      <c r="R6" s="165" t="e">
        <f t="array" aca="1" ref="R6" ca="1">IF(ROW()-ROW($G$2:$G$23)+1&gt;ROWS($F$2:$F$23)-COUNTBLANK($F$2:$F$23),"",INDIRECT(ADDRESS(SMALL((IF($F$2:$F$23&gt;"",ROW($F$2:$F$23),ROW()+ROWS($F$2:$F$23))),ROW()-ROW($G$2:$G$23)+1),COLUMN($F$2:$F$23),4)))</f>
        <v>#REF!</v>
      </c>
      <c r="S6" s="164" t="e">
        <f t="array" aca="1" ref="S6" ca="1">IF(ROW()-ROW($H$2:$H$23)+1&gt;ROWS($G$2:$G$23)-COUNTBLANK($G$2:$G$23),"",INDIRECT(ADDRESS(SMALL((IF($G$2:$G$23&lt;&gt;"",ROW($G$2:$G$23),ROW()+ROWS($G$2:$G$23))),ROW()-ROW($H$2:$H$23)+1),COLUMN($G$2:$G$23),4)))</f>
        <v>#REF!</v>
      </c>
      <c r="T6" s="144" t="e">
        <f t="array" aca="1" ref="T6" ca="1">IF(ROW()-ROW($I$2:$I$23)+1&gt;ROWS($H$2:$H$23)-COUNTBLANK($H$2:$H$23),"",INDIRECT(ADDRESS(SMALL((IF($H$2:$H$23&lt;&gt;"",ROW($H$2:$H$23),ROW()+ROWS($H$2:$H$23))),ROW()-ROW($I$2:$I$23)+1),COLUMN($H$2:$H$23),4)))</f>
        <v>#REF!</v>
      </c>
      <c r="U6" s="144" t="e">
        <f t="array" aca="1" ref="U6" ca="1">IF(ROW()-ROW($J$2:$J$23)+1&gt;ROWS($I$2:$I$23)-COUNTBLANK($I$2:$I$23),"",INDIRECT(ADDRESS(SMALL((IF($I$2:$I$23&lt;&gt;"",ROW($I$2:$I$23),ROW()+ROWS($I$2:$I$23))),ROW()-ROW($J$2:$J$23)+1),COLUMN($I$2:$I$23),4)))</f>
        <v>#REF!</v>
      </c>
      <c r="V6" s="148" t="e">
        <f t="array" aca="1" ref="V6" ca="1">IF(ROW()-ROW($K$2:$K$23)+1&gt;ROWS($J$2:$J$23)-COUNTBLANK($J$2:$J$23),"",INDIRECT(ADDRESS(SMALL((IF($J$2:$J$23&lt;&gt;"",ROW($J$2:$J$23),ROW()+ROWS($J$2:$J$23))),ROW()-ROW($K$2:$K$23)+1),COLUMN($J$2:$J$23),4)))</f>
        <v>#REF!</v>
      </c>
      <c r="W6" s="147" t="e">
        <f t="array" aca="1" ref="W6" ca="1">IF(ROW()-ROW($L$2:$L$23)+1&gt;ROWS($K$2:$K$23)-COUNTBLANK($K$2:$K$23),"",INDIRECT(ADDRESS(SMALL((IF($K$2:$K$23&lt;&gt;"",ROW($K$2:$K$23),ROW()+ROWS($K$2:$K$23))),ROW()-ROW($L$2:$L$23)+1),COLUMN($K$2:$K$23),4)))</f>
        <v>#REF!</v>
      </c>
      <c r="X6" s="93" t="e">
        <f t="array" aca="1" ref="X6" ca="1">IF(ROW()-ROW($M$2:$M$23)+1&gt;ROWS($L$2:$L$23)-COUNTBLANK($L$2:$L$23),"",INDIRECT(ADDRESS(SMALL((IF($L$2:$L$23&lt;&gt;"",ROW($L$2:$L$23),ROW()+ROWS($L$2:$L$23))),ROW()-ROW($M$2:$M$23)+1),COLUMN($L$2:$L$23),4)))</f>
        <v>#REF!</v>
      </c>
      <c r="Y6" s="93" t="e">
        <f t="array" aca="1" ref="Y6" ca="1">IF(ROW()-ROW($N$2:$N$23)+1&gt;ROWS($M$2:$M$23)-COUNTBLANK($M$2:$M$23),"",INDIRECT(ADDRESS(SMALL((IF($M$2:$M$23&lt;&gt;"",ROW($M$2:$M$23),ROW()+ROWS($M$2:$M$23))),ROW()-ROW($N$2:$N$23)+1),COLUMN($M$2:$M$23),4)))</f>
        <v>#REF!</v>
      </c>
    </row>
    <row r="7" spans="1:25" ht="34.5" customHeight="1" x14ac:dyDescent="0.25">
      <c r="A7" s="289" t="str">
        <f>IF('Indicators Sheet_(IS)'!P23=0,"",'Indicators Sheet_(IS)'!P23)</f>
        <v>Incomplete</v>
      </c>
      <c r="C7" s="147" t="str">
        <f>IF($A7="I.O.","",'Indicators Sheet_(IS)'!A23)</f>
        <v>6a</v>
      </c>
      <c r="D7" s="146" t="str">
        <f>IF($A7="I.O.","",'Indicators Sheet_(IS)'!C23)</f>
        <v>Primary cases</v>
      </c>
      <c r="E7" s="164" t="str">
        <f>IF(AND('Indicators Sheet_(IS)'!J23="",$A7&lt;&gt;"I.O."),"-----",IF($A7="I.O.","",'Indicators Sheet_(IS)'!J23))</f>
        <v>-----</v>
      </c>
      <c r="F7" s="165" t="str">
        <f>IF($A7="I.O.","",'Indicators Sheet_(IS)'!K23)</f>
        <v>≥ 50</v>
      </c>
      <c r="G7" s="164" t="str">
        <f>IF(AND('Indicators Sheet_(IS)'!M23="",$A7&lt;&gt;"I.O."),"-----",IF($A7="I.O.","",'Indicators Sheet_(IS)'!M23))</f>
        <v>-----</v>
      </c>
      <c r="H7" s="144">
        <f>IF($A7="I.O.","",IF('Indicators Sheet_(IS)'!O23="","-----",'Indicators Sheet_(IS)'!O23))</f>
        <v>0</v>
      </c>
      <c r="I7" s="144" t="str">
        <f t="shared" si="0"/>
        <v>-----</v>
      </c>
      <c r="J7" s="148" t="str">
        <f t="shared" si="0"/>
        <v>-----</v>
      </c>
      <c r="K7" s="147" t="str">
        <f>IF($A7="I.O.","",'Indicators Sheet_(IS)'!P23)</f>
        <v>Incomplete</v>
      </c>
      <c r="L7" s="93" t="str">
        <f>IF(AND('Indicators Sheet_(IS)'!Q23="",$A7&lt;&gt;"I.O."),"-----",IF($A7="I.O.","",'Indicators Sheet_(IS)'!Q23))</f>
        <v>-----</v>
      </c>
      <c r="M7" s="93" t="str">
        <f>IF(AND('Indicators Sheet_(IS)'!R23="",$A7&lt;&gt;"I.O."),"-----",IF($A7="I.O.","",'Indicators Sheet_(IS)'!R23))</f>
        <v>-----</v>
      </c>
      <c r="O7" s="64" t="e">
        <f t="array" aca="1" ref="O7" ca="1">IF(ROW()-ROW($D$2:$D$23)+1&gt;ROWS($C$2:$C$23)-COUNTBLANK($C$2:$C$23),"",INDIRECT(ADDRESS(SMALL((IF($C$2:$C$23&lt;&gt;"",ROW($C$2:$C$23),ROW()+ROWS($C$2:$C$23))),ROW()-ROW($D$2:$D$23)+1),COLUMN($C$2:$C$23),4)))</f>
        <v>#REF!</v>
      </c>
      <c r="P7" s="146" t="e">
        <f t="array" aca="1" ref="P7" ca="1">IF(ROW()-ROW($E$2:$E$23)+1&gt;ROWS($D$2:$D$23)-COUNTBLANK($D$2:$D$23),"",INDIRECT(ADDRESS(SMALL((IF($D$2:$D$23&gt;"",ROW($D$2:$D$23),ROW()+ROWS($D$2:$D$23))),ROW()-ROW($E$2:$E$23)+1),COLUMN($D$2:$D$23),4)))</f>
        <v>#REF!</v>
      </c>
      <c r="Q7" s="164" t="e">
        <f t="array" aca="1" ref="Q7" ca="1">IF(ROW()-ROW($F$2:$F$23)+1&gt;ROWS($E$2:$E$23)-COUNTBLANK($E$2:$E$23),"",INDIRECT(ADDRESS(SMALL((IF($E$2:$E$23&gt;"",ROW($E$2:$E$23),ROW()+ROWS($E$2:$E$23))),ROW()-ROW($F$2:$F$23)+1),COLUMN($E$2:$E$23),4)))</f>
        <v>#REF!</v>
      </c>
      <c r="R7" s="165" t="e">
        <f t="array" aca="1" ref="R7" ca="1">IF(ROW()-ROW($G$2:$G$23)+1&gt;ROWS($F$2:$F$23)-COUNTBLANK($F$2:$F$23),"",INDIRECT(ADDRESS(SMALL((IF($F$2:$F$23&gt;"",ROW($F$2:$F$23),ROW()+ROWS($F$2:$F$23))),ROW()-ROW($G$2:$G$23)+1),COLUMN($F$2:$F$23),4)))</f>
        <v>#REF!</v>
      </c>
      <c r="S7" s="164" t="e">
        <f t="array" aca="1" ref="S7" ca="1">IF(ROW()-ROW($H$2:$H$23)+1&gt;ROWS($G$2:$G$23)-COUNTBLANK($G$2:$G$23),"",INDIRECT(ADDRESS(SMALL((IF($G$2:$G$23&lt;&gt;"",ROW($G$2:$G$23),ROW()+ROWS($G$2:$G$23))),ROW()-ROW($H$2:$H$23)+1),COLUMN($G$2:$G$23),4)))</f>
        <v>#REF!</v>
      </c>
      <c r="T7" s="144" t="e">
        <f t="array" aca="1" ref="T7" ca="1">IF(ROW()-ROW($I$2:$I$23)+1&gt;ROWS($H$2:$H$23)-COUNTBLANK($H$2:$H$23),"",INDIRECT(ADDRESS(SMALL((IF($H$2:$H$23&lt;&gt;"",ROW($H$2:$H$23),ROW()+ROWS($H$2:$H$23))),ROW()-ROW($I$2:$I$23)+1),COLUMN($H$2:$H$23),4)))</f>
        <v>#REF!</v>
      </c>
      <c r="U7" s="144" t="e">
        <f t="array" aca="1" ref="U7" ca="1">IF(ROW()-ROW($J$2:$J$23)+1&gt;ROWS($I$2:$I$23)-COUNTBLANK($I$2:$I$23),"",INDIRECT(ADDRESS(SMALL((IF($I$2:$I$23&lt;&gt;"",ROW($I$2:$I$23),ROW()+ROWS($I$2:$I$23))),ROW()-ROW($J$2:$J$23)+1),COLUMN($I$2:$I$23),4)))</f>
        <v>#REF!</v>
      </c>
      <c r="V7" s="148" t="e">
        <f t="array" aca="1" ref="V7" ca="1">IF(ROW()-ROW($K$2:$K$23)+1&gt;ROWS($J$2:$J$23)-COUNTBLANK($J$2:$J$23),"",INDIRECT(ADDRESS(SMALL((IF($J$2:$J$23&lt;&gt;"",ROW($J$2:$J$23),ROW()+ROWS($J$2:$J$23))),ROW()-ROW($K$2:$K$23)+1),COLUMN($J$2:$J$23),4)))</f>
        <v>#REF!</v>
      </c>
      <c r="W7" s="147" t="e">
        <f t="array" aca="1" ref="W7" ca="1">IF(ROW()-ROW($L$2:$L$23)+1&gt;ROWS($K$2:$K$23)-COUNTBLANK($K$2:$K$23),"",INDIRECT(ADDRESS(SMALL((IF($K$2:$K$23&lt;&gt;"",ROW($K$2:$K$23),ROW()+ROWS($K$2:$K$23))),ROW()-ROW($L$2:$L$23)+1),COLUMN($K$2:$K$23),4)))</f>
        <v>#REF!</v>
      </c>
      <c r="X7" s="93" t="e">
        <f t="array" aca="1" ref="X7" ca="1">IF(ROW()-ROW($M$2:$M$23)+1&gt;ROWS($L$2:$L$23)-COUNTBLANK($L$2:$L$23),"",INDIRECT(ADDRESS(SMALL((IF($L$2:$L$23&lt;&gt;"",ROW($L$2:$L$23),ROW()+ROWS($L$2:$L$23))),ROW()-ROW($M$2:$M$23)+1),COLUMN($L$2:$L$23),4)))</f>
        <v>#REF!</v>
      </c>
      <c r="Y7" s="93" t="e">
        <f t="array" aca="1" ref="Y7" ca="1">IF(ROW()-ROW($N$2:$N$23)+1&gt;ROWS($M$2:$M$23)-COUNTBLANK($M$2:$M$23),"",INDIRECT(ADDRESS(SMALL((IF($M$2:$M$23&lt;&gt;"",ROW($M$2:$M$23),ROW()+ROWS($M$2:$M$23))),ROW()-ROW($N$2:$N$23)+1),COLUMN($M$2:$M$23),4)))</f>
        <v>#REF!</v>
      </c>
    </row>
    <row r="8" spans="1:25" ht="34.5" customHeight="1" x14ac:dyDescent="0.25">
      <c r="A8" s="289" t="str">
        <f>IF('Indicators Sheet_(IS)'!P29=0,"",'Indicators Sheet_(IS)'!P29)</f>
        <v>Incomplete</v>
      </c>
      <c r="C8" s="147">
        <f>IF($A8="I.O.","",'Indicators Sheet_(IS)'!A29)</f>
        <v>7</v>
      </c>
      <c r="D8" s="146" t="str">
        <f>IF($A8="I.O.","",'Indicators Sheet_(IS)'!C29)</f>
        <v xml:space="preserve">Surgical cases </v>
      </c>
      <c r="E8" s="164" t="str">
        <f>IF(AND('Indicators Sheet_(IS)'!J29="",$A8&lt;&gt;"I.O."),"-----",IF($A8="I.O.","",'Indicators Sheet_(IS)'!J29))</f>
        <v>-----</v>
      </c>
      <c r="F8" s="165" t="str">
        <f>IF($A8="I.O.","",'Indicators Sheet_(IS)'!K29)</f>
        <v>≥ 40</v>
      </c>
      <c r="G8" s="164" t="str">
        <f>IF(AND('Indicators Sheet_(IS)'!M29="",$A8&lt;&gt;"I.O."),"-----",IF($A8="I.O.","",'Indicators Sheet_(IS)'!M29))</f>
        <v>-----</v>
      </c>
      <c r="H8" s="144">
        <f>IF($A8="I.O.","",IF('Indicators Sheet_(IS)'!O29="","-----",'Indicators Sheet_(IS)'!O29))</f>
        <v>0</v>
      </c>
      <c r="I8" s="144" t="str">
        <f t="shared" si="0"/>
        <v>-----</v>
      </c>
      <c r="J8" s="148" t="str">
        <f>IF($A8="I.O.","","-----")</f>
        <v>-----</v>
      </c>
      <c r="K8" s="147" t="str">
        <f>IF($A8="I.O.","",'Indicators Sheet_(IS)'!P29)</f>
        <v>Incomplete</v>
      </c>
      <c r="L8" s="93" t="str">
        <f>IF(AND('Indicators Sheet_(IS)'!Q29="",$A8&lt;&gt;"I.O."),"-----",IF($A8="I.O.","",'Indicators Sheet_(IS)'!Q29))</f>
        <v>-----</v>
      </c>
      <c r="M8" s="93" t="str">
        <f>IF(AND('Indicators Sheet_(IS)'!R29="",$A8&lt;&gt;"I.O."),"-----",IF($A8="I.O.","",'Indicators Sheet_(IS)'!R29))</f>
        <v>-----</v>
      </c>
      <c r="O8" s="64" t="e">
        <f t="array" aca="1" ref="O8" ca="1">IF(ROW()-ROW($D$2:$D$23)+1&gt;ROWS($C$2:$C$23)-COUNTBLANK($C$2:$C$23),"",INDIRECT(ADDRESS(SMALL((IF($C$2:$C$23&lt;&gt;"",ROW($C$2:$C$23),ROW()+ROWS($C$2:$C$23))),ROW()-ROW($D$2:$D$23)+1),COLUMN($C$2:$C$23),4)))</f>
        <v>#REF!</v>
      </c>
      <c r="P8" s="146" t="e">
        <f t="array" aca="1" ref="P8" ca="1">IF(ROW()-ROW($E$2:$E$23)+1&gt;ROWS($D$2:$D$23)-COUNTBLANK($D$2:$D$23),"",INDIRECT(ADDRESS(SMALL((IF($D$2:$D$23&gt;"",ROW($D$2:$D$23),ROW()+ROWS($D$2:$D$23))),ROW()-ROW($E$2:$E$23)+1),COLUMN($D$2:$D$23),4)))</f>
        <v>#REF!</v>
      </c>
      <c r="Q8" s="164" t="e">
        <f t="array" aca="1" ref="Q8" ca="1">IF(ROW()-ROW($F$2:$F$23)+1&gt;ROWS($E$2:$E$23)-COUNTBLANK($E$2:$E$23),"",INDIRECT(ADDRESS(SMALL((IF($E$2:$E$23&gt;"",ROW($E$2:$E$23),ROW()+ROWS($E$2:$E$23))),ROW()-ROW($F$2:$F$23)+1),COLUMN($E$2:$E$23),4)))</f>
        <v>#REF!</v>
      </c>
      <c r="R8" s="165" t="e">
        <f t="array" aca="1" ref="R8" ca="1">IF(ROW()-ROW($G$2:$G$23)+1&gt;ROWS($F$2:$F$23)-COUNTBLANK($F$2:$F$23),"",INDIRECT(ADDRESS(SMALL((IF($F$2:$F$23&gt;"",ROW($F$2:$F$23),ROW()+ROWS($F$2:$F$23))),ROW()-ROW($G$2:$G$23)+1),COLUMN($F$2:$F$23),4)))</f>
        <v>#REF!</v>
      </c>
      <c r="S8" s="164" t="e">
        <f t="array" aca="1" ref="S8" ca="1">IF(ROW()-ROW($H$2:$H$23)+1&gt;ROWS($G$2:$G$23)-COUNTBLANK($G$2:$G$23),"",INDIRECT(ADDRESS(SMALL((IF($G$2:$G$23&lt;&gt;"",ROW($G$2:$G$23),ROW()+ROWS($G$2:$G$23))),ROW()-ROW($H$2:$H$23)+1),COLUMN($G$2:$G$23),4)))</f>
        <v>#REF!</v>
      </c>
      <c r="T8" s="144" t="e">
        <f t="array" aca="1" ref="T8" ca="1">IF(ROW()-ROW($I$2:$I$23)+1&gt;ROWS($H$2:$H$23)-COUNTBLANK($H$2:$H$23),"",INDIRECT(ADDRESS(SMALL((IF($H$2:$H$23&lt;&gt;"",ROW($H$2:$H$23),ROW()+ROWS($H$2:$H$23))),ROW()-ROW($I$2:$I$23)+1),COLUMN($H$2:$H$23),4)))</f>
        <v>#REF!</v>
      </c>
      <c r="U8" s="144" t="e">
        <f t="array" aca="1" ref="U8" ca="1">IF(ROW()-ROW($J$2:$J$23)+1&gt;ROWS($I$2:$I$23)-COUNTBLANK($I$2:$I$23),"",INDIRECT(ADDRESS(SMALL((IF($I$2:$I$23&lt;&gt;"",ROW($I$2:$I$23),ROW()+ROWS($I$2:$I$23))),ROW()-ROW($J$2:$J$23)+1),COLUMN($I$2:$I$23),4)))</f>
        <v>#REF!</v>
      </c>
      <c r="V8" s="148" t="e">
        <f t="array" aca="1" ref="V8" ca="1">IF(ROW()-ROW($K$2:$K$23)+1&gt;ROWS($J$2:$J$23)-COUNTBLANK($J$2:$J$23),"",INDIRECT(ADDRESS(SMALL((IF($J$2:$J$23&lt;&gt;"",ROW($J$2:$J$23),ROW()+ROWS($J$2:$J$23))),ROW()-ROW($K$2:$K$23)+1),COLUMN($J$2:$J$23),4)))</f>
        <v>#REF!</v>
      </c>
      <c r="W8" s="147" t="e">
        <f t="array" aca="1" ref="W8" ca="1">IF(ROW()-ROW($L$2:$L$23)+1&gt;ROWS($K$2:$K$23)-COUNTBLANK($K$2:$K$23),"",INDIRECT(ADDRESS(SMALL((IF($K$2:$K$23&lt;&gt;"",ROW($K$2:$K$23),ROW()+ROWS($K$2:$K$23))),ROW()-ROW($L$2:$L$23)+1),COLUMN($K$2:$K$23),4)))</f>
        <v>#REF!</v>
      </c>
      <c r="X8" s="93" t="e">
        <f t="array" aca="1" ref="X8" ca="1">IF(ROW()-ROW($M$2:$M$23)+1&gt;ROWS($L$2:$L$23)-COUNTBLANK($L$2:$L$23),"",INDIRECT(ADDRESS(SMALL((IF($L$2:$L$23&lt;&gt;"",ROW($L$2:$L$23),ROW()+ROWS($L$2:$L$23))),ROW()-ROW($M$2:$M$23)+1),COLUMN($L$2:$L$23),4)))</f>
        <v>#REF!</v>
      </c>
      <c r="Y8" s="93" t="e">
        <f t="array" aca="1" ref="Y8" ca="1">IF(ROW()-ROW($N$2:$N$23)+1&gt;ROWS($M$2:$M$23)-COUNTBLANK($M$2:$M$23),"",INDIRECT(ADDRESS(SMALL((IF($M$2:$M$23&lt;&gt;"",ROW($M$2:$M$23),ROW()+ROWS($M$2:$M$23))),ROW()-ROW($N$2:$N$23)+1),COLUMN($M$2:$M$23),4)))</f>
        <v>#REF!</v>
      </c>
    </row>
    <row r="9" spans="1:25" ht="34.5" customHeight="1" x14ac:dyDescent="0.25">
      <c r="A9" s="289" t="str">
        <f>IF('Indicators Sheet_(IS)'!P35=0,"",'Indicators Sheet_(IS)'!P35)</f>
        <v>Incomplete</v>
      </c>
      <c r="C9" s="147">
        <f>IF($A9="I.O.","",'Indicators Sheet_(IS)'!A35)</f>
        <v>9</v>
      </c>
      <c r="D9" s="146" t="str">
        <f>IF($A9="I.O.","",'Indicators Sheet_(IS)'!C35)</f>
        <v>Ovarian cancer: 
Surgical staging early ovarian cancer</v>
      </c>
      <c r="E9" s="164" t="str">
        <f>IF(AND('Indicators Sheet_(IS)'!J35="",$A9&lt;&gt;"I.O."),"-----",IF($A9="I.O.","",'Indicators Sheet_(IS)'!J35))</f>
        <v>-----</v>
      </c>
      <c r="F9" s="165" t="str">
        <f>IF($A9="I.O.","",'Indicators Sheet_(IS)'!K35)</f>
        <v>≥ 40%</v>
      </c>
      <c r="G9" s="164" t="str">
        <f>IF(AND('Indicators Sheet_(IS)'!M35="",$A9&lt;&gt;"I.O."),"-----",IF($A9="I.O.","",'Indicators Sheet_(IS)'!M35))</f>
        <v>-----</v>
      </c>
      <c r="H9" s="144" t="str">
        <f>IF($A9="I.O.","",IF('Indicators Sheet_(IS)'!O35="","-----",'Indicators Sheet_(IS)'!O35))</f>
        <v>-----</v>
      </c>
      <c r="I9" s="144">
        <f>IF($A9="I.O.","",IF('Indicators Sheet_(IS)'!O36="","-----",'Indicators Sheet_(IS)'!O36))</f>
        <v>0</v>
      </c>
      <c r="J9" s="148" t="str">
        <f>IF($A9="I.O.","",IF('Indicators Sheet_(IS)'!O37="","-----",'Indicators Sheet_(IS)'!O37))</f>
        <v>n.d.</v>
      </c>
      <c r="K9" s="147" t="str">
        <f>IF($A9="I.O.","",'Indicators Sheet_(IS)'!P35)</f>
        <v>Incomplete</v>
      </c>
      <c r="L9" s="93" t="str">
        <f>IF(AND('Indicators Sheet_(IS)'!Q35="",$A9&lt;&gt;"I.O."),"-----",IF($A9="I.O.","",'Indicators Sheet_(IS)'!Q35))</f>
        <v>-----</v>
      </c>
      <c r="M9" s="93" t="str">
        <f>IF(AND('Indicators Sheet_(IS)'!R35="",$A9&lt;&gt;"I.O."),"-----",IF($A9="I.O.","",'Indicators Sheet_(IS)'!R35))</f>
        <v>-----</v>
      </c>
      <c r="O9" s="64" t="e">
        <f t="array" aca="1" ref="O9" ca="1">IF(ROW()-ROW($D$2:$D$23)+1&gt;ROWS($C$2:$C$23)-COUNTBLANK($C$2:$C$23),"",INDIRECT(ADDRESS(SMALL((IF($C$2:$C$23&lt;&gt;"",ROW($C$2:$C$23),ROW()+ROWS($C$2:$C$23))),ROW()-ROW($D$2:$D$23)+1),COLUMN($C$2:$C$23),4)))</f>
        <v>#REF!</v>
      </c>
      <c r="P9" s="146" t="e">
        <f t="array" aca="1" ref="P9" ca="1">IF(ROW()-ROW($E$2:$E$23)+1&gt;ROWS($D$2:$D$23)-COUNTBLANK($D$2:$D$23),"",INDIRECT(ADDRESS(SMALL((IF($D$2:$D$23&gt;"",ROW($D$2:$D$23),ROW()+ROWS($D$2:$D$23))),ROW()-ROW($E$2:$E$23)+1),COLUMN($D$2:$D$23),4)))</f>
        <v>#REF!</v>
      </c>
      <c r="Q9" s="164" t="e">
        <f t="array" aca="1" ref="Q9" ca="1">IF(ROW()-ROW($F$2:$F$23)+1&gt;ROWS($E$2:$E$23)-COUNTBLANK($E$2:$E$23),"",INDIRECT(ADDRESS(SMALL((IF($E$2:$E$23&gt;"",ROW($E$2:$E$23),ROW()+ROWS($E$2:$E$23))),ROW()-ROW($F$2:$F$23)+1),COLUMN($E$2:$E$23),4)))</f>
        <v>#REF!</v>
      </c>
      <c r="R9" s="165" t="e">
        <f t="array" aca="1" ref="R9" ca="1">IF(ROW()-ROW($G$2:$G$23)+1&gt;ROWS($F$2:$F$23)-COUNTBLANK($F$2:$F$23),"",INDIRECT(ADDRESS(SMALL((IF($F$2:$F$23&gt;"",ROW($F$2:$F$23),ROW()+ROWS($F$2:$F$23))),ROW()-ROW($G$2:$G$23)+1),COLUMN($F$2:$F$23),4)))</f>
        <v>#REF!</v>
      </c>
      <c r="S9" s="164" t="e">
        <f t="array" aca="1" ref="S9" ca="1">IF(ROW()-ROW($H$2:$H$23)+1&gt;ROWS($G$2:$G$23)-COUNTBLANK($G$2:$G$23),"",INDIRECT(ADDRESS(SMALL((IF($G$2:$G$23&lt;&gt;"",ROW($G$2:$G$23),ROW()+ROWS($G$2:$G$23))),ROW()-ROW($H$2:$H$23)+1),COLUMN($G$2:$G$23),4)))</f>
        <v>#REF!</v>
      </c>
      <c r="T9" s="144" t="e">
        <f t="array" aca="1" ref="T9" ca="1">IF(ROW()-ROW($I$2:$I$23)+1&gt;ROWS($H$2:$H$23)-COUNTBLANK($H$2:$H$23),"",INDIRECT(ADDRESS(SMALL((IF($H$2:$H$23&lt;&gt;"",ROW($H$2:$H$23),ROW()+ROWS($H$2:$H$23))),ROW()-ROW($I$2:$I$23)+1),COLUMN($H$2:$H$23),4)))</f>
        <v>#REF!</v>
      </c>
      <c r="U9" s="144" t="e">
        <f t="array" aca="1" ref="U9" ca="1">IF(ROW()-ROW($J$2:$J$23)+1&gt;ROWS($I$2:$I$23)-COUNTBLANK($I$2:$I$23),"",INDIRECT(ADDRESS(SMALL((IF($I$2:$I$23&lt;&gt;"",ROW($I$2:$I$23),ROW()+ROWS($I$2:$I$23))),ROW()-ROW($J$2:$J$23)+1),COLUMN($I$2:$I$23),4)))</f>
        <v>#REF!</v>
      </c>
      <c r="V9" s="148" t="e">
        <f t="array" aca="1" ref="V9" ca="1">IF(ROW()-ROW($K$2:$K$23)+1&gt;ROWS($J$2:$J$23)-COUNTBLANK($J$2:$J$23),"",INDIRECT(ADDRESS(SMALL((IF($J$2:$J$23&lt;&gt;"",ROW($J$2:$J$23),ROW()+ROWS($J$2:$J$23))),ROW()-ROW($K$2:$K$23)+1),COLUMN($J$2:$J$23),4)))</f>
        <v>#REF!</v>
      </c>
      <c r="W9" s="147" t="e">
        <f t="array" aca="1" ref="W9" ca="1">IF(ROW()-ROW($L$2:$L$23)+1&gt;ROWS($K$2:$K$23)-COUNTBLANK($K$2:$K$23),"",INDIRECT(ADDRESS(SMALL((IF($K$2:$K$23&lt;&gt;"",ROW($K$2:$K$23),ROW()+ROWS($K$2:$K$23))),ROW()-ROW($L$2:$L$23)+1),COLUMN($K$2:$K$23),4)))</f>
        <v>#REF!</v>
      </c>
      <c r="X9" s="93" t="e">
        <f t="array" aca="1" ref="X9" ca="1">IF(ROW()-ROW($M$2:$M$23)+1&gt;ROWS($L$2:$L$23)-COUNTBLANK($L$2:$L$23),"",INDIRECT(ADDRESS(SMALL((IF($L$2:$L$23&lt;&gt;"",ROW($L$2:$L$23),ROW()+ROWS($L$2:$L$23))),ROW()-ROW($M$2:$M$23)+1),COLUMN($L$2:$L$23),4)))</f>
        <v>#REF!</v>
      </c>
      <c r="Y9" s="93" t="e">
        <f t="array" aca="1" ref="Y9" ca="1">IF(ROW()-ROW($N$2:$N$23)+1&gt;ROWS($M$2:$M$23)-COUNTBLANK($M$2:$M$23),"",INDIRECT(ADDRESS(SMALL((IF($M$2:$M$23&lt;&gt;"",ROW($M$2:$M$23),ROW()+ROWS($M$2:$M$23))),ROW()-ROW($N$2:$N$23)+1),COLUMN($M$2:$M$23),4)))</f>
        <v>#REF!</v>
      </c>
    </row>
    <row r="10" spans="1:25" ht="34.5" customHeight="1" x14ac:dyDescent="0.25">
      <c r="A10" s="289" t="str">
        <f>IF('Indicators Sheet_(IS)'!P38=0,"",'Indicators Sheet_(IS)'!P38)</f>
        <v>Incomplete</v>
      </c>
      <c r="C10" s="147">
        <f>IF($A10="I.O.","",'Indicators Sheet_(IS)'!A38)</f>
        <v>10</v>
      </c>
      <c r="D10" s="146" t="str">
        <f>IF($A10="I.O.","",'Indicators Sheet_(IS)'!C38)</f>
        <v>Ovarian cancer: 
Macroscopic complete resection advanced ovarian cancer</v>
      </c>
      <c r="E10" s="164" t="str">
        <f>IF(AND('Indicators Sheet_(IS)'!J38="",$A10&lt;&gt;"I.O."),"-----",IF($A10="I.O.","",'Indicators Sheet_(IS)'!J38))</f>
        <v>-----</v>
      </c>
      <c r="F10" s="165" t="str">
        <f>IF($A10="I.O.","",'Indicators Sheet_(IS)'!K38)</f>
        <v>≥ 30%</v>
      </c>
      <c r="G10" s="164" t="str">
        <f>IF(AND('Indicators Sheet_(IS)'!M38="",$A10&lt;&gt;"I.O."),"-----",IF($A10="I.O.","",'Indicators Sheet_(IS)'!M38))</f>
        <v>&gt; 90%</v>
      </c>
      <c r="H10" s="144" t="str">
        <f>IF($A10="I.O.","",IF('Indicators Sheet_(IS)'!O38="","-----",'Indicators Sheet_(IS)'!O38))</f>
        <v>-----</v>
      </c>
      <c r="I10" s="144" t="str">
        <f>IF($A10="I.O.","",IF('Indicators Sheet_(IS)'!O39="","-----",'Indicators Sheet_(IS)'!O39))</f>
        <v>-----</v>
      </c>
      <c r="J10" s="148" t="str">
        <f>IF($A10="I.O.","",IF('Indicators Sheet_(IS)'!O40="",0,'Indicators Sheet_(IS)'!O40))</f>
        <v>n.d.</v>
      </c>
      <c r="K10" s="147" t="str">
        <f>IF($A10="I.O.","",'Indicators Sheet_(IS)'!P38)</f>
        <v>Incomplete</v>
      </c>
      <c r="L10" s="93" t="str">
        <f>IF(AND('Indicators Sheet_(IS)'!Q38="",$A10&lt;&gt;"I.O."),"-----",IF($A10="I.O.","",'Indicators Sheet_(IS)'!Q38))</f>
        <v>-----</v>
      </c>
      <c r="M10" s="93" t="str">
        <f>IF(AND('Indicators Sheet_(IS)'!R38="",$A10&lt;&gt;"I.O."),"-----",IF($A10="I.O.","",'Indicators Sheet_(IS)'!R38))</f>
        <v>-----</v>
      </c>
      <c r="O10" s="64" t="e">
        <f t="array" aca="1" ref="O10" ca="1">IF(ROW()-ROW($D$2:$D$23)+1&gt;ROWS($C$2:$C$23)-COUNTBLANK($C$2:$C$23),"",INDIRECT(ADDRESS(SMALL((IF($C$2:$C$23&lt;&gt;"",ROW($C$2:$C$23),ROW()+ROWS($C$2:$C$23))),ROW()-ROW($D$2:$D$23)+1),COLUMN($C$2:$C$23),4)))</f>
        <v>#REF!</v>
      </c>
      <c r="P10" s="146" t="e">
        <f t="array" aca="1" ref="P10" ca="1">IF(ROW()-ROW($E$2:$E$23)+1&gt;ROWS($D$2:$D$23)-COUNTBLANK($D$2:$D$23),"",INDIRECT(ADDRESS(SMALL((IF($D$2:$D$23&gt;"",ROW($D$2:$D$23),ROW()+ROWS($D$2:$D$23))),ROW()-ROW($E$2:$E$23)+1),COLUMN($D$2:$D$23),4)))</f>
        <v>#REF!</v>
      </c>
      <c r="Q10" s="164" t="e">
        <f t="array" aca="1" ref="Q10" ca="1">IF(ROW()-ROW($F$2:$F$23)+1&gt;ROWS($E$2:$E$23)-COUNTBLANK($E$2:$E$23),"",INDIRECT(ADDRESS(SMALL((IF($E$2:$E$23&gt;"",ROW($E$2:$E$23),ROW()+ROWS($E$2:$E$23))),ROW()-ROW($F$2:$F$23)+1),COLUMN($E$2:$E$23),4)))</f>
        <v>#REF!</v>
      </c>
      <c r="R10" s="165" t="e">
        <f t="array" aca="1" ref="R10" ca="1">IF(ROW()-ROW($G$2:$G$23)+1&gt;ROWS($F$2:$F$23)-COUNTBLANK($F$2:$F$23),"",INDIRECT(ADDRESS(SMALL((IF($F$2:$F$23&gt;"",ROW($F$2:$F$23),ROW()+ROWS($F$2:$F$23))),ROW()-ROW($G$2:$G$23)+1),COLUMN($F$2:$F$23),4)))</f>
        <v>#REF!</v>
      </c>
      <c r="S10" s="164" t="e">
        <f t="array" aca="1" ref="S10" ca="1">IF(ROW()-ROW($H$2:$H$23)+1&gt;ROWS($G$2:$G$23)-COUNTBLANK($G$2:$G$23),"",INDIRECT(ADDRESS(SMALL((IF($G$2:$G$23&lt;&gt;"",ROW($G$2:$G$23),ROW()+ROWS($G$2:$G$23))),ROW()-ROW($H$2:$H$23)+1),COLUMN($G$2:$G$23),4)))</f>
        <v>#REF!</v>
      </c>
      <c r="T10" s="144" t="e">
        <f t="array" aca="1" ref="T10" ca="1">IF(ROW()-ROW($I$2:$I$23)+1&gt;ROWS($H$2:$H$23)-COUNTBLANK($H$2:$H$23),"",INDIRECT(ADDRESS(SMALL((IF($H$2:$H$23&lt;&gt;"",ROW($H$2:$H$23),ROW()+ROWS($H$2:$H$23))),ROW()-ROW($I$2:$I$23)+1),COLUMN($H$2:$H$23),4)))</f>
        <v>#REF!</v>
      </c>
      <c r="U10" s="144" t="e">
        <f t="array" aca="1" ref="U10" ca="1">IF(ROW()-ROW($J$2:$J$23)+1&gt;ROWS($I$2:$I$23)-COUNTBLANK($I$2:$I$23),"",INDIRECT(ADDRESS(SMALL((IF($I$2:$I$23&lt;&gt;"",ROW($I$2:$I$23),ROW()+ROWS($I$2:$I$23))),ROW()-ROW($J$2:$J$23)+1),COLUMN($I$2:$I$23),4)))</f>
        <v>#REF!</v>
      </c>
      <c r="V10" s="148" t="e">
        <f t="array" aca="1" ref="V10" ca="1">IF(ROW()-ROW($K$2:$K$23)+1&gt;ROWS($J$2:$J$23)-COUNTBLANK($J$2:$J$23),"",INDIRECT(ADDRESS(SMALL((IF($J$2:$J$23&lt;&gt;"",ROW($J$2:$J$23),ROW()+ROWS($J$2:$J$23))),ROW()-ROW($K$2:$K$23)+1),COLUMN($J$2:$J$23),4)))</f>
        <v>#REF!</v>
      </c>
      <c r="W10" s="147" t="e">
        <f t="array" aca="1" ref="W10" ca="1">IF(ROW()-ROW($L$2:$L$23)+1&gt;ROWS($K$2:$K$23)-COUNTBLANK($K$2:$K$23),"",INDIRECT(ADDRESS(SMALL((IF($K$2:$K$23&lt;&gt;"",ROW($K$2:$K$23),ROW()+ROWS($K$2:$K$23))),ROW()-ROW($L$2:$L$23)+1),COLUMN($K$2:$K$23),4)))</f>
        <v>#REF!</v>
      </c>
      <c r="X10" s="93" t="e">
        <f t="array" aca="1" ref="X10" ca="1">IF(ROW()-ROW($M$2:$M$23)+1&gt;ROWS($L$2:$L$23)-COUNTBLANK($L$2:$L$23),"",INDIRECT(ADDRESS(SMALL((IF($L$2:$L$23&lt;&gt;"",ROW($L$2:$L$23),ROW()+ROWS($L$2:$L$23))),ROW()-ROW($M$2:$M$23)+1),COLUMN($L$2:$L$23),4)))</f>
        <v>#REF!</v>
      </c>
      <c r="Y10" s="93" t="e">
        <f t="array" aca="1" ref="Y10" ca="1">IF(ROW()-ROW($N$2:$N$23)+1&gt;ROWS($M$2:$M$23)-COUNTBLANK($M$2:$M$23),"",INDIRECT(ADDRESS(SMALL((IF($M$2:$M$23&lt;&gt;"",ROW($M$2:$M$23),ROW()+ROWS($M$2:$M$23))),ROW()-ROW($N$2:$N$23)+1),COLUMN($M$2:$M$23),4)))</f>
        <v>#REF!</v>
      </c>
    </row>
    <row r="11" spans="1:25" ht="34.5" customHeight="1" x14ac:dyDescent="0.25">
      <c r="A11" s="289" t="str">
        <f>IF('Indicators Sheet_(IS)'!P41=0,"",'Indicators Sheet_(IS)'!P41)</f>
        <v>Incomplete</v>
      </c>
      <c r="C11" s="147">
        <f>IF($A11="I.O.","",'Indicators Sheet_(IS)'!A41)</f>
        <v>11</v>
      </c>
      <c r="D11" s="146" t="str">
        <f>IF($A11="I.O.","",'Indicators Sheet_(IS)'!C41)</f>
        <v>Ovarian cancer: 
Operation advanced ovarian cancer by a gynaecological oncologist</v>
      </c>
      <c r="E11" s="164" t="str">
        <f>IF(AND('Indicators Sheet_(IS)'!J41="",$A11&lt;&gt;"I.O."),"-----",IF($A11="I.O.","",'Indicators Sheet_(IS)'!J41))</f>
        <v>-----</v>
      </c>
      <c r="F11" s="165" t="str">
        <f>IF($A11="I.O.","",'Indicators Sheet_(IS)'!K41)</f>
        <v>≥ 80%</v>
      </c>
      <c r="G11" s="164" t="str">
        <f>IF(AND('Indicators Sheet_(IS)'!M41="",$A11&lt;&gt;"I.O."),"-----",IF($A11="I.O.","",'Indicators Sheet_(IS)'!M41))</f>
        <v>-----</v>
      </c>
      <c r="H11" s="144" t="str">
        <f>IF($A11="I.O.","",IF('Indicators Sheet_(IS)'!O41="","-----",'Indicators Sheet_(IS)'!O41))</f>
        <v>-----</v>
      </c>
      <c r="I11" s="144">
        <f>IF($A11="I.O.","",IF('Indicators Sheet_(IS)'!O42="","-----",'Indicators Sheet_(IS)'!O42))</f>
        <v>0</v>
      </c>
      <c r="J11" s="148" t="str">
        <f>IF($A11="I.O.","",IF('Indicators Sheet_(IS)'!O43="",0,'Indicators Sheet_(IS)'!O43))</f>
        <v>n.d.</v>
      </c>
      <c r="K11" s="147" t="str">
        <f>IF($A11="I.O.","",'Indicators Sheet_(IS)'!P41)</f>
        <v>Incomplete</v>
      </c>
      <c r="L11" s="93" t="str">
        <f>IF(AND('Indicators Sheet_(IS)'!Q41="",$A11&lt;&gt;"I.O."),"-----",IF($A11="I.O.","",'Indicators Sheet_(IS)'!Q41))</f>
        <v>-----</v>
      </c>
      <c r="M11" s="93" t="str">
        <f>IF(AND('Indicators Sheet_(IS)'!R41="",$A11&lt;&gt;"I.O."),"-----",IF($A11="I.O.","",'Indicators Sheet_(IS)'!R41))</f>
        <v>-----</v>
      </c>
      <c r="O11" s="64" t="e">
        <f t="array" aca="1" ref="O11" ca="1">IF(ROW()-ROW($D$2:$D$23)+1&gt;ROWS($C$2:$C$23)-COUNTBLANK($C$2:$C$23),"",INDIRECT(ADDRESS(SMALL((IF($C$2:$C$23&lt;&gt;"",ROW($C$2:$C$23),ROW()+ROWS($C$2:$C$23))),ROW()-ROW($D$2:$D$23)+1),COLUMN($C$2:$C$23),4)))</f>
        <v>#REF!</v>
      </c>
      <c r="P11" s="146" t="e">
        <f t="array" aca="1" ref="P11" ca="1">IF(ROW()-ROW($E$2:$E$23)+1&gt;ROWS($D$2:$D$23)-COUNTBLANK($D$2:$D$23),"",INDIRECT(ADDRESS(SMALL((IF($D$2:$D$23&gt;"",ROW($D$2:$D$23),ROW()+ROWS($D$2:$D$23))),ROW()-ROW($E$2:$E$23)+1),COLUMN($D$2:$D$23),4)))</f>
        <v>#REF!</v>
      </c>
      <c r="Q11" s="164" t="e">
        <f t="array" aca="1" ref="Q11" ca="1">IF(ROW()-ROW($F$2:$F$23)+1&gt;ROWS($E$2:$E$23)-COUNTBLANK($E$2:$E$23),"",INDIRECT(ADDRESS(SMALL((IF($E$2:$E$23&gt;"",ROW($E$2:$E$23),ROW()+ROWS($E$2:$E$23))),ROW()-ROW($F$2:$F$23)+1),COLUMN($E$2:$E$23),4)))</f>
        <v>#REF!</v>
      </c>
      <c r="R11" s="165" t="e">
        <f t="array" aca="1" ref="R11" ca="1">IF(ROW()-ROW($G$2:$G$23)+1&gt;ROWS($F$2:$F$23)-COUNTBLANK($F$2:$F$23),"",INDIRECT(ADDRESS(SMALL((IF($F$2:$F$23&gt;"",ROW($F$2:$F$23),ROW()+ROWS($F$2:$F$23))),ROW()-ROW($G$2:$G$23)+1),COLUMN($F$2:$F$23),4)))</f>
        <v>#REF!</v>
      </c>
      <c r="S11" s="164" t="e">
        <f t="array" aca="1" ref="S11" ca="1">IF(ROW()-ROW($H$2:$H$23)+1&gt;ROWS($G$2:$G$23)-COUNTBLANK($G$2:$G$23),"",INDIRECT(ADDRESS(SMALL((IF($G$2:$G$23&lt;&gt;"",ROW($G$2:$G$23),ROW()+ROWS($G$2:$G$23))),ROW()-ROW($H$2:$H$23)+1),COLUMN($G$2:$G$23),4)))</f>
        <v>#REF!</v>
      </c>
      <c r="T11" s="144" t="e">
        <f t="array" aca="1" ref="T11" ca="1">IF(ROW()-ROW($I$2:$I$23)+1&gt;ROWS($H$2:$H$23)-COUNTBLANK($H$2:$H$23),"",INDIRECT(ADDRESS(SMALL((IF($H$2:$H$23&lt;&gt;"",ROW($H$2:$H$23),ROW()+ROWS($H$2:$H$23))),ROW()-ROW($I$2:$I$23)+1),COLUMN($H$2:$H$23),4)))</f>
        <v>#REF!</v>
      </c>
      <c r="U11" s="144" t="e">
        <f t="array" aca="1" ref="U11" ca="1">IF(ROW()-ROW($J$2:$J$23)+1&gt;ROWS($I$2:$I$23)-COUNTBLANK($I$2:$I$23),"",INDIRECT(ADDRESS(SMALL((IF($I$2:$I$23&lt;&gt;"",ROW($I$2:$I$23),ROW()+ROWS($I$2:$I$23))),ROW()-ROW($J$2:$J$23)+1),COLUMN($I$2:$I$23),4)))</f>
        <v>#REF!</v>
      </c>
      <c r="V11" s="148" t="e">
        <f t="array" aca="1" ref="V11" ca="1">IF(ROW()-ROW($K$2:$K$23)+1&gt;ROWS($J$2:$J$23)-COUNTBLANK($J$2:$J$23),"",INDIRECT(ADDRESS(SMALL((IF($J$2:$J$23&lt;&gt;"",ROW($J$2:$J$23),ROW()+ROWS($J$2:$J$23))),ROW()-ROW($K$2:$K$23)+1),COLUMN($J$2:$J$23),4)))</f>
        <v>#REF!</v>
      </c>
      <c r="W11" s="147" t="e">
        <f t="array" aca="1" ref="W11" ca="1">IF(ROW()-ROW($L$2:$L$23)+1&gt;ROWS($K$2:$K$23)-COUNTBLANK($K$2:$K$23),"",INDIRECT(ADDRESS(SMALL((IF($K$2:$K$23&lt;&gt;"",ROW($K$2:$K$23),ROW()+ROWS($K$2:$K$23))),ROW()-ROW($L$2:$L$23)+1),COLUMN($K$2:$K$23),4)))</f>
        <v>#REF!</v>
      </c>
      <c r="X11" s="93" t="e">
        <f t="array" aca="1" ref="X11" ca="1">IF(ROW()-ROW($M$2:$M$23)+1&gt;ROWS($L$2:$L$23)-COUNTBLANK($L$2:$L$23),"",INDIRECT(ADDRESS(SMALL((IF($L$2:$L$23&lt;&gt;"",ROW($L$2:$L$23),ROW()+ROWS($L$2:$L$23))),ROW()-ROW($M$2:$M$23)+1),COLUMN($L$2:$L$23),4)))</f>
        <v>#REF!</v>
      </c>
      <c r="Y11" s="93" t="e">
        <f t="array" aca="1" ref="Y11" ca="1">IF(ROW()-ROW($N$2:$N$23)+1&gt;ROWS($M$2:$M$23)-COUNTBLANK($M$2:$M$23),"",INDIRECT(ADDRESS(SMALL((IF($M$2:$M$23&lt;&gt;"",ROW($M$2:$M$23),ROW()+ROWS($M$2:$M$23))),ROW()-ROW($N$2:$N$23)+1),COLUMN($M$2:$M$23),4)))</f>
        <v>#REF!</v>
      </c>
    </row>
    <row r="12" spans="1:25" ht="34.5" customHeight="1" x14ac:dyDescent="0.25">
      <c r="A12" s="289" t="str">
        <f>IF('Indicators Sheet_(IS)'!P44=0,"",'Indicators Sheet_(IS)'!P44)</f>
        <v/>
      </c>
      <c r="C12" s="147">
        <f>IF($A12="I.O.","",'Indicators Sheet_(IS)'!A44)</f>
        <v>12</v>
      </c>
      <c r="D12" s="146" t="str">
        <f>IF($A12="I.O.","",'Indicators Sheet_(IS)'!C44)</f>
        <v>Ovarian cancer: 
Post-operative chemotherapy advanced ovarian cancer</v>
      </c>
      <c r="E12" s="164" t="str">
        <f>IF(AND('Indicators Sheet_(IS)'!J44="",$A12&lt;&gt;"I.O."),"-----",IF($A12="I.O.","",'Indicators Sheet_(IS)'!J44))</f>
        <v>-----</v>
      </c>
      <c r="F12" s="165" t="str">
        <f>IF($A12="I.O.","",'Indicators Sheet_(IS)'!K44)</f>
        <v>≥ 80%</v>
      </c>
      <c r="G12" s="164" t="str">
        <f>IF(AND('Indicators Sheet_(IS)'!M44="",$A12&lt;&gt;"I.O."),"-----",IF($A12="I.O.","",'Indicators Sheet_(IS)'!M44))</f>
        <v>-----</v>
      </c>
      <c r="H12" s="144" t="str">
        <f>IF($A12="I.O.","",IF('Indicators Sheet_(IS)'!O44="","-----",'Indicators Sheet_(IS)'!O44))</f>
        <v>-----</v>
      </c>
      <c r="I12" s="144" t="str">
        <f>IF($A12="I.O.","",IF('Indicators Sheet_(IS)'!O45="","-----",'Indicators Sheet_(IS)'!O45))</f>
        <v>-----</v>
      </c>
      <c r="J12" s="148" t="str">
        <f>IF($A12="I.O.","",IF('Indicators Sheet_(IS)'!O46="","-----",'Indicators Sheet_(IS)'!O46))</f>
        <v>n.d.</v>
      </c>
      <c r="K12" s="147">
        <f>IF($A12="I.O.","",'Indicators Sheet_(IS)'!P44)</f>
        <v>0</v>
      </c>
      <c r="L12" s="93" t="str">
        <f>IF(AND('Indicators Sheet_(IS)'!Q44="",$A12&lt;&gt;"I.O."),"-----",IF($A12="I.O.","",'Indicators Sheet_(IS)'!Q44))</f>
        <v>A revision will take place with the next update of the guideline.</v>
      </c>
      <c r="M12" s="93" t="str">
        <f>IF(AND('Indicators Sheet_(IS)'!R44="",$A12&lt;&gt;"I.O."),"-----",IF($A12="I.O.","",'Indicators Sheet_(IS)'!R44))</f>
        <v>-----</v>
      </c>
      <c r="O12" s="64" t="e">
        <f t="array" aca="1" ref="O12" ca="1">IF(ROW()-ROW($D$2:$D$23)+1&gt;ROWS($C$2:$C$23)-COUNTBLANK($C$2:$C$23),"",INDIRECT(ADDRESS(SMALL((IF($C$2:$C$23&lt;&gt;"",ROW($C$2:$C$23),ROW()+ROWS($C$2:$C$23))),ROW()-ROW($D$2:$D$23)+1),COLUMN($C$2:$C$23),4)))</f>
        <v>#REF!</v>
      </c>
      <c r="P12" s="146" t="e">
        <f t="array" aca="1" ref="P12" ca="1">IF(ROW()-ROW($E$2:$E$23)+1&gt;ROWS($D$2:$D$23)-COUNTBLANK($D$2:$D$23),"",INDIRECT(ADDRESS(SMALL((IF($D$2:$D$23&gt;"",ROW($D$2:$D$23),ROW()+ROWS($D$2:$D$23))),ROW()-ROW($E$2:$E$23)+1),COLUMN($D$2:$D$23),4)))</f>
        <v>#REF!</v>
      </c>
      <c r="Q12" s="164" t="e">
        <f t="array" aca="1" ref="Q12" ca="1">IF(ROW()-ROW($F$2:$F$23)+1&gt;ROWS($E$2:$E$23)-COUNTBLANK($E$2:$E$23),"",INDIRECT(ADDRESS(SMALL((IF($E$2:$E$23&gt;"",ROW($E$2:$E$23),ROW()+ROWS($E$2:$E$23))),ROW()-ROW($F$2:$F$23)+1),COLUMN($E$2:$E$23),4)))</f>
        <v>#REF!</v>
      </c>
      <c r="R12" s="165" t="e">
        <f t="array" aca="1" ref="R12" ca="1">IF(ROW()-ROW($G$2:$G$23)+1&gt;ROWS($F$2:$F$23)-COUNTBLANK($F$2:$F$23),"",INDIRECT(ADDRESS(SMALL((IF($F$2:$F$23&gt;"",ROW($F$2:$F$23),ROW()+ROWS($F$2:$F$23))),ROW()-ROW($G$2:$G$23)+1),COLUMN($F$2:$F$23),4)))</f>
        <v>#REF!</v>
      </c>
      <c r="S12" s="164" t="e">
        <f t="array" aca="1" ref="S12" ca="1">IF(ROW()-ROW($H$2:$H$23)+1&gt;ROWS($G$2:$G$23)-COUNTBLANK($G$2:$G$23),"",INDIRECT(ADDRESS(SMALL((IF($G$2:$G$23&lt;&gt;"",ROW($G$2:$G$23),ROW()+ROWS($G$2:$G$23))),ROW()-ROW($H$2:$H$23)+1),COLUMN($G$2:$G$23),4)))</f>
        <v>#REF!</v>
      </c>
      <c r="T12" s="144" t="e">
        <f t="array" aca="1" ref="T12" ca="1">IF(ROW()-ROW($I$2:$I$23)+1&gt;ROWS($H$2:$H$23)-COUNTBLANK($H$2:$H$23),"",INDIRECT(ADDRESS(SMALL((IF($H$2:$H$23&lt;&gt;"",ROW($H$2:$H$23),ROW()+ROWS($H$2:$H$23))),ROW()-ROW($I$2:$I$23)+1),COLUMN($H$2:$H$23),4)))</f>
        <v>#REF!</v>
      </c>
      <c r="U12" s="144" t="e">
        <f t="array" aca="1" ref="U12" ca="1">IF(ROW()-ROW($J$2:$J$23)+1&gt;ROWS($I$2:$I$23)-COUNTBLANK($I$2:$I$23),"",INDIRECT(ADDRESS(SMALL((IF($I$2:$I$23&lt;&gt;"",ROW($I$2:$I$23),ROW()+ROWS($I$2:$I$23))),ROW()-ROW($J$2:$J$23)+1),COLUMN($I$2:$I$23),4)))</f>
        <v>#REF!</v>
      </c>
      <c r="V12" s="148" t="e">
        <f t="array" aca="1" ref="V12" ca="1">IF(ROW()-ROW($K$2:$K$23)+1&gt;ROWS($J$2:$J$23)-COUNTBLANK($J$2:$J$23),"",INDIRECT(ADDRESS(SMALL((IF($J$2:$J$23&lt;&gt;"",ROW($J$2:$J$23),ROW()+ROWS($J$2:$J$23))),ROW()-ROW($K$2:$K$23)+1),COLUMN($J$2:$J$23),4)))</f>
        <v>#REF!</v>
      </c>
      <c r="W12" s="147" t="e">
        <f t="array" aca="1" ref="W12" ca="1">IF(ROW()-ROW($L$2:$L$23)+1&gt;ROWS($K$2:$K$23)-COUNTBLANK($K$2:$K$23),"",INDIRECT(ADDRESS(SMALL((IF($K$2:$K$23&lt;&gt;"",ROW($K$2:$K$23),ROW()+ROWS($K$2:$K$23))),ROW()-ROW($L$2:$L$23)+1),COLUMN($K$2:$K$23),4)))</f>
        <v>#REF!</v>
      </c>
      <c r="X12" s="93" t="e">
        <f t="array" aca="1" ref="X12" ca="1">IF(ROW()-ROW($M$2:$M$23)+1&gt;ROWS($L$2:$L$23)-COUNTBLANK($L$2:$L$23),"",INDIRECT(ADDRESS(SMALL((IF($L$2:$L$23&lt;&gt;"",ROW($L$2:$L$23),ROW()+ROWS($L$2:$L$23))),ROW()-ROW($M$2:$M$23)+1),COLUMN($L$2:$L$23),4)))</f>
        <v>#REF!</v>
      </c>
      <c r="Y12" s="93" t="e">
        <f t="array" aca="1" ref="Y12" ca="1">IF(ROW()-ROW($N$2:$N$23)+1&gt;ROWS($M$2:$M$23)-COUNTBLANK($M$2:$M$23),"",INDIRECT(ADDRESS(SMALL((IF($M$2:$M$23&lt;&gt;"",ROW($M$2:$M$23),ROW()+ROWS($M$2:$M$23))),ROW()-ROW($N$2:$N$23)+1),COLUMN($M$2:$M$23),4)))</f>
        <v>#REF!</v>
      </c>
    </row>
    <row r="13" spans="1:25" ht="34.5" customHeight="1" x14ac:dyDescent="0.25">
      <c r="A13" s="289" t="str">
        <f>IF('Indicators Sheet_(IS)'!P47=0,"",'Indicators Sheet_(IS)'!P47)</f>
        <v>Incomplete</v>
      </c>
      <c r="C13" s="147">
        <f>IF($A13="I.O.","",'Indicators Sheet_(IS)'!A47)</f>
        <v>13</v>
      </c>
      <c r="D13" s="146" t="str">
        <f>IF($A13="I.O.","",'Indicators Sheet_(IS)'!C47)</f>
        <v>Ovarian cancer: 
First-line chemotherapy advanced ovarian cancer</v>
      </c>
      <c r="E13" s="164" t="str">
        <f>IF(AND('Indicators Sheet_(IS)'!J47="",$A13&lt;&gt;"I.O."),"-----",IF($A13="I.O.","",'Indicators Sheet_(IS)'!J47))</f>
        <v>-----</v>
      </c>
      <c r="F13" s="165" t="str">
        <f>IF($A13="I.O.","",'Indicators Sheet_(IS)'!K47)</f>
        <v>≥ 60%</v>
      </c>
      <c r="G13" s="164" t="str">
        <f>IF(AND('Indicators Sheet_(IS)'!M47="",$A13&lt;&gt;"I.O."),"-----",IF($A13="I.O.","",'Indicators Sheet_(IS)'!M47))</f>
        <v>-----</v>
      </c>
      <c r="H13" s="144" t="str">
        <f>IF($A13="I.O.","",IF('Indicators Sheet_(IS)'!O47="","-----",'Indicators Sheet_(IS)'!O47))</f>
        <v>-----</v>
      </c>
      <c r="I13" s="144">
        <f>IF($A13="I.O.","",IF('Indicators Sheet_(IS)'!O48="","-----",'Indicators Sheet_(IS)'!O48))</f>
        <v>0</v>
      </c>
      <c r="J13" s="148" t="str">
        <f>IF($A13="I.O.","",IF('Indicators Sheet_(IS)'!O49="",0,'Indicators Sheet_(IS)'!O49))</f>
        <v>n.d.</v>
      </c>
      <c r="K13" s="147" t="str">
        <f>IF($A13="I.O.","",'Indicators Sheet_(IS)'!P47)</f>
        <v>Incomplete</v>
      </c>
      <c r="L13" s="93" t="str">
        <f>IF(AND('Indicators Sheet_(IS)'!Q47="",$A13&lt;&gt;"I.O."),"-----",IF($A13="I.O.","",'Indicators Sheet_(IS)'!Q47))</f>
        <v>-----</v>
      </c>
      <c r="M13" s="93" t="str">
        <f>IF(AND('Indicators Sheet_(IS)'!R47="",$A13&lt;&gt;"I.O."),"-----",IF($A13="I.O.","",'Indicators Sheet_(IS)'!R47))</f>
        <v>-----</v>
      </c>
      <c r="O13" s="64" t="e">
        <f t="array" aca="1" ref="O13" ca="1">IF(ROW()-ROW($D$2:$D$23)+1&gt;ROWS($C$2:$C$23)-COUNTBLANK($C$2:$C$23),"",INDIRECT(ADDRESS(SMALL((IF($C$2:$C$23&lt;&gt;"",ROW($C$2:$C$23),ROW()+ROWS($C$2:$C$23))),ROW()-ROW($D$2:$D$23)+1),COLUMN($C$2:$C$23),4)))</f>
        <v>#REF!</v>
      </c>
      <c r="P13" s="146" t="e">
        <f t="array" aca="1" ref="P13" ca="1">IF(ROW()-ROW($E$2:$E$23)+1&gt;ROWS($D$2:$D$23)-COUNTBLANK($D$2:$D$23),"",INDIRECT(ADDRESS(SMALL((IF($D$2:$D$23&gt;"",ROW($D$2:$D$23),ROW()+ROWS($D$2:$D$23))),ROW()-ROW($E$2:$E$23)+1),COLUMN($D$2:$D$23),4)))</f>
        <v>#REF!</v>
      </c>
      <c r="Q13" s="164" t="e">
        <f t="array" aca="1" ref="Q13" ca="1">IF(ROW()-ROW($F$2:$F$23)+1&gt;ROWS($E$2:$E$23)-COUNTBLANK($E$2:$E$23),"",INDIRECT(ADDRESS(SMALL((IF($E$2:$E$23&gt;"",ROW($E$2:$E$23),ROW()+ROWS($E$2:$E$23))),ROW()-ROW($F$2:$F$23)+1),COLUMN($E$2:$E$23),4)))</f>
        <v>#REF!</v>
      </c>
      <c r="R13" s="165" t="e">
        <f t="array" aca="1" ref="R13" ca="1">IF(ROW()-ROW($G$2:$G$23)+1&gt;ROWS($F$2:$F$23)-COUNTBLANK($F$2:$F$23),"",INDIRECT(ADDRESS(SMALL((IF($F$2:$F$23&gt;"",ROW($F$2:$F$23),ROW()+ROWS($F$2:$F$23))),ROW()-ROW($G$2:$G$23)+1),COLUMN($F$2:$F$23),4)))</f>
        <v>#REF!</v>
      </c>
      <c r="S13" s="164" t="e">
        <f t="array" aca="1" ref="S13" ca="1">IF(ROW()-ROW($H$2:$H$23)+1&gt;ROWS($G$2:$G$23)-COUNTBLANK($G$2:$G$23),"",INDIRECT(ADDRESS(SMALL((IF($G$2:$G$23&lt;&gt;"",ROW($G$2:$G$23),ROW()+ROWS($G$2:$G$23))),ROW()-ROW($H$2:$H$23)+1),COLUMN($G$2:$G$23),4)))</f>
        <v>#REF!</v>
      </c>
      <c r="T13" s="144" t="e">
        <f t="array" aca="1" ref="T13" ca="1">IF(ROW()-ROW($I$2:$I$23)+1&gt;ROWS($H$2:$H$23)-COUNTBLANK($H$2:$H$23),"",INDIRECT(ADDRESS(SMALL((IF($H$2:$H$23&lt;&gt;"",ROW($H$2:$H$23),ROW()+ROWS($H$2:$H$23))),ROW()-ROW($I$2:$I$23)+1),COLUMN($H$2:$H$23),4)))</f>
        <v>#REF!</v>
      </c>
      <c r="U13" s="144" t="e">
        <f t="array" aca="1" ref="U13" ca="1">IF(ROW()-ROW($J$2:$J$23)+1&gt;ROWS($I$2:$I$23)-COUNTBLANK($I$2:$I$23),"",INDIRECT(ADDRESS(SMALL((IF($I$2:$I$23&lt;&gt;"",ROW($I$2:$I$23),ROW()+ROWS($I$2:$I$23))),ROW()-ROW($J$2:$J$23)+1),COLUMN($I$2:$I$23),4)))</f>
        <v>#REF!</v>
      </c>
      <c r="V13" s="148" t="e">
        <f t="array" aca="1" ref="V13" ca="1">IF(ROW()-ROW($K$2:$K$23)+1&gt;ROWS($J$2:$J$23)-COUNTBLANK($J$2:$J$23),"",INDIRECT(ADDRESS(SMALL((IF($J$2:$J$23&lt;&gt;"",ROW($J$2:$J$23),ROW()+ROWS($J$2:$J$23))),ROW()-ROW($K$2:$K$23)+1),COLUMN($J$2:$J$23),4)))</f>
        <v>#REF!</v>
      </c>
      <c r="W13" s="147" t="e">
        <f t="array" aca="1" ref="W13" ca="1">IF(ROW()-ROW($L$2:$L$23)+1&gt;ROWS($K$2:$K$23)-COUNTBLANK($K$2:$K$23),"",INDIRECT(ADDRESS(SMALL((IF($K$2:$K$23&lt;&gt;"",ROW($K$2:$K$23),ROW()+ROWS($K$2:$K$23))),ROW()-ROW($L$2:$L$23)+1),COLUMN($K$2:$K$23),4)))</f>
        <v>#REF!</v>
      </c>
      <c r="X13" s="93" t="e">
        <f t="array" aca="1" ref="X13" ca="1">IF(ROW()-ROW($M$2:$M$23)+1&gt;ROWS($L$2:$L$23)-COUNTBLANK($L$2:$L$23),"",INDIRECT(ADDRESS(SMALL((IF($L$2:$L$23&lt;&gt;"",ROW($L$2:$L$23),ROW()+ROWS($L$2:$L$23))),ROW()-ROW($M$2:$M$23)+1),COLUMN($L$2:$L$23),4)))</f>
        <v>#REF!</v>
      </c>
      <c r="Y13" s="93" t="e">
        <f t="array" aca="1" ref="Y13" ca="1">IF(ROW()-ROW($N$2:$N$23)+1&gt;ROWS($M$2:$M$23)-COUNTBLANK($M$2:$M$23),"",INDIRECT(ADDRESS(SMALL((IF($M$2:$M$23&lt;&gt;"",ROW($M$2:$M$23),ROW()+ROWS($M$2:$M$23))),ROW()-ROW($N$2:$N$23)+1),COLUMN($M$2:$M$23),4)))</f>
        <v>#REF!</v>
      </c>
    </row>
    <row r="14" spans="1:25" ht="34.5" customHeight="1" x14ac:dyDescent="0.25">
      <c r="A14" s="289" t="e">
        <f>IF('Indicators Sheet_(IS)'!#REF!=0,"",'Indicators Sheet_(IS)'!#REF!)</f>
        <v>#REF!</v>
      </c>
      <c r="C14" s="147" t="e">
        <f>IF($A14="I.O.","",LEFT('Indicators Sheet_(IS)'!#REF!,2))</f>
        <v>#REF!</v>
      </c>
      <c r="D14" s="146" t="e">
        <f>IF($A14="I.O.","",'Indicators Sheet_(IS)'!#REF!)</f>
        <v>#REF!</v>
      </c>
      <c r="E14" s="164" t="e">
        <f>IF(AND('Indicators Sheet_(IS)'!#REF!="",$A14&lt;&gt;"I.O."),"-----",IF($A14="I.O.","",'Indicators Sheet_(IS)'!#REF!))</f>
        <v>#REF!</v>
      </c>
      <c r="F14" s="165" t="e">
        <f>IF($A14="I.O.","",'Indicators Sheet_(IS)'!#REF!)</f>
        <v>#REF!</v>
      </c>
      <c r="G14" s="164" t="e">
        <f>IF(AND('Indicators Sheet_(IS)'!#REF!="",$A14&lt;&gt;"I.O."),"-----",IF($A14="I.O.","",'Indicators Sheet_(IS)'!#REF!))</f>
        <v>#REF!</v>
      </c>
      <c r="H14" s="144" t="e">
        <f>IF($A14="I.O.","",IF('Indicators Sheet_(IS)'!#REF!="","-----",'Indicators Sheet_(IS)'!#REF!))</f>
        <v>#REF!</v>
      </c>
      <c r="I14" s="144" t="e">
        <f>IF($A14="I.O.","",IF('Indicators Sheet_(IS)'!#REF!="","-----",'Indicators Sheet_(IS)'!#REF!))</f>
        <v>#REF!</v>
      </c>
      <c r="J14" s="148" t="e">
        <f>IF($A14="I.O.","",IF('Indicators Sheet_(IS)'!#REF!="",0,'Indicators Sheet_(IS)'!#REF!))</f>
        <v>#REF!</v>
      </c>
      <c r="K14" s="147" t="e">
        <f>IF($A14="I.O.","",'Indicators Sheet_(IS)'!#REF!)</f>
        <v>#REF!</v>
      </c>
      <c r="L14" s="93" t="e">
        <f>IF(AND('Indicators Sheet_(IS)'!#REF!="",$A14&lt;&gt;"I.O."),"-----",IF($A14="I.O.","",'Indicators Sheet_(IS)'!#REF!))</f>
        <v>#REF!</v>
      </c>
      <c r="M14" s="93" t="e">
        <f>IF(AND('Indicators Sheet_(IS)'!#REF!="",$A14&lt;&gt;"I.O."),"-----",IF($A14="I.O.","",'Indicators Sheet_(IS)'!#REF!))</f>
        <v>#REF!</v>
      </c>
      <c r="O14" s="64" t="e">
        <f t="array" aca="1" ref="O14" ca="1">IF(ROW()-ROW($D$2:$D$23)+1&gt;ROWS($C$2:$C$23)-COUNTBLANK($C$2:$C$23),"",INDIRECT(ADDRESS(SMALL((IF($C$2:$C$23&lt;&gt;"",ROW($C$2:$C$23),ROW()+ROWS($C$2:$C$23))),ROW()-ROW($D$2:$D$23)+1),COLUMN($C$2:$C$23),4)))</f>
        <v>#REF!</v>
      </c>
      <c r="P14" s="146" t="e">
        <f t="array" aca="1" ref="P14" ca="1">IF(ROW()-ROW($E$2:$E$23)+1&gt;ROWS($D$2:$D$23)-COUNTBLANK($D$2:$D$23),"",INDIRECT(ADDRESS(SMALL((IF($D$2:$D$23&gt;"",ROW($D$2:$D$23),ROW()+ROWS($D$2:$D$23))),ROW()-ROW($E$2:$E$23)+1),COLUMN($D$2:$D$23),4)))</f>
        <v>#REF!</v>
      </c>
      <c r="Q14" s="164" t="e">
        <f t="array" aca="1" ref="Q14" ca="1">IF(ROW()-ROW($F$2:$F$23)+1&gt;ROWS($E$2:$E$23)-COUNTBLANK($E$2:$E$23),"",INDIRECT(ADDRESS(SMALL((IF($E$2:$E$23&gt;"",ROW($E$2:$E$23),ROW()+ROWS($E$2:$E$23))),ROW()-ROW($F$2:$F$23)+1),COLUMN($E$2:$E$23),4)))</f>
        <v>#REF!</v>
      </c>
      <c r="R14" s="165" t="e">
        <f t="array" aca="1" ref="R14" ca="1">IF(ROW()-ROW($G$2:$G$23)+1&gt;ROWS($F$2:$F$23)-COUNTBLANK($F$2:$F$23),"",INDIRECT(ADDRESS(SMALL((IF($F$2:$F$23&gt;"",ROW($F$2:$F$23),ROW()+ROWS($F$2:$F$23))),ROW()-ROW($G$2:$G$23)+1),COLUMN($F$2:$F$23),4)))</f>
        <v>#REF!</v>
      </c>
      <c r="S14" s="164" t="e">
        <f t="array" aca="1" ref="S14" ca="1">IF(ROW()-ROW($H$2:$H$23)+1&gt;ROWS($G$2:$G$23)-COUNTBLANK($G$2:$G$23),"",INDIRECT(ADDRESS(SMALL((IF($G$2:$G$23&lt;&gt;"",ROW($G$2:$G$23),ROW()+ROWS($G$2:$G$23))),ROW()-ROW($H$2:$H$23)+1),COLUMN($G$2:$G$23),4)))</f>
        <v>#REF!</v>
      </c>
      <c r="T14" s="144" t="e">
        <f t="array" aca="1" ref="T14" ca="1">IF(ROW()-ROW($I$2:$I$23)+1&gt;ROWS($H$2:$H$23)-COUNTBLANK($H$2:$H$23),"",INDIRECT(ADDRESS(SMALL((IF($H$2:$H$23&lt;&gt;"",ROW($H$2:$H$23),ROW()+ROWS($H$2:$H$23))),ROW()-ROW($I$2:$I$23)+1),COLUMN($H$2:$H$23),4)))</f>
        <v>#REF!</v>
      </c>
      <c r="U14" s="144" t="e">
        <f t="array" aca="1" ref="U14" ca="1">IF(ROW()-ROW($J$2:$J$23)+1&gt;ROWS($I$2:$I$23)-COUNTBLANK($I$2:$I$23),"",INDIRECT(ADDRESS(SMALL((IF($I$2:$I$23&lt;&gt;"",ROW($I$2:$I$23),ROW()+ROWS($I$2:$I$23))),ROW()-ROW($J$2:$J$23)+1),COLUMN($I$2:$I$23),4)))</f>
        <v>#REF!</v>
      </c>
      <c r="V14" s="148" t="e">
        <f t="array" aca="1" ref="V14" ca="1">IF(ROW()-ROW($K$2:$K$23)+1&gt;ROWS($J$2:$J$23)-COUNTBLANK($J$2:$J$23),"",INDIRECT(ADDRESS(SMALL((IF($J$2:$J$23&lt;&gt;"",ROW($J$2:$J$23),ROW()+ROWS($J$2:$J$23))),ROW()-ROW($K$2:$K$23)+1),COLUMN($J$2:$J$23),4)))</f>
        <v>#REF!</v>
      </c>
      <c r="W14" s="147" t="e">
        <f t="array" aca="1" ref="W14" ca="1">IF(ROW()-ROW($L$2:$L$23)+1&gt;ROWS($K$2:$K$23)-COUNTBLANK($K$2:$K$23),"",INDIRECT(ADDRESS(SMALL((IF($K$2:$K$23&lt;&gt;"",ROW($K$2:$K$23),ROW()+ROWS($K$2:$K$23))),ROW()-ROW($L$2:$L$23)+1),COLUMN($K$2:$K$23),4)))</f>
        <v>#REF!</v>
      </c>
      <c r="X14" s="93" t="e">
        <f t="array" aca="1" ref="X14" ca="1">IF(ROW()-ROW($M$2:$M$23)+1&gt;ROWS($L$2:$L$23)-COUNTBLANK($L$2:$L$23),"",INDIRECT(ADDRESS(SMALL((IF($L$2:$L$23&lt;&gt;"",ROW($L$2:$L$23),ROW()+ROWS($L$2:$L$23))),ROW()-ROW($M$2:$M$23)+1),COLUMN($L$2:$L$23),4)))</f>
        <v>#REF!</v>
      </c>
      <c r="Y14" s="93" t="e">
        <f t="array" aca="1" ref="Y14" ca="1">IF(ROW()-ROW($N$2:$N$23)+1&gt;ROWS($M$2:$M$23)-COUNTBLANK($M$2:$M$23),"",INDIRECT(ADDRESS(SMALL((IF($M$2:$M$23&lt;&gt;"",ROW($M$2:$M$23),ROW()+ROWS($M$2:$M$23))),ROW()-ROW($N$2:$N$23)+1),COLUMN($M$2:$M$23),4)))</f>
        <v>#REF!</v>
      </c>
    </row>
    <row r="15" spans="1:25" ht="34.5" customHeight="1" x14ac:dyDescent="0.25">
      <c r="A15" s="289" t="e">
        <f>IF('Indicators Sheet_(IS)'!#REF!=0,"",'Indicators Sheet_(IS)'!#REF!)</f>
        <v>#REF!</v>
      </c>
      <c r="C15" s="147" t="e">
        <f>IF($A15="I.O.","",LEFT('Indicators Sheet_(IS)'!#REF!,2))</f>
        <v>#REF!</v>
      </c>
      <c r="D15" s="146" t="e">
        <f>IF($A15="I.O.","",'Indicators Sheet_(IS)'!#REF!)</f>
        <v>#REF!</v>
      </c>
      <c r="E15" s="164" t="e">
        <f>IF(AND('Indicators Sheet_(IS)'!#REF!="",$A15&lt;&gt;"I.O."),"-----",IF($A15="I.O.","",'Indicators Sheet_(IS)'!#REF!))</f>
        <v>#REF!</v>
      </c>
      <c r="F15" s="165" t="e">
        <f>IF($A15="I.O.","",'Indicators Sheet_(IS)'!#REF!)</f>
        <v>#REF!</v>
      </c>
      <c r="G15" s="164" t="e">
        <f>IF(AND('Indicators Sheet_(IS)'!#REF!="",$A15&lt;&gt;"I.O."),"-----",IF($A15="I.O.","",'Indicators Sheet_(IS)'!#REF!))</f>
        <v>#REF!</v>
      </c>
      <c r="H15" s="144" t="e">
        <f>IF($A15="I.O.","",IF('Indicators Sheet_(IS)'!#REF!="","-----",'Indicators Sheet_(IS)'!#REF!))</f>
        <v>#REF!</v>
      </c>
      <c r="I15" s="144" t="e">
        <f>IF($A15="I.O.","",IF('Indicators Sheet_(IS)'!#REF!="","-----",'Indicators Sheet_(IS)'!#REF!))</f>
        <v>#REF!</v>
      </c>
      <c r="J15" s="148" t="e">
        <f>IF($A15="I.O.","",IF('Indicators Sheet_(IS)'!#REF!="",0,'Indicators Sheet_(IS)'!#REF!))</f>
        <v>#REF!</v>
      </c>
      <c r="K15" s="147" t="e">
        <f>IF($A15="I.O.","",'Indicators Sheet_(IS)'!#REF!)</f>
        <v>#REF!</v>
      </c>
      <c r="L15" s="93" t="e">
        <f>IF(AND('Indicators Sheet_(IS)'!#REF!="",$A15&lt;&gt;"I.O."),"-----",IF($A15="I.O.","",'Indicators Sheet_(IS)'!#REF!))</f>
        <v>#REF!</v>
      </c>
      <c r="M15" s="93" t="e">
        <f>IF(AND('Indicators Sheet_(IS)'!#REF!="",$A15&lt;&gt;"I.O."),"-----",IF($A15="I.O.","",'Indicators Sheet_(IS)'!#REF!))</f>
        <v>#REF!</v>
      </c>
      <c r="O15" s="64" t="e">
        <f t="array" aca="1" ref="O15" ca="1">IF(ROW()-ROW($D$2:$D$23)+1&gt;ROWS($C$2:$C$23)-COUNTBLANK($C$2:$C$23),"",INDIRECT(ADDRESS(SMALL((IF($C$2:$C$23&lt;&gt;"",ROW($C$2:$C$23),ROW()+ROWS($C$2:$C$23))),ROW()-ROW($D$2:$D$23)+1),COLUMN($C$2:$C$23),4)))</f>
        <v>#REF!</v>
      </c>
      <c r="P15" s="146" t="e">
        <f t="array" aca="1" ref="P15" ca="1">IF(ROW()-ROW($E$2:$E$23)+1&gt;ROWS($D$2:$D$23)-COUNTBLANK($D$2:$D$23),"",INDIRECT(ADDRESS(SMALL((IF($D$2:$D$23&gt;"",ROW($D$2:$D$23),ROW()+ROWS($D$2:$D$23))),ROW()-ROW($E$2:$E$23)+1),COLUMN($D$2:$D$23),4)))</f>
        <v>#REF!</v>
      </c>
      <c r="Q15" s="164" t="e">
        <f t="array" aca="1" ref="Q15" ca="1">IF(ROW()-ROW($F$2:$F$23)+1&gt;ROWS($E$2:$E$23)-COUNTBLANK($E$2:$E$23),"",INDIRECT(ADDRESS(SMALL((IF($E$2:$E$23&gt;"",ROW($E$2:$E$23),ROW()+ROWS($E$2:$E$23))),ROW()-ROW($F$2:$F$23)+1),COLUMN($E$2:$E$23),4)))</f>
        <v>#REF!</v>
      </c>
      <c r="R15" s="165" t="e">
        <f t="array" aca="1" ref="R15" ca="1">IF(ROW()-ROW($G$2:$G$23)+1&gt;ROWS($F$2:$F$23)-COUNTBLANK($F$2:$F$23),"",INDIRECT(ADDRESS(SMALL((IF($F$2:$F$23&gt;"",ROW($F$2:$F$23),ROW()+ROWS($F$2:$F$23))),ROW()-ROW($G$2:$G$23)+1),COLUMN($F$2:$F$23),4)))</f>
        <v>#REF!</v>
      </c>
      <c r="S15" s="164" t="e">
        <f t="array" aca="1" ref="S15" ca="1">IF(ROW()-ROW($H$2:$H$23)+1&gt;ROWS($G$2:$G$23)-COUNTBLANK($G$2:$G$23),"",INDIRECT(ADDRESS(SMALL((IF($G$2:$G$23&lt;&gt;"",ROW($G$2:$G$23),ROW()+ROWS($G$2:$G$23))),ROW()-ROW($H$2:$H$23)+1),COLUMN($G$2:$G$23),4)))</f>
        <v>#REF!</v>
      </c>
      <c r="T15" s="144" t="e">
        <f t="array" aca="1" ref="T15" ca="1">IF(ROW()-ROW($I$2:$I$23)+1&gt;ROWS($H$2:$H$23)-COUNTBLANK($H$2:$H$23),"",INDIRECT(ADDRESS(SMALL((IF($H$2:$H$23&lt;&gt;"",ROW($H$2:$H$23),ROW()+ROWS($H$2:$H$23))),ROW()-ROW($I$2:$I$23)+1),COLUMN($H$2:$H$23),4)))</f>
        <v>#REF!</v>
      </c>
      <c r="U15" s="144" t="e">
        <f t="array" aca="1" ref="U15" ca="1">IF(ROW()-ROW($J$2:$J$23)+1&gt;ROWS($I$2:$I$23)-COUNTBLANK($I$2:$I$23),"",INDIRECT(ADDRESS(SMALL((IF($I$2:$I$23&lt;&gt;"",ROW($I$2:$I$23),ROW()+ROWS($I$2:$I$23))),ROW()-ROW($J$2:$J$23)+1),COLUMN($I$2:$I$23),4)))</f>
        <v>#REF!</v>
      </c>
      <c r="V15" s="148" t="e">
        <f t="array" aca="1" ref="V15" ca="1">IF(ROW()-ROW($K$2:$K$23)+1&gt;ROWS($J$2:$J$23)-COUNTBLANK($J$2:$J$23),"",INDIRECT(ADDRESS(SMALL((IF($J$2:$J$23&lt;&gt;"",ROW($J$2:$J$23),ROW()+ROWS($J$2:$J$23))),ROW()-ROW($K$2:$K$23)+1),COLUMN($J$2:$J$23),4)))</f>
        <v>#REF!</v>
      </c>
      <c r="W15" s="147" t="e">
        <f t="array" aca="1" ref="W15" ca="1">IF(ROW()-ROW($L$2:$L$23)+1&gt;ROWS($K$2:$K$23)-COUNTBLANK($K$2:$K$23),"",INDIRECT(ADDRESS(SMALL((IF($K$2:$K$23&lt;&gt;"",ROW($K$2:$K$23),ROW()+ROWS($K$2:$K$23))),ROW()-ROW($L$2:$L$23)+1),COLUMN($K$2:$K$23),4)))</f>
        <v>#REF!</v>
      </c>
      <c r="X15" s="93" t="e">
        <f t="array" aca="1" ref="X15" ca="1">IF(ROW()-ROW($M$2:$M$23)+1&gt;ROWS($L$2:$L$23)-COUNTBLANK($L$2:$L$23),"",INDIRECT(ADDRESS(SMALL((IF($L$2:$L$23&lt;&gt;"",ROW($L$2:$L$23),ROW()+ROWS($L$2:$L$23))),ROW()-ROW($M$2:$M$23)+1),COLUMN($L$2:$L$23),4)))</f>
        <v>#REF!</v>
      </c>
      <c r="Y15" s="93" t="e">
        <f t="array" aca="1" ref="Y15" ca="1">IF(ROW()-ROW($N$2:$N$23)+1&gt;ROWS($M$2:$M$23)-COUNTBLANK($M$2:$M$23),"",INDIRECT(ADDRESS(SMALL((IF($M$2:$M$23&lt;&gt;"",ROW($M$2:$M$23),ROW()+ROWS($M$2:$M$23))),ROW()-ROW($N$2:$N$23)+1),COLUMN($M$2:$M$23),4)))</f>
        <v>#REF!</v>
      </c>
    </row>
    <row r="16" spans="1:25" ht="34.5" customHeight="1" x14ac:dyDescent="0.25">
      <c r="A16" s="289" t="e">
        <f>IF('Indicators Sheet_(IS)'!#REF!=0,"",'Indicators Sheet_(IS)'!#REF!)</f>
        <v>#REF!</v>
      </c>
      <c r="C16" s="147" t="e">
        <f>IF($A16="I.O.","",LEFT('Indicators Sheet_(IS)'!#REF!,2))</f>
        <v>#REF!</v>
      </c>
      <c r="D16" s="146" t="e">
        <f>IF($A16="I.O.","",'Indicators Sheet_(IS)'!#REF!)</f>
        <v>#REF!</v>
      </c>
      <c r="E16" s="164" t="e">
        <f>IF(AND('Indicators Sheet_(IS)'!#REF!="",$A16&lt;&gt;"I.O."),"-----",IF($A16="I.O.","",'Indicators Sheet_(IS)'!#REF!))</f>
        <v>#REF!</v>
      </c>
      <c r="F16" s="165" t="e">
        <f>IF($A16="I.O.","",'Indicators Sheet_(IS)'!#REF!)</f>
        <v>#REF!</v>
      </c>
      <c r="G16" s="164" t="e">
        <f>IF(AND('Indicators Sheet_(IS)'!#REF!="",$A16&lt;&gt;"I.O."),"-----",IF($A16="I.O.","",'Indicators Sheet_(IS)'!#REF!))</f>
        <v>#REF!</v>
      </c>
      <c r="H16" s="144" t="e">
        <f>IF($A16="I.O.","",IF('Indicators Sheet_(IS)'!#REF!="","-----",'Indicators Sheet_(IS)'!#REF!))</f>
        <v>#REF!</v>
      </c>
      <c r="I16" s="144" t="e">
        <f>IF($A16="I.O.","",IF('Indicators Sheet_(IS)'!#REF!="","-----",'Indicators Sheet_(IS)'!#REF!))</f>
        <v>#REF!</v>
      </c>
      <c r="J16" s="148" t="e">
        <f>IF($A16="I.O.","",IF('Indicators Sheet_(IS)'!#REF!="","-----",'Indicators Sheet_(IS)'!#REF!))</f>
        <v>#REF!</v>
      </c>
      <c r="K16" s="147" t="e">
        <f>IF($A16="I.O.","",'Indicators Sheet_(IS)'!#REF!)</f>
        <v>#REF!</v>
      </c>
      <c r="L16" s="93" t="e">
        <f>IF(AND('Indicators Sheet_(IS)'!#REF!="",$A16&lt;&gt;"I.O."),"-----",IF($A16="I.O.","",'Indicators Sheet_(IS)'!#REF!))</f>
        <v>#REF!</v>
      </c>
      <c r="M16" s="93" t="e">
        <f>IF(AND('Indicators Sheet_(IS)'!#REF!="",$A16&lt;&gt;"I.O."),"-----",IF($A16="I.O.","",'Indicators Sheet_(IS)'!#REF!))</f>
        <v>#REF!</v>
      </c>
      <c r="O16" s="64" t="e">
        <f t="array" aca="1" ref="O16" ca="1">IF(ROW()-ROW($D$2:$D$23)+1&gt;ROWS($C$2:$C$23)-COUNTBLANK($C$2:$C$23),"",INDIRECT(ADDRESS(SMALL((IF($C$2:$C$23&lt;&gt;"",ROW($C$2:$C$23),ROW()+ROWS($C$2:$C$23))),ROW()-ROW($D$2:$D$23)+1),COLUMN($C$2:$C$23),4)))</f>
        <v>#REF!</v>
      </c>
      <c r="P16" s="146" t="e">
        <f t="array" aca="1" ref="P16" ca="1">IF(ROW()-ROW($E$2:$E$23)+1&gt;ROWS($D$2:$D$23)-COUNTBLANK($D$2:$D$23),"",INDIRECT(ADDRESS(SMALL((IF($D$2:$D$23&gt;"",ROW($D$2:$D$23),ROW()+ROWS($D$2:$D$23))),ROW()-ROW($E$2:$E$23)+1),COLUMN($D$2:$D$23),4)))</f>
        <v>#REF!</v>
      </c>
      <c r="Q16" s="164" t="e">
        <f t="array" aca="1" ref="Q16" ca="1">IF(ROW()-ROW($F$2:$F$23)+1&gt;ROWS($E$2:$E$23)-COUNTBLANK($E$2:$E$23),"",INDIRECT(ADDRESS(SMALL((IF($E$2:$E$23&gt;"",ROW($E$2:$E$23),ROW()+ROWS($E$2:$E$23))),ROW()-ROW($F$2:$F$23)+1),COLUMN($E$2:$E$23),4)))</f>
        <v>#REF!</v>
      </c>
      <c r="R16" s="165" t="e">
        <f t="array" aca="1" ref="R16" ca="1">IF(ROW()-ROW($G$2:$G$23)+1&gt;ROWS($F$2:$F$23)-COUNTBLANK($F$2:$F$23),"",INDIRECT(ADDRESS(SMALL((IF($F$2:$F$23&gt;"",ROW($F$2:$F$23),ROW()+ROWS($F$2:$F$23))),ROW()-ROW($G$2:$G$23)+1),COLUMN($F$2:$F$23),4)))</f>
        <v>#REF!</v>
      </c>
      <c r="S16" s="164" t="e">
        <f t="array" aca="1" ref="S16" ca="1">IF(ROW()-ROW($H$2:$H$23)+1&gt;ROWS($G$2:$G$23)-COUNTBLANK($G$2:$G$23),"",INDIRECT(ADDRESS(SMALL((IF($G$2:$G$23&lt;&gt;"",ROW($G$2:$G$23),ROW()+ROWS($G$2:$G$23))),ROW()-ROW($H$2:$H$23)+1),COLUMN($G$2:$G$23),4)))</f>
        <v>#REF!</v>
      </c>
      <c r="T16" s="144" t="e">
        <f t="array" aca="1" ref="T16" ca="1">IF(ROW()-ROW($I$2:$I$23)+1&gt;ROWS($H$2:$H$23)-COUNTBLANK($H$2:$H$23),"",INDIRECT(ADDRESS(SMALL((IF($H$2:$H$23&lt;&gt;"",ROW($H$2:$H$23),ROW()+ROWS($H$2:$H$23))),ROW()-ROW($I$2:$I$23)+1),COLUMN($H$2:$H$23),4)))</f>
        <v>#REF!</v>
      </c>
      <c r="U16" s="144" t="e">
        <f t="array" aca="1" ref="U16" ca="1">IF(ROW()-ROW($J$2:$J$23)+1&gt;ROWS($I$2:$I$23)-COUNTBLANK($I$2:$I$23),"",INDIRECT(ADDRESS(SMALL((IF($I$2:$I$23&lt;&gt;"",ROW($I$2:$I$23),ROW()+ROWS($I$2:$I$23))),ROW()-ROW($J$2:$J$23)+1),COLUMN($I$2:$I$23),4)))</f>
        <v>#REF!</v>
      </c>
      <c r="V16" s="148" t="e">
        <f t="array" aca="1" ref="V16" ca="1">IF(ROW()-ROW($K$2:$K$23)+1&gt;ROWS($J$2:$J$23)-COUNTBLANK($J$2:$J$23),"",INDIRECT(ADDRESS(SMALL((IF($J$2:$J$23&lt;&gt;"",ROW($J$2:$J$23),ROW()+ROWS($J$2:$J$23))),ROW()-ROW($K$2:$K$23)+1),COLUMN($J$2:$J$23),4)))</f>
        <v>#REF!</v>
      </c>
      <c r="W16" s="147" t="e">
        <f t="array" aca="1" ref="W16" ca="1">IF(ROW()-ROW($L$2:$L$23)+1&gt;ROWS($K$2:$K$23)-COUNTBLANK($K$2:$K$23),"",INDIRECT(ADDRESS(SMALL((IF($K$2:$K$23&lt;&gt;"",ROW($K$2:$K$23),ROW()+ROWS($K$2:$K$23))),ROW()-ROW($L$2:$L$23)+1),COLUMN($K$2:$K$23),4)))</f>
        <v>#REF!</v>
      </c>
      <c r="X16" s="93" t="e">
        <f t="array" aca="1" ref="X16" ca="1">IF(ROW()-ROW($M$2:$M$23)+1&gt;ROWS($L$2:$L$23)-COUNTBLANK($L$2:$L$23),"",INDIRECT(ADDRESS(SMALL((IF($L$2:$L$23&lt;&gt;"",ROW($L$2:$L$23),ROW()+ROWS($L$2:$L$23))),ROW()-ROW($M$2:$M$23)+1),COLUMN($L$2:$L$23),4)))</f>
        <v>#REF!</v>
      </c>
      <c r="Y16" s="93" t="e">
        <f t="array" aca="1" ref="Y16" ca="1">IF(ROW()-ROW($N$2:$N$23)+1&gt;ROWS($M$2:$M$23)-COUNTBLANK($M$2:$M$23),"",INDIRECT(ADDRESS(SMALL((IF($M$2:$M$23&lt;&gt;"",ROW($M$2:$M$23),ROW()+ROWS($M$2:$M$23))),ROW()-ROW($N$2:$N$23)+1),COLUMN($M$2:$M$23),4)))</f>
        <v>#REF!</v>
      </c>
    </row>
    <row r="17" spans="1:25" ht="34.5" customHeight="1" x14ac:dyDescent="0.25">
      <c r="A17" s="289" t="str">
        <f>IF('Indicators Sheet_(IS)'!P50=0,"",'Indicators Sheet_(IS)'!P50)</f>
        <v>Incomplete</v>
      </c>
      <c r="C17" s="147" t="str">
        <f>IF($A17="I.O.","",LEFT('Indicators Sheet_(IS)'!A50,2))</f>
        <v>14</v>
      </c>
      <c r="D17" s="146" t="str">
        <f>IF($A17="I.O.","",'Indicators Sheet_(IS)'!C50)</f>
        <v>Cervical cancer:
Cytological/
histological lymph node staging</v>
      </c>
      <c r="E17" s="164" t="str">
        <f>IF(AND('Indicators Sheet_(IS)'!J50="",$A17&lt;&gt;"I.O."),"-----",IF($A17="I.O.","",'Indicators Sheet_(IS)'!J50))</f>
        <v>-----</v>
      </c>
      <c r="F17" s="165" t="str">
        <f>IF($A17="I.O.","",'Indicators Sheet_(IS)'!K50)</f>
        <v>≥ 60%</v>
      </c>
      <c r="G17" s="164" t="str">
        <f>IF(AND('Indicators Sheet_(IS)'!M50="",$A17&lt;&gt;"I.O."),"-----",IF($A17="I.O.","",'Indicators Sheet_(IS)'!M50))</f>
        <v>-----</v>
      </c>
      <c r="H17" s="144" t="str">
        <f>IF($A17="I.O.","",IF('Indicators Sheet_(IS)'!O50="","-----",'Indicators Sheet_(IS)'!O50))</f>
        <v>-----</v>
      </c>
      <c r="I17" s="144">
        <f>IF($A17="I.O.","",IF('Indicators Sheet_(IS)'!O51="","-----",'Indicators Sheet_(IS)'!O51))</f>
        <v>0</v>
      </c>
      <c r="J17" s="148" t="str">
        <f>IF($A17="I.O.","",IF('Indicators Sheet_(IS)'!O52="","-----",'Indicators Sheet_(IS)'!O52))</f>
        <v>n.d.</v>
      </c>
      <c r="K17" s="147" t="str">
        <f>IF($A17="I.O.","",'Indicators Sheet_(IS)'!P50)</f>
        <v>Incomplete</v>
      </c>
      <c r="L17" s="93" t="str">
        <f>IF(AND('Indicators Sheet_(IS)'!Q50="",$A17&lt;&gt;"I.O."),"-----",IF($A17="I.O.","",'Indicators Sheet_(IS)'!Q50))</f>
        <v>-----</v>
      </c>
      <c r="M17" s="93" t="str">
        <f>IF(AND('Indicators Sheet_(IS)'!R50="",$A17&lt;&gt;"I.O."),"-----",IF($A17="I.O.","",'Indicators Sheet_(IS)'!R50))</f>
        <v>-----</v>
      </c>
      <c r="O17" s="64" t="e">
        <f t="array" aca="1" ref="O17" ca="1">IF(ROW()-ROW($D$2:$D$23)+1&gt;ROWS($C$2:$C$23)-COUNTBLANK($C$2:$C$23),"",INDIRECT(ADDRESS(SMALL((IF($C$2:$C$23&lt;&gt;"",ROW($C$2:$C$23),ROW()+ROWS($C$2:$C$23))),ROW()-ROW($D$2:$D$23)+1),COLUMN($C$2:$C$23),4)))</f>
        <v>#REF!</v>
      </c>
      <c r="P17" s="146" t="e">
        <f t="array" aca="1" ref="P17" ca="1">IF(ROW()-ROW($E$2:$E$23)+1&gt;ROWS($D$2:$D$23)-COUNTBLANK($D$2:$D$23),"",INDIRECT(ADDRESS(SMALL((IF($D$2:$D$23&gt;"",ROW($D$2:$D$23),ROW()+ROWS($D$2:$D$23))),ROW()-ROW($E$2:$E$23)+1),COLUMN($D$2:$D$23),4)))</f>
        <v>#REF!</v>
      </c>
      <c r="Q17" s="164" t="e">
        <f t="array" aca="1" ref="Q17" ca="1">IF(ROW()-ROW($F$2:$F$23)+1&gt;ROWS($E$2:$E$23)-COUNTBLANK($E$2:$E$23),"",INDIRECT(ADDRESS(SMALL((IF($E$2:$E$23&gt;"",ROW($E$2:$E$23),ROW()+ROWS($E$2:$E$23))),ROW()-ROW($F$2:$F$23)+1),COLUMN($E$2:$E$23),4)))</f>
        <v>#REF!</v>
      </c>
      <c r="R17" s="165" t="e">
        <f t="array" aca="1" ref="R17" ca="1">IF(ROW()-ROW($G$2:$G$23)+1&gt;ROWS($F$2:$F$23)-COUNTBLANK($F$2:$F$23),"",INDIRECT(ADDRESS(SMALL((IF($F$2:$F$23&gt;"",ROW($F$2:$F$23),ROW()+ROWS($F$2:$F$23))),ROW()-ROW($G$2:$G$23)+1),COLUMN($F$2:$F$23),4)))</f>
        <v>#REF!</v>
      </c>
      <c r="S17" s="164" t="e">
        <f t="array" aca="1" ref="S17" ca="1">IF(ROW()-ROW($H$2:$H$23)+1&gt;ROWS($G$2:$G$23)-COUNTBLANK($G$2:$G$23),"",INDIRECT(ADDRESS(SMALL((IF($G$2:$G$23&lt;&gt;"",ROW($G$2:$G$23),ROW()+ROWS($G$2:$G$23))),ROW()-ROW($H$2:$H$23)+1),COLUMN($G$2:$G$23),4)))</f>
        <v>#REF!</v>
      </c>
      <c r="T17" s="144" t="e">
        <f t="array" aca="1" ref="T17" ca="1">IF(ROW()-ROW($I$2:$I$23)+1&gt;ROWS($H$2:$H$23)-COUNTBLANK($H$2:$H$23),"",INDIRECT(ADDRESS(SMALL((IF($H$2:$H$23&lt;&gt;"",ROW($H$2:$H$23),ROW()+ROWS($H$2:$H$23))),ROW()-ROW($I$2:$I$23)+1),COLUMN($H$2:$H$23),4)))</f>
        <v>#REF!</v>
      </c>
      <c r="U17" s="144" t="e">
        <f t="array" aca="1" ref="U17" ca="1">IF(ROW()-ROW($J$2:$J$23)+1&gt;ROWS($I$2:$I$23)-COUNTBLANK($I$2:$I$23),"",INDIRECT(ADDRESS(SMALL((IF($I$2:$I$23&lt;&gt;"",ROW($I$2:$I$23),ROW()+ROWS($I$2:$I$23))),ROW()-ROW($J$2:$J$23)+1),COLUMN($I$2:$I$23),4)))</f>
        <v>#REF!</v>
      </c>
      <c r="V17" s="148" t="e">
        <f t="array" aca="1" ref="V17" ca="1">IF(ROW()-ROW($K$2:$K$23)+1&gt;ROWS($J$2:$J$23)-COUNTBLANK($J$2:$J$23),"",INDIRECT(ADDRESS(SMALL((IF($J$2:$J$23&lt;&gt;"",ROW($J$2:$J$23),ROW()+ROWS($J$2:$J$23))),ROW()-ROW($K$2:$K$23)+1),COLUMN($J$2:$J$23),4)))</f>
        <v>#REF!</v>
      </c>
      <c r="W17" s="147" t="e">
        <f t="array" aca="1" ref="W17" ca="1">IF(ROW()-ROW($L$2:$L$23)+1&gt;ROWS($K$2:$K$23)-COUNTBLANK($K$2:$K$23),"",INDIRECT(ADDRESS(SMALL((IF($K$2:$K$23&lt;&gt;"",ROW($K$2:$K$23),ROW()+ROWS($K$2:$K$23))),ROW()-ROW($L$2:$L$23)+1),COLUMN($K$2:$K$23),4)))</f>
        <v>#REF!</v>
      </c>
      <c r="X17" s="93" t="e">
        <f t="array" aca="1" ref="X17" ca="1">IF(ROW()-ROW($M$2:$M$23)+1&gt;ROWS($L$2:$L$23)-COUNTBLANK($L$2:$L$23),"",INDIRECT(ADDRESS(SMALL((IF($L$2:$L$23&lt;&gt;"",ROW($L$2:$L$23),ROW()+ROWS($L$2:$L$23))),ROW()-ROW($M$2:$M$23)+1),COLUMN($L$2:$L$23),4)))</f>
        <v>#REF!</v>
      </c>
      <c r="Y17" s="93" t="e">
        <f t="array" aca="1" ref="Y17" ca="1">IF(ROW()-ROW($N$2:$N$23)+1&gt;ROWS($M$2:$M$23)-COUNTBLANK($M$2:$M$23),"",INDIRECT(ADDRESS(SMALL((IF($M$2:$M$23&lt;&gt;"",ROW($M$2:$M$23),ROW()+ROWS($M$2:$M$23))),ROW()-ROW($N$2:$N$23)+1),COLUMN($M$2:$M$23),4)))</f>
        <v>#REF!</v>
      </c>
    </row>
    <row r="18" spans="1:25" ht="34.5" customHeight="1" x14ac:dyDescent="0.25">
      <c r="A18" s="289" t="str">
        <f>IF('Indicators Sheet_(IS)'!P59=0,"",'Indicators Sheet_(IS)'!P59)</f>
        <v>Incomplete</v>
      </c>
      <c r="C18" s="147" t="str">
        <f>IF($A18="I.O.","",LEFT('Indicators Sheet_(IS)'!A59,2))</f>
        <v>17</v>
      </c>
      <c r="D18" s="146" t="str">
        <f>IF($A18="I.O.","",'Indicators Sheet_(IS)'!C59)</f>
        <v>Vulvar cancer:
Details in pathology report in the case of first diagnosis and tumour resection</v>
      </c>
      <c r="E18" s="164" t="str">
        <f>IF(AND('Indicators Sheet_(IS)'!J59="",$A18&lt;&gt;"I.O."),"-----",IF($A18="I.O.","",'Indicators Sheet_(IS)'!J59))</f>
        <v>-----</v>
      </c>
      <c r="F18" s="165" t="str">
        <f>IF($A18="I.O.","",'Indicators Sheet_(IS)'!K59)</f>
        <v>≥ 90%</v>
      </c>
      <c r="G18" s="164" t="str">
        <f>IF(AND('Indicators Sheet_(IS)'!M59="",$A18&lt;&gt;"I.O."),"-----",IF($A18="I.O.","",'Indicators Sheet_(IS)'!M59))</f>
        <v>-----</v>
      </c>
      <c r="H18" s="144" t="str">
        <f>IF($A18="I.O.","",IF('Indicators Sheet_(IS)'!O59="","-----",'Indicators Sheet_(IS)'!O59))</f>
        <v>-----</v>
      </c>
      <c r="I18" s="144" t="str">
        <f>IF($A18="I.O.","",IF('Indicators Sheet_(IS)'!O60="","-----",'Indicators Sheet_(IS)'!O60))</f>
        <v>-----</v>
      </c>
      <c r="J18" s="148" t="str">
        <f>IF($A18="I.O.","",IF('Indicators Sheet_(IS)'!O61="","-----",'Indicators Sheet_(IS)'!O61))</f>
        <v>n.d.</v>
      </c>
      <c r="K18" s="147" t="str">
        <f>IF($A18="I.O.","",'Indicators Sheet_(IS)'!P59)</f>
        <v>Incomplete</v>
      </c>
      <c r="L18" s="93" t="str">
        <f>IF(AND('Indicators Sheet_(IS)'!Q59="",$A18&lt;&gt;"I.O."),"-----",IF($A18="I.O.","",'Indicators Sheet_(IS)'!Q59))</f>
        <v>-----</v>
      </c>
      <c r="M18" s="93" t="str">
        <f>IF(AND('Indicators Sheet_(IS)'!R59="",$A18&lt;&gt;"I.O."),"-----",IF($A18="I.O.","",'Indicators Sheet_(IS)'!R59))</f>
        <v>-----</v>
      </c>
      <c r="O18" s="64" t="e">
        <f t="array" aca="1" ref="O18" ca="1">IF(ROW()-ROW($D$2:$D$23)+1&gt;ROWS($C$2:$C$23)-COUNTBLANK($C$2:$C$23),"",INDIRECT(ADDRESS(SMALL((IF($C$2:$C$23&lt;&gt;"",ROW($C$2:$C$23),ROW()+ROWS($C$2:$C$23))),ROW()-ROW($D$2:$D$23)+1),COLUMN($C$2:$C$23),4)))</f>
        <v>#REF!</v>
      </c>
      <c r="P18" s="146" t="e">
        <f t="array" aca="1" ref="P18" ca="1">IF(ROW()-ROW($E$2:$E$23)+1&gt;ROWS($D$2:$D$23)-COUNTBLANK($D$2:$D$23),"",INDIRECT(ADDRESS(SMALL((IF($D$2:$D$23&gt;"",ROW($D$2:$D$23),ROW()+ROWS($D$2:$D$23))),ROW()-ROW($E$2:$E$23)+1),COLUMN($D$2:$D$23),4)))</f>
        <v>#REF!</v>
      </c>
      <c r="Q18" s="164" t="e">
        <f t="array" aca="1" ref="Q18" ca="1">IF(ROW()-ROW($F$2:$F$23)+1&gt;ROWS($E$2:$E$23)-COUNTBLANK($E$2:$E$23),"",INDIRECT(ADDRESS(SMALL((IF($E$2:$E$23&gt;"",ROW($E$2:$E$23),ROW()+ROWS($E$2:$E$23))),ROW()-ROW($F$2:$F$23)+1),COLUMN($E$2:$E$23),4)))</f>
        <v>#REF!</v>
      </c>
      <c r="R18" s="165" t="e">
        <f t="array" aca="1" ref="R18" ca="1">IF(ROW()-ROW($G$2:$G$23)+1&gt;ROWS($F$2:$F$23)-COUNTBLANK($F$2:$F$23),"",INDIRECT(ADDRESS(SMALL((IF($F$2:$F$23&gt;"",ROW($F$2:$F$23),ROW()+ROWS($F$2:$F$23))),ROW()-ROW($G$2:$G$23)+1),COLUMN($F$2:$F$23),4)))</f>
        <v>#REF!</v>
      </c>
      <c r="S18" s="164" t="e">
        <f t="array" aca="1" ref="S18" ca="1">IF(ROW()-ROW($H$2:$H$23)+1&gt;ROWS($G$2:$G$23)-COUNTBLANK($G$2:$G$23),"",INDIRECT(ADDRESS(SMALL((IF($G$2:$G$23&lt;&gt;"",ROW($G$2:$G$23),ROW()+ROWS($G$2:$G$23))),ROW()-ROW($H$2:$H$23)+1),COLUMN($G$2:$G$23),4)))</f>
        <v>#REF!</v>
      </c>
      <c r="T18" s="144" t="e">
        <f t="array" aca="1" ref="T18" ca="1">IF(ROW()-ROW($I$2:$I$23)+1&gt;ROWS($H$2:$H$23)-COUNTBLANK($H$2:$H$23),"",INDIRECT(ADDRESS(SMALL((IF($H$2:$H$23&lt;&gt;"",ROW($H$2:$H$23),ROW()+ROWS($H$2:$H$23))),ROW()-ROW($I$2:$I$23)+1),COLUMN($H$2:$H$23),4)))</f>
        <v>#REF!</v>
      </c>
      <c r="U18" s="144" t="e">
        <f t="array" aca="1" ref="U18" ca="1">IF(ROW()-ROW($J$2:$J$23)+1&gt;ROWS($I$2:$I$23)-COUNTBLANK($I$2:$I$23),"",INDIRECT(ADDRESS(SMALL((IF($I$2:$I$23&lt;&gt;"",ROW($I$2:$I$23),ROW()+ROWS($I$2:$I$23))),ROW()-ROW($J$2:$J$23)+1),COLUMN($I$2:$I$23),4)))</f>
        <v>#REF!</v>
      </c>
      <c r="V18" s="148" t="e">
        <f t="array" aca="1" ref="V18" ca="1">IF(ROW()-ROW($K$2:$K$23)+1&gt;ROWS($J$2:$J$23)-COUNTBLANK($J$2:$J$23),"",INDIRECT(ADDRESS(SMALL((IF($J$2:$J$23&lt;&gt;"",ROW($J$2:$J$23),ROW()+ROWS($J$2:$J$23))),ROW()-ROW($K$2:$K$23)+1),COLUMN($J$2:$J$23),4)))</f>
        <v>#REF!</v>
      </c>
      <c r="W18" s="147" t="e">
        <f t="array" aca="1" ref="W18" ca="1">IF(ROW()-ROW($L$2:$L$23)+1&gt;ROWS($K$2:$K$23)-COUNTBLANK($K$2:$K$23),"",INDIRECT(ADDRESS(SMALL((IF($K$2:$K$23&lt;&gt;"",ROW($K$2:$K$23),ROW()+ROWS($K$2:$K$23))),ROW()-ROW($L$2:$L$23)+1),COLUMN($K$2:$K$23),4)))</f>
        <v>#REF!</v>
      </c>
      <c r="X18" s="93" t="e">
        <f t="array" aca="1" ref="X18" ca="1">IF(ROW()-ROW($M$2:$M$23)+1&gt;ROWS($L$2:$L$23)-COUNTBLANK($L$2:$L$23),"",INDIRECT(ADDRESS(SMALL((IF($L$2:$L$23&lt;&gt;"",ROW($L$2:$L$23),ROW()+ROWS($L$2:$L$23))),ROW()-ROW($M$2:$M$23)+1),COLUMN($L$2:$L$23),4)))</f>
        <v>#REF!</v>
      </c>
      <c r="Y18" s="93" t="e">
        <f t="array" aca="1" ref="Y18" ca="1">IF(ROW()-ROW($N$2:$N$23)+1&gt;ROWS($M$2:$M$23)-COUNTBLANK($M$2:$M$23),"",INDIRECT(ADDRESS(SMALL((IF($M$2:$M$23&lt;&gt;"",ROW($M$2:$M$23),ROW()+ROWS($M$2:$M$23))),ROW()-ROW($N$2:$N$23)+1),COLUMN($M$2:$M$23),4)))</f>
        <v>#REF!</v>
      </c>
    </row>
    <row r="19" spans="1:25" ht="34.5" customHeight="1" x14ac:dyDescent="0.25">
      <c r="A19" s="289" t="str">
        <f>IF('Indicators Sheet_(IS)'!P62=0,"",'Indicators Sheet_(IS)'!P62)</f>
        <v>Incomplete</v>
      </c>
      <c r="C19" s="147" t="str">
        <f>IF($A19="I.O.","",LEFT('Indicators Sheet_(IS)'!A62,2))</f>
        <v>18</v>
      </c>
      <c r="D19" s="146" t="str">
        <f>IF($A19="I.O.","",'Indicators Sheet_(IS)'!C62)</f>
        <v>Vulvar cancer:
Details in pathology report in the case of lymphonodectomy</v>
      </c>
      <c r="E19" s="164" t="str">
        <f>IF(AND('Indicators Sheet_(IS)'!J62="",$A19&lt;&gt;"I.O."),"-----",IF($A19="I.O.","",'Indicators Sheet_(IS)'!J62))</f>
        <v>-----</v>
      </c>
      <c r="F19" s="165" t="str">
        <f>IF($A19="I.O.","",'Indicators Sheet_(IS)'!K62)</f>
        <v>≥ 90%</v>
      </c>
      <c r="G19" s="164" t="str">
        <f>IF(AND('Indicators Sheet_(IS)'!M62="",$A19&lt;&gt;"I.O."),"-----",IF($A19="I.O.","",'Indicators Sheet_(IS)'!M62))</f>
        <v>-----</v>
      </c>
      <c r="H19" s="144" t="str">
        <f>IF($A19="I.O.","",IF('Indicators Sheet_(IS)'!O62="","-----",'Indicators Sheet_(IS)'!O62))</f>
        <v>-----</v>
      </c>
      <c r="I19" s="144" t="str">
        <f>IF($A19="I.O.","",IF('Indicators Sheet_(IS)'!O63="","-----",'Indicators Sheet_(IS)'!O63))</f>
        <v>-----</v>
      </c>
      <c r="J19" s="148" t="str">
        <f>IF($A19="I.O.","",IF('Indicators Sheet_(IS)'!O64="","-----",'Indicators Sheet_(IS)'!O64))</f>
        <v>n.d.</v>
      </c>
      <c r="K19" s="147" t="str">
        <f>IF($A19="I.O.","",'Indicators Sheet_(IS)'!P62)</f>
        <v>Incomplete</v>
      </c>
      <c r="L19" s="93" t="str">
        <f>IF(AND('Indicators Sheet_(IS)'!Q62="",$A19&lt;&gt;"I.O."),"-----",IF($A19="I.O.","",'Indicators Sheet_(IS)'!Q62))</f>
        <v>-----</v>
      </c>
      <c r="M19" s="93" t="str">
        <f>IF(AND('Indicators Sheet_(IS)'!R62="",$A19&lt;&gt;"I.O."),"-----",IF($A19="I.O.","",'Indicators Sheet_(IS)'!R62))</f>
        <v>-----</v>
      </c>
      <c r="O19" s="64" t="e">
        <f t="array" aca="1" ref="O19" ca="1">IF(ROW()-ROW($D$2:$D$23)+1&gt;ROWS($C$2:$C$23)-COUNTBLANK($C$2:$C$23),"",INDIRECT(ADDRESS(SMALL((IF($C$2:$C$23&lt;&gt;"",ROW($C$2:$C$23),ROW()+ROWS($C$2:$C$23))),ROW()-ROW($D$2:$D$23)+1),COLUMN($C$2:$C$23),4)))</f>
        <v>#REF!</v>
      </c>
      <c r="P19" s="146" t="e">
        <f t="array" aca="1" ref="P19" ca="1">IF(ROW()-ROW($E$2:$E$23)+1&gt;ROWS($D$2:$D$23)-COUNTBLANK($D$2:$D$23),"",INDIRECT(ADDRESS(SMALL((IF($D$2:$D$23&gt;"",ROW($D$2:$D$23),ROW()+ROWS($D$2:$D$23))),ROW()-ROW($E$2:$E$23)+1),COLUMN($D$2:$D$23),4)))</f>
        <v>#REF!</v>
      </c>
      <c r="Q19" s="164" t="e">
        <f t="array" aca="1" ref="Q19" ca="1">IF(ROW()-ROW($F$2:$F$23)+1&gt;ROWS($E$2:$E$23)-COUNTBLANK($E$2:$E$23),"",INDIRECT(ADDRESS(SMALL((IF($E$2:$E$23&gt;"",ROW($E$2:$E$23),ROW()+ROWS($E$2:$E$23))),ROW()-ROW($F$2:$F$23)+1),COLUMN($E$2:$E$23),4)))</f>
        <v>#REF!</v>
      </c>
      <c r="R19" s="165" t="e">
        <f t="array" aca="1" ref="R19" ca="1">IF(ROW()-ROW($G$2:$G$23)+1&gt;ROWS($F$2:$F$23)-COUNTBLANK($F$2:$F$23),"",INDIRECT(ADDRESS(SMALL((IF($F$2:$F$23&gt;"",ROW($F$2:$F$23),ROW()+ROWS($F$2:$F$23))),ROW()-ROW($G$2:$G$23)+1),COLUMN($F$2:$F$23),4)))</f>
        <v>#REF!</v>
      </c>
      <c r="S19" s="164" t="e">
        <f t="array" aca="1" ref="S19" ca="1">IF(ROW()-ROW($H$2:$H$23)+1&gt;ROWS($G$2:$G$23)-COUNTBLANK($G$2:$G$23),"",INDIRECT(ADDRESS(SMALL((IF($G$2:$G$23&lt;&gt;"",ROW($G$2:$G$23),ROW()+ROWS($G$2:$G$23))),ROW()-ROW($H$2:$H$23)+1),COLUMN($G$2:$G$23),4)))</f>
        <v>#REF!</v>
      </c>
      <c r="T19" s="144" t="e">
        <f t="array" aca="1" ref="T19" ca="1">IF(ROW()-ROW($I$2:$I$23)+1&gt;ROWS($H$2:$H$23)-COUNTBLANK($H$2:$H$23),"",INDIRECT(ADDRESS(SMALL((IF($H$2:$H$23&lt;&gt;"",ROW($H$2:$H$23),ROW()+ROWS($H$2:$H$23))),ROW()-ROW($I$2:$I$23)+1),COLUMN($H$2:$H$23),4)))</f>
        <v>#REF!</v>
      </c>
      <c r="U19" s="144" t="e">
        <f t="array" aca="1" ref="U19" ca="1">IF(ROW()-ROW($J$2:$J$23)+1&gt;ROWS($I$2:$I$23)-COUNTBLANK($I$2:$I$23),"",INDIRECT(ADDRESS(SMALL((IF($I$2:$I$23&lt;&gt;"",ROW($I$2:$I$23),ROW()+ROWS($I$2:$I$23))),ROW()-ROW($J$2:$J$23)+1),COLUMN($I$2:$I$23),4)))</f>
        <v>#REF!</v>
      </c>
      <c r="V19" s="148" t="e">
        <f t="array" aca="1" ref="V19" ca="1">IF(ROW()-ROW($K$2:$K$23)+1&gt;ROWS($J$2:$J$23)-COUNTBLANK($J$2:$J$23),"",INDIRECT(ADDRESS(SMALL((IF($J$2:$J$23&lt;&gt;"",ROW($J$2:$J$23),ROW()+ROWS($J$2:$J$23))),ROW()-ROW($K$2:$K$23)+1),COLUMN($J$2:$J$23),4)))</f>
        <v>#REF!</v>
      </c>
      <c r="W19" s="147" t="e">
        <f t="array" aca="1" ref="W19" ca="1">IF(ROW()-ROW($L$2:$L$23)+1&gt;ROWS($K$2:$K$23)-COUNTBLANK($K$2:$K$23),"",INDIRECT(ADDRESS(SMALL((IF($K$2:$K$23&lt;&gt;"",ROW($K$2:$K$23),ROW()+ROWS($K$2:$K$23))),ROW()-ROW($L$2:$L$23)+1),COLUMN($K$2:$K$23),4)))</f>
        <v>#REF!</v>
      </c>
      <c r="X19" s="93" t="e">
        <f t="array" aca="1" ref="X19" ca="1">IF(ROW()-ROW($M$2:$M$23)+1&gt;ROWS($L$2:$L$23)-COUNTBLANK($L$2:$L$23),"",INDIRECT(ADDRESS(SMALL((IF($L$2:$L$23&lt;&gt;"",ROW($L$2:$L$23),ROW()+ROWS($L$2:$L$23))),ROW()-ROW($M$2:$M$23)+1),COLUMN($L$2:$L$23),4)))</f>
        <v>#REF!</v>
      </c>
      <c r="Y19" s="93" t="e">
        <f t="array" aca="1" ref="Y19" ca="1">IF(ROW()-ROW($N$2:$N$23)+1&gt;ROWS($M$2:$M$23)-COUNTBLANK($M$2:$M$23),"",INDIRECT(ADDRESS(SMALL((IF($M$2:$M$23&lt;&gt;"",ROW($M$2:$M$23),ROW()+ROWS($M$2:$M$23))),ROW()-ROW($N$2:$N$23)+1),COLUMN($M$2:$M$23),4)))</f>
        <v>#REF!</v>
      </c>
    </row>
    <row r="20" spans="1:25" ht="34.5" customHeight="1" x14ac:dyDescent="0.25">
      <c r="A20" s="289" t="str">
        <f>IF('Indicators Sheet_(IS)'!P65=0,"",'Indicators Sheet_(IS)'!P65)</f>
        <v>Incomplete</v>
      </c>
      <c r="C20" s="147" t="str">
        <f>IF($A20="I.O.","",LEFT('Indicators Sheet_(IS)'!A65,2))</f>
        <v>19</v>
      </c>
      <c r="D20" s="146" t="str">
        <f>IF($A20="I.O.","",'Indicators Sheet_(IS)'!C65)</f>
        <v>Vulvar cancer:
Conduct inguinofemoral staging</v>
      </c>
      <c r="E20" s="164" t="str">
        <f>IF(AND('Indicators Sheet_(IS)'!J65="",$A20&lt;&gt;"I.O."),"-----",IF($A20="I.O.","",'Indicators Sheet_(IS)'!J65))</f>
        <v>-----</v>
      </c>
      <c r="F20" s="165" t="str">
        <f>IF($A20="I.O.","",'Indicators Sheet_(IS)'!K65)</f>
        <v>≥ 90%</v>
      </c>
      <c r="G20" s="164" t="str">
        <f>IF(AND('Indicators Sheet_(IS)'!M65="",$A20&lt;&gt;"I.O."),"-----",IF($A20="I.O.","",'Indicators Sheet_(IS)'!M65))</f>
        <v>-----</v>
      </c>
      <c r="H20" s="144" t="str">
        <f>IF($A20="I.O.","",IF('Indicators Sheet_(IS)'!O65="","-----",'Indicators Sheet_(IS)'!O65))</f>
        <v>-----</v>
      </c>
      <c r="I20" s="144" t="str">
        <f>IF($A20="I.O.","",IF('Indicators Sheet_(IS)'!O66="","-----",'Indicators Sheet_(IS)'!O66))</f>
        <v>-----</v>
      </c>
      <c r="J20" s="148" t="str">
        <f>IF($A20="I.O.","",IF('Indicators Sheet_(IS)'!O67="","-----",'Indicators Sheet_(IS)'!O67))</f>
        <v>n.d.</v>
      </c>
      <c r="K20" s="147" t="str">
        <f>IF($A20="I.O.","",'Indicators Sheet_(IS)'!P65)</f>
        <v>Incomplete</v>
      </c>
      <c r="L20" s="93" t="str">
        <f>IF(AND('Indicators Sheet_(IS)'!Q65="",$A20&lt;&gt;"I.O."),"-----",IF($A20="I.O.","",'Indicators Sheet_(IS)'!Q65))</f>
        <v>-----</v>
      </c>
      <c r="M20" s="93" t="str">
        <f>IF(AND('Indicators Sheet_(IS)'!R65="",$A20&lt;&gt;"I.O."),"-----",IF($A20="I.O.","",'Indicators Sheet_(IS)'!R65))</f>
        <v>-----</v>
      </c>
      <c r="O20" s="64" t="e">
        <f t="array" aca="1" ref="O20" ca="1">IF(ROW()-ROW($D$2:$D$23)+1&gt;ROWS($C$2:$C$23)-COUNTBLANK($C$2:$C$23),"",INDIRECT(ADDRESS(SMALL((IF($C$2:$C$23&lt;&gt;"",ROW($C$2:$C$23),ROW()+ROWS($C$2:$C$23))),ROW()-ROW($D$2:$D$23)+1),COLUMN($C$2:$C$23),4)))</f>
        <v>#REF!</v>
      </c>
      <c r="P20" s="146" t="e">
        <f t="array" aca="1" ref="P20" ca="1">IF(ROW()-ROW($E$2:$E$23)+1&gt;ROWS($D$2:$D$23)-COUNTBLANK($D$2:$D$23),"",INDIRECT(ADDRESS(SMALL((IF($D$2:$D$23&gt;"",ROW($D$2:$D$23),ROW()+ROWS($D$2:$D$23))),ROW()-ROW($E$2:$E$23)+1),COLUMN($D$2:$D$23),4)))</f>
        <v>#REF!</v>
      </c>
      <c r="Q20" s="164" t="e">
        <f t="array" aca="1" ref="Q20" ca="1">IF(ROW()-ROW($F$2:$F$23)+1&gt;ROWS($E$2:$E$23)-COUNTBLANK($E$2:$E$23),"",INDIRECT(ADDRESS(SMALL((IF($E$2:$E$23&gt;"",ROW($E$2:$E$23),ROW()+ROWS($E$2:$E$23))),ROW()-ROW($F$2:$F$23)+1),COLUMN($E$2:$E$23),4)))</f>
        <v>#REF!</v>
      </c>
      <c r="R20" s="165" t="e">
        <f t="array" aca="1" ref="R20" ca="1">IF(ROW()-ROW($G$2:$G$23)+1&gt;ROWS($F$2:$F$23)-COUNTBLANK($F$2:$F$23),"",INDIRECT(ADDRESS(SMALL((IF($F$2:$F$23&gt;"",ROW($F$2:$F$23),ROW()+ROWS($F$2:$F$23))),ROW()-ROW($G$2:$G$23)+1),COLUMN($F$2:$F$23),4)))</f>
        <v>#REF!</v>
      </c>
      <c r="S20" s="164" t="e">
        <f t="array" aca="1" ref="S20" ca="1">IF(ROW()-ROW($H$2:$H$23)+1&gt;ROWS($G$2:$G$23)-COUNTBLANK($G$2:$G$23),"",INDIRECT(ADDRESS(SMALL((IF($G$2:$G$23&lt;&gt;"",ROW($G$2:$G$23),ROW()+ROWS($G$2:$G$23))),ROW()-ROW($H$2:$H$23)+1),COLUMN($G$2:$G$23),4)))</f>
        <v>#REF!</v>
      </c>
      <c r="T20" s="144" t="e">
        <f t="array" aca="1" ref="T20" ca="1">IF(ROW()-ROW($I$2:$I$23)+1&gt;ROWS($H$2:$H$23)-COUNTBLANK($H$2:$H$23),"",INDIRECT(ADDRESS(SMALL((IF($H$2:$H$23&lt;&gt;"",ROW($H$2:$H$23),ROW()+ROWS($H$2:$H$23))),ROW()-ROW($I$2:$I$23)+1),COLUMN($H$2:$H$23),4)))</f>
        <v>#REF!</v>
      </c>
      <c r="U20" s="144" t="e">
        <f t="array" aca="1" ref="U20" ca="1">IF(ROW()-ROW($J$2:$J$23)+1&gt;ROWS($I$2:$I$23)-COUNTBLANK($I$2:$I$23),"",INDIRECT(ADDRESS(SMALL((IF($I$2:$I$23&lt;&gt;"",ROW($I$2:$I$23),ROW()+ROWS($I$2:$I$23))),ROW()-ROW($J$2:$J$23)+1),COLUMN($I$2:$I$23),4)))</f>
        <v>#REF!</v>
      </c>
      <c r="V20" s="148" t="e">
        <f t="array" aca="1" ref="V20" ca="1">IF(ROW()-ROW($K$2:$K$23)+1&gt;ROWS($J$2:$J$23)-COUNTBLANK($J$2:$J$23),"",INDIRECT(ADDRESS(SMALL((IF($J$2:$J$23&lt;&gt;"",ROW($J$2:$J$23),ROW()+ROWS($J$2:$J$23))),ROW()-ROW($K$2:$K$23)+1),COLUMN($J$2:$J$23),4)))</f>
        <v>#REF!</v>
      </c>
      <c r="W20" s="147" t="e">
        <f t="array" aca="1" ref="W20" ca="1">IF(ROW()-ROW($L$2:$L$23)+1&gt;ROWS($K$2:$K$23)-COUNTBLANK($K$2:$K$23),"",INDIRECT(ADDRESS(SMALL((IF($K$2:$K$23&lt;&gt;"",ROW($K$2:$K$23),ROW()+ROWS($K$2:$K$23))),ROW()-ROW($L$2:$L$23)+1),COLUMN($K$2:$K$23),4)))</f>
        <v>#REF!</v>
      </c>
      <c r="X20" s="93" t="e">
        <f t="array" aca="1" ref="X20" ca="1">IF(ROW()-ROW($M$2:$M$23)+1&gt;ROWS($L$2:$L$23)-COUNTBLANK($L$2:$L$23),"",INDIRECT(ADDRESS(SMALL((IF($L$2:$L$23&lt;&gt;"",ROW($L$2:$L$23),ROW()+ROWS($L$2:$L$23))),ROW()-ROW($M$2:$M$23)+1),COLUMN($L$2:$L$23),4)))</f>
        <v>#REF!</v>
      </c>
      <c r="Y20" s="93" t="e">
        <f t="array" aca="1" ref="Y20" ca="1">IF(ROW()-ROW($N$2:$N$23)+1&gt;ROWS($M$2:$M$23)-COUNTBLANK($M$2:$M$23),"",INDIRECT(ADDRESS(SMALL((IF($M$2:$M$23&lt;&gt;"",ROW($M$2:$M$23),ROW()+ROWS($M$2:$M$23))),ROW()-ROW($N$2:$N$23)+1),COLUMN($M$2:$M$23),4)))</f>
        <v>#REF!</v>
      </c>
    </row>
    <row r="21" spans="1:25" ht="34.5" customHeight="1" x14ac:dyDescent="0.25">
      <c r="A21" s="289" t="str">
        <f>IF('Indicators Sheet_(IS)'!P68=0,"",'Indicators Sheet_(IS)'!P68)</f>
        <v>Incomplete</v>
      </c>
      <c r="C21" s="147" t="str">
        <f>IF($A21="I.O.","",LEFT('Indicators Sheet_(IS)'!A68,2))</f>
        <v>20</v>
      </c>
      <c r="D21" s="146" t="str">
        <f>IF($A21="I.O.","",'Indicators Sheet_(IS)'!C68)</f>
        <v>Vulvar cancer:
Sentinel lymph nodes biopsy</v>
      </c>
      <c r="E21" s="164" t="str">
        <f>IF(AND('Indicators Sheet_(IS)'!J68="",$A21&lt;&gt;"I.O."),"-----",IF($A21="I.O.","",'Indicators Sheet_(IS)'!J68))</f>
        <v>-----</v>
      </c>
      <c r="F21" s="165" t="str">
        <f>IF($A21="I.O.","",'Indicators Sheet_(IS)'!K68)</f>
        <v>≥ 90%</v>
      </c>
      <c r="G21" s="164" t="str">
        <f>IF(AND('Indicators Sheet_(IS)'!M68="",$A21&lt;&gt;"I.O."),"-----",IF($A21="I.O.","",'Indicators Sheet_(IS)'!M68))</f>
        <v>-----</v>
      </c>
      <c r="H21" s="144" t="str">
        <f>IF($A21="I.O.","",IF('Indicators Sheet_(IS)'!O68="","-----",'Indicators Sheet_(IS)'!O68))</f>
        <v>-----</v>
      </c>
      <c r="I21" s="144" t="str">
        <f>IF($A21="I.O.","",IF('Indicators Sheet_(IS)'!O69="","-----",'Indicators Sheet_(IS)'!O69))</f>
        <v>-----</v>
      </c>
      <c r="J21" s="148" t="str">
        <f>IF($A21="I.O.","",IF('Indicators Sheet_(IS)'!O70="","-----",'Indicators Sheet_(IS)'!O70))</f>
        <v>n.d.</v>
      </c>
      <c r="K21" s="147" t="str">
        <f>IF($A21="I.O.","",'Indicators Sheet_(IS)'!P68)</f>
        <v>Incomplete</v>
      </c>
      <c r="L21" s="93" t="str">
        <f>IF(AND('Indicators Sheet_(IS)'!Q68="",$A21&lt;&gt;"I.O."),"-----",IF($A21="I.O.","",'Indicators Sheet_(IS)'!Q68))</f>
        <v>-----</v>
      </c>
      <c r="M21" s="93" t="str">
        <f>IF(AND('Indicators Sheet_(IS)'!R68="",$A21&lt;&gt;"I.O."),"-----",IF($A21="I.O.","",'Indicators Sheet_(IS)'!R68))</f>
        <v>-----</v>
      </c>
      <c r="O21" s="64" t="e">
        <f t="array" aca="1" ref="O21" ca="1">IF(ROW()-ROW($D$2:$D$23)+1&gt;ROWS($C$2:$C$23)-COUNTBLANK($C$2:$C$23),"",INDIRECT(ADDRESS(SMALL((IF($C$2:$C$23&lt;&gt;"",ROW($C$2:$C$23),ROW()+ROWS($C$2:$C$23))),ROW()-ROW($D$2:$D$23)+1),COLUMN($C$2:$C$23),4)))</f>
        <v>#REF!</v>
      </c>
      <c r="P21" s="146" t="e">
        <f t="array" aca="1" ref="P21" ca="1">IF(ROW()-ROW($E$2:$E$23)+1&gt;ROWS($D$2:$D$23)-COUNTBLANK($D$2:$D$23),"",INDIRECT(ADDRESS(SMALL((IF($D$2:$D$23&gt;"",ROW($D$2:$D$23),ROW()+ROWS($D$2:$D$23))),ROW()-ROW($E$2:$E$23)+1),COLUMN($D$2:$D$23),4)))</f>
        <v>#REF!</v>
      </c>
      <c r="Q21" s="164" t="e">
        <f t="array" aca="1" ref="Q21" ca="1">IF(ROW()-ROW($F$2:$F$23)+1&gt;ROWS($E$2:$E$23)-COUNTBLANK($E$2:$E$23),"",INDIRECT(ADDRESS(SMALL((IF($E$2:$E$23&gt;"",ROW($E$2:$E$23),ROW()+ROWS($E$2:$E$23))),ROW()-ROW($F$2:$F$23)+1),COLUMN($E$2:$E$23),4)))</f>
        <v>#REF!</v>
      </c>
      <c r="R21" s="165" t="e">
        <f t="array" aca="1" ref="R21" ca="1">IF(ROW()-ROW($G$2:$G$23)+1&gt;ROWS($F$2:$F$23)-COUNTBLANK($F$2:$F$23),"",INDIRECT(ADDRESS(SMALL((IF($F$2:$F$23&gt;"",ROW($F$2:$F$23),ROW()+ROWS($F$2:$F$23))),ROW()-ROW($G$2:$G$23)+1),COLUMN($F$2:$F$23),4)))</f>
        <v>#REF!</v>
      </c>
      <c r="S21" s="164" t="e">
        <f t="array" aca="1" ref="S21" ca="1">IF(ROW()-ROW($H$2:$H$23)+1&gt;ROWS($G$2:$G$23)-COUNTBLANK($G$2:$G$23),"",INDIRECT(ADDRESS(SMALL((IF($G$2:$G$23&lt;&gt;"",ROW($G$2:$G$23),ROW()+ROWS($G$2:$G$23))),ROW()-ROW($H$2:$H$23)+1),COLUMN($G$2:$G$23),4)))</f>
        <v>#REF!</v>
      </c>
      <c r="T21" s="144" t="e">
        <f t="array" aca="1" ref="T21" ca="1">IF(ROW()-ROW($I$2:$I$23)+1&gt;ROWS($H$2:$H$23)-COUNTBLANK($H$2:$H$23),"",INDIRECT(ADDRESS(SMALL((IF($H$2:$H$23&lt;&gt;"",ROW($H$2:$H$23),ROW()+ROWS($H$2:$H$23))),ROW()-ROW($I$2:$I$23)+1),COLUMN($H$2:$H$23),4)))</f>
        <v>#REF!</v>
      </c>
      <c r="U21" s="144" t="e">
        <f t="array" aca="1" ref="U21" ca="1">IF(ROW()-ROW($J$2:$J$23)+1&gt;ROWS($I$2:$I$23)-COUNTBLANK($I$2:$I$23),"",INDIRECT(ADDRESS(SMALL((IF($I$2:$I$23&lt;&gt;"",ROW($I$2:$I$23),ROW()+ROWS($I$2:$I$23))),ROW()-ROW($J$2:$J$23)+1),COLUMN($I$2:$I$23),4)))</f>
        <v>#REF!</v>
      </c>
      <c r="V21" s="148" t="e">
        <f t="array" aca="1" ref="V21" ca="1">IF(ROW()-ROW($K$2:$K$23)+1&gt;ROWS($J$2:$J$23)-COUNTBLANK($J$2:$J$23),"",INDIRECT(ADDRESS(SMALL((IF($J$2:$J$23&lt;&gt;"",ROW($J$2:$J$23),ROW()+ROWS($J$2:$J$23))),ROW()-ROW($K$2:$K$23)+1),COLUMN($J$2:$J$23),4)))</f>
        <v>#REF!</v>
      </c>
      <c r="W21" s="147" t="e">
        <f t="array" aca="1" ref="W21" ca="1">IF(ROW()-ROW($L$2:$L$23)+1&gt;ROWS($K$2:$K$23)-COUNTBLANK($K$2:$K$23),"",INDIRECT(ADDRESS(SMALL((IF($K$2:$K$23&lt;&gt;"",ROW($K$2:$K$23),ROW()+ROWS($K$2:$K$23))),ROW()-ROW($L$2:$L$23)+1),COLUMN($K$2:$K$23),4)))</f>
        <v>#REF!</v>
      </c>
      <c r="X21" s="93" t="e">
        <f t="array" aca="1" ref="X21" ca="1">IF(ROW()-ROW($M$2:$M$23)+1&gt;ROWS($L$2:$L$23)-COUNTBLANK($L$2:$L$23),"",INDIRECT(ADDRESS(SMALL((IF($L$2:$L$23&lt;&gt;"",ROW($L$2:$L$23),ROW()+ROWS($L$2:$L$23))),ROW()-ROW($M$2:$M$23)+1),COLUMN($L$2:$L$23),4)))</f>
        <v>#REF!</v>
      </c>
      <c r="Y21" s="93" t="e">
        <f t="array" aca="1" ref="Y21" ca="1">IF(ROW()-ROW($N$2:$N$23)+1&gt;ROWS($M$2:$M$23)-COUNTBLANK($M$2:$M$23),"",INDIRECT(ADDRESS(SMALL((IF($M$2:$M$23&lt;&gt;"",ROW($M$2:$M$23),ROW()+ROWS($M$2:$M$23))),ROW()-ROW($N$2:$N$23)+1),COLUMN($M$2:$M$23),4)))</f>
        <v>#REF!</v>
      </c>
    </row>
    <row r="22" spans="1:25" ht="34.5" customHeight="1" x14ac:dyDescent="0.25">
      <c r="A22" s="289" t="str">
        <f>IF('Indicators Sheet_(IS)'!P71=0,"",'Indicators Sheet_(IS)'!P71)</f>
        <v>Incomplete</v>
      </c>
      <c r="C22" s="147" t="str">
        <f>IF($A22="I.O.","",LEFT('Indicators Sheet_(IS)'!A71,2))</f>
        <v>21</v>
      </c>
      <c r="D22" s="146" t="str">
        <f>IF($A22="I.O.","",'Indicators Sheet_(IS)'!C71)</f>
        <v xml:space="preserve">Endometrial cancer: Immunohistochemical determination of p53 and the MMR proteins </v>
      </c>
      <c r="E22" s="164" t="str">
        <f>IF(AND('Indicators Sheet_(IS)'!J71="",$A22&lt;&gt;"I.O."),"-----",IF($A22="I.O.","",'Indicators Sheet_(IS)'!J71))</f>
        <v>&lt; 60%</v>
      </c>
      <c r="F22" s="165" t="str">
        <f>IF($A22="I.O.","",'Indicators Sheet_(IS)'!K71)</f>
        <v>No target value</v>
      </c>
      <c r="G22" s="164" t="str">
        <f>IF(AND('Indicators Sheet_(IS)'!M71="",$A22&lt;&gt;"I.O."),"-----",IF($A22="I.O.","",'Indicators Sheet_(IS)'!M71))</f>
        <v>-----</v>
      </c>
      <c r="H22" s="144" t="str">
        <f>IF($A22="I.O.","",IF('Indicators Sheet_(IS)'!O71="","-----",'Indicators Sheet_(IS)'!O71))</f>
        <v>-----</v>
      </c>
      <c r="I22" s="144" t="str">
        <f>IF($A22="I.O.","",IF('Indicators Sheet_(IS)'!O72="","-----",'Indicators Sheet_(IS)'!O72))</f>
        <v>-----</v>
      </c>
      <c r="J22" s="148" t="str">
        <f>IF($A22="I.O.","",IF('Indicators Sheet_(IS)'!O73="","-----",'Indicators Sheet_(IS)'!O73))</f>
        <v>n.d.</v>
      </c>
      <c r="K22" s="147" t="str">
        <f>IF($A22="I.O.","",'Indicators Sheet_(IS)'!P71)</f>
        <v>Incomplete</v>
      </c>
      <c r="L22" s="93" t="str">
        <f>IF(AND('Indicators Sheet_(IS)'!Q71="",$A22&lt;&gt;"I.O."),"-----",IF($A22="I.O.","",'Indicators Sheet_(IS)'!Q71))</f>
        <v>-----</v>
      </c>
      <c r="M22" s="93" t="str">
        <f>IF(AND('Indicators Sheet_(IS)'!R71="",$A22&lt;&gt;"I.O."),"-----",IF($A22="I.O.","",'Indicators Sheet_(IS)'!R71))</f>
        <v>-----</v>
      </c>
      <c r="O22" s="64" t="e">
        <f t="array" aca="1" ref="O22" ca="1">IF(ROW()-ROW($D$2:$D$23)+1&gt;ROWS($C$2:$C$23)-COUNTBLANK($C$2:$C$23),"",INDIRECT(ADDRESS(SMALL((IF($C$2:$C$23&lt;&gt;"",ROW($C$2:$C$23),ROW()+ROWS($C$2:$C$23))),ROW()-ROW($D$2:$D$23)+1),COLUMN($C$2:$C$23),4)))</f>
        <v>#REF!</v>
      </c>
      <c r="P22" s="146" t="e">
        <f t="array" aca="1" ref="P22" ca="1">IF(ROW()-ROW($E$2:$E$23)+1&gt;ROWS($D$2:$D$23)-COUNTBLANK($D$2:$D$23),"",INDIRECT(ADDRESS(SMALL((IF($D$2:$D$23&gt;"",ROW($D$2:$D$23),ROW()+ROWS($D$2:$D$23))),ROW()-ROW($E$2:$E$23)+1),COLUMN($D$2:$D$23),4)))</f>
        <v>#REF!</v>
      </c>
      <c r="Q22" s="164" t="e">
        <f t="array" aca="1" ref="Q22" ca="1">IF(ROW()-ROW($F$2:$F$23)+1&gt;ROWS($E$2:$E$23)-COUNTBLANK($E$2:$E$23),"",INDIRECT(ADDRESS(SMALL((IF($E$2:$E$23&gt;"",ROW($E$2:$E$23),ROW()+ROWS($E$2:$E$23))),ROW()-ROW($F$2:$F$23)+1),COLUMN($E$2:$E$23),4)))</f>
        <v>#REF!</v>
      </c>
      <c r="R22" s="165" t="e">
        <f t="array" aca="1" ref="R22" ca="1">IF(ROW()-ROW($G$2:$G$23)+1&gt;ROWS($F$2:$F$23)-COUNTBLANK($F$2:$F$23),"",INDIRECT(ADDRESS(SMALL((IF($F$2:$F$23&gt;"",ROW($F$2:$F$23),ROW()+ROWS($F$2:$F$23))),ROW()-ROW($G$2:$G$23)+1),COLUMN($F$2:$F$23),4)))</f>
        <v>#REF!</v>
      </c>
      <c r="S22" s="164" t="e">
        <f t="array" aca="1" ref="S22" ca="1">IF(ROW()-ROW($H$2:$H$23)+1&gt;ROWS($G$2:$G$23)-COUNTBLANK($G$2:$G$23),"",INDIRECT(ADDRESS(SMALL((IF($G$2:$G$23&lt;&gt;"",ROW($G$2:$G$23),ROW()+ROWS($G$2:$G$23))),ROW()-ROW($H$2:$H$23)+1),COLUMN($G$2:$G$23),4)))</f>
        <v>#REF!</v>
      </c>
      <c r="T22" s="144" t="e">
        <f t="array" aca="1" ref="T22" ca="1">IF(ROW()-ROW($I$2:$I$23)+1&gt;ROWS($H$2:$H$23)-COUNTBLANK($H$2:$H$23),"",INDIRECT(ADDRESS(SMALL((IF($H$2:$H$23&lt;&gt;"",ROW($H$2:$H$23),ROW()+ROWS($H$2:$H$23))),ROW()-ROW($I$2:$I$23)+1),COLUMN($H$2:$H$23),4)))</f>
        <v>#REF!</v>
      </c>
      <c r="U22" s="144" t="e">
        <f t="array" aca="1" ref="U22" ca="1">IF(ROW()-ROW($J$2:$J$23)+1&gt;ROWS($I$2:$I$23)-COUNTBLANK($I$2:$I$23),"",INDIRECT(ADDRESS(SMALL((IF($I$2:$I$23&lt;&gt;"",ROW($I$2:$I$23),ROW()+ROWS($I$2:$I$23))),ROW()-ROW($J$2:$J$23)+1),COLUMN($I$2:$I$23),4)))</f>
        <v>#REF!</v>
      </c>
      <c r="V22" s="148" t="e">
        <f t="array" aca="1" ref="V22" ca="1">IF(ROW()-ROW($K$2:$K$23)+1&gt;ROWS($J$2:$J$23)-COUNTBLANK($J$2:$J$23),"",INDIRECT(ADDRESS(SMALL((IF($J$2:$J$23&lt;&gt;"",ROW($J$2:$J$23),ROW()+ROWS($J$2:$J$23))),ROW()-ROW($K$2:$K$23)+1),COLUMN($J$2:$J$23),4)))</f>
        <v>#REF!</v>
      </c>
      <c r="W22" s="147" t="e">
        <f t="array" aca="1" ref="W22" ca="1">IF(ROW()-ROW($L$2:$L$23)+1&gt;ROWS($K$2:$K$23)-COUNTBLANK($K$2:$K$23),"",INDIRECT(ADDRESS(SMALL((IF($K$2:$K$23&lt;&gt;"",ROW($K$2:$K$23),ROW()+ROWS($K$2:$K$23))),ROW()-ROW($L$2:$L$23)+1),COLUMN($K$2:$K$23),4)))</f>
        <v>#REF!</v>
      </c>
      <c r="X22" s="93" t="e">
        <f t="array" aca="1" ref="X22" ca="1">IF(ROW()-ROW($M$2:$M$23)+1&gt;ROWS($L$2:$L$23)-COUNTBLANK($L$2:$L$23),"",INDIRECT(ADDRESS(SMALL((IF($L$2:$L$23&lt;&gt;"",ROW($L$2:$L$23),ROW()+ROWS($L$2:$L$23))),ROW()-ROW($M$2:$M$23)+1),COLUMN($L$2:$L$23),4)))</f>
        <v>#REF!</v>
      </c>
      <c r="Y22" s="93" t="e">
        <f t="array" aca="1" ref="Y22" ca="1">IF(ROW()-ROW($N$2:$N$23)+1&gt;ROWS($M$2:$M$23)-COUNTBLANK($M$2:$M$23),"",INDIRECT(ADDRESS(SMALL((IF($M$2:$M$23&lt;&gt;"",ROW($M$2:$M$23),ROW()+ROWS($M$2:$M$23))),ROW()-ROW($N$2:$N$23)+1),COLUMN($M$2:$M$23),4)))</f>
        <v>#REF!</v>
      </c>
    </row>
    <row r="23" spans="1:25" ht="34.5" customHeight="1" x14ac:dyDescent="0.25">
      <c r="A23" s="289" t="str">
        <f>IF('Indicators Sheet_(IS)'!P74=0,"",'Indicators Sheet_(IS)'!P74)</f>
        <v>Incomplete</v>
      </c>
      <c r="C23" s="147" t="str">
        <f>IF($A23="I.O.","",LEFT('Indicators Sheet_(IS)'!A74,2))</f>
        <v>22</v>
      </c>
      <c r="D23" s="146" t="str">
        <f>IF($A23="I.O.","",'Indicators Sheet_(IS)'!C74)</f>
        <v>Endometrial cancer: POLE examination</v>
      </c>
      <c r="E23" s="164" t="str">
        <f>IF(AND('Indicators Sheet_(IS)'!J74="",$A23&lt;&gt;"I.O."),"-----",IF($A23="I.O.","",'Indicators Sheet_(IS)'!J74))</f>
        <v>&lt; 60%</v>
      </c>
      <c r="F23" s="165" t="str">
        <f>IF($A23="I.O.","",'Indicators Sheet_(IS)'!K74)</f>
        <v>No target value</v>
      </c>
      <c r="G23" s="164" t="str">
        <f>IF(AND('Indicators Sheet_(IS)'!M74="",$A23&lt;&gt;"I.O."),"-----",IF($A23="I.O.","",'Indicators Sheet_(IS)'!M74))</f>
        <v>-----</v>
      </c>
      <c r="H23" s="144" t="str">
        <f>IF($A23="I.O.","",IF('Indicators Sheet_(IS)'!O74="","-----",'Indicators Sheet_(IS)'!O74))</f>
        <v>-----</v>
      </c>
      <c r="I23" s="144" t="str">
        <f>IF($A23="I.O.","",IF('Indicators Sheet_(IS)'!O75="","-----",'Indicators Sheet_(IS)'!O75))</f>
        <v>-----</v>
      </c>
      <c r="J23" s="148" t="str">
        <f>IF($A23="I.O.","",IF('Indicators Sheet_(IS)'!O76="","-----",'Indicators Sheet_(IS)'!O76))</f>
        <v>n.d.</v>
      </c>
      <c r="K23" s="147" t="str">
        <f>IF($A23="I.O.","",'Indicators Sheet_(IS)'!P74)</f>
        <v>Incomplete</v>
      </c>
      <c r="L23" s="93" t="str">
        <f>IF(AND('Indicators Sheet_(IS)'!Q74="",$A23&lt;&gt;"I.O."),"-----",IF($A23="I.O.","",'Indicators Sheet_(IS)'!Q74))</f>
        <v>-----</v>
      </c>
      <c r="M23" s="93" t="str">
        <f>IF(AND('Indicators Sheet_(IS)'!R74="",$A23&lt;&gt;"I.O."),"-----",IF($A23="I.O.","",'Indicators Sheet_(IS)'!R74))</f>
        <v>-----</v>
      </c>
      <c r="O23" s="64" t="e">
        <f t="array" aca="1" ref="O23" ca="1">IF(ROW()-ROW($D$2:$D$23)+1&gt;ROWS($C$2:$C$23)-COUNTBLANK($C$2:$C$23),"",INDIRECT(ADDRESS(SMALL((IF($C$2:$C$23&lt;&gt;"",ROW($C$2:$C$23),ROW()+ROWS($C$2:$C$23))),ROW()-ROW($D$2:$D$23)+1),COLUMN($C$2:$C$23),4)))</f>
        <v>#REF!</v>
      </c>
      <c r="P23" s="146" t="e">
        <f t="array" aca="1" ref="P23" ca="1">IF(ROW()-ROW($E$2:$E$23)+1&gt;ROWS($D$2:$D$23)-COUNTBLANK($D$2:$D$23),"",INDIRECT(ADDRESS(SMALL((IF($D$2:$D$23&gt;"",ROW($D$2:$D$23),ROW()+ROWS($D$2:$D$23))),ROW()-ROW($E$2:$E$23)+1),COLUMN($D$2:$D$23),4)))</f>
        <v>#REF!</v>
      </c>
      <c r="Q23" s="164" t="e">
        <f t="array" aca="1" ref="Q23" ca="1">IF(ROW()-ROW($F$2:$F$23)+1&gt;ROWS($E$2:$E$23)-COUNTBLANK($E$2:$E$23),"",INDIRECT(ADDRESS(SMALL((IF($E$2:$E$23&gt;"",ROW($E$2:$E$23),ROW()+ROWS($E$2:$E$23))),ROW()-ROW($F$2:$F$23)+1),COLUMN($E$2:$E$23),4)))</f>
        <v>#REF!</v>
      </c>
      <c r="R23" s="165" t="e">
        <f t="array" aca="1" ref="R23" ca="1">IF(ROW()-ROW($G$2:$G$23)+1&gt;ROWS($F$2:$F$23)-COUNTBLANK($F$2:$F$23),"",INDIRECT(ADDRESS(SMALL((IF($F$2:$F$23&gt;"",ROW($F$2:$F$23),ROW()+ROWS($F$2:$F$23))),ROW()-ROW($G$2:$G$23)+1),COLUMN($F$2:$F$23),4)))</f>
        <v>#REF!</v>
      </c>
      <c r="S23" s="164" t="e">
        <f t="array" aca="1" ref="S23" ca="1">IF(ROW()-ROW($H$2:$H$23)+1&gt;ROWS($G$2:$G$23)-COUNTBLANK($G$2:$G$23),"",INDIRECT(ADDRESS(SMALL((IF($G$2:$G$23&lt;&gt;"",ROW($G$2:$G$23),ROW()+ROWS($G$2:$G$23))),ROW()-ROW($H$2:$H$23)+1),COLUMN($G$2:$G$23),4)))</f>
        <v>#REF!</v>
      </c>
      <c r="T23" s="144" t="e">
        <f t="array" aca="1" ref="T23" ca="1">IF(ROW()-ROW($I$2:$I$23)+1&gt;ROWS($H$2:$H$23)-COUNTBLANK($H$2:$H$23),"",INDIRECT(ADDRESS(SMALL((IF($H$2:$H$23&lt;&gt;"",ROW($H$2:$H$23),ROW()+ROWS($H$2:$H$23))),ROW()-ROW($I$2:$I$23)+1),COLUMN($H$2:$H$23),4)))</f>
        <v>#REF!</v>
      </c>
      <c r="U23" s="144" t="e">
        <f t="array" aca="1" ref="U23" ca="1">IF(ROW()-ROW($J$2:$J$23)+1&gt;ROWS($I$2:$I$23)-COUNTBLANK($I$2:$I$23),"",INDIRECT(ADDRESS(SMALL((IF($I$2:$I$23&lt;&gt;"",ROW($I$2:$I$23),ROW()+ROWS($I$2:$I$23))),ROW()-ROW($J$2:$J$23)+1),COLUMN($I$2:$I$23),4)))</f>
        <v>#REF!</v>
      </c>
      <c r="V23" s="148" t="e">
        <f t="array" aca="1" ref="V23" ca="1">IF(ROW()-ROW($K$2:$K$23)+1&gt;ROWS($J$2:$J$23)-COUNTBLANK($J$2:$J$23),"",INDIRECT(ADDRESS(SMALL((IF($J$2:$J$23&lt;&gt;"",ROW($J$2:$J$23),ROW()+ROWS($J$2:$J$23))),ROW()-ROW($K$2:$K$23)+1),COLUMN($J$2:$J$23),4)))</f>
        <v>#REF!</v>
      </c>
      <c r="W23" s="147" t="e">
        <f t="array" aca="1" ref="W23" ca="1">IF(ROW()-ROW($L$2:$L$23)+1&gt;ROWS($K$2:$K$23)-COUNTBLANK($K$2:$K$23),"",INDIRECT(ADDRESS(SMALL((IF($K$2:$K$23&lt;&gt;"",ROW($K$2:$K$23),ROW()+ROWS($K$2:$K$23))),ROW()-ROW($L$2:$L$23)+1),COLUMN($K$2:$K$23),4)))</f>
        <v>#REF!</v>
      </c>
      <c r="X23" s="93" t="e">
        <f t="array" aca="1" ref="X23" ca="1">IF(ROW()-ROW($M$2:$M$23)+1&gt;ROWS($L$2:$L$23)-COUNTBLANK($L$2:$L$23),"",INDIRECT(ADDRESS(SMALL((IF($L$2:$L$23&lt;&gt;"",ROW($L$2:$L$23),ROW()+ROWS($L$2:$L$23))),ROW()-ROW($M$2:$M$23)+1),COLUMN($L$2:$L$23),4)))</f>
        <v>#REF!</v>
      </c>
      <c r="Y23" s="93" t="e">
        <f t="array" aca="1" ref="Y23" ca="1">IF(ROW()-ROW($N$2:$N$23)+1&gt;ROWS($M$2:$M$23)-COUNTBLANK($M$2:$M$23),"",INDIRECT(ADDRESS(SMALL((IF($M$2:$M$23&lt;&gt;"",ROW($M$2:$M$23),ROW()+ROWS($M$2:$M$23))),ROW()-ROW($N$2:$N$23)+1),COLUMN($M$2:$M$23),4)))</f>
        <v>#REF!</v>
      </c>
    </row>
  </sheetData>
  <phoneticPr fontId="35" type="noConversion"/>
  <pageMargins left="0.7" right="0.7" top="0.78740157499999996" bottom="0.78740157499999996"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A1:AK117"/>
  <sheetViews>
    <sheetView showGridLines="0" showRuler="0" zoomScaleNormal="100" zoomScaleSheetLayoutView="100" workbookViewId="0">
      <selection activeCell="D23" sqref="D23"/>
    </sheetView>
  </sheetViews>
  <sheetFormatPr defaultColWidth="9" defaultRowHeight="14.25" x14ac:dyDescent="0.2"/>
  <cols>
    <col min="1" max="1" width="8" style="5" customWidth="1"/>
    <col min="2" max="2" width="5.42578125" style="5" customWidth="1"/>
    <col min="3" max="3" width="4.42578125" style="5" customWidth="1"/>
    <col min="4" max="13" width="3.7109375" style="5" customWidth="1"/>
    <col min="14" max="14" width="0.42578125" style="5" customWidth="1"/>
    <col min="15" max="18" width="4.7109375" style="5" customWidth="1"/>
    <col min="19" max="19" width="7.7109375" style="5" customWidth="1"/>
    <col min="20" max="20" width="0.42578125" style="5" customWidth="1"/>
    <col min="21" max="21" width="4.85546875" style="5" customWidth="1"/>
    <col min="22" max="22" width="5.7109375" style="5" hidden="1" customWidth="1"/>
    <col min="23" max="23" width="4.7109375" style="5" customWidth="1"/>
    <col min="24" max="28" width="3.7109375" style="5" customWidth="1"/>
    <col min="29" max="29" width="4.7109375" style="5" customWidth="1"/>
    <col min="30" max="30" width="0.5703125" style="5" customWidth="1"/>
    <col min="31" max="31" width="7.7109375" style="5" customWidth="1"/>
    <col min="32" max="32" width="8" style="5" customWidth="1"/>
    <col min="33" max="33" width="7.28515625" style="15" customWidth="1"/>
    <col min="34" max="34" width="8" style="5" customWidth="1"/>
    <col min="35" max="35" width="8.42578125" style="5" customWidth="1"/>
    <col min="36" max="226" width="11.42578125" style="5" customWidth="1"/>
    <col min="227" max="16384" width="9" style="5"/>
  </cols>
  <sheetData>
    <row r="1" spans="1:33" ht="4.5" customHeight="1" x14ac:dyDescent="0.2">
      <c r="C1" s="29"/>
      <c r="P1" s="17"/>
      <c r="Q1" s="17"/>
      <c r="R1" s="17"/>
      <c r="S1" s="17"/>
      <c r="T1" s="17"/>
      <c r="U1" s="17"/>
      <c r="V1" s="17"/>
      <c r="W1" s="17"/>
      <c r="X1" s="17"/>
    </row>
    <row r="2" spans="1:33" ht="12" customHeight="1" x14ac:dyDescent="0.2">
      <c r="A2" s="23" t="str">
        <f>'Basic Data'!A2</f>
        <v>Annex CR Version K1.1 (Audit year 2026 / Indicator year 2025)</v>
      </c>
      <c r="H2" s="42"/>
      <c r="I2" s="42"/>
      <c r="J2" s="42"/>
      <c r="K2" s="42"/>
      <c r="L2" s="42"/>
      <c r="M2" s="42"/>
      <c r="P2" s="17"/>
      <c r="Q2" s="17"/>
      <c r="R2" s="17"/>
      <c r="S2" s="17"/>
      <c r="T2" s="17"/>
      <c r="U2" s="17"/>
      <c r="V2" s="17"/>
      <c r="W2" s="17"/>
      <c r="X2" s="17"/>
    </row>
    <row r="3" spans="1:33" ht="15.75" customHeight="1" x14ac:dyDescent="0.25">
      <c r="A3" s="20" t="s">
        <v>306</v>
      </c>
      <c r="P3" s="17"/>
      <c r="Q3" s="17"/>
      <c r="R3" s="17"/>
      <c r="S3" s="17"/>
      <c r="T3" s="17"/>
      <c r="U3" s="17"/>
      <c r="V3" s="17"/>
      <c r="X3" s="18"/>
      <c r="Y3" s="18"/>
      <c r="Z3" s="18"/>
      <c r="AA3" s="18"/>
    </row>
    <row r="4" spans="1:33" ht="14.25" customHeight="1" x14ac:dyDescent="0.25">
      <c r="A4" s="20"/>
      <c r="P4" s="17"/>
      <c r="Q4" s="17"/>
      <c r="R4" s="17"/>
      <c r="S4" s="17"/>
      <c r="T4" s="17"/>
      <c r="U4" s="17"/>
      <c r="V4" s="17"/>
      <c r="X4" s="18"/>
      <c r="Y4" s="18"/>
      <c r="Z4" s="18"/>
      <c r="AA4" s="18"/>
    </row>
    <row r="5" spans="1:33" ht="7.5" customHeight="1" x14ac:dyDescent="0.2">
      <c r="U5" s="17"/>
      <c r="V5" s="17"/>
    </row>
    <row r="6" spans="1:33" s="23" customFormat="1" ht="15" customHeight="1" x14ac:dyDescent="0.2">
      <c r="A6" s="26" t="s">
        <v>246</v>
      </c>
      <c r="C6" s="671" t="str">
        <f>IF('Basic Data'!C8=0,"",'Basic Data'!C8)</f>
        <v/>
      </c>
      <c r="D6" s="672"/>
      <c r="E6" s="672"/>
      <c r="F6" s="672"/>
      <c r="G6" s="672"/>
      <c r="H6" s="672"/>
      <c r="I6" s="672"/>
      <c r="J6" s="672"/>
      <c r="K6" s="672"/>
      <c r="L6" s="672"/>
      <c r="M6" s="672"/>
      <c r="N6" s="672"/>
      <c r="O6" s="672"/>
      <c r="P6" s="672"/>
      <c r="Q6" s="672"/>
      <c r="R6" s="672"/>
      <c r="S6" s="672"/>
      <c r="T6" s="672"/>
      <c r="U6" s="672"/>
      <c r="V6" s="672"/>
      <c r="W6" s="672"/>
      <c r="X6" s="672"/>
      <c r="Y6" s="672"/>
      <c r="Z6" s="673"/>
      <c r="AG6" s="14"/>
    </row>
    <row r="7" spans="1:33" s="23" customFormat="1" ht="6.95" customHeight="1" x14ac:dyDescent="0.2">
      <c r="A7" s="7"/>
      <c r="C7" s="5"/>
      <c r="D7" s="5"/>
      <c r="E7" s="5"/>
      <c r="F7" s="5"/>
      <c r="H7" s="5"/>
      <c r="I7" s="5"/>
      <c r="K7" s="19"/>
      <c r="L7" s="19"/>
      <c r="M7" s="21"/>
      <c r="N7" s="21"/>
      <c r="O7" s="22"/>
      <c r="P7" s="22"/>
      <c r="Q7" s="22"/>
      <c r="AG7" s="14"/>
    </row>
    <row r="8" spans="1:33" s="23" customFormat="1" ht="15" customHeight="1" x14ac:dyDescent="0.2">
      <c r="A8" s="24" t="s">
        <v>186</v>
      </c>
      <c r="C8" s="875" t="str">
        <f>IF('Basic Data'!C6=0,"",'Basic Data'!C6)</f>
        <v/>
      </c>
      <c r="D8" s="876"/>
      <c r="E8" s="876"/>
      <c r="F8" s="876"/>
      <c r="G8" s="877"/>
      <c r="H8" s="206"/>
      <c r="I8" s="206"/>
      <c r="J8" s="206"/>
      <c r="K8" s="206"/>
      <c r="L8" s="206"/>
      <c r="N8" s="27"/>
      <c r="P8" s="22"/>
      <c r="R8" s="54" t="s">
        <v>184</v>
      </c>
      <c r="U8" s="878" t="str">
        <f>IF('Basic Data'!L12=0,"",'Basic Data'!L12)</f>
        <v/>
      </c>
      <c r="V8" s="879"/>
      <c r="W8" s="879"/>
      <c r="X8" s="879"/>
      <c r="Y8" s="879"/>
      <c r="Z8" s="880"/>
      <c r="AG8" s="14"/>
    </row>
    <row r="9" spans="1:33" s="23" customFormat="1" ht="6.75" customHeight="1" x14ac:dyDescent="0.2">
      <c r="B9" s="24"/>
      <c r="C9" s="25"/>
      <c r="D9" s="5"/>
      <c r="E9" s="5"/>
      <c r="G9" s="5"/>
      <c r="H9" s="5"/>
      <c r="I9" s="5"/>
      <c r="J9" s="5"/>
      <c r="K9" s="5"/>
      <c r="L9" s="5"/>
      <c r="N9" s="27"/>
      <c r="P9" s="22"/>
      <c r="Q9" s="22"/>
      <c r="R9" s="5"/>
      <c r="S9" s="5"/>
      <c r="AG9" s="14"/>
    </row>
    <row r="10" spans="1:33" ht="5.25" customHeight="1" x14ac:dyDescent="0.2">
      <c r="O10" s="23"/>
    </row>
    <row r="11" spans="1:33" ht="12" customHeight="1" x14ac:dyDescent="0.2">
      <c r="A11" s="834"/>
      <c r="B11" s="834"/>
      <c r="C11" s="834"/>
      <c r="D11" s="834"/>
      <c r="E11" s="834"/>
      <c r="F11" s="834"/>
      <c r="G11" s="834"/>
      <c r="H11" s="834"/>
      <c r="I11" s="834"/>
      <c r="J11" s="834"/>
      <c r="K11" s="834"/>
      <c r="L11" s="834"/>
      <c r="M11" s="834"/>
      <c r="N11" s="834"/>
      <c r="O11" s="834"/>
      <c r="P11" s="834"/>
      <c r="Q11" s="834"/>
      <c r="R11" s="834"/>
      <c r="S11" s="834"/>
      <c r="T11" s="834"/>
      <c r="U11" s="834"/>
      <c r="V11" s="834"/>
      <c r="W11" s="834"/>
      <c r="X11" s="834"/>
      <c r="Y11" s="834"/>
      <c r="Z11" s="834"/>
      <c r="AA11" s="834"/>
      <c r="AB11" s="834"/>
      <c r="AC11" s="834"/>
      <c r="AD11" s="834"/>
      <c r="AE11" s="834"/>
      <c r="AF11" s="834"/>
      <c r="AG11" s="834"/>
    </row>
    <row r="12" spans="1:33" s="170" customFormat="1" ht="24" customHeight="1" x14ac:dyDescent="0.25">
      <c r="A12" s="169" t="s">
        <v>201</v>
      </c>
      <c r="AG12" s="171"/>
    </row>
    <row r="13" spans="1:33" ht="11.25" customHeight="1" x14ac:dyDescent="0.2">
      <c r="A13" s="899" t="str">
        <f>IF(OR(A14="",A14="Matrix kann eingereicht werden"),"In Ordnung",IF(A14="die inkorrekten und unvollständigen Einträge beheben","Nicht in Ordnung"))</f>
        <v>In Ordnung</v>
      </c>
      <c r="B13" s="900"/>
      <c r="C13" s="900"/>
      <c r="D13" s="900"/>
      <c r="E13" s="900"/>
      <c r="F13" s="900"/>
      <c r="G13" s="901"/>
      <c r="H13" s="889" t="s">
        <v>185</v>
      </c>
      <c r="I13" s="890"/>
      <c r="J13" s="891"/>
      <c r="K13" s="891"/>
      <c r="L13" s="891"/>
      <c r="M13" s="891"/>
      <c r="N13" s="892"/>
      <c r="O13" s="893" t="s">
        <v>34</v>
      </c>
      <c r="P13" s="894"/>
      <c r="Q13" s="894"/>
      <c r="R13" s="894"/>
      <c r="S13" s="895"/>
      <c r="T13" s="838" t="s">
        <v>195</v>
      </c>
      <c r="U13" s="839"/>
      <c r="V13" s="839"/>
      <c r="W13" s="839"/>
      <c r="X13" s="839"/>
      <c r="Y13" s="839"/>
      <c r="Z13" s="839"/>
      <c r="AA13" s="839"/>
      <c r="AB13" s="840"/>
      <c r="AC13" s="838" t="s">
        <v>5</v>
      </c>
      <c r="AD13" s="839"/>
      <c r="AE13" s="839"/>
      <c r="AF13" s="839"/>
      <c r="AG13" s="840"/>
    </row>
    <row r="14" spans="1:33" ht="21" customHeight="1" x14ac:dyDescent="0.2">
      <c r="A14" s="902" t="str">
        <f>Berechnung2!$B$6</f>
        <v/>
      </c>
      <c r="B14" s="903"/>
      <c r="C14" s="903"/>
      <c r="D14" s="903"/>
      <c r="E14" s="903"/>
      <c r="F14" s="903"/>
      <c r="G14" s="904"/>
      <c r="H14" s="896">
        <f>Berechnung2!$C$6</f>
        <v>0</v>
      </c>
      <c r="I14" s="897"/>
      <c r="J14" s="897"/>
      <c r="K14" s="897"/>
      <c r="L14" s="897"/>
      <c r="M14" s="897"/>
      <c r="N14" s="898"/>
      <c r="O14" s="850">
        <f>Berechnung2!$D$6</f>
        <v>0</v>
      </c>
      <c r="P14" s="851"/>
      <c r="Q14" s="851"/>
      <c r="R14" s="851"/>
      <c r="S14" s="852"/>
      <c r="T14" s="841">
        <f>Berechnung2!$E$6</f>
        <v>0</v>
      </c>
      <c r="U14" s="842"/>
      <c r="V14" s="842"/>
      <c r="W14" s="842"/>
      <c r="X14" s="842"/>
      <c r="Y14" s="842"/>
      <c r="Z14" s="842"/>
      <c r="AA14" s="842"/>
      <c r="AB14" s="843"/>
      <c r="AC14" s="841">
        <f>Berechnung2!$F$6</f>
        <v>0</v>
      </c>
      <c r="AD14" s="842"/>
      <c r="AE14" s="842"/>
      <c r="AF14" s="842"/>
      <c r="AG14" s="843"/>
    </row>
    <row r="15" spans="1:33" s="23" customFormat="1" ht="6" customHeight="1" x14ac:dyDescent="0.2">
      <c r="B15" s="7"/>
      <c r="C15" s="13"/>
      <c r="D15" s="13"/>
      <c r="E15" s="13"/>
      <c r="F15" s="13"/>
      <c r="G15" s="13"/>
      <c r="H15" s="13"/>
      <c r="I15" s="13"/>
      <c r="J15" s="21"/>
      <c r="K15" s="28"/>
      <c r="L15" s="21"/>
      <c r="M15" s="21"/>
      <c r="AG15" s="14"/>
    </row>
    <row r="16" spans="1:33" s="23" customFormat="1" ht="6.75" customHeight="1" x14ac:dyDescent="0.2">
      <c r="AG16" s="14"/>
    </row>
    <row r="17" spans="1:37" s="23" customFormat="1" ht="3.75" customHeight="1" thickBot="1" x14ac:dyDescent="0.25">
      <c r="B17" s="7"/>
      <c r="C17" s="13"/>
      <c r="D17" s="13"/>
      <c r="E17" s="13"/>
      <c r="F17" s="13"/>
      <c r="G17" s="13"/>
      <c r="H17" s="13"/>
      <c r="I17" s="13"/>
      <c r="J17" s="21"/>
      <c r="K17" s="28"/>
      <c r="L17" s="21"/>
      <c r="M17" s="21"/>
      <c r="AG17" s="14"/>
    </row>
    <row r="18" spans="1:37" ht="23.25" customHeight="1" thickBot="1" x14ac:dyDescent="0.25">
      <c r="A18" s="192"/>
      <c r="B18" s="202"/>
      <c r="C18" s="934" t="s">
        <v>450</v>
      </c>
      <c r="D18" s="935"/>
      <c r="E18" s="935"/>
      <c r="F18" s="935"/>
      <c r="G18" s="935"/>
      <c r="H18" s="935"/>
      <c r="I18" s="935"/>
      <c r="J18" s="935"/>
      <c r="K18" s="935"/>
      <c r="L18" s="935"/>
      <c r="M18" s="936"/>
      <c r="N18" s="201"/>
      <c r="O18" s="844" t="s">
        <v>191</v>
      </c>
      <c r="P18" s="845"/>
      <c r="Q18" s="845"/>
      <c r="R18" s="845"/>
      <c r="S18" s="845"/>
      <c r="T18" s="845"/>
      <c r="U18" s="845"/>
      <c r="V18" s="845"/>
      <c r="W18" s="845"/>
      <c r="X18" s="845"/>
      <c r="Y18" s="845"/>
      <c r="Z18" s="845"/>
      <c r="AA18" s="845"/>
      <c r="AB18" s="845"/>
      <c r="AC18" s="846"/>
      <c r="AD18" s="928"/>
      <c r="AE18" s="844" t="s">
        <v>290</v>
      </c>
      <c r="AF18" s="845"/>
      <c r="AG18" s="846"/>
    </row>
    <row r="19" spans="1:37" s="150" customFormat="1" ht="15.75" customHeight="1" thickBot="1" x14ac:dyDescent="0.3">
      <c r="A19" s="149" t="s">
        <v>242</v>
      </c>
      <c r="B19" s="56" t="s">
        <v>21</v>
      </c>
      <c r="C19" s="196" t="s">
        <v>35</v>
      </c>
      <c r="D19" s="194" t="s">
        <v>36</v>
      </c>
      <c r="E19" s="194" t="s">
        <v>37</v>
      </c>
      <c r="F19" s="194" t="s">
        <v>38</v>
      </c>
      <c r="G19" s="194" t="s">
        <v>39</v>
      </c>
      <c r="H19" s="194" t="s">
        <v>40</v>
      </c>
      <c r="I19" s="194" t="s">
        <v>41</v>
      </c>
      <c r="J19" s="194" t="s">
        <v>188</v>
      </c>
      <c r="K19" s="194" t="s">
        <v>280</v>
      </c>
      <c r="L19" s="194" t="s">
        <v>189</v>
      </c>
      <c r="M19" s="195" t="s">
        <v>281</v>
      </c>
      <c r="N19" s="188" t="s">
        <v>42</v>
      </c>
      <c r="O19" s="196" t="s">
        <v>401</v>
      </c>
      <c r="P19" s="194" t="s">
        <v>43</v>
      </c>
      <c r="Q19" s="194" t="s">
        <v>44</v>
      </c>
      <c r="R19" s="194" t="s">
        <v>139</v>
      </c>
      <c r="S19" s="195" t="s">
        <v>282</v>
      </c>
      <c r="T19" s="931" t="s">
        <v>45</v>
      </c>
      <c r="U19" s="196" t="s">
        <v>410</v>
      </c>
      <c r="V19" s="194" t="s">
        <v>456</v>
      </c>
      <c r="W19" s="194" t="s">
        <v>46</v>
      </c>
      <c r="X19" s="194" t="s">
        <v>47</v>
      </c>
      <c r="Y19" s="194" t="s">
        <v>48</v>
      </c>
      <c r="Z19" s="194" t="s">
        <v>49</v>
      </c>
      <c r="AA19" s="194" t="s">
        <v>190</v>
      </c>
      <c r="AB19" s="194" t="s">
        <v>211</v>
      </c>
      <c r="AC19" s="195" t="s">
        <v>283</v>
      </c>
      <c r="AD19" s="929"/>
      <c r="AE19" s="196" t="s">
        <v>417</v>
      </c>
      <c r="AF19" s="194" t="s">
        <v>284</v>
      </c>
      <c r="AG19" s="195" t="s">
        <v>285</v>
      </c>
    </row>
    <row r="20" spans="1:37" ht="15" x14ac:dyDescent="0.2">
      <c r="A20" s="193"/>
      <c r="B20" s="203"/>
      <c r="C20" s="198"/>
      <c r="D20" s="849" t="s">
        <v>286</v>
      </c>
      <c r="E20" s="849"/>
      <c r="F20" s="849" t="s">
        <v>287</v>
      </c>
      <c r="G20" s="849"/>
      <c r="H20" s="847" t="s">
        <v>390</v>
      </c>
      <c r="I20" s="848"/>
      <c r="J20" s="849" t="s">
        <v>288</v>
      </c>
      <c r="K20" s="849"/>
      <c r="L20" s="847" t="s">
        <v>289</v>
      </c>
      <c r="M20" s="905"/>
      <c r="N20" s="187"/>
      <c r="O20" s="886"/>
      <c r="P20" s="887"/>
      <c r="Q20" s="887"/>
      <c r="R20" s="887"/>
      <c r="S20" s="888"/>
      <c r="T20" s="932"/>
      <c r="U20" s="853"/>
      <c r="V20" s="854"/>
      <c r="W20" s="854"/>
      <c r="X20" s="854"/>
      <c r="Y20" s="854"/>
      <c r="Z20" s="854"/>
      <c r="AA20" s="854"/>
      <c r="AB20" s="854"/>
      <c r="AC20" s="855"/>
      <c r="AD20" s="929"/>
      <c r="AE20" s="198"/>
      <c r="AF20" s="836" t="s">
        <v>453</v>
      </c>
      <c r="AG20" s="837"/>
    </row>
    <row r="21" spans="1:37" ht="124.5" customHeight="1" x14ac:dyDescent="0.2">
      <c r="A21" s="861" t="s">
        <v>125</v>
      </c>
      <c r="B21" s="864" t="s">
        <v>50</v>
      </c>
      <c r="C21" s="862" t="s">
        <v>305</v>
      </c>
      <c r="D21" s="863" t="s">
        <v>481</v>
      </c>
      <c r="E21" s="863" t="s">
        <v>482</v>
      </c>
      <c r="F21" s="863" t="s">
        <v>483</v>
      </c>
      <c r="G21" s="863" t="s">
        <v>484</v>
      </c>
      <c r="H21" s="863" t="s">
        <v>485</v>
      </c>
      <c r="I21" s="916" t="s">
        <v>486</v>
      </c>
      <c r="J21" s="863" t="s">
        <v>487</v>
      </c>
      <c r="K21" s="863" t="s">
        <v>488</v>
      </c>
      <c r="L21" s="863" t="s">
        <v>489</v>
      </c>
      <c r="M21" s="856" t="s">
        <v>490</v>
      </c>
      <c r="N21" s="187"/>
      <c r="O21" s="923" t="s">
        <v>451</v>
      </c>
      <c r="P21" s="863" t="s">
        <v>452</v>
      </c>
      <c r="Q21" s="863" t="s">
        <v>332</v>
      </c>
      <c r="R21" s="863" t="s">
        <v>294</v>
      </c>
      <c r="S21" s="858" t="s">
        <v>418</v>
      </c>
      <c r="T21" s="932"/>
      <c r="U21" s="862" t="s">
        <v>51</v>
      </c>
      <c r="V21" s="881" t="s">
        <v>303</v>
      </c>
      <c r="W21" s="866" t="s">
        <v>402</v>
      </c>
      <c r="X21" s="185" t="s">
        <v>52</v>
      </c>
      <c r="Y21" s="185" t="s">
        <v>53</v>
      </c>
      <c r="Z21" s="185" t="s">
        <v>54</v>
      </c>
      <c r="AA21" s="916" t="s">
        <v>279</v>
      </c>
      <c r="AB21" s="863" t="s">
        <v>296</v>
      </c>
      <c r="AC21" s="865" t="s">
        <v>295</v>
      </c>
      <c r="AD21" s="929"/>
      <c r="AE21" s="868" t="s">
        <v>419</v>
      </c>
      <c r="AF21" s="909" t="s">
        <v>309</v>
      </c>
      <c r="AG21" s="869" t="s">
        <v>310</v>
      </c>
    </row>
    <row r="22" spans="1:37" ht="25.5" customHeight="1" x14ac:dyDescent="0.2">
      <c r="A22" s="861"/>
      <c r="B22" s="864"/>
      <c r="C22" s="862"/>
      <c r="D22" s="863"/>
      <c r="E22" s="863"/>
      <c r="F22" s="863"/>
      <c r="G22" s="863"/>
      <c r="H22" s="863"/>
      <c r="I22" s="917"/>
      <c r="J22" s="863"/>
      <c r="K22" s="863"/>
      <c r="L22" s="863"/>
      <c r="M22" s="857"/>
      <c r="N22" s="187"/>
      <c r="O22" s="923"/>
      <c r="P22" s="863"/>
      <c r="Q22" s="863"/>
      <c r="R22" s="863"/>
      <c r="S22" s="858"/>
      <c r="T22" s="932"/>
      <c r="U22" s="862"/>
      <c r="V22" s="882"/>
      <c r="W22" s="867"/>
      <c r="X22" s="937" t="s">
        <v>55</v>
      </c>
      <c r="Y22" s="937"/>
      <c r="Z22" s="937"/>
      <c r="AA22" s="917"/>
      <c r="AB22" s="863"/>
      <c r="AC22" s="865"/>
      <c r="AD22" s="929"/>
      <c r="AE22" s="868"/>
      <c r="AF22" s="909"/>
      <c r="AG22" s="869"/>
    </row>
    <row r="23" spans="1:37" ht="20.100000000000001" customHeight="1" x14ac:dyDescent="0.2">
      <c r="A23" s="189" t="str">
        <f>IF(Datenquelle!$H$3&gt;6,IF(Datenquelle!$H$3=7,"EZ",IF(Datenquelle!$H$3&gt;7,"relevant","?")),"nicht relevant")</f>
        <v>nicht relevant</v>
      </c>
      <c r="B23" s="191">
        <v>2013</v>
      </c>
      <c r="C23" s="204">
        <f t="shared" ref="C23:C29" si="0">SUM(D23:M23)</f>
        <v>0</v>
      </c>
      <c r="D23" s="209"/>
      <c r="E23" s="209"/>
      <c r="F23" s="209"/>
      <c r="G23" s="209"/>
      <c r="H23" s="209"/>
      <c r="I23" s="209"/>
      <c r="J23" s="209"/>
      <c r="K23" s="209"/>
      <c r="L23" s="209"/>
      <c r="M23" s="210"/>
      <c r="N23" s="187"/>
      <c r="O23" s="197" t="str">
        <f>IF(SUM(P23:R23)=0,"",SUM(P23:R23))</f>
        <v/>
      </c>
      <c r="P23" s="209"/>
      <c r="Q23" s="209"/>
      <c r="R23" s="209"/>
      <c r="S23" s="200" t="str">
        <f>IF(O23="","",IF(O23&gt;0,SUM(P23:Q23) /O23,0))</f>
        <v/>
      </c>
      <c r="T23" s="932"/>
      <c r="U23" s="197" t="str">
        <f>IF(COUNTA(W23:AC23)&lt;7,"",SUM(P23+Q23-W23-AB23-AC23-AA23))</f>
        <v/>
      </c>
      <c r="V23" s="186" t="str">
        <f>IF(AND(COUNTA(P23:Q23)&gt;0,U23&lt;&gt;"",SUM(P23:Q23)&gt;0),U23 /(P23+Q23),"")</f>
        <v/>
      </c>
      <c r="W23" s="209"/>
      <c r="X23" s="209"/>
      <c r="Y23" s="209"/>
      <c r="Z23" s="209"/>
      <c r="AA23" s="209"/>
      <c r="AB23" s="209"/>
      <c r="AC23" s="210"/>
      <c r="AD23" s="929"/>
      <c r="AE23" s="199" t="str">
        <f>IF(SUM(P23+Q23)=0,"",IF(X23="","",X23 /(P23+Q23)))</f>
        <v/>
      </c>
      <c r="AF23" s="211"/>
      <c r="AG23" s="212"/>
    </row>
    <row r="24" spans="1:37" s="13" customFormat="1" ht="20.100000000000001" customHeight="1" x14ac:dyDescent="0.25">
      <c r="A24" s="189" t="str">
        <f>IF(Datenquelle!$H$3&gt;5,IF(Datenquelle!$H$3=6,"EZ",IF(Datenquelle!$H$3&gt;6,"relevant","?")),"nicht relevant")</f>
        <v>nicht relevant</v>
      </c>
      <c r="B24" s="191">
        <v>2014</v>
      </c>
      <c r="C24" s="204">
        <f t="shared" si="0"/>
        <v>0</v>
      </c>
      <c r="D24" s="209"/>
      <c r="E24" s="209"/>
      <c r="F24" s="209"/>
      <c r="G24" s="209"/>
      <c r="H24" s="209"/>
      <c r="I24" s="209"/>
      <c r="J24" s="209"/>
      <c r="K24" s="209"/>
      <c r="L24" s="209"/>
      <c r="M24" s="210"/>
      <c r="N24" s="187"/>
      <c r="O24" s="197" t="str">
        <f>IF(SUM(P24:R24)=0,"",SUM(P24:R24))</f>
        <v/>
      </c>
      <c r="P24" s="209"/>
      <c r="Q24" s="209"/>
      <c r="R24" s="209"/>
      <c r="S24" s="200" t="str">
        <f>IF(O24="","",IF(O24&gt;0,SUM(P24:Q24) /O24,0))</f>
        <v/>
      </c>
      <c r="T24" s="932"/>
      <c r="U24" s="197" t="str">
        <f>IF(COUNTA(W24:AC24)&lt;7,"",SUM(P24+Q24-W24-AB24-AC24-AA24))</f>
        <v/>
      </c>
      <c r="V24" s="186" t="str">
        <f>IF(AND(COUNTA(P24:Q24)&gt;0,U24&lt;&gt;"",SUM(P24:Q24)&gt;0),U24 /(P24+Q24),"")</f>
        <v/>
      </c>
      <c r="W24" s="209"/>
      <c r="X24" s="209"/>
      <c r="Y24" s="209"/>
      <c r="Z24" s="209"/>
      <c r="AA24" s="209"/>
      <c r="AB24" s="209"/>
      <c r="AC24" s="210"/>
      <c r="AD24" s="929"/>
      <c r="AE24" s="199" t="str">
        <f>IF(SUM(P24+Q24)=0,"",IF(X24="","",X24 /(P24+Q24)))</f>
        <v/>
      </c>
      <c r="AF24" s="211"/>
      <c r="AG24" s="212"/>
    </row>
    <row r="25" spans="1:37" s="13" customFormat="1" ht="20.100000000000001" customHeight="1" x14ac:dyDescent="0.25">
      <c r="A25" s="189" t="str">
        <f>IF(Datenquelle!$H$3&gt;4,IF(Datenquelle!$H$3=5,"EZ",IF(Datenquelle!$H$3&gt;5,"relevant","?")),"nicht relevant")</f>
        <v>nicht relevant</v>
      </c>
      <c r="B25" s="191">
        <v>2015</v>
      </c>
      <c r="C25" s="204">
        <f t="shared" si="0"/>
        <v>0</v>
      </c>
      <c r="D25" s="209"/>
      <c r="E25" s="209"/>
      <c r="F25" s="209"/>
      <c r="G25" s="209"/>
      <c r="H25" s="209"/>
      <c r="I25" s="209"/>
      <c r="J25" s="209"/>
      <c r="K25" s="209"/>
      <c r="L25" s="209"/>
      <c r="M25" s="210"/>
      <c r="N25" s="187"/>
      <c r="O25" s="197" t="str">
        <f>IF(SUM(P25:R25)=0,"",SUM(P25:R25))</f>
        <v/>
      </c>
      <c r="P25" s="209"/>
      <c r="Q25" s="209"/>
      <c r="R25" s="209"/>
      <c r="S25" s="200" t="str">
        <f>IF(O25="","",IF(O25&gt;0,SUM(P25:Q25) /O25,0))</f>
        <v/>
      </c>
      <c r="T25" s="932"/>
      <c r="U25" s="197" t="str">
        <f>IF(COUNTA(W25:AC25)&lt;7,"",SUM(P25+Q25-W25-AB25-AC25-AA25))</f>
        <v/>
      </c>
      <c r="V25" s="186" t="str">
        <f>IF(AND(COUNTA(P25:Q25)&gt;0,U25&lt;&gt;"",SUM(P25:Q25)&gt;0),U25 /(P25+Q25),"")</f>
        <v/>
      </c>
      <c r="W25" s="209"/>
      <c r="X25" s="209"/>
      <c r="Y25" s="209"/>
      <c r="Z25" s="209"/>
      <c r="AA25" s="209"/>
      <c r="AB25" s="209"/>
      <c r="AC25" s="210"/>
      <c r="AD25" s="929"/>
      <c r="AE25" s="199" t="str">
        <f>IF(SUM(P25+Q25)=0,"",IF(X25="","",X25 /(P25+Q25)))</f>
        <v/>
      </c>
      <c r="AF25" s="211"/>
      <c r="AG25" s="212"/>
    </row>
    <row r="26" spans="1:37" s="13" customFormat="1" ht="20.100000000000001" customHeight="1" x14ac:dyDescent="0.25">
      <c r="A26" s="189" t="str">
        <f>IF(Datenquelle!$H$3&gt;3,IF(Datenquelle!$H$3=4,"EZ",IF(Datenquelle!$H$3&gt;4,"relevant","?")),"nicht relevant")</f>
        <v>nicht relevant</v>
      </c>
      <c r="B26" s="191">
        <v>2016</v>
      </c>
      <c r="C26" s="204">
        <f t="shared" ref="C26" si="1">SUM(D26:M26)</f>
        <v>0</v>
      </c>
      <c r="D26" s="209"/>
      <c r="E26" s="209"/>
      <c r="F26" s="209"/>
      <c r="G26" s="209"/>
      <c r="H26" s="209"/>
      <c r="I26" s="209"/>
      <c r="J26" s="209"/>
      <c r="K26" s="209"/>
      <c r="L26" s="209"/>
      <c r="M26" s="210"/>
      <c r="N26" s="187"/>
      <c r="O26" s="197" t="str">
        <f>IF(SUM(P26:R26)=0,"",SUM(P26:R26))</f>
        <v/>
      </c>
      <c r="P26" s="209"/>
      <c r="Q26" s="209"/>
      <c r="R26" s="209"/>
      <c r="S26" s="200" t="str">
        <f>IF(O26="","",IF(O26&gt;0,SUM(P26:Q26) /O26,0))</f>
        <v/>
      </c>
      <c r="T26" s="932"/>
      <c r="U26" s="197" t="str">
        <f>IF(COUNTA(W26:AC26)&lt;7,"",SUM(P26+Q26-W26-AB26-AC26-AA26))</f>
        <v/>
      </c>
      <c r="V26" s="186" t="str">
        <f>IF(AND(COUNTA(P26:Q26)&gt;0,U26&lt;&gt;"",SUM(P26:Q26)&gt;0),U26 /(P26+Q26),"")</f>
        <v/>
      </c>
      <c r="W26" s="209"/>
      <c r="X26" s="209"/>
      <c r="Y26" s="209"/>
      <c r="Z26" s="209"/>
      <c r="AA26" s="209"/>
      <c r="AB26" s="209"/>
      <c r="AC26" s="210"/>
      <c r="AD26" s="929"/>
      <c r="AE26" s="199" t="str">
        <f>IF(SUM(P26+Q26)=0,"",IF(X26="","",X26 /(P26+Q26)))</f>
        <v/>
      </c>
      <c r="AF26" s="211"/>
      <c r="AG26" s="212"/>
    </row>
    <row r="27" spans="1:37" s="13" customFormat="1" ht="20.100000000000001" customHeight="1" thickBot="1" x14ac:dyDescent="0.3">
      <c r="A27" s="189" t="str">
        <f>IF(Datenquelle!$H$3&gt;2,IF(Datenquelle!$H$3=3,"EZ",IF(Datenquelle!$H$3&gt;3,"relevant","?")),"nicht relevant")</f>
        <v>nicht relevant</v>
      </c>
      <c r="B27" s="191">
        <v>2017</v>
      </c>
      <c r="C27" s="204">
        <f t="shared" si="0"/>
        <v>0</v>
      </c>
      <c r="D27" s="209"/>
      <c r="E27" s="209"/>
      <c r="F27" s="209"/>
      <c r="G27" s="209"/>
      <c r="H27" s="209"/>
      <c r="I27" s="209"/>
      <c r="J27" s="209"/>
      <c r="K27" s="209"/>
      <c r="L27" s="209"/>
      <c r="M27" s="210"/>
      <c r="N27" s="187"/>
      <c r="O27" s="197" t="str">
        <f>IF(SUM(P27:R27)=0,"",SUM(P27:R27))</f>
        <v/>
      </c>
      <c r="P27" s="209"/>
      <c r="Q27" s="209"/>
      <c r="R27" s="209"/>
      <c r="S27" s="200" t="str">
        <f>IF(O27="","",IF(O27&gt;0,SUM(P27:Q27) /O27,0))</f>
        <v/>
      </c>
      <c r="T27" s="932"/>
      <c r="U27" s="197" t="str">
        <f>IF(COUNTA(W27:AC27)&lt;7,"",SUM(P27+Q27-W27-AB27-AC27-AA27))</f>
        <v/>
      </c>
      <c r="V27" s="186" t="str">
        <f>IF(AND(COUNTA(P27:Q27)&gt;0,U27&lt;&gt;"",SUM(P27:Q27)&gt;0),U27 /(P27+Q27),"")</f>
        <v/>
      </c>
      <c r="W27" s="209"/>
      <c r="X27" s="209"/>
      <c r="Y27" s="209"/>
      <c r="Z27" s="209"/>
      <c r="AA27" s="209"/>
      <c r="AB27" s="209"/>
      <c r="AC27" s="210"/>
      <c r="AD27" s="929"/>
      <c r="AE27" s="199" t="str">
        <f>IF(SUM(P27+Q27)=0,"",IF(X27="","",X27 /(P27+Q27)))</f>
        <v/>
      </c>
      <c r="AF27" s="211"/>
      <c r="AG27" s="212"/>
      <c r="AI27" s="41"/>
      <c r="AK27" s="224"/>
    </row>
    <row r="28" spans="1:37" s="13" customFormat="1" ht="20.100000000000001" customHeight="1" thickBot="1" x14ac:dyDescent="0.3">
      <c r="A28" s="189" t="str">
        <f>IF(Datenquelle!$H$3&gt;1,IF(Datenquelle!$H$3=2,"EZ",IF(Datenquelle!$H$3&gt;2,"relevant","?")),"nicht relevant")</f>
        <v>nicht relevant</v>
      </c>
      <c r="B28" s="250" t="s">
        <v>479</v>
      </c>
      <c r="C28" s="204">
        <f t="shared" si="0"/>
        <v>0</v>
      </c>
      <c r="D28" s="209"/>
      <c r="E28" s="209"/>
      <c r="F28" s="209"/>
      <c r="G28" s="209"/>
      <c r="H28" s="209"/>
      <c r="I28" s="209"/>
      <c r="J28" s="209"/>
      <c r="K28" s="209"/>
      <c r="L28" s="209"/>
      <c r="M28" s="210"/>
      <c r="N28" s="187"/>
      <c r="O28" s="910"/>
      <c r="P28" s="911"/>
      <c r="Q28" s="911"/>
      <c r="R28" s="911"/>
      <c r="S28" s="912"/>
      <c r="T28" s="932"/>
      <c r="U28" s="924"/>
      <c r="V28" s="925"/>
      <c r="W28" s="925"/>
      <c r="X28" s="925"/>
      <c r="Y28" s="925"/>
      <c r="Z28" s="925"/>
      <c r="AA28" s="925"/>
      <c r="AB28" s="925"/>
      <c r="AC28" s="926"/>
      <c r="AD28" s="929"/>
      <c r="AE28" s="913"/>
      <c r="AF28" s="914"/>
      <c r="AG28" s="915"/>
    </row>
    <row r="29" spans="1:37" s="13" customFormat="1" ht="20.100000000000001" customHeight="1" thickBot="1" x14ac:dyDescent="0.3">
      <c r="A29" s="190" t="str">
        <f>IF(Datenquelle!$H$3&gt;0,IF(Datenquelle!$H$3=1,"EZ",IF(Datenquelle!$H$3&gt;1,"relevant","?")),"nicht relevant")</f>
        <v>nicht relevant</v>
      </c>
      <c r="B29" s="251" t="s">
        <v>480</v>
      </c>
      <c r="C29" s="205">
        <f t="shared" si="0"/>
        <v>0</v>
      </c>
      <c r="D29" s="223" t="str">
        <f>IF(AND('Basic Data'!$H40="",'Basic Data'!$I40="",'Basic Data'!$J40=""),"",SUM('Basic Data'!$H40,'Basic Data'!$I40,'Basic Data'!$J40))</f>
        <v/>
      </c>
      <c r="E29" s="223" t="str">
        <f>IF(AND('Basic Data'!$H41="",'Basic Data'!$I41="",'Basic Data'!$J41=""),"",SUM('Basic Data'!$H41,'Basic Data'!$I41,'Basic Data'!$J41))</f>
        <v/>
      </c>
      <c r="F29" s="223" t="str">
        <f>IF(AND('Basic Data'!$H42="",'Basic Data'!$I42="",'Basic Data'!$J42=""),"",SUM('Basic Data'!$H42,'Basic Data'!$I42,'Basic Data'!$J42))</f>
        <v/>
      </c>
      <c r="G29" s="223" t="str">
        <f>IF(AND('Basic Data'!$H43="",'Basic Data'!$I43="",'Basic Data'!$J43=""),"",SUM('Basic Data'!$H43,'Basic Data'!$I43,'Basic Data'!$J43))</f>
        <v/>
      </c>
      <c r="H29" s="223" t="str">
        <f>IF(AND('Basic Data'!$H44="",'Basic Data'!$I44="",'Basic Data'!$J44=""),"",SUM('Basic Data'!$H44,'Basic Data'!$I44,'Basic Data'!$J44))</f>
        <v/>
      </c>
      <c r="I29" s="223" t="str">
        <f>IF(AND('Basic Data'!$H45="",'Basic Data'!$I45="",'Basic Data'!$J45=""),"",SUM('Basic Data'!$H45,'Basic Data'!$I45,'Basic Data'!$J45))</f>
        <v/>
      </c>
      <c r="J29" s="223" t="str">
        <f>IF(AND('Basic Data'!$H46="",'Basic Data'!$I46="",'Basic Data'!$J46=""),"",SUM('Basic Data'!$H46,'Basic Data'!$I46,'Basic Data'!$J46))</f>
        <v/>
      </c>
      <c r="K29" s="223" t="str">
        <f>IF(AND('Basic Data'!$H47="",'Basic Data'!$I47="",'Basic Data'!$J47=""),"",SUM('Basic Data'!$H47,'Basic Data'!$I47,'Basic Data'!$J47))</f>
        <v/>
      </c>
      <c r="L29" s="223" t="str">
        <f>IF(AND('Basic Data'!$H48="",'Basic Data'!$I48="",'Basic Data'!$J48=""),"",SUM('Basic Data'!$H48,'Basic Data'!$I48,'Basic Data'!$J48))</f>
        <v/>
      </c>
      <c r="M29" s="245" t="str">
        <f>IF(AND('Basic Data'!$H49="",'Basic Data'!$I49="",'Basic Data'!$J49=""),"",SUM('Basic Data'!$H49,'Basic Data'!$I49,'Basic Data'!$J49))</f>
        <v/>
      </c>
      <c r="N29" s="249"/>
      <c r="O29" s="910"/>
      <c r="P29" s="911"/>
      <c r="Q29" s="911"/>
      <c r="R29" s="911"/>
      <c r="S29" s="912"/>
      <c r="T29" s="933"/>
      <c r="U29" s="910"/>
      <c r="V29" s="911"/>
      <c r="W29" s="911"/>
      <c r="X29" s="911"/>
      <c r="Y29" s="911"/>
      <c r="Z29" s="911"/>
      <c r="AA29" s="911"/>
      <c r="AB29" s="911"/>
      <c r="AC29" s="912"/>
      <c r="AD29" s="930"/>
      <c r="AE29" s="918"/>
      <c r="AF29" s="919"/>
      <c r="AG29" s="920"/>
      <c r="AI29" s="50"/>
    </row>
    <row r="30" spans="1:37" ht="5.25" customHeight="1" x14ac:dyDescent="0.25">
      <c r="A30"/>
      <c r="B30"/>
      <c r="C30"/>
      <c r="D30"/>
      <c r="E30"/>
      <c r="F30"/>
      <c r="G30"/>
      <c r="H30"/>
      <c r="I30"/>
      <c r="J30"/>
      <c r="K30"/>
      <c r="L30"/>
      <c r="M30"/>
      <c r="N30"/>
      <c r="O30"/>
      <c r="P30"/>
      <c r="Q30"/>
      <c r="R30"/>
      <c r="T30"/>
      <c r="U30"/>
      <c r="V30"/>
      <c r="W30"/>
      <c r="X30"/>
      <c r="Y30"/>
      <c r="Z30"/>
      <c r="AA30"/>
      <c r="AB30"/>
      <c r="AC30"/>
      <c r="AD30"/>
      <c r="AE30"/>
      <c r="AF30"/>
      <c r="AG30"/>
    </row>
    <row r="31" spans="1:37" ht="15" x14ac:dyDescent="0.25">
      <c r="A31"/>
      <c r="B31"/>
      <c r="C31"/>
      <c r="D31"/>
      <c r="E31"/>
      <c r="F31"/>
      <c r="G31"/>
      <c r="H31"/>
      <c r="J31"/>
      <c r="K31" s="236" t="s">
        <v>491</v>
      </c>
      <c r="L31"/>
      <c r="N31"/>
      <c r="O31"/>
      <c r="P31"/>
      <c r="Q31"/>
      <c r="R31"/>
      <c r="S31" s="136" t="str">
        <f>IF(A27="EZ","-----",IF(A27= "Nicht relevant","-----",IF(COUNTBLANK(S25:S27)=3,"",SUMIF(A25:A27,"relevant",S25:S27) /COUNTIF(A25:A27,"relevant"))))</f>
        <v>-----</v>
      </c>
      <c r="T31"/>
      <c r="U31"/>
      <c r="V31">
        <f>IF((SUM(P31:Q31)=0),0,U31 /(SUM(P31:Q31)))</f>
        <v>0</v>
      </c>
      <c r="W31"/>
      <c r="X31"/>
      <c r="Y31"/>
      <c r="Z31"/>
      <c r="AA31"/>
      <c r="AB31"/>
      <c r="AC31"/>
      <c r="AD31"/>
      <c r="AE31"/>
      <c r="AF31"/>
      <c r="AG31"/>
    </row>
    <row r="32" spans="1:37" ht="12.95" customHeight="1" x14ac:dyDescent="0.2">
      <c r="A32" s="16"/>
      <c r="B32" s="32"/>
      <c r="C32" s="32"/>
      <c r="D32" s="32"/>
      <c r="E32" s="32"/>
      <c r="F32" s="32"/>
      <c r="G32" s="32"/>
      <c r="H32" s="32"/>
      <c r="I32" s="32"/>
      <c r="J32" s="32"/>
      <c r="L32" s="32"/>
      <c r="M32" s="32"/>
      <c r="N32" s="32"/>
      <c r="O32" s="32"/>
      <c r="P32" s="32"/>
      <c r="Q32" s="32"/>
      <c r="R32" s="32"/>
      <c r="S32" s="32"/>
      <c r="T32" s="32"/>
      <c r="U32" s="32"/>
      <c r="V32" s="32"/>
      <c r="W32" s="32"/>
      <c r="X32" s="32"/>
      <c r="Y32" s="32"/>
      <c r="Z32" s="32"/>
      <c r="AA32" s="32"/>
      <c r="AB32" s="32"/>
    </row>
    <row r="33" spans="1:33" ht="12.95" customHeight="1" x14ac:dyDescent="0.2">
      <c r="A33" s="16"/>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row>
    <row r="34" spans="1:33" ht="12.95" customHeight="1" x14ac:dyDescent="0.2">
      <c r="A34" s="178" t="s">
        <v>443</v>
      </c>
      <c r="B34" s="179"/>
      <c r="C34" s="179"/>
      <c r="D34" s="179"/>
      <c r="E34" s="179"/>
      <c r="F34" s="179"/>
      <c r="G34" s="179"/>
      <c r="H34" s="179"/>
      <c r="I34" s="179"/>
      <c r="J34" s="179"/>
      <c r="K34" s="179"/>
      <c r="L34" s="179"/>
      <c r="M34" s="179"/>
      <c r="N34" s="179"/>
      <c r="O34" s="179"/>
      <c r="P34" s="179"/>
      <c r="Q34" s="179"/>
      <c r="R34" s="179"/>
      <c r="S34" s="179"/>
      <c r="T34" s="179"/>
      <c r="U34" s="179"/>
      <c r="V34" s="179"/>
      <c r="W34" s="179"/>
      <c r="X34" s="55"/>
      <c r="Y34" s="55"/>
      <c r="Z34" s="55"/>
      <c r="AA34" s="55"/>
      <c r="AB34" s="55"/>
      <c r="AC34" s="55"/>
      <c r="AD34" s="55"/>
      <c r="AE34" s="55"/>
      <c r="AF34" s="32"/>
    </row>
    <row r="35" spans="1:33" ht="22.5" customHeight="1" x14ac:dyDescent="0.2">
      <c r="A35" s="835" t="s">
        <v>444</v>
      </c>
      <c r="B35" s="835"/>
      <c r="C35" s="835"/>
      <c r="D35" s="835"/>
      <c r="E35" s="835"/>
      <c r="F35" s="835"/>
      <c r="G35" s="835"/>
      <c r="H35" s="835"/>
      <c r="I35" s="835"/>
      <c r="J35" s="835"/>
      <c r="K35" s="835"/>
      <c r="L35" s="835"/>
      <c r="M35" s="835"/>
      <c r="N35" s="835"/>
      <c r="O35" s="835"/>
      <c r="P35" s="835"/>
      <c r="Q35" s="835"/>
      <c r="R35" s="835"/>
      <c r="S35" s="835"/>
      <c r="T35" s="835"/>
      <c r="U35" s="835"/>
      <c r="V35" s="835"/>
      <c r="W35" s="835"/>
      <c r="X35" s="835"/>
      <c r="Y35" s="835"/>
      <c r="Z35" s="835"/>
      <c r="AA35" s="835"/>
      <c r="AB35" s="835"/>
      <c r="AC35" s="835"/>
      <c r="AD35" s="835"/>
      <c r="AE35" s="835"/>
      <c r="AF35" s="835"/>
      <c r="AG35" s="835"/>
    </row>
    <row r="36" spans="1:33" ht="12.95" customHeight="1" x14ac:dyDescent="0.2">
      <c r="A36" s="178" t="s">
        <v>445</v>
      </c>
      <c r="B36" s="179"/>
      <c r="C36" s="179"/>
      <c r="D36" s="179"/>
      <c r="E36" s="179"/>
      <c r="F36" s="179"/>
      <c r="G36" s="179"/>
      <c r="H36" s="179"/>
      <c r="I36" s="179"/>
      <c r="J36" s="179"/>
      <c r="K36" s="179"/>
      <c r="L36" s="179"/>
      <c r="M36" s="179"/>
      <c r="N36" s="179"/>
      <c r="O36" s="179"/>
      <c r="P36" s="179"/>
      <c r="Q36" s="179"/>
      <c r="R36" s="179"/>
      <c r="S36" s="179"/>
      <c r="T36" s="179"/>
      <c r="U36" s="179"/>
      <c r="V36" s="179"/>
      <c r="W36" s="179"/>
      <c r="X36" s="55"/>
      <c r="Y36" s="55"/>
      <c r="Z36" s="55"/>
      <c r="AA36" s="55"/>
      <c r="AB36" s="55"/>
      <c r="AC36" s="55"/>
      <c r="AD36" s="55"/>
      <c r="AE36" s="55"/>
      <c r="AF36" s="32"/>
    </row>
    <row r="37" spans="1:33" ht="12.95" customHeight="1" x14ac:dyDescent="0.2">
      <c r="A37" s="178" t="s">
        <v>446</v>
      </c>
      <c r="B37" s="179"/>
      <c r="C37" s="179"/>
      <c r="D37" s="179"/>
      <c r="E37" s="179"/>
      <c r="F37" s="179"/>
      <c r="G37" s="179"/>
      <c r="H37" s="179"/>
      <c r="I37" s="179"/>
      <c r="J37" s="179"/>
      <c r="K37" s="179"/>
      <c r="L37" s="179"/>
      <c r="M37" s="179"/>
      <c r="N37" s="179"/>
      <c r="O37" s="179"/>
      <c r="P37" s="179"/>
      <c r="Q37" s="179"/>
      <c r="R37" s="179"/>
      <c r="S37" s="179"/>
      <c r="T37" s="179"/>
      <c r="U37" s="179"/>
      <c r="V37" s="179"/>
      <c r="W37" s="179"/>
      <c r="X37" s="55"/>
      <c r="Y37" s="55"/>
      <c r="Z37" s="55"/>
      <c r="AA37" s="55"/>
      <c r="AB37" s="55"/>
      <c r="AC37" s="55"/>
      <c r="AD37" s="55"/>
      <c r="AE37" s="55"/>
      <c r="AF37" s="32"/>
    </row>
    <row r="38" spans="1:33" ht="12.95" customHeight="1" x14ac:dyDescent="0.2">
      <c r="A38" s="178" t="s">
        <v>447</v>
      </c>
      <c r="B38" s="179"/>
      <c r="C38" s="179"/>
      <c r="D38" s="179"/>
      <c r="E38" s="179"/>
      <c r="F38" s="179"/>
      <c r="G38" s="179"/>
      <c r="H38" s="179"/>
      <c r="I38" s="179"/>
      <c r="J38" s="179"/>
      <c r="K38" s="179"/>
      <c r="L38" s="179"/>
      <c r="M38" s="179"/>
      <c r="N38" s="179"/>
      <c r="O38" s="179"/>
      <c r="P38" s="179"/>
      <c r="Q38" s="179"/>
      <c r="R38" s="179"/>
      <c r="S38" s="179"/>
      <c r="T38" s="179"/>
      <c r="U38" s="179"/>
      <c r="V38" s="179"/>
      <c r="W38" s="179"/>
      <c r="X38" s="55"/>
      <c r="Y38" s="55"/>
      <c r="Z38" s="55"/>
      <c r="AA38" s="55"/>
      <c r="AB38" s="55"/>
      <c r="AC38" s="55"/>
      <c r="AD38" s="55"/>
      <c r="AE38" s="55"/>
      <c r="AF38" s="32"/>
    </row>
    <row r="39" spans="1:33" ht="12.95" customHeight="1" x14ac:dyDescent="0.2">
      <c r="A39" s="178" t="s">
        <v>448</v>
      </c>
      <c r="B39" s="179"/>
      <c r="C39" s="179"/>
      <c r="D39" s="179"/>
      <c r="E39" s="179"/>
      <c r="F39" s="179"/>
      <c r="G39" s="179"/>
      <c r="H39" s="179"/>
      <c r="I39" s="179"/>
      <c r="J39" s="179"/>
      <c r="K39" s="179"/>
      <c r="L39" s="179"/>
      <c r="M39" s="179"/>
      <c r="N39" s="179"/>
      <c r="O39" s="179"/>
      <c r="P39" s="179"/>
      <c r="Q39" s="179"/>
      <c r="R39" s="179"/>
      <c r="S39" s="179"/>
      <c r="T39" s="179"/>
      <c r="U39" s="179"/>
      <c r="V39" s="179"/>
      <c r="W39" s="179"/>
      <c r="X39" s="55"/>
      <c r="Y39" s="55"/>
      <c r="Z39" s="55"/>
      <c r="AA39" s="55"/>
      <c r="AB39" s="55"/>
      <c r="AC39" s="55"/>
      <c r="AD39" s="55"/>
      <c r="AE39" s="55"/>
      <c r="AF39" s="32"/>
    </row>
    <row r="40" spans="1:33" ht="23.25" customHeight="1" x14ac:dyDescent="0.2">
      <c r="A40" s="927" t="s">
        <v>449</v>
      </c>
      <c r="B40" s="927"/>
      <c r="C40" s="927"/>
      <c r="D40" s="927"/>
      <c r="E40" s="927"/>
      <c r="F40" s="927"/>
      <c r="G40" s="927"/>
      <c r="H40" s="927"/>
      <c r="I40" s="927"/>
      <c r="J40" s="927"/>
      <c r="K40" s="927"/>
      <c r="L40" s="927"/>
      <c r="M40" s="927"/>
      <c r="N40" s="927"/>
      <c r="O40" s="927"/>
      <c r="P40" s="927"/>
      <c r="Q40" s="927"/>
      <c r="R40" s="927"/>
      <c r="S40" s="927"/>
      <c r="T40" s="927"/>
      <c r="U40" s="927"/>
      <c r="V40" s="927"/>
      <c r="W40" s="927"/>
      <c r="X40" s="927"/>
      <c r="Y40" s="927"/>
      <c r="Z40" s="927"/>
      <c r="AA40" s="927"/>
      <c r="AB40" s="927"/>
      <c r="AC40" s="927"/>
      <c r="AD40" s="927"/>
      <c r="AE40" s="927"/>
      <c r="AF40" s="927"/>
      <c r="AG40" s="927"/>
    </row>
    <row r="41" spans="1:33" ht="3.75" customHeight="1" x14ac:dyDescent="0.2">
      <c r="A41" s="180"/>
      <c r="B41" s="8"/>
      <c r="C41" s="8"/>
      <c r="D41" s="8"/>
      <c r="E41" s="8"/>
      <c r="F41" s="8"/>
      <c r="G41" s="8"/>
      <c r="H41" s="8"/>
      <c r="I41" s="8"/>
      <c r="J41" s="8"/>
      <c r="K41" s="8"/>
      <c r="L41" s="8"/>
      <c r="M41" s="8"/>
      <c r="N41" s="8"/>
      <c r="O41" s="8"/>
      <c r="P41" s="8"/>
      <c r="Q41" s="8"/>
      <c r="R41" s="8"/>
      <c r="S41" s="8"/>
      <c r="T41" s="8"/>
      <c r="U41" s="8"/>
      <c r="V41" s="8"/>
      <c r="W41" s="8"/>
      <c r="X41" s="32"/>
      <c r="Y41" s="32"/>
      <c r="Z41" s="32"/>
      <c r="AA41" s="32"/>
      <c r="AB41" s="32"/>
      <c r="AC41" s="32"/>
      <c r="AD41" s="32"/>
      <c r="AE41" s="32"/>
      <c r="AF41" s="32"/>
    </row>
    <row r="42" spans="1:33" s="6" customFormat="1" ht="18" customHeight="1" x14ac:dyDescent="0.2">
      <c r="A42" s="208" t="s">
        <v>182</v>
      </c>
      <c r="B42" s="8"/>
      <c r="C42" s="8"/>
      <c r="D42" s="8"/>
      <c r="E42" s="8"/>
      <c r="F42" s="8"/>
      <c r="G42" s="8"/>
      <c r="H42" s="8"/>
      <c r="I42" s="8"/>
      <c r="J42" s="8"/>
      <c r="K42" s="8"/>
      <c r="L42" s="8"/>
      <c r="M42" s="8"/>
      <c r="N42" s="8"/>
      <c r="O42" s="8"/>
      <c r="P42" s="8"/>
      <c r="Q42" s="8"/>
      <c r="R42" s="8"/>
      <c r="S42" s="8"/>
      <c r="T42" s="8"/>
      <c r="U42" s="8"/>
      <c r="V42" s="8"/>
      <c r="W42" s="8"/>
      <c r="X42" s="32"/>
      <c r="Y42" s="32"/>
      <c r="Z42" s="32"/>
      <c r="AA42" s="32"/>
      <c r="AB42" s="32"/>
      <c r="AC42" s="32"/>
      <c r="AD42" s="32"/>
      <c r="AE42" s="32"/>
      <c r="AF42" s="32"/>
      <c r="AG42" s="33"/>
    </row>
    <row r="43" spans="1:33" s="6" customFormat="1" ht="12" x14ac:dyDescent="0.2">
      <c r="A43" s="75" t="s">
        <v>293</v>
      </c>
      <c r="B43" s="8"/>
      <c r="C43" s="8"/>
      <c r="D43" s="8"/>
      <c r="E43" s="8"/>
      <c r="F43" s="8"/>
      <c r="G43" s="8"/>
      <c r="H43" s="8"/>
      <c r="I43" s="8"/>
      <c r="J43" s="8"/>
      <c r="K43" s="8"/>
      <c r="L43" s="8"/>
      <c r="M43" s="8"/>
      <c r="N43" s="8"/>
      <c r="O43" s="8"/>
      <c r="P43" s="8"/>
      <c r="Q43" s="8"/>
      <c r="R43" s="8"/>
      <c r="S43" s="8"/>
      <c r="T43" s="8"/>
      <c r="U43" s="8"/>
      <c r="V43" s="8"/>
      <c r="W43" s="8"/>
      <c r="X43" s="32"/>
      <c r="Y43" s="32"/>
      <c r="Z43" s="32"/>
      <c r="AA43" s="32"/>
      <c r="AB43" s="32"/>
      <c r="AC43" s="32"/>
      <c r="AD43" s="32"/>
      <c r="AE43" s="32"/>
      <c r="AF43" s="32"/>
      <c r="AG43" s="33"/>
    </row>
    <row r="44" spans="1:33" s="34" customFormat="1" ht="12" x14ac:dyDescent="0.25">
      <c r="A44" s="75" t="s">
        <v>291</v>
      </c>
      <c r="B44" s="75"/>
      <c r="C44" s="75"/>
      <c r="D44" s="75"/>
      <c r="E44" s="75"/>
      <c r="F44" s="75"/>
      <c r="G44" s="75"/>
      <c r="H44" s="75"/>
      <c r="I44" s="75"/>
      <c r="J44" s="75"/>
      <c r="K44" s="75"/>
      <c r="L44" s="75"/>
      <c r="M44" s="75"/>
      <c r="N44" s="75"/>
      <c r="O44" s="75"/>
      <c r="P44" s="75"/>
      <c r="Q44" s="75"/>
      <c r="R44" s="75"/>
      <c r="S44" s="75"/>
      <c r="T44" s="75"/>
      <c r="U44" s="75"/>
      <c r="V44" s="75"/>
      <c r="W44" s="75"/>
      <c r="X44" s="53"/>
      <c r="Y44" s="53"/>
      <c r="Z44" s="53"/>
      <c r="AA44" s="53"/>
      <c r="AB44" s="53"/>
      <c r="AC44" s="53"/>
      <c r="AD44" s="53"/>
      <c r="AE44" s="53"/>
      <c r="AF44" s="53"/>
    </row>
    <row r="45" spans="1:33" s="6" customFormat="1" ht="12" x14ac:dyDescent="0.2">
      <c r="A45" s="181" t="s">
        <v>247</v>
      </c>
      <c r="B45" s="75" t="s">
        <v>492</v>
      </c>
      <c r="C45" s="8"/>
      <c r="D45" s="8"/>
      <c r="E45" s="8"/>
      <c r="F45" s="8"/>
      <c r="G45" s="8"/>
      <c r="H45" s="8"/>
      <c r="I45" s="8"/>
      <c r="J45" s="8"/>
      <c r="K45" s="8"/>
      <c r="L45" s="8"/>
      <c r="M45" s="8"/>
      <c r="N45" s="8"/>
      <c r="O45" s="8"/>
      <c r="P45" s="8"/>
      <c r="Q45" s="8"/>
      <c r="R45" s="8"/>
      <c r="S45" s="8"/>
      <c r="T45" s="8"/>
      <c r="U45" s="8"/>
      <c r="V45" s="8"/>
      <c r="W45" s="8"/>
      <c r="X45" s="32"/>
      <c r="Y45" s="32"/>
      <c r="Z45" s="32"/>
      <c r="AA45" s="32"/>
      <c r="AB45" s="32"/>
      <c r="AC45" s="32"/>
      <c r="AD45" s="32"/>
      <c r="AE45" s="32"/>
      <c r="AF45" s="32"/>
      <c r="AG45" s="33"/>
    </row>
    <row r="46" spans="1:33" s="6" customFormat="1" ht="12" x14ac:dyDescent="0.2">
      <c r="A46" s="181" t="s">
        <v>248</v>
      </c>
      <c r="B46" s="75" t="s">
        <v>301</v>
      </c>
      <c r="C46" s="8"/>
      <c r="D46" s="8"/>
      <c r="E46" s="8"/>
      <c r="F46" s="8"/>
      <c r="G46" s="8"/>
      <c r="H46" s="8"/>
      <c r="I46" s="8"/>
      <c r="J46" s="8"/>
      <c r="K46" s="8"/>
      <c r="L46" s="8"/>
      <c r="M46" s="8"/>
      <c r="N46" s="8"/>
      <c r="O46" s="8"/>
      <c r="P46" s="8"/>
      <c r="Q46" s="8"/>
      <c r="R46" s="8"/>
      <c r="S46" s="8"/>
      <c r="T46" s="8"/>
      <c r="U46" s="8"/>
      <c r="V46" s="8"/>
      <c r="W46" s="8"/>
      <c r="X46" s="32"/>
      <c r="Y46" s="32"/>
      <c r="Z46" s="32"/>
      <c r="AA46" s="32"/>
      <c r="AB46" s="32"/>
      <c r="AC46" s="32"/>
      <c r="AD46" s="32"/>
      <c r="AE46" s="32"/>
      <c r="AF46" s="32"/>
      <c r="AG46" s="33"/>
    </row>
    <row r="47" spans="1:33" s="6" customFormat="1" ht="12" x14ac:dyDescent="0.2">
      <c r="A47" s="181" t="s">
        <v>249</v>
      </c>
      <c r="B47" s="75" t="s">
        <v>392</v>
      </c>
      <c r="C47" s="8"/>
      <c r="D47" s="8"/>
      <c r="E47" s="8"/>
      <c r="F47" s="182"/>
      <c r="G47" s="8"/>
      <c r="H47" s="8"/>
      <c r="I47" s="8"/>
      <c r="J47" s="8"/>
      <c r="K47" s="8"/>
      <c r="L47" s="8"/>
      <c r="M47" s="8"/>
      <c r="N47" s="8"/>
      <c r="O47" s="8"/>
      <c r="P47" s="8"/>
      <c r="Q47" s="8"/>
      <c r="R47" s="8"/>
      <c r="S47" s="8"/>
      <c r="T47" s="8"/>
      <c r="U47" s="8"/>
      <c r="V47" s="8"/>
      <c r="W47" s="8"/>
      <c r="X47" s="32"/>
      <c r="Y47" s="32"/>
      <c r="Z47" s="32"/>
      <c r="AA47" s="32"/>
      <c r="AB47" s="32"/>
      <c r="AC47" s="32"/>
      <c r="AD47" s="32"/>
      <c r="AE47" s="32"/>
      <c r="AF47" s="32"/>
      <c r="AG47" s="33"/>
    </row>
    <row r="48" spans="1:33" s="6" customFormat="1" ht="12" x14ac:dyDescent="0.2">
      <c r="A48" s="181" t="s">
        <v>250</v>
      </c>
      <c r="B48" s="75" t="s">
        <v>20</v>
      </c>
      <c r="C48" s="8"/>
      <c r="D48" s="8"/>
      <c r="E48" s="8"/>
      <c r="F48" s="8"/>
      <c r="G48" s="8"/>
      <c r="H48" s="8"/>
      <c r="I48" s="8"/>
      <c r="J48" s="8"/>
      <c r="K48" s="8"/>
      <c r="L48" s="8"/>
      <c r="M48" s="8"/>
      <c r="N48" s="8"/>
      <c r="O48" s="8"/>
      <c r="P48" s="8"/>
      <c r="Q48" s="8"/>
      <c r="R48" s="8"/>
      <c r="S48" s="8"/>
      <c r="T48" s="8"/>
      <c r="U48" s="8"/>
      <c r="V48" s="8"/>
      <c r="W48" s="8"/>
      <c r="X48" s="32"/>
      <c r="Y48" s="32"/>
      <c r="Z48" s="32"/>
      <c r="AA48" s="32"/>
      <c r="AB48" s="32"/>
      <c r="AC48" s="32"/>
      <c r="AD48" s="32"/>
      <c r="AE48" s="32"/>
      <c r="AF48" s="32"/>
      <c r="AG48" s="33"/>
    </row>
    <row r="49" spans="1:33" s="6" customFormat="1" ht="12" x14ac:dyDescent="0.2">
      <c r="A49" s="183" t="s">
        <v>251</v>
      </c>
      <c r="B49" s="75" t="s">
        <v>25</v>
      </c>
      <c r="C49" s="8"/>
      <c r="D49" s="8"/>
      <c r="E49" s="8"/>
      <c r="F49" s="8"/>
      <c r="G49" s="8"/>
      <c r="H49" s="8"/>
      <c r="I49" s="8"/>
      <c r="J49" s="8"/>
      <c r="K49" s="8"/>
      <c r="L49" s="8"/>
      <c r="M49" s="8"/>
      <c r="N49" s="8"/>
      <c r="O49" s="8"/>
      <c r="P49" s="8"/>
      <c r="Q49" s="8"/>
      <c r="R49" s="8"/>
      <c r="S49" s="8"/>
      <c r="T49" s="8"/>
      <c r="U49" s="8"/>
      <c r="V49" s="8"/>
      <c r="W49" s="8"/>
      <c r="X49" s="32"/>
      <c r="Y49" s="32"/>
      <c r="Z49" s="32"/>
      <c r="AA49" s="32"/>
      <c r="AB49" s="32"/>
      <c r="AC49" s="32"/>
      <c r="AD49" s="32"/>
      <c r="AE49" s="32"/>
      <c r="AF49" s="32"/>
      <c r="AG49" s="33"/>
    </row>
    <row r="50" spans="1:33" s="6" customFormat="1" ht="12" x14ac:dyDescent="0.2">
      <c r="A50" s="181" t="s">
        <v>255</v>
      </c>
      <c r="B50" s="75" t="s">
        <v>330</v>
      </c>
      <c r="C50" s="8"/>
      <c r="D50" s="8"/>
      <c r="E50" s="8"/>
      <c r="F50" s="8"/>
      <c r="G50" s="8"/>
      <c r="H50" s="8"/>
      <c r="I50" s="8"/>
      <c r="J50" s="8"/>
      <c r="K50" s="8"/>
      <c r="L50" s="8"/>
      <c r="M50" s="8"/>
      <c r="N50" s="8"/>
      <c r="O50" s="8"/>
      <c r="P50" s="8"/>
      <c r="Q50" s="8"/>
      <c r="R50" s="8"/>
      <c r="S50" s="8"/>
      <c r="T50" s="8"/>
      <c r="U50" s="8"/>
      <c r="V50" s="8"/>
      <c r="W50" s="8"/>
      <c r="X50" s="32"/>
      <c r="Y50" s="32"/>
      <c r="Z50" s="32"/>
      <c r="AA50" s="32"/>
      <c r="AB50" s="32"/>
      <c r="AC50" s="32"/>
      <c r="AD50" s="32"/>
      <c r="AE50" s="32"/>
      <c r="AF50" s="32"/>
      <c r="AG50" s="33"/>
    </row>
    <row r="51" spans="1:33" s="6" customFormat="1" ht="8.25" customHeight="1" x14ac:dyDescent="0.2">
      <c r="A51" s="183"/>
      <c r="B51" s="75"/>
      <c r="C51" s="8"/>
      <c r="D51" s="8"/>
      <c r="E51" s="8"/>
      <c r="F51" s="8"/>
      <c r="G51" s="8"/>
      <c r="H51" s="8"/>
      <c r="I51" s="8"/>
      <c r="J51" s="8"/>
      <c r="K51" s="8"/>
      <c r="L51" s="8"/>
      <c r="M51" s="8"/>
      <c r="N51" s="8"/>
      <c r="O51" s="8"/>
      <c r="P51" s="8"/>
      <c r="Q51" s="8"/>
      <c r="R51" s="8"/>
      <c r="S51" s="8"/>
      <c r="T51" s="8"/>
      <c r="U51" s="8"/>
      <c r="V51" s="8"/>
      <c r="W51" s="8"/>
      <c r="X51" s="32"/>
      <c r="Y51" s="32"/>
      <c r="Z51" s="32"/>
      <c r="AA51" s="32"/>
      <c r="AB51" s="32"/>
      <c r="AC51" s="32"/>
      <c r="AD51" s="32"/>
      <c r="AE51" s="32"/>
      <c r="AF51" s="32"/>
      <c r="AG51" s="33"/>
    </row>
    <row r="52" spans="1:33" s="6" customFormat="1" ht="5.25" customHeight="1" x14ac:dyDescent="0.2">
      <c r="A52" s="184"/>
      <c r="B52" s="75"/>
      <c r="C52" s="8"/>
      <c r="D52" s="8"/>
      <c r="E52" s="8"/>
      <c r="F52" s="8"/>
      <c r="G52" s="8"/>
      <c r="H52" s="8"/>
      <c r="I52" s="8"/>
      <c r="J52" s="8"/>
      <c r="K52" s="8"/>
      <c r="L52" s="8"/>
      <c r="M52" s="8"/>
      <c r="N52" s="8"/>
      <c r="O52" s="8"/>
      <c r="P52" s="8"/>
      <c r="Q52" s="8"/>
      <c r="R52" s="8"/>
      <c r="S52" s="8"/>
      <c r="T52" s="8"/>
      <c r="U52" s="8"/>
      <c r="V52" s="8"/>
      <c r="W52" s="8"/>
      <c r="X52" s="32"/>
      <c r="Y52" s="32"/>
      <c r="Z52" s="32"/>
      <c r="AA52" s="32"/>
      <c r="AB52" s="32"/>
      <c r="AC52" s="32"/>
      <c r="AD52" s="32"/>
      <c r="AE52" s="32"/>
      <c r="AF52" s="32"/>
      <c r="AG52" s="33"/>
    </row>
    <row r="53" spans="1:33" s="6" customFormat="1" ht="16.5" customHeight="1" x14ac:dyDescent="0.2">
      <c r="A53" s="884" t="s">
        <v>7</v>
      </c>
      <c r="B53" s="884"/>
      <c r="C53" s="884"/>
      <c r="D53" s="884"/>
      <c r="E53" s="8"/>
      <c r="F53" s="8"/>
      <c r="G53" s="8"/>
      <c r="H53" s="8"/>
      <c r="I53" s="8"/>
      <c r="J53" s="182"/>
      <c r="K53" s="8"/>
      <c r="L53" s="8"/>
      <c r="M53" s="8"/>
      <c r="N53" s="8"/>
      <c r="O53" s="8"/>
      <c r="P53" s="8"/>
      <c r="Q53" s="8"/>
      <c r="R53" s="8"/>
      <c r="S53" s="8"/>
      <c r="T53" s="8"/>
      <c r="U53" s="8"/>
      <c r="V53" s="8"/>
      <c r="W53" s="8"/>
      <c r="X53" s="32"/>
      <c r="Y53" s="32"/>
      <c r="Z53" s="32"/>
      <c r="AA53" s="32"/>
      <c r="AB53" s="32"/>
      <c r="AC53" s="32"/>
      <c r="AD53" s="32"/>
      <c r="AE53" s="32"/>
      <c r="AF53" s="32"/>
    </row>
    <row r="54" spans="1:33" s="6" customFormat="1" ht="11.25" customHeight="1" x14ac:dyDescent="0.2">
      <c r="A54" s="75" t="s">
        <v>237</v>
      </c>
      <c r="B54" s="8"/>
      <c r="C54" s="8"/>
      <c r="D54" s="8"/>
      <c r="E54" s="8"/>
      <c r="F54" s="8"/>
      <c r="G54" s="8"/>
      <c r="H54" s="8"/>
      <c r="I54" s="8"/>
      <c r="J54" s="182"/>
      <c r="K54" s="8"/>
      <c r="L54" s="8"/>
      <c r="M54" s="8"/>
      <c r="N54" s="8"/>
      <c r="O54" s="8"/>
      <c r="P54" s="8"/>
      <c r="Q54" s="8"/>
      <c r="R54" s="8"/>
      <c r="S54" s="8"/>
      <c r="T54" s="8"/>
      <c r="U54" s="8"/>
      <c r="V54" s="8"/>
      <c r="W54" s="8"/>
      <c r="X54" s="32"/>
      <c r="Y54" s="32"/>
      <c r="Z54" s="32"/>
      <c r="AA54" s="32"/>
      <c r="AB54" s="32"/>
      <c r="AC54" s="32"/>
      <c r="AD54" s="32"/>
      <c r="AE54" s="32"/>
      <c r="AF54" s="32"/>
    </row>
    <row r="55" spans="1:33" s="6" customFormat="1" ht="11.25" customHeight="1" x14ac:dyDescent="0.2">
      <c r="A55" s="75" t="s">
        <v>238</v>
      </c>
      <c r="B55" s="8"/>
      <c r="C55" s="8"/>
      <c r="D55" s="8"/>
      <c r="E55" s="8"/>
      <c r="F55" s="8"/>
      <c r="G55" s="8"/>
      <c r="H55" s="8"/>
      <c r="I55" s="8"/>
      <c r="J55" s="182"/>
      <c r="K55" s="8"/>
      <c r="L55" s="8"/>
      <c r="M55" s="8"/>
      <c r="N55" s="8"/>
      <c r="O55" s="8"/>
      <c r="P55" s="8"/>
      <c r="Q55" s="8"/>
      <c r="R55" s="8"/>
      <c r="S55" s="8"/>
      <c r="T55" s="8"/>
      <c r="U55" s="8"/>
      <c r="V55" s="8"/>
      <c r="W55" s="8"/>
      <c r="X55" s="32"/>
      <c r="Y55" s="32"/>
      <c r="Z55" s="32"/>
      <c r="AA55" s="32"/>
      <c r="AB55" s="32"/>
      <c r="AC55" s="32"/>
      <c r="AD55" s="32"/>
      <c r="AE55" s="32"/>
      <c r="AF55" s="32"/>
    </row>
    <row r="56" spans="1:33" s="6" customFormat="1" ht="11.25" customHeight="1" x14ac:dyDescent="0.2">
      <c r="A56" s="75" t="s">
        <v>329</v>
      </c>
      <c r="B56" s="8"/>
      <c r="C56" s="8"/>
      <c r="D56" s="8"/>
      <c r="E56" s="8"/>
      <c r="F56" s="8"/>
      <c r="G56" s="8"/>
      <c r="H56" s="8"/>
      <c r="I56" s="8"/>
      <c r="J56" s="182"/>
      <c r="K56" s="8"/>
      <c r="L56" s="8"/>
      <c r="M56" s="8"/>
      <c r="N56" s="8"/>
      <c r="O56" s="8"/>
      <c r="P56" s="8"/>
      <c r="Q56" s="8"/>
      <c r="R56" s="8"/>
      <c r="S56" s="8"/>
      <c r="T56" s="8"/>
      <c r="U56" s="8"/>
      <c r="V56" s="8"/>
      <c r="W56" s="8"/>
      <c r="X56" s="32"/>
      <c r="Y56" s="32"/>
      <c r="Z56" s="32"/>
      <c r="AA56" s="32"/>
      <c r="AB56" s="32"/>
      <c r="AC56" s="32"/>
      <c r="AD56" s="32"/>
      <c r="AE56" s="32"/>
      <c r="AF56" s="32"/>
    </row>
    <row r="57" spans="1:33" s="6" customFormat="1" ht="3" customHeight="1" x14ac:dyDescent="0.2">
      <c r="A57" s="35"/>
      <c r="J57" s="27"/>
    </row>
    <row r="58" spans="1:33" s="6" customFormat="1" ht="18" customHeight="1" x14ac:dyDescent="0.2">
      <c r="A58" s="885" t="s">
        <v>177</v>
      </c>
      <c r="B58" s="885"/>
      <c r="C58" s="885"/>
      <c r="D58" s="885"/>
      <c r="E58" s="885"/>
      <c r="J58" s="27"/>
    </row>
    <row r="59" spans="1:33" ht="23.25" customHeight="1" x14ac:dyDescent="0.2">
      <c r="A59" s="172" t="s">
        <v>335</v>
      </c>
      <c r="B59" s="883" t="s">
        <v>26</v>
      </c>
      <c r="C59" s="883"/>
      <c r="D59" s="883"/>
      <c r="E59" s="883"/>
      <c r="F59" s="883" t="s">
        <v>128</v>
      </c>
      <c r="G59" s="883"/>
      <c r="H59" s="883"/>
      <c r="I59" s="883"/>
      <c r="J59" s="906" t="s">
        <v>393</v>
      </c>
      <c r="K59" s="906"/>
      <c r="L59" s="906"/>
      <c r="M59" s="906"/>
      <c r="N59" s="906"/>
      <c r="O59" s="906"/>
      <c r="P59" s="906"/>
      <c r="Q59" s="906"/>
      <c r="R59" s="906"/>
      <c r="S59" s="906"/>
      <c r="T59" s="906"/>
      <c r="U59" s="906"/>
      <c r="V59" s="906"/>
      <c r="W59" s="906"/>
      <c r="X59" s="906"/>
      <c r="Y59" s="906"/>
      <c r="Z59" s="906"/>
      <c r="AA59" s="906"/>
      <c r="AB59" s="906"/>
      <c r="AC59" s="906"/>
      <c r="AD59" s="906"/>
      <c r="AE59" s="906"/>
      <c r="AF59" s="906"/>
      <c r="AG59" s="906"/>
    </row>
    <row r="60" spans="1:33" ht="12" customHeight="1" x14ac:dyDescent="0.2">
      <c r="A60" s="94" t="s">
        <v>210</v>
      </c>
      <c r="B60" s="871" t="s">
        <v>16</v>
      </c>
      <c r="C60" s="871"/>
      <c r="D60" s="871"/>
      <c r="E60" s="871"/>
      <c r="F60" s="908"/>
      <c r="G60" s="908"/>
      <c r="H60" s="908"/>
      <c r="I60" s="908"/>
      <c r="J60" s="921" t="s">
        <v>394</v>
      </c>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row>
    <row r="61" spans="1:33" ht="12" customHeight="1" x14ac:dyDescent="0.2">
      <c r="A61" s="94" t="s">
        <v>210</v>
      </c>
      <c r="B61" s="871" t="s">
        <v>243</v>
      </c>
      <c r="C61" s="871"/>
      <c r="D61" s="871"/>
      <c r="E61" s="871"/>
      <c r="F61" s="873"/>
      <c r="G61" s="873"/>
      <c r="H61" s="873"/>
      <c r="I61" s="873"/>
      <c r="J61" s="921" t="s">
        <v>395</v>
      </c>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row>
    <row r="62" spans="1:33" ht="22.5" customHeight="1" x14ac:dyDescent="0.2">
      <c r="A62" s="94" t="s">
        <v>242</v>
      </c>
      <c r="B62" s="871" t="s">
        <v>27</v>
      </c>
      <c r="C62" s="871"/>
      <c r="D62" s="871"/>
      <c r="E62" s="871"/>
      <c r="F62" s="874" t="s">
        <v>5</v>
      </c>
      <c r="G62" s="874"/>
      <c r="H62" s="874"/>
      <c r="I62" s="874"/>
      <c r="J62" s="921" t="s">
        <v>436</v>
      </c>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row>
    <row r="63" spans="1:33" ht="12" customHeight="1" x14ac:dyDescent="0.2">
      <c r="A63" s="94" t="s">
        <v>401</v>
      </c>
      <c r="B63" s="871" t="s">
        <v>404</v>
      </c>
      <c r="C63" s="871"/>
      <c r="D63" s="871"/>
      <c r="E63" s="871"/>
      <c r="F63" s="874" t="s">
        <v>195</v>
      </c>
      <c r="G63" s="874"/>
      <c r="H63" s="874"/>
      <c r="I63" s="874"/>
      <c r="J63" s="921" t="s">
        <v>403</v>
      </c>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row>
    <row r="64" spans="1:33" ht="12" customHeight="1" x14ac:dyDescent="0.2">
      <c r="A64" s="94" t="s">
        <v>410</v>
      </c>
      <c r="B64" s="871" t="s">
        <v>411</v>
      </c>
      <c r="C64" s="871"/>
      <c r="D64" s="871"/>
      <c r="E64" s="871"/>
      <c r="F64" s="874" t="s">
        <v>195</v>
      </c>
      <c r="G64" s="874"/>
      <c r="H64" s="874"/>
      <c r="I64" s="874"/>
      <c r="J64" s="921" t="s">
        <v>412</v>
      </c>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row>
    <row r="65" spans="1:33" ht="14.1" customHeight="1" x14ac:dyDescent="0.2">
      <c r="A65" s="94" t="s">
        <v>405</v>
      </c>
      <c r="B65" s="871" t="s">
        <v>420</v>
      </c>
      <c r="C65" s="871"/>
      <c r="D65" s="871"/>
      <c r="E65" s="871"/>
      <c r="F65" s="874" t="s">
        <v>195</v>
      </c>
      <c r="G65" s="874"/>
      <c r="H65" s="874"/>
      <c r="I65" s="874"/>
      <c r="J65" s="921" t="s">
        <v>406</v>
      </c>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row>
    <row r="66" spans="1:33" ht="21" customHeight="1" x14ac:dyDescent="0.2">
      <c r="A66" s="94" t="s">
        <v>493</v>
      </c>
      <c r="B66" s="871" t="s">
        <v>494</v>
      </c>
      <c r="C66" s="871"/>
      <c r="D66" s="871"/>
      <c r="E66" s="871"/>
      <c r="F66" s="907" t="s">
        <v>34</v>
      </c>
      <c r="G66" s="907"/>
      <c r="H66" s="907"/>
      <c r="I66" s="907"/>
      <c r="J66" s="921" t="s">
        <v>497</v>
      </c>
      <c r="K66" s="922"/>
      <c r="L66" s="922"/>
      <c r="M66" s="922"/>
      <c r="N66" s="922"/>
      <c r="O66" s="922"/>
      <c r="P66" s="922"/>
      <c r="Q66" s="922"/>
      <c r="R66" s="922"/>
      <c r="S66" s="922"/>
      <c r="T66" s="922"/>
      <c r="U66" s="922"/>
      <c r="V66" s="922"/>
      <c r="W66" s="922"/>
      <c r="X66" s="922"/>
      <c r="Y66" s="922"/>
      <c r="Z66" s="922"/>
      <c r="AA66" s="922"/>
      <c r="AB66" s="922"/>
      <c r="AC66" s="922"/>
      <c r="AD66" s="922"/>
      <c r="AE66" s="922"/>
      <c r="AF66" s="922"/>
      <c r="AG66" s="922"/>
    </row>
    <row r="67" spans="1:33" ht="21" customHeight="1" x14ac:dyDescent="0.2">
      <c r="A67" s="94" t="s">
        <v>495</v>
      </c>
      <c r="B67" s="871" t="s">
        <v>407</v>
      </c>
      <c r="C67" s="871"/>
      <c r="D67" s="871"/>
      <c r="E67" s="871"/>
      <c r="F67" s="872" t="s">
        <v>185</v>
      </c>
      <c r="G67" s="872"/>
      <c r="H67" s="872"/>
      <c r="I67" s="872"/>
      <c r="J67" s="921" t="s">
        <v>396</v>
      </c>
      <c r="K67" s="922"/>
      <c r="L67" s="922"/>
      <c r="M67" s="922"/>
      <c r="N67" s="922"/>
      <c r="O67" s="922"/>
      <c r="P67" s="922"/>
      <c r="Q67" s="922"/>
      <c r="R67" s="922"/>
      <c r="S67" s="922"/>
      <c r="T67" s="922"/>
      <c r="U67" s="922"/>
      <c r="V67" s="922"/>
      <c r="W67" s="922"/>
      <c r="X67" s="922"/>
      <c r="Y67" s="922"/>
      <c r="Z67" s="922"/>
      <c r="AA67" s="922"/>
      <c r="AB67" s="922"/>
      <c r="AC67" s="922"/>
      <c r="AD67" s="922"/>
      <c r="AE67" s="922"/>
      <c r="AF67" s="922"/>
      <c r="AG67" s="922"/>
    </row>
    <row r="68" spans="1:33" ht="21" customHeight="1" x14ac:dyDescent="0.2">
      <c r="A68" s="94" t="s">
        <v>493</v>
      </c>
      <c r="B68" s="871" t="s">
        <v>496</v>
      </c>
      <c r="C68" s="871"/>
      <c r="D68" s="871"/>
      <c r="E68" s="871"/>
      <c r="F68" s="872" t="s">
        <v>185</v>
      </c>
      <c r="G68" s="872"/>
      <c r="H68" s="872"/>
      <c r="I68" s="872"/>
      <c r="J68" s="921" t="s">
        <v>498</v>
      </c>
      <c r="K68" s="922"/>
      <c r="L68" s="922"/>
      <c r="M68" s="922"/>
      <c r="N68" s="922"/>
      <c r="O68" s="922"/>
      <c r="P68" s="922"/>
      <c r="Q68" s="922"/>
      <c r="R68" s="922"/>
      <c r="S68" s="922"/>
      <c r="T68" s="922"/>
      <c r="U68" s="922"/>
      <c r="V68" s="922"/>
      <c r="W68" s="922"/>
      <c r="X68" s="922"/>
      <c r="Y68" s="922"/>
      <c r="Z68" s="922"/>
      <c r="AA68" s="922"/>
      <c r="AB68" s="922"/>
      <c r="AC68" s="922"/>
      <c r="AD68" s="922"/>
      <c r="AE68" s="922"/>
      <c r="AF68" s="922"/>
      <c r="AG68" s="922"/>
    </row>
    <row r="69" spans="1:33" ht="14.1" hidden="1" customHeight="1" x14ac:dyDescent="0.2">
      <c r="A69" s="94" t="s">
        <v>46</v>
      </c>
      <c r="B69" s="89" t="s">
        <v>292</v>
      </c>
      <c r="C69" s="173"/>
      <c r="D69" s="173"/>
      <c r="E69" s="174"/>
      <c r="F69" s="175" t="s">
        <v>185</v>
      </c>
      <c r="G69" s="176"/>
      <c r="H69" s="174"/>
      <c r="I69" s="104"/>
      <c r="J69" s="104" t="s">
        <v>397</v>
      </c>
      <c r="K69" s="214"/>
      <c r="L69" s="214"/>
      <c r="M69" s="214"/>
      <c r="N69" s="214"/>
      <c r="O69" s="214"/>
      <c r="P69" s="214"/>
      <c r="Q69" s="214"/>
      <c r="R69" s="214"/>
      <c r="S69" s="214"/>
      <c r="T69" s="214"/>
      <c r="U69" s="214"/>
      <c r="V69" s="214"/>
      <c r="W69" s="214"/>
      <c r="X69" s="214"/>
      <c r="Y69" s="214"/>
      <c r="Z69" s="214"/>
      <c r="AA69" s="214"/>
      <c r="AB69" s="214"/>
      <c r="AC69" s="214"/>
      <c r="AD69" s="214"/>
      <c r="AE69" s="214"/>
      <c r="AF69" s="214"/>
      <c r="AG69" s="174"/>
    </row>
    <row r="70" spans="1:33" ht="14.1" hidden="1" customHeight="1" x14ac:dyDescent="0.2">
      <c r="A70" s="94" t="s">
        <v>297</v>
      </c>
      <c r="B70" s="89" t="s">
        <v>257</v>
      </c>
      <c r="C70" s="173"/>
      <c r="D70" s="173"/>
      <c r="E70" s="174"/>
      <c r="F70" s="175" t="s">
        <v>185</v>
      </c>
      <c r="G70" s="176"/>
      <c r="H70" s="174"/>
      <c r="I70" s="104"/>
      <c r="J70" s="104" t="s">
        <v>398</v>
      </c>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174"/>
    </row>
    <row r="71" spans="1:33" ht="14.1" hidden="1" customHeight="1" x14ac:dyDescent="0.2">
      <c r="A71" s="94" t="s">
        <v>298</v>
      </c>
      <c r="B71" s="89" t="s">
        <v>258</v>
      </c>
      <c r="C71" s="173"/>
      <c r="D71" s="173"/>
      <c r="E71" s="174"/>
      <c r="F71" s="175" t="s">
        <v>185</v>
      </c>
      <c r="G71" s="176"/>
      <c r="H71" s="174"/>
      <c r="I71" s="104"/>
      <c r="J71" s="104" t="s">
        <v>399</v>
      </c>
      <c r="K71" s="214"/>
      <c r="L71" s="214"/>
      <c r="M71" s="214"/>
      <c r="N71" s="214"/>
      <c r="O71" s="214"/>
      <c r="P71" s="214"/>
      <c r="Q71" s="214"/>
      <c r="R71" s="214"/>
      <c r="S71" s="214"/>
      <c r="T71" s="214"/>
      <c r="U71" s="214"/>
      <c r="V71" s="214"/>
      <c r="W71" s="214"/>
      <c r="X71" s="214"/>
      <c r="Y71" s="214"/>
      <c r="Z71" s="214"/>
      <c r="AA71" s="214"/>
      <c r="AB71" s="214"/>
      <c r="AC71" s="214"/>
      <c r="AD71" s="214"/>
      <c r="AE71" s="214"/>
      <c r="AF71" s="214"/>
      <c r="AG71" s="174"/>
    </row>
    <row r="72" spans="1:33" ht="14.1" customHeight="1" x14ac:dyDescent="0.2">
      <c r="A72" s="94" t="s">
        <v>284</v>
      </c>
      <c r="B72" s="870" t="s">
        <v>270</v>
      </c>
      <c r="C72" s="870"/>
      <c r="D72" s="870"/>
      <c r="E72" s="870"/>
      <c r="F72" s="870" t="s">
        <v>270</v>
      </c>
      <c r="G72" s="870"/>
      <c r="H72" s="870"/>
      <c r="I72" s="870"/>
      <c r="J72" s="859" t="s">
        <v>400</v>
      </c>
      <c r="K72" s="860"/>
      <c r="L72" s="860"/>
      <c r="M72" s="860"/>
      <c r="N72" s="860"/>
      <c r="O72" s="860"/>
      <c r="P72" s="860"/>
      <c r="Q72" s="860"/>
      <c r="R72" s="860"/>
      <c r="S72" s="860"/>
      <c r="T72" s="860"/>
      <c r="U72" s="860"/>
      <c r="V72" s="860"/>
      <c r="W72" s="860"/>
      <c r="X72" s="860"/>
      <c r="Y72" s="860"/>
      <c r="Z72" s="860"/>
      <c r="AA72" s="860"/>
      <c r="AB72" s="860"/>
      <c r="AC72" s="860"/>
      <c r="AD72" s="860"/>
      <c r="AE72" s="860"/>
      <c r="AF72" s="860"/>
      <c r="AG72" s="860"/>
    </row>
    <row r="73" spans="1:33" ht="14.1" hidden="1" customHeight="1" x14ac:dyDescent="0.2">
      <c r="A73" s="94" t="s">
        <v>299</v>
      </c>
      <c r="B73" s="220" t="s">
        <v>185</v>
      </c>
      <c r="C73" s="221"/>
      <c r="D73" s="221"/>
      <c r="E73" s="174"/>
      <c r="F73" s="175" t="s">
        <v>185</v>
      </c>
      <c r="G73" s="176"/>
      <c r="H73" s="174"/>
      <c r="I73" s="177"/>
      <c r="J73" s="860"/>
      <c r="K73" s="860"/>
      <c r="L73" s="860"/>
      <c r="M73" s="860"/>
      <c r="N73" s="860"/>
      <c r="O73" s="860"/>
      <c r="P73" s="860"/>
      <c r="Q73" s="860"/>
      <c r="R73" s="860"/>
      <c r="S73" s="860"/>
      <c r="T73" s="860"/>
      <c r="U73" s="860"/>
      <c r="V73" s="860"/>
      <c r="W73" s="860"/>
      <c r="X73" s="860"/>
      <c r="Y73" s="860"/>
      <c r="Z73" s="860"/>
      <c r="AA73" s="860"/>
      <c r="AB73" s="860"/>
      <c r="AC73" s="860"/>
      <c r="AD73" s="860"/>
      <c r="AE73" s="860"/>
      <c r="AF73" s="860"/>
      <c r="AG73" s="860"/>
    </row>
    <row r="74" spans="1:33" ht="14.1" hidden="1" customHeight="1" x14ac:dyDescent="0.2">
      <c r="A74" s="94" t="s">
        <v>300</v>
      </c>
      <c r="B74" s="220" t="s">
        <v>185</v>
      </c>
      <c r="C74" s="221"/>
      <c r="D74" s="221"/>
      <c r="E74" s="174"/>
      <c r="F74" s="175" t="s">
        <v>185</v>
      </c>
      <c r="G74" s="176"/>
      <c r="H74" s="174"/>
      <c r="I74" s="177"/>
      <c r="J74" s="860"/>
      <c r="K74" s="860"/>
      <c r="L74" s="860"/>
      <c r="M74" s="860"/>
      <c r="N74" s="860"/>
      <c r="O74" s="860"/>
      <c r="P74" s="860"/>
      <c r="Q74" s="860"/>
      <c r="R74" s="860"/>
      <c r="S74" s="860"/>
      <c r="T74" s="860"/>
      <c r="U74" s="860"/>
      <c r="V74" s="860"/>
      <c r="W74" s="860"/>
      <c r="X74" s="860"/>
      <c r="Y74" s="860"/>
      <c r="Z74" s="860"/>
      <c r="AA74" s="860"/>
      <c r="AB74" s="860"/>
      <c r="AC74" s="860"/>
      <c r="AD74" s="860"/>
      <c r="AE74" s="860"/>
      <c r="AF74" s="860"/>
      <c r="AG74" s="860"/>
    </row>
    <row r="75" spans="1:33" ht="14.1" customHeight="1" x14ac:dyDescent="0.2">
      <c r="A75" s="94" t="s">
        <v>285</v>
      </c>
      <c r="B75" s="870" t="s">
        <v>270</v>
      </c>
      <c r="C75" s="870"/>
      <c r="D75" s="870"/>
      <c r="E75" s="870"/>
      <c r="F75" s="870" t="s">
        <v>270</v>
      </c>
      <c r="G75" s="870"/>
      <c r="H75" s="870"/>
      <c r="I75" s="870"/>
      <c r="J75" s="860"/>
      <c r="K75" s="860"/>
      <c r="L75" s="860"/>
      <c r="M75" s="860"/>
      <c r="N75" s="860"/>
      <c r="O75" s="860"/>
      <c r="P75" s="860"/>
      <c r="Q75" s="860"/>
      <c r="R75" s="860"/>
      <c r="S75" s="860"/>
      <c r="T75" s="860"/>
      <c r="U75" s="860"/>
      <c r="V75" s="860"/>
      <c r="W75" s="860"/>
      <c r="X75" s="860"/>
      <c r="Y75" s="860"/>
      <c r="Z75" s="860"/>
      <c r="AA75" s="860"/>
      <c r="AB75" s="860"/>
      <c r="AC75" s="860"/>
      <c r="AD75" s="860"/>
      <c r="AE75" s="860"/>
      <c r="AF75" s="860"/>
      <c r="AG75" s="860"/>
    </row>
    <row r="81" spans="1:33" ht="17.25" customHeight="1" x14ac:dyDescent="0.2"/>
    <row r="85" spans="1:33" ht="14.25" hidden="1" customHeight="1" x14ac:dyDescent="0.2">
      <c r="B85" s="43" t="str">
        <f>Berechnung2!B52</f>
        <v>Matrix</v>
      </c>
      <c r="C85" s="43"/>
      <c r="D85" s="43"/>
      <c r="E85" s="43"/>
      <c r="F85" s="44"/>
      <c r="G85" s="44"/>
      <c r="H85" s="44"/>
      <c r="I85" s="44"/>
      <c r="J85" s="44"/>
      <c r="K85" s="44"/>
      <c r="L85" s="44"/>
      <c r="M85" s="44"/>
      <c r="N85" s="44"/>
      <c r="O85" s="44"/>
      <c r="P85" s="43"/>
      <c r="Q85" s="43"/>
      <c r="R85" s="43"/>
      <c r="S85" s="43"/>
      <c r="T85" s="43"/>
      <c r="U85" s="43"/>
      <c r="AG85" s="5"/>
    </row>
    <row r="86" spans="1:33" ht="14.25" hidden="1" customHeight="1" x14ac:dyDescent="0.2">
      <c r="A86" s="43" t="str">
        <f>Berechnung2!B53</f>
        <v>ART</v>
      </c>
      <c r="C86" s="43">
        <f>Berechnung2!C53</f>
        <v>0</v>
      </c>
      <c r="D86" s="43">
        <f>Berechnung2!D53</f>
        <v>0</v>
      </c>
      <c r="E86" s="43"/>
      <c r="F86" s="44">
        <f>Berechnung2!E53</f>
        <v>0</v>
      </c>
      <c r="G86" s="44" t="str">
        <f>Berechnung2!F53</f>
        <v>Werte</v>
      </c>
      <c r="H86" s="44">
        <f>Berechnung2!G53</f>
        <v>0</v>
      </c>
      <c r="I86" s="44">
        <f>Berechnung2!H53</f>
        <v>0</v>
      </c>
      <c r="J86" s="44">
        <f>Berechnung2!I53</f>
        <v>0</v>
      </c>
      <c r="K86" s="44">
        <f>Berechnung2!J53</f>
        <v>0</v>
      </c>
      <c r="L86" s="44">
        <f>Berechnung2!K53</f>
        <v>0</v>
      </c>
      <c r="M86" s="44" t="str">
        <f>Berechnung2!L53</f>
        <v>Texte Matrix Datenquali</v>
      </c>
      <c r="N86" s="44">
        <f>Berechnung2!M53</f>
        <v>0</v>
      </c>
      <c r="O86" s="44" t="str">
        <f>Berechnung2!N53</f>
        <v>Fehlermeldungen Matrix</v>
      </c>
      <c r="P86" s="43"/>
      <c r="Q86" s="43"/>
      <c r="R86" s="43"/>
      <c r="S86" s="43"/>
      <c r="T86" s="43"/>
      <c r="U86" s="43"/>
      <c r="AG86" s="5"/>
    </row>
    <row r="87" spans="1:33" ht="14.25" hidden="1" customHeight="1" x14ac:dyDescent="0.2">
      <c r="A87" s="43" t="str">
        <f>Berechnung2!B54</f>
        <v>Anzahl Primärpatientinnen größer als im KB</v>
      </c>
      <c r="C87" s="43">
        <f>Berechnung2!C54</f>
        <v>0</v>
      </c>
      <c r="D87" s="43" t="str">
        <f>Berechnung2!D54</f>
        <v>plausi</v>
      </c>
      <c r="E87" s="43"/>
      <c r="F87" s="44">
        <f>Berechnung2!E54</f>
        <v>0</v>
      </c>
      <c r="G87" s="44">
        <f>Berechnung2!F54</f>
        <v>0</v>
      </c>
      <c r="H87" s="44">
        <f>Berechnung2!G54</f>
        <v>0</v>
      </c>
      <c r="I87" s="44">
        <f>Berechnung2!H54</f>
        <v>0</v>
      </c>
      <c r="J87" s="44" t="str">
        <f>Berechnung2!I54</f>
        <v>Aus KB übertragen</v>
      </c>
      <c r="K87" s="44">
        <f>Berechnung2!J54</f>
        <v>0</v>
      </c>
      <c r="L87" s="44">
        <f>Berechnung2!K54</f>
        <v>0</v>
      </c>
      <c r="M87" s="44" t="str">
        <f>Berechnung2!L54</f>
        <v>Anzahl Primärpatientinnen Matrix größer als  Primärfälle Zervix-Ca im Kennzahlenbogen</v>
      </c>
      <c r="N87" s="44">
        <f>Berechnung2!M54</f>
        <v>0</v>
      </c>
      <c r="O87" s="44"/>
      <c r="P87" s="44"/>
      <c r="Q87" s="44"/>
      <c r="R87" s="44"/>
      <c r="S87" s="44"/>
      <c r="T87" s="44"/>
      <c r="U87" s="44"/>
      <c r="V87" s="44"/>
      <c r="W87" s="44"/>
      <c r="X87" s="44"/>
      <c r="AG87" s="5"/>
    </row>
    <row r="88" spans="1:33" ht="14.25" hidden="1" customHeight="1" x14ac:dyDescent="0.2">
      <c r="A88" s="43" t="str">
        <f>Berechnung2!B55</f>
        <v>Ganze Zahl</v>
      </c>
      <c r="C88" s="43">
        <f>Berechnung2!C55</f>
        <v>0</v>
      </c>
      <c r="D88" s="43">
        <f>Berechnung2!D55</f>
        <v>0</v>
      </c>
      <c r="E88" s="43"/>
      <c r="F88" s="45">
        <f>Berechnung2!E55</f>
        <v>0</v>
      </c>
      <c r="G88" s="45">
        <f>Berechnung2!F55</f>
        <v>0</v>
      </c>
      <c r="H88" s="45">
        <f>Berechnung2!G55</f>
        <v>0</v>
      </c>
      <c r="I88" s="44">
        <f>Berechnung2!H55</f>
        <v>0</v>
      </c>
      <c r="J88" s="45">
        <f>Berechnung2!I55</f>
        <v>0</v>
      </c>
      <c r="K88" s="45">
        <f>Berechnung2!J55</f>
        <v>0</v>
      </c>
      <c r="L88" s="44">
        <f>Berechnung2!K55</f>
        <v>0</v>
      </c>
      <c r="M88" s="44">
        <f>Berechnung2!L55</f>
        <v>0</v>
      </c>
      <c r="N88" s="44">
        <f>Berechnung2!M55</f>
        <v>0</v>
      </c>
      <c r="O88" s="44" t="str">
        <f>Berechnung2!N55</f>
        <v>Ganze Zahl zwischen 0 und 5000 eingeben.</v>
      </c>
      <c r="P88" s="43"/>
      <c r="Q88" s="43"/>
      <c r="R88" s="43"/>
      <c r="S88" s="43"/>
      <c r="T88" s="43"/>
      <c r="U88" s="43"/>
      <c r="AG88" s="5"/>
    </row>
    <row r="89" spans="1:33" ht="14.25" hidden="1" customHeight="1" x14ac:dyDescent="0.2">
      <c r="A89" s="43" t="str">
        <f>Berechnung2!B56</f>
        <v>relevante Nachsorgejahre nicht/unvollständig bearbeitet</v>
      </c>
      <c r="C89" s="43">
        <f>Berechnung2!C56</f>
        <v>0</v>
      </c>
      <c r="D89" s="43" t="str">
        <f>Berechnung2!D56</f>
        <v>unvollständig</v>
      </c>
      <c r="E89" s="43"/>
      <c r="F89" s="45">
        <f>Berechnung2!E56</f>
        <v>0</v>
      </c>
      <c r="G89" s="45">
        <f>Berechnung2!F56</f>
        <v>0</v>
      </c>
      <c r="H89" s="45">
        <f>Berechnung2!G56</f>
        <v>0</v>
      </c>
      <c r="I89" s="44">
        <f>Berechnung2!H56</f>
        <v>0</v>
      </c>
      <c r="J89" s="45">
        <f>Berechnung2!I56</f>
        <v>0</v>
      </c>
      <c r="K89" s="45">
        <f>Berechnung2!J56</f>
        <v>0</v>
      </c>
      <c r="L89" s="44">
        <f>Berechnung2!K56</f>
        <v>0</v>
      </c>
      <c r="M89" s="44" t="str">
        <f>Berechnung2!L56</f>
        <v>relevante Nachsorgejahre nicht/unvollständig bearbeitet</v>
      </c>
      <c r="N89" s="44">
        <f>Berechnung2!M56</f>
        <v>0</v>
      </c>
      <c r="O89" s="44">
        <f>Berechnung2!N56</f>
        <v>0</v>
      </c>
      <c r="P89" s="43"/>
      <c r="Q89" s="43"/>
      <c r="R89" s="43"/>
      <c r="S89" s="43"/>
      <c r="T89" s="43"/>
      <c r="U89" s="43"/>
      <c r="AG89" s="5"/>
    </row>
    <row r="90" spans="1:33" ht="14.25" hidden="1" customHeight="1" x14ac:dyDescent="0.2">
      <c r="A90" s="43" t="str">
        <f>Berechnung2!B57</f>
        <v>Relative Quote tumorfrei</v>
      </c>
      <c r="C90" s="43">
        <f>Berechnung2!C57</f>
        <v>0</v>
      </c>
      <c r="D90" s="43" t="str">
        <f>Berechnung2!D57</f>
        <v>plausi</v>
      </c>
      <c r="E90" s="43"/>
      <c r="F90" s="45" t="str">
        <f>Berechnung2!E57</f>
        <v>nicht geprüft</v>
      </c>
      <c r="G90" s="45">
        <f>Berechnung2!F57</f>
        <v>-1</v>
      </c>
      <c r="H90" s="45">
        <f>Berechnung2!G57</f>
        <v>-1</v>
      </c>
      <c r="I90" s="44">
        <f>Berechnung2!H57</f>
        <v>-1</v>
      </c>
      <c r="J90" s="45">
        <f>Berechnung2!I57</f>
        <v>-1</v>
      </c>
      <c r="K90" s="45">
        <f>Berechnung2!J57</f>
        <v>-1</v>
      </c>
      <c r="L90" s="44">
        <f>Berechnung2!K57</f>
        <v>0</v>
      </c>
      <c r="M90" s="44" t="str">
        <f>Berechnung2!L57</f>
        <v>auffällig niedrige Quote tumorfreier Patienten</v>
      </c>
      <c r="N90" s="44">
        <f>Berechnung2!M57</f>
        <v>0</v>
      </c>
      <c r="O90" s="44">
        <f>Berechnung2!N57</f>
        <v>0</v>
      </c>
      <c r="P90" s="43"/>
      <c r="Q90" s="43"/>
      <c r="R90" s="43"/>
      <c r="S90" s="43"/>
      <c r="T90" s="43"/>
      <c r="U90" s="43"/>
      <c r="AG90" s="5"/>
    </row>
    <row r="91" spans="1:33" ht="14.25" hidden="1" customHeight="1" x14ac:dyDescent="0.2">
      <c r="A91" s="43" t="str">
        <f>Berechnung2!B58</f>
        <v xml:space="preserve">nur Prozentwerte können eingegeben werden </v>
      </c>
      <c r="C91" s="43">
        <f>Berechnung2!C58</f>
        <v>0</v>
      </c>
      <c r="D91" s="43" t="str">
        <f>Berechnung2!D58</f>
        <v>inkorrekt</v>
      </c>
      <c r="E91" s="43"/>
      <c r="F91" s="45" t="str">
        <f>Berechnung2!E58</f>
        <v>&gt;</v>
      </c>
      <c r="G91" s="45">
        <f>Berechnung2!F58</f>
        <v>0</v>
      </c>
      <c r="H91" s="45">
        <f>Berechnung2!G58</f>
        <v>0</v>
      </c>
      <c r="I91" s="44">
        <f>Berechnung2!H58</f>
        <v>0</v>
      </c>
      <c r="J91" s="45">
        <f>Berechnung2!I58</f>
        <v>0</v>
      </c>
      <c r="K91" s="45">
        <f>Berechnung2!J58</f>
        <v>1</v>
      </c>
      <c r="L91" s="44">
        <f>Berechnung2!K58</f>
        <v>0</v>
      </c>
      <c r="M91" s="44">
        <f>Berechnung2!L58</f>
        <v>0</v>
      </c>
      <c r="N91" s="44">
        <f>Berechnung2!M58</f>
        <v>0</v>
      </c>
      <c r="O91" s="44">
        <f>Berechnung2!N58</f>
        <v>0</v>
      </c>
      <c r="P91" s="43"/>
      <c r="Q91" s="43"/>
      <c r="R91" s="43"/>
      <c r="S91" s="43"/>
      <c r="T91" s="43"/>
      <c r="U91" s="43"/>
      <c r="AG91" s="5"/>
    </row>
    <row r="92" spans="1:33" ht="14.25" hidden="1" customHeight="1" x14ac:dyDescent="0.2">
      <c r="A92" s="43" t="str">
        <f>Berechnung2!B59</f>
        <v>zu geringe Anzahl der Primärfälle</v>
      </c>
      <c r="C92" s="43">
        <f>Berechnung2!C59</f>
        <v>0</v>
      </c>
      <c r="D92" s="43" t="str">
        <f>Berechnung2!D59</f>
        <v>plausi</v>
      </c>
      <c r="E92" s="43"/>
      <c r="F92" s="44" t="str">
        <f>Berechnung2!E59</f>
        <v>&lt;</v>
      </c>
      <c r="G92" s="44">
        <f>Berechnung2!F59</f>
        <v>0</v>
      </c>
      <c r="H92" s="44">
        <f>Berechnung2!G59</f>
        <v>-1</v>
      </c>
      <c r="I92" s="44">
        <f>Berechnung2!H59</f>
        <v>0</v>
      </c>
      <c r="J92" s="44">
        <f>Berechnung2!I59</f>
        <v>0</v>
      </c>
      <c r="K92" s="44">
        <f>Berechnung2!J59</f>
        <v>0</v>
      </c>
      <c r="L92" s="44">
        <f>Berechnung2!K59</f>
        <v>0</v>
      </c>
      <c r="M92" s="44" t="str">
        <f>Berechnung2!L59</f>
        <v>zu wenig Primärfälle angegeben</v>
      </c>
      <c r="N92" s="44">
        <f>Berechnung2!M59</f>
        <v>0</v>
      </c>
      <c r="O92" s="44">
        <f>Berechnung2!N59</f>
        <v>0</v>
      </c>
      <c r="P92" s="43"/>
      <c r="Q92" s="43"/>
      <c r="R92" s="43"/>
      <c r="S92" s="43"/>
      <c r="T92" s="43"/>
      <c r="U92" s="43"/>
      <c r="AG92" s="5"/>
    </row>
    <row r="93" spans="1:33" ht="14.25" hidden="1" customHeight="1" x14ac:dyDescent="0.2">
      <c r="A93" s="43" t="str">
        <f>Berechnung2!B60</f>
        <v>zu viele Patientinnen im Follow-Up</v>
      </c>
      <c r="C93" s="43">
        <f>Berechnung2!C60</f>
        <v>0</v>
      </c>
      <c r="D93" s="43" t="str">
        <f>Berechnung2!D60</f>
        <v>inkorrekt</v>
      </c>
      <c r="E93" s="43"/>
      <c r="F93" s="46">
        <f>Berechnung2!E60</f>
        <v>0</v>
      </c>
      <c r="G93" s="46">
        <f>Berechnung2!F60</f>
        <v>0</v>
      </c>
      <c r="H93" s="46">
        <f>Berechnung2!G60</f>
        <v>0</v>
      </c>
      <c r="I93" s="44">
        <f>Berechnung2!H60</f>
        <v>0</v>
      </c>
      <c r="J93" s="46">
        <f>Berechnung2!I60</f>
        <v>0</v>
      </c>
      <c r="K93" s="46">
        <f>Berechnung2!J60</f>
        <v>0</v>
      </c>
      <c r="L93" s="44">
        <f>Berechnung2!K60</f>
        <v>0</v>
      </c>
      <c r="M93" s="44" t="str">
        <f>Berechnung2!L60</f>
        <v>zu viele Pat im Follow-Up (Primärpat - Pat. FIGO IV)</v>
      </c>
      <c r="N93" s="44">
        <f>Berechnung2!M60</f>
        <v>0</v>
      </c>
      <c r="O93" s="44" t="str">
        <f>Berechnung2!N60</f>
        <v>Anzahl Pat. Im Follow-Up zu hoch.</v>
      </c>
      <c r="P93" s="43"/>
      <c r="Q93" s="43"/>
      <c r="R93" s="43"/>
      <c r="S93" s="43"/>
      <c r="T93" s="43"/>
      <c r="U93" s="43"/>
      <c r="AG93" s="5"/>
    </row>
    <row r="94" spans="1:33" ht="14.25" hidden="1" customHeight="1" x14ac:dyDescent="0.2">
      <c r="A94" s="43" t="str">
        <f>Berechnung2!B61</f>
        <v>geringe Follow-Up Quote</v>
      </c>
      <c r="C94" s="43">
        <f>Berechnung2!C61</f>
        <v>0</v>
      </c>
      <c r="D94" s="43" t="str">
        <f>Berechnung2!D61</f>
        <v>plausi</v>
      </c>
      <c r="E94" s="43"/>
      <c r="F94" s="46" t="str">
        <f>Berechnung2!E61</f>
        <v>&lt;</v>
      </c>
      <c r="G94" s="46">
        <f>Berechnung2!F61</f>
        <v>0</v>
      </c>
      <c r="H94" s="46">
        <f>Berechnung2!G61</f>
        <v>0</v>
      </c>
      <c r="I94" s="44">
        <f>Berechnung2!H61</f>
        <v>0</v>
      </c>
      <c r="J94" s="46">
        <f>Berechnung2!I61</f>
        <v>0.69999</v>
      </c>
      <c r="K94" s="46">
        <f>Berechnung2!J61</f>
        <v>0.69999</v>
      </c>
      <c r="L94" s="44">
        <f>Berechnung2!K61</f>
        <v>0</v>
      </c>
      <c r="M94" s="44" t="str">
        <f>Berechnung2!L61</f>
        <v>geringe Follow-Up Quote der Nachsorgejahre</v>
      </c>
      <c r="N94" s="44">
        <f>Berechnung2!M61</f>
        <v>0</v>
      </c>
      <c r="O94" s="44">
        <f>Berechnung2!N61</f>
        <v>0</v>
      </c>
      <c r="P94" s="43"/>
      <c r="Q94" s="43"/>
      <c r="R94" s="43"/>
      <c r="S94" s="43"/>
      <c r="T94" s="43"/>
      <c r="U94" s="43"/>
      <c r="AG94" s="5"/>
    </row>
    <row r="95" spans="1:33" ht="14.25" hidden="1" customHeight="1" x14ac:dyDescent="0.2">
      <c r="A95" s="43" t="str">
        <f>Berechnung2!B62</f>
        <v>geringe Follow-Up Quote der Jahre 2015-2017</v>
      </c>
      <c r="C95" s="43">
        <f>Berechnung2!C62</f>
        <v>0</v>
      </c>
      <c r="D95" s="43" t="str">
        <f>Berechnung2!D62</f>
        <v>sollvorgabe</v>
      </c>
      <c r="E95" s="43"/>
      <c r="F95" s="46" t="str">
        <f>Berechnung2!E62</f>
        <v>&lt;</v>
      </c>
      <c r="G95" s="46">
        <f>Berechnung2!F62</f>
        <v>0</v>
      </c>
      <c r="H95" s="46">
        <f>Berechnung2!G62</f>
        <v>0</v>
      </c>
      <c r="I95" s="44">
        <f>Berechnung2!H62</f>
        <v>0</v>
      </c>
      <c r="J95" s="46">
        <f>Berechnung2!I62</f>
        <v>0.79998999999999998</v>
      </c>
      <c r="K95" s="46">
        <f>Berechnung2!J62</f>
        <v>0.79998999999999998</v>
      </c>
      <c r="L95" s="44">
        <f>Berechnung2!K62</f>
        <v>0</v>
      </c>
      <c r="M95" s="44" t="str">
        <f>Berechnung2!L62</f>
        <v>durchschnittliche Follow-Up Quote &lt; 80%</v>
      </c>
      <c r="N95" s="44">
        <f>Berechnung2!M62</f>
        <v>0</v>
      </c>
      <c r="O95" s="44">
        <f>Berechnung2!N62</f>
        <v>0</v>
      </c>
      <c r="P95" s="43"/>
      <c r="Q95" s="43"/>
      <c r="R95" s="43"/>
      <c r="S95" s="43"/>
      <c r="T95" s="43"/>
      <c r="U95" s="43"/>
      <c r="AG95" s="5"/>
    </row>
    <row r="96" spans="1:33" ht="14.25" hidden="1" customHeight="1" x14ac:dyDescent="0.2">
      <c r="A96" s="43" t="str">
        <f>Berechnung2!B63</f>
        <v>zu hohe Follow-Up Quote der Jahre 2015-2017</v>
      </c>
      <c r="C96" s="43">
        <f>Berechnung2!C63</f>
        <v>0</v>
      </c>
      <c r="D96" s="43" t="str">
        <f>Berechnung2!D63</f>
        <v>plausi</v>
      </c>
      <c r="E96" s="43"/>
      <c r="F96" s="46" t="str">
        <f>Berechnung2!E63</f>
        <v>&gt;</v>
      </c>
      <c r="G96" s="46">
        <f>Berechnung2!F63</f>
        <v>0</v>
      </c>
      <c r="H96" s="46">
        <f>Berechnung2!G63</f>
        <v>0</v>
      </c>
      <c r="I96" s="44">
        <f>Berechnung2!H63</f>
        <v>0.95001000000000002</v>
      </c>
      <c r="J96" s="46">
        <f>Berechnung2!I63</f>
        <v>1</v>
      </c>
      <c r="K96" s="46">
        <f>Berechnung2!J63</f>
        <v>0.95001000000000002</v>
      </c>
      <c r="L96" s="44">
        <f>Berechnung2!K63</f>
        <v>0</v>
      </c>
      <c r="M96" s="44" t="str">
        <f>Berechnung2!L63</f>
        <v>durchschnittliche Follow-Up Quote &gt; 95%</v>
      </c>
      <c r="N96" s="44">
        <f>Berechnung2!M63</f>
        <v>0</v>
      </c>
      <c r="O96" s="44">
        <f>Berechnung2!N63</f>
        <v>0</v>
      </c>
      <c r="P96" s="43"/>
      <c r="Q96" s="43"/>
      <c r="R96" s="43"/>
      <c r="S96" s="43"/>
      <c r="T96" s="43"/>
      <c r="U96" s="43"/>
      <c r="AG96" s="5"/>
    </row>
    <row r="97" spans="1:33" ht="14.25" hidden="1" customHeight="1" x14ac:dyDescent="0.2">
      <c r="A97" s="43" t="str">
        <f>Berechnung2!B64</f>
        <v xml:space="preserve">Fehler bei Ereignisse </v>
      </c>
      <c r="C97" s="43">
        <f>Berechnung2!C64</f>
        <v>0</v>
      </c>
      <c r="D97" s="43" t="str">
        <f>Berechnung2!D64</f>
        <v>inkorrekt</v>
      </c>
      <c r="E97" s="43"/>
      <c r="F97" s="46">
        <f>Berechnung2!E64</f>
        <v>0</v>
      </c>
      <c r="G97" s="46">
        <f>Berechnung2!F64</f>
        <v>0</v>
      </c>
      <c r="H97" s="46">
        <f>Berechnung2!G64</f>
        <v>0</v>
      </c>
      <c r="I97" s="44">
        <f>Berechnung2!H64</f>
        <v>0</v>
      </c>
      <c r="J97" s="46">
        <f>Berechnung2!I64</f>
        <v>0</v>
      </c>
      <c r="K97" s="46">
        <f>Berechnung2!J64</f>
        <v>0</v>
      </c>
      <c r="L97" s="44">
        <f>Berechnung2!K64</f>
        <v>0</v>
      </c>
      <c r="M97" s="44" t="str">
        <f>Berechnung2!L64</f>
        <v>Werte in Spalte X,Y,Z dürfen den Wert Spalte W nicht übersteigen</v>
      </c>
      <c r="N97" s="44">
        <f>Berechnung2!M64</f>
        <v>0</v>
      </c>
      <c r="O97" s="44" t="str">
        <f>Berechnung2!N64</f>
        <v>Eingabe kann nicht größer sein als Ereignisse Spalte W.</v>
      </c>
      <c r="P97" s="43"/>
      <c r="Q97" s="43"/>
      <c r="R97" s="43"/>
      <c r="S97" s="43"/>
      <c r="T97" s="43"/>
      <c r="U97" s="43"/>
      <c r="AG97" s="5"/>
    </row>
    <row r="98" spans="1:33" ht="14.25" hidden="1" customHeight="1" x14ac:dyDescent="0.2">
      <c r="A98" s="43">
        <f>Berechnung2!B65</f>
        <v>0</v>
      </c>
      <c r="C98" s="43">
        <f>Berechnung2!C65</f>
        <v>0</v>
      </c>
      <c r="D98" s="43">
        <f>Berechnung2!D65</f>
        <v>0</v>
      </c>
      <c r="E98" s="43"/>
      <c r="F98" s="46">
        <f>Berechnung2!E65</f>
        <v>0</v>
      </c>
      <c r="G98" s="46">
        <f>Berechnung2!F65</f>
        <v>0</v>
      </c>
      <c r="H98" s="46">
        <f>Berechnung2!G65</f>
        <v>0</v>
      </c>
      <c r="I98" s="44">
        <f>Berechnung2!H65</f>
        <v>0</v>
      </c>
      <c r="J98" s="46">
        <f>Berechnung2!I65</f>
        <v>0</v>
      </c>
      <c r="K98" s="46">
        <f>Berechnung2!J65</f>
        <v>0</v>
      </c>
      <c r="L98" s="44">
        <f>Berechnung2!K65</f>
        <v>0</v>
      </c>
      <c r="M98" s="44">
        <f>Berechnung2!L65</f>
        <v>0</v>
      </c>
      <c r="N98" s="44">
        <f>Berechnung2!M65</f>
        <v>0</v>
      </c>
      <c r="O98" s="44">
        <f>Berechnung2!N65</f>
        <v>0</v>
      </c>
      <c r="P98" s="43"/>
      <c r="Q98" s="43"/>
      <c r="R98" s="43"/>
      <c r="S98" s="43"/>
      <c r="T98" s="43"/>
      <c r="U98" s="43"/>
      <c r="AG98" s="5"/>
    </row>
    <row r="99" spans="1:33" ht="14.25" hidden="1" customHeight="1" x14ac:dyDescent="0.2">
      <c r="A99" s="43" t="str">
        <f>Berechnung2!B66</f>
        <v>wenn sich Minuswerte berechnen</v>
      </c>
      <c r="C99" s="43">
        <f>Berechnung2!C66</f>
        <v>0</v>
      </c>
      <c r="D99" s="43" t="str">
        <f>Berechnung2!D66</f>
        <v>inkorrekt</v>
      </c>
      <c r="E99" s="43"/>
      <c r="F99" s="46" t="str">
        <f>Berechnung2!E66</f>
        <v>&lt;</v>
      </c>
      <c r="G99" s="46">
        <f>Berechnung2!F66</f>
        <v>0</v>
      </c>
      <c r="H99" s="46">
        <f>Berechnung2!G66</f>
        <v>0</v>
      </c>
      <c r="I99" s="44">
        <f>Berechnung2!H66</f>
        <v>0</v>
      </c>
      <c r="J99" s="46">
        <f>Berechnung2!I66</f>
        <v>0</v>
      </c>
      <c r="K99" s="46">
        <f>Berechnung2!J66</f>
        <v>0</v>
      </c>
      <c r="L99" s="44">
        <f>Berechnung2!K66</f>
        <v>0</v>
      </c>
      <c r="M99" s="44" t="str">
        <f>Berechnung2!L66</f>
        <v>Zahlen in Spalte U dürfen keine negativen Werte annehmen</v>
      </c>
      <c r="N99" s="44">
        <f>Berechnung2!M66</f>
        <v>0</v>
      </c>
      <c r="O99" s="44" t="str">
        <f>Berechnung2!N64</f>
        <v>Eingabe kann nicht größer sein als Ereignisse Spalte W.</v>
      </c>
      <c r="P99" s="43"/>
      <c r="Q99" s="43"/>
      <c r="R99" s="43"/>
      <c r="S99" s="43"/>
      <c r="T99" s="43"/>
      <c r="U99" s="43"/>
      <c r="AG99" s="5"/>
    </row>
    <row r="100" spans="1:33" ht="14.25" hidden="1" customHeight="1" x14ac:dyDescent="0.2">
      <c r="A100" s="43">
        <f>Berechnung2!B67</f>
        <v>0</v>
      </c>
      <c r="C100" s="43">
        <f>Berechnung2!C67</f>
        <v>0</v>
      </c>
      <c r="D100" s="43">
        <f>Berechnung2!D67</f>
        <v>0</v>
      </c>
      <c r="E100" s="43"/>
      <c r="F100" s="46">
        <f>Berechnung2!E67</f>
        <v>0</v>
      </c>
      <c r="G100" s="46">
        <f>Berechnung2!F67</f>
        <v>0</v>
      </c>
      <c r="H100" s="46">
        <f>Berechnung2!G67</f>
        <v>0</v>
      </c>
      <c r="I100" s="44">
        <f>Berechnung2!H67</f>
        <v>0</v>
      </c>
      <c r="J100" s="46">
        <f>Berechnung2!I67</f>
        <v>0</v>
      </c>
      <c r="K100" s="46">
        <f>Berechnung2!J67</f>
        <v>0</v>
      </c>
      <c r="L100" s="44">
        <f>Berechnung2!K67</f>
        <v>0</v>
      </c>
      <c r="M100" s="44">
        <f>Berechnung2!L67</f>
        <v>0</v>
      </c>
      <c r="N100" s="44">
        <f>Berechnung2!M67</f>
        <v>0</v>
      </c>
      <c r="O100" s="44">
        <f>Berechnung2!N67</f>
        <v>0</v>
      </c>
      <c r="P100" s="43"/>
      <c r="Q100" s="43"/>
      <c r="R100" s="43"/>
      <c r="S100" s="43"/>
      <c r="T100" s="43"/>
      <c r="U100" s="43"/>
      <c r="AG100" s="5"/>
    </row>
    <row r="101" spans="1:33" ht="14.25" hidden="1" customHeight="1" x14ac:dyDescent="0.2">
      <c r="A101" s="43" t="str">
        <f>Berechnung2!B68</f>
        <v>DFS</v>
      </c>
      <c r="C101" s="43">
        <f>Berechnung2!C68</f>
        <v>0</v>
      </c>
      <c r="D101" s="43">
        <f>Berechnung2!D68</f>
        <v>0</v>
      </c>
      <c r="E101" s="43"/>
      <c r="F101" s="43" t="str">
        <f>Berechnung2!E68</f>
        <v>von</v>
      </c>
      <c r="G101" s="43">
        <f>Berechnung2!F68</f>
        <v>0</v>
      </c>
      <c r="H101" s="43" t="str">
        <f>Berechnung2!G68</f>
        <v>untere Grenze</v>
      </c>
      <c r="I101" s="44">
        <f>Berechnung2!H68</f>
        <v>0</v>
      </c>
      <c r="J101" s="43">
        <f>Berechnung2!I68</f>
        <v>0</v>
      </c>
      <c r="K101" s="43" t="str">
        <f>Berechnung2!J68</f>
        <v>obere Grenze</v>
      </c>
      <c r="L101" s="43">
        <f>Berechnung2!K68</f>
        <v>0</v>
      </c>
      <c r="M101" s="43">
        <f>Berechnung2!L68</f>
        <v>0</v>
      </c>
      <c r="N101" s="43" t="e">
        <f>Berechnung2!#REF!</f>
        <v>#REF!</v>
      </c>
      <c r="O101" s="43">
        <f>Berechnung2!M68</f>
        <v>0</v>
      </c>
      <c r="P101" s="43"/>
      <c r="Q101" s="43"/>
      <c r="R101" s="43"/>
      <c r="S101" s="43"/>
      <c r="T101" s="43"/>
      <c r="U101" s="43"/>
      <c r="AG101" s="5"/>
    </row>
    <row r="102" spans="1:33" ht="14.25" hidden="1" customHeight="1" x14ac:dyDescent="0.2">
      <c r="A102" s="57">
        <f>Berechnung2!B69</f>
        <v>0</v>
      </c>
      <c r="B102" s="58"/>
      <c r="C102" s="57">
        <f>Berechnung2!C69</f>
        <v>0</v>
      </c>
      <c r="D102" s="57">
        <f>Berechnung2!D69</f>
        <v>0</v>
      </c>
      <c r="E102" s="57"/>
      <c r="F102" s="57">
        <f>Berechnung2!E69</f>
        <v>10.01</v>
      </c>
      <c r="G102" s="57">
        <f>Berechnung2!F69</f>
        <v>10.01</v>
      </c>
      <c r="H102" s="57">
        <f>Berechnung2!G69</f>
        <v>1.01</v>
      </c>
      <c r="I102" s="44">
        <f>Berechnung2!H69</f>
        <v>0</v>
      </c>
      <c r="J102" s="57">
        <f>Berechnung2!I69</f>
        <v>1.01</v>
      </c>
      <c r="K102" s="57">
        <f>Berechnung2!J69</f>
        <v>1.01</v>
      </c>
      <c r="L102" s="57">
        <f>Berechnung2!K69</f>
        <v>0</v>
      </c>
      <c r="M102" s="43" t="str">
        <f>Berechnung2!L69</f>
        <v>DFS auffällig niedrig oder hoch</v>
      </c>
      <c r="N102" s="43" t="e">
        <f>Berechnung2!#REF!</f>
        <v>#REF!</v>
      </c>
      <c r="O102" s="43" t="str">
        <f>Berechnung2!M69</f>
        <v>DFS auffällig niedrig oder hoch</v>
      </c>
      <c r="P102" s="43"/>
      <c r="Q102" s="43"/>
      <c r="R102" s="43"/>
      <c r="S102" s="43"/>
      <c r="T102" s="43"/>
      <c r="U102" s="43"/>
      <c r="AG102" s="5"/>
    </row>
    <row r="103" spans="1:33" ht="14.25" hidden="1" customHeight="1" x14ac:dyDescent="0.2">
      <c r="A103" s="57">
        <f>Berechnung2!B70</f>
        <v>0</v>
      </c>
      <c r="B103" s="58"/>
      <c r="C103" s="57">
        <f>Berechnung2!C70</f>
        <v>0</v>
      </c>
      <c r="D103" s="57">
        <f>Berechnung2!D70</f>
        <v>0</v>
      </c>
      <c r="E103" s="57"/>
      <c r="F103" s="57">
        <f>Berechnung2!E70</f>
        <v>10.01</v>
      </c>
      <c r="G103" s="57">
        <f>Berechnung2!F70</f>
        <v>10.01</v>
      </c>
      <c r="H103" s="57">
        <f>Berechnung2!G70</f>
        <v>1.01</v>
      </c>
      <c r="I103" s="44">
        <f>Berechnung2!H70</f>
        <v>0</v>
      </c>
      <c r="J103" s="57">
        <f>Berechnung2!I70</f>
        <v>1.01</v>
      </c>
      <c r="K103" s="57">
        <f>Berechnung2!J70</f>
        <v>1.01</v>
      </c>
      <c r="L103" s="57">
        <f>Berechnung2!K70</f>
        <v>0</v>
      </c>
      <c r="M103" s="43" t="str">
        <f>Berechnung2!L70</f>
        <v>DFS auffällig niedrig oder hoch</v>
      </c>
      <c r="N103" s="43" t="e">
        <f>Berechnung2!#REF!</f>
        <v>#REF!</v>
      </c>
      <c r="O103" s="43" t="str">
        <f>Berechnung2!M70</f>
        <v>DFS auffällig niedrig oder hoch</v>
      </c>
      <c r="P103" s="43"/>
      <c r="Q103" s="43"/>
      <c r="R103" s="43"/>
      <c r="S103" s="43"/>
      <c r="T103" s="43"/>
      <c r="U103" s="43"/>
      <c r="AG103" s="5"/>
    </row>
    <row r="104" spans="1:33" ht="14.25" hidden="1" customHeight="1" x14ac:dyDescent="0.2">
      <c r="A104" s="57">
        <f>Berechnung2!B71</f>
        <v>0</v>
      </c>
      <c r="B104" s="58"/>
      <c r="C104" s="57">
        <f>Berechnung2!C71</f>
        <v>0</v>
      </c>
      <c r="D104" s="57">
        <f>Berechnung2!D71</f>
        <v>0</v>
      </c>
      <c r="E104" s="57"/>
      <c r="F104" s="57">
        <f>Berechnung2!E71</f>
        <v>10.01</v>
      </c>
      <c r="G104" s="57">
        <f>Berechnung2!F71</f>
        <v>10.01</v>
      </c>
      <c r="H104" s="57">
        <f>Berechnung2!G71</f>
        <v>1.01</v>
      </c>
      <c r="I104" s="44">
        <f>Berechnung2!H71</f>
        <v>0</v>
      </c>
      <c r="J104" s="57">
        <f>Berechnung2!I71</f>
        <v>1.01</v>
      </c>
      <c r="K104" s="57">
        <f>Berechnung2!J71</f>
        <v>1.01</v>
      </c>
      <c r="L104" s="57">
        <f>Berechnung2!K71</f>
        <v>0</v>
      </c>
      <c r="M104" s="43" t="str">
        <f>Berechnung2!L71</f>
        <v>DFS auffällig niedrig oder hoch</v>
      </c>
      <c r="N104" s="43" t="e">
        <f>Berechnung2!#REF!</f>
        <v>#REF!</v>
      </c>
      <c r="O104" s="43" t="str">
        <f>Berechnung2!M71</f>
        <v>DFS auffällig niedrig oder hoch</v>
      </c>
      <c r="P104" s="43"/>
      <c r="Q104" s="43"/>
      <c r="R104" s="43"/>
      <c r="S104" s="43"/>
      <c r="T104" s="43"/>
      <c r="U104" s="43"/>
      <c r="AG104" s="5"/>
    </row>
    <row r="105" spans="1:33" ht="14.25" hidden="1" customHeight="1" x14ac:dyDescent="0.2">
      <c r="A105" s="57">
        <f>Berechnung2!B72</f>
        <v>0</v>
      </c>
      <c r="B105" s="58"/>
      <c r="C105" s="57">
        <f>Berechnung2!C72</f>
        <v>0</v>
      </c>
      <c r="D105" s="57">
        <f>Berechnung2!D72</f>
        <v>0</v>
      </c>
      <c r="E105" s="57"/>
      <c r="F105" s="57">
        <f>Berechnung2!E72</f>
        <v>10.01</v>
      </c>
      <c r="G105" s="57">
        <f>Berechnung2!F72</f>
        <v>10.01</v>
      </c>
      <c r="H105" s="57">
        <f>Berechnung2!G72</f>
        <v>1.01</v>
      </c>
      <c r="I105" s="44">
        <f>Berechnung2!H72</f>
        <v>0</v>
      </c>
      <c r="J105" s="57">
        <f>Berechnung2!I72</f>
        <v>1.01</v>
      </c>
      <c r="K105" s="57">
        <f>Berechnung2!J72</f>
        <v>1.01</v>
      </c>
      <c r="L105" s="57">
        <f>Berechnung2!K72</f>
        <v>0</v>
      </c>
      <c r="M105" s="43" t="str">
        <f>Berechnung2!L72</f>
        <v>DFS auffällig niedrig oder hoch</v>
      </c>
      <c r="N105" s="43" t="e">
        <f>Berechnung2!#REF!</f>
        <v>#REF!</v>
      </c>
      <c r="O105" s="43" t="str">
        <f>Berechnung2!M72</f>
        <v>DFS auffällig niedrig oder hoch</v>
      </c>
      <c r="P105" s="43"/>
      <c r="Q105" s="43"/>
      <c r="R105" s="43"/>
      <c r="S105" s="43"/>
      <c r="T105" s="43"/>
      <c r="U105" s="43"/>
      <c r="AG105" s="5"/>
    </row>
    <row r="106" spans="1:33" ht="14.25" hidden="1" customHeight="1" x14ac:dyDescent="0.2">
      <c r="A106" s="57">
        <f>Berechnung2!B73</f>
        <v>0</v>
      </c>
      <c r="B106" s="58"/>
      <c r="C106" s="57">
        <f>Berechnung2!C73</f>
        <v>0</v>
      </c>
      <c r="D106" s="57">
        <f>Berechnung2!D73</f>
        <v>0</v>
      </c>
      <c r="E106" s="57"/>
      <c r="F106" s="57">
        <f>Berechnung2!E73</f>
        <v>10.01</v>
      </c>
      <c r="G106" s="57">
        <f>Berechnung2!F73</f>
        <v>10.01</v>
      </c>
      <c r="H106" s="57">
        <f>Berechnung2!G73</f>
        <v>1.01</v>
      </c>
      <c r="I106" s="44">
        <f>Berechnung2!H73</f>
        <v>0</v>
      </c>
      <c r="J106" s="57">
        <f>Berechnung2!I73</f>
        <v>1.01</v>
      </c>
      <c r="K106" s="57">
        <f>Berechnung2!J73</f>
        <v>1.01</v>
      </c>
      <c r="L106" s="57">
        <f>Berechnung2!K73</f>
        <v>0</v>
      </c>
      <c r="M106" s="43" t="str">
        <f>Berechnung2!L73</f>
        <v>DFS auffällig niedrig oder hoch</v>
      </c>
      <c r="N106" s="43" t="e">
        <f>Berechnung2!#REF!</f>
        <v>#REF!</v>
      </c>
      <c r="O106" s="43" t="str">
        <f>Berechnung2!M73</f>
        <v>DFS auffällig niedrig oder hoch</v>
      </c>
      <c r="P106" s="43"/>
      <c r="Q106" s="43"/>
      <c r="R106" s="43"/>
      <c r="S106" s="43"/>
      <c r="T106" s="43"/>
      <c r="U106" s="43"/>
      <c r="AG106" s="5"/>
    </row>
    <row r="107" spans="1:33" ht="14.25" hidden="1" customHeight="1" x14ac:dyDescent="0.2">
      <c r="A107" s="57">
        <f>Berechnung2!B74</f>
        <v>0</v>
      </c>
      <c r="B107" s="58"/>
      <c r="C107" s="57">
        <f>Berechnung2!C74</f>
        <v>0</v>
      </c>
      <c r="D107" s="57">
        <f>Berechnung2!D74</f>
        <v>0</v>
      </c>
      <c r="E107" s="57"/>
      <c r="F107" s="57">
        <f>Berechnung2!E74</f>
        <v>10.01</v>
      </c>
      <c r="G107" s="57">
        <f>Berechnung2!F74</f>
        <v>10.01</v>
      </c>
      <c r="H107" s="57">
        <f>Berechnung2!G74</f>
        <v>1.01</v>
      </c>
      <c r="I107" s="44">
        <f>Berechnung2!H74</f>
        <v>0</v>
      </c>
      <c r="J107" s="57">
        <f>Berechnung2!I74</f>
        <v>1.01</v>
      </c>
      <c r="K107" s="57">
        <f>Berechnung2!J74</f>
        <v>1.01</v>
      </c>
      <c r="L107" s="57">
        <f>Berechnung2!K74</f>
        <v>0</v>
      </c>
      <c r="M107" s="43" t="str">
        <f>Berechnung2!L74</f>
        <v>DFS auffällig niedrig oder hoch</v>
      </c>
      <c r="N107" s="43" t="e">
        <f>Berechnung2!#REF!</f>
        <v>#REF!</v>
      </c>
      <c r="O107" s="43" t="str">
        <f>Berechnung2!M74</f>
        <v>DFS auffällig niedrig oder hoch</v>
      </c>
      <c r="P107" s="43"/>
      <c r="Q107" s="43"/>
      <c r="R107" s="43"/>
      <c r="S107" s="43"/>
      <c r="T107" s="43"/>
      <c r="U107" s="43"/>
      <c r="AG107" s="5"/>
    </row>
    <row r="108" spans="1:33" ht="14.25" hidden="1" customHeight="1" x14ac:dyDescent="0.2">
      <c r="A108" s="57">
        <f>Berechnung2!B75</f>
        <v>0</v>
      </c>
      <c r="B108" s="58"/>
      <c r="C108" s="57">
        <f>Berechnung2!C75</f>
        <v>0</v>
      </c>
      <c r="D108" s="57">
        <f>Berechnung2!D75</f>
        <v>0</v>
      </c>
      <c r="E108" s="57"/>
      <c r="F108" s="57">
        <f>Berechnung2!E75</f>
        <v>10.01</v>
      </c>
      <c r="G108" s="57">
        <f>Berechnung2!F75</f>
        <v>10.01</v>
      </c>
      <c r="H108" s="57">
        <f>Berechnung2!G75</f>
        <v>1.01</v>
      </c>
      <c r="I108" s="44">
        <f>Berechnung2!H75</f>
        <v>0</v>
      </c>
      <c r="J108" s="57">
        <f>Berechnung2!I75</f>
        <v>1.01</v>
      </c>
      <c r="K108" s="57">
        <f>Berechnung2!J75</f>
        <v>1.01</v>
      </c>
      <c r="L108" s="57">
        <f>Berechnung2!K75</f>
        <v>0</v>
      </c>
      <c r="M108" s="43" t="str">
        <f>Berechnung2!L75</f>
        <v>DFS auffällig niedrig oder hoch</v>
      </c>
      <c r="N108" s="43" t="e">
        <f>Berechnung2!#REF!</f>
        <v>#REF!</v>
      </c>
      <c r="O108" s="43" t="str">
        <f>Berechnung2!M75</f>
        <v>DFS auffällig niedrig oder hoch</v>
      </c>
      <c r="P108" s="43"/>
      <c r="Q108" s="43"/>
      <c r="R108" s="43"/>
      <c r="S108" s="43"/>
      <c r="T108" s="43"/>
      <c r="U108" s="43"/>
      <c r="AG108" s="5"/>
    </row>
    <row r="109" spans="1:33" ht="14.25" hidden="1" customHeight="1" x14ac:dyDescent="0.2">
      <c r="A109" s="57">
        <f>Berechnung2!B76</f>
        <v>0</v>
      </c>
      <c r="B109" s="58"/>
      <c r="C109" s="57">
        <f>Berechnung2!C76</f>
        <v>0</v>
      </c>
      <c r="D109" s="57">
        <f>Berechnung2!D76</f>
        <v>0</v>
      </c>
      <c r="E109" s="57"/>
      <c r="F109" s="57">
        <f>Berechnung2!E76</f>
        <v>0</v>
      </c>
      <c r="G109" s="57">
        <f>Berechnung2!F76</f>
        <v>0</v>
      </c>
      <c r="H109" s="57">
        <f>Berechnung2!G76</f>
        <v>0</v>
      </c>
      <c r="I109" s="44">
        <f>Berechnung2!H76</f>
        <v>0</v>
      </c>
      <c r="J109" s="57">
        <f>Berechnung2!I76</f>
        <v>0</v>
      </c>
      <c r="K109" s="57">
        <f>Berechnung2!J76</f>
        <v>0</v>
      </c>
      <c r="L109" s="57">
        <f>Berechnung2!K76</f>
        <v>0</v>
      </c>
      <c r="M109" s="43">
        <f>Berechnung2!L76</f>
        <v>0</v>
      </c>
      <c r="N109" s="43" t="e">
        <f>Berechnung2!#REF!</f>
        <v>#REF!</v>
      </c>
      <c r="O109" s="43">
        <f>Berechnung2!M76</f>
        <v>0</v>
      </c>
      <c r="P109" s="43"/>
      <c r="Q109" s="43"/>
      <c r="R109" s="43"/>
      <c r="S109" s="43"/>
      <c r="T109" s="43"/>
      <c r="U109" s="43"/>
      <c r="AG109" s="5"/>
    </row>
    <row r="110" spans="1:33" ht="14.25" hidden="1" customHeight="1" x14ac:dyDescent="0.2">
      <c r="A110" s="57" t="str">
        <f>Berechnung2!B77</f>
        <v>OAS</v>
      </c>
      <c r="B110" s="58"/>
      <c r="C110" s="57">
        <f>Berechnung2!C77</f>
        <v>0</v>
      </c>
      <c r="D110" s="57">
        <f>Berechnung2!D77</f>
        <v>0</v>
      </c>
      <c r="E110" s="57"/>
      <c r="F110" s="57">
        <f>Berechnung2!E77</f>
        <v>0</v>
      </c>
      <c r="G110" s="57">
        <f>Berechnung2!F77</f>
        <v>0</v>
      </c>
      <c r="H110" s="57" t="str">
        <f>Berechnung2!G77</f>
        <v>untere Grenze</v>
      </c>
      <c r="I110" s="44">
        <f>Berechnung2!H77</f>
        <v>0</v>
      </c>
      <c r="J110" s="57">
        <f>Berechnung2!I77</f>
        <v>0</v>
      </c>
      <c r="K110" s="57" t="str">
        <f>Berechnung2!J77</f>
        <v>obere Grenze</v>
      </c>
      <c r="L110" s="57">
        <f>Berechnung2!K77</f>
        <v>0</v>
      </c>
      <c r="M110" s="43">
        <f>Berechnung2!L77</f>
        <v>0</v>
      </c>
      <c r="N110" s="43" t="e">
        <f>Berechnung2!#REF!</f>
        <v>#REF!</v>
      </c>
      <c r="O110" s="43">
        <f>Berechnung2!M77</f>
        <v>0</v>
      </c>
      <c r="P110" s="43"/>
      <c r="Q110" s="43"/>
      <c r="R110" s="43"/>
      <c r="S110" s="43"/>
      <c r="T110" s="43"/>
      <c r="U110" s="43"/>
      <c r="AG110" s="5"/>
    </row>
    <row r="111" spans="1:33" ht="14.25" hidden="1" customHeight="1" x14ac:dyDescent="0.2">
      <c r="A111" s="57">
        <f>Berechnung2!B78</f>
        <v>0</v>
      </c>
      <c r="B111" s="58"/>
      <c r="C111" s="57">
        <f>Berechnung2!C78</f>
        <v>0</v>
      </c>
      <c r="D111" s="57">
        <f>Berechnung2!D78</f>
        <v>0</v>
      </c>
      <c r="E111" s="57"/>
      <c r="F111" s="57">
        <f>Berechnung2!E78</f>
        <v>10.01</v>
      </c>
      <c r="G111" s="57">
        <f>Berechnung2!F78</f>
        <v>10.01</v>
      </c>
      <c r="H111" s="57">
        <f>Berechnung2!G78</f>
        <v>1.01</v>
      </c>
      <c r="I111" s="44">
        <f>Berechnung2!H78</f>
        <v>0</v>
      </c>
      <c r="J111" s="57">
        <f>Berechnung2!I78</f>
        <v>1.01</v>
      </c>
      <c r="K111" s="57">
        <f>Berechnung2!J78</f>
        <v>1.01</v>
      </c>
      <c r="L111" s="57">
        <f>Berechnung2!K78</f>
        <v>0</v>
      </c>
      <c r="M111" s="43" t="str">
        <f>Berechnung2!L78</f>
        <v>OAS auffällig niedrig oder hoch</v>
      </c>
      <c r="N111" s="43" t="e">
        <f>Berechnung2!#REF!</f>
        <v>#REF!</v>
      </c>
      <c r="O111" s="43" t="str">
        <f>Berechnung2!M78</f>
        <v>OAS auffällig niedrig oder hoch</v>
      </c>
      <c r="P111" s="43"/>
      <c r="Q111" s="43"/>
      <c r="R111" s="43"/>
      <c r="S111" s="43"/>
      <c r="T111" s="43"/>
      <c r="U111" s="43"/>
      <c r="AG111" s="5"/>
    </row>
    <row r="112" spans="1:33" ht="14.25" hidden="1" customHeight="1" x14ac:dyDescent="0.2">
      <c r="A112" s="57">
        <f>Berechnung2!B79</f>
        <v>0</v>
      </c>
      <c r="B112" s="58"/>
      <c r="C112" s="57">
        <f>Berechnung2!C79</f>
        <v>0</v>
      </c>
      <c r="D112" s="57">
        <f>Berechnung2!D79</f>
        <v>0</v>
      </c>
      <c r="E112" s="57"/>
      <c r="F112" s="57">
        <f>Berechnung2!E79</f>
        <v>10.01</v>
      </c>
      <c r="G112" s="57">
        <f>Berechnung2!F79</f>
        <v>10.01</v>
      </c>
      <c r="H112" s="57">
        <f>Berechnung2!G79</f>
        <v>1.01</v>
      </c>
      <c r="I112" s="44">
        <f>Berechnung2!H79</f>
        <v>0</v>
      </c>
      <c r="J112" s="57">
        <f>Berechnung2!I79</f>
        <v>1.01</v>
      </c>
      <c r="K112" s="57">
        <f>Berechnung2!J79</f>
        <v>1.01</v>
      </c>
      <c r="L112" s="57">
        <f>Berechnung2!K79</f>
        <v>0</v>
      </c>
      <c r="M112" s="43" t="str">
        <f>Berechnung2!L79</f>
        <v>OAS auffällig niedrig oder hoch</v>
      </c>
      <c r="N112" s="43" t="e">
        <f>Berechnung2!#REF!</f>
        <v>#REF!</v>
      </c>
      <c r="O112" s="43" t="str">
        <f>Berechnung2!M79</f>
        <v>OAS auffällig niedrig oder hoch</v>
      </c>
      <c r="P112" s="43"/>
      <c r="Q112" s="43"/>
      <c r="R112" s="43"/>
      <c r="S112" s="43"/>
      <c r="T112" s="43"/>
      <c r="U112" s="43"/>
      <c r="AG112" s="5"/>
    </row>
    <row r="113" spans="1:33" ht="14.25" hidden="1" customHeight="1" x14ac:dyDescent="0.2">
      <c r="A113" s="57">
        <f>Berechnung2!B80</f>
        <v>0</v>
      </c>
      <c r="B113" s="58"/>
      <c r="C113" s="57">
        <f>Berechnung2!C80</f>
        <v>0</v>
      </c>
      <c r="D113" s="57">
        <f>Berechnung2!D80</f>
        <v>0</v>
      </c>
      <c r="E113" s="57"/>
      <c r="F113" s="57">
        <f>Berechnung2!E80</f>
        <v>10.01</v>
      </c>
      <c r="G113" s="57">
        <f>Berechnung2!F80</f>
        <v>10.01</v>
      </c>
      <c r="H113" s="57">
        <f>Berechnung2!G80</f>
        <v>1.01</v>
      </c>
      <c r="I113" s="44">
        <f>Berechnung2!H80</f>
        <v>0</v>
      </c>
      <c r="J113" s="57">
        <f>Berechnung2!I80</f>
        <v>1.01</v>
      </c>
      <c r="K113" s="57">
        <f>Berechnung2!J80</f>
        <v>1.01</v>
      </c>
      <c r="L113" s="57">
        <f>Berechnung2!K80</f>
        <v>0</v>
      </c>
      <c r="M113" s="43" t="str">
        <f>Berechnung2!L80</f>
        <v>OAS auffällig niedrig oder hoch</v>
      </c>
      <c r="N113" s="43" t="e">
        <f>Berechnung2!#REF!</f>
        <v>#REF!</v>
      </c>
      <c r="O113" s="43" t="str">
        <f>Berechnung2!M80</f>
        <v>OAS auffällig niedrig oder hoch</v>
      </c>
      <c r="P113" s="43"/>
      <c r="Q113" s="43"/>
      <c r="R113" s="43"/>
      <c r="S113" s="43"/>
      <c r="T113" s="43"/>
      <c r="U113" s="43"/>
      <c r="AG113" s="5"/>
    </row>
    <row r="114" spans="1:33" ht="14.25" hidden="1" customHeight="1" x14ac:dyDescent="0.2">
      <c r="A114" s="57">
        <f>Berechnung2!B81</f>
        <v>0</v>
      </c>
      <c r="B114" s="58"/>
      <c r="C114" s="57">
        <f>Berechnung2!C81</f>
        <v>0</v>
      </c>
      <c r="D114" s="57">
        <f>Berechnung2!D81</f>
        <v>0</v>
      </c>
      <c r="E114" s="57"/>
      <c r="F114" s="57">
        <f>Berechnung2!E81</f>
        <v>10.01</v>
      </c>
      <c r="G114" s="57">
        <f>Berechnung2!F81</f>
        <v>10.01</v>
      </c>
      <c r="H114" s="57">
        <f>Berechnung2!G81</f>
        <v>1.01</v>
      </c>
      <c r="I114" s="44">
        <f>Berechnung2!H81</f>
        <v>0</v>
      </c>
      <c r="J114" s="57">
        <f>Berechnung2!I81</f>
        <v>1.01</v>
      </c>
      <c r="K114" s="57">
        <f>Berechnung2!J81</f>
        <v>1.01</v>
      </c>
      <c r="L114" s="57">
        <f>Berechnung2!K81</f>
        <v>0</v>
      </c>
      <c r="M114" s="43" t="str">
        <f>Berechnung2!L81</f>
        <v>OAS auffällig niedrig oder hoch</v>
      </c>
      <c r="N114" s="43" t="e">
        <f>Berechnung2!#REF!</f>
        <v>#REF!</v>
      </c>
      <c r="O114" s="43" t="str">
        <f>Berechnung2!M81</f>
        <v>OAS auffällig niedrig oder hoch</v>
      </c>
      <c r="P114" s="43"/>
      <c r="Q114" s="43"/>
      <c r="R114" s="43"/>
      <c r="S114" s="43"/>
      <c r="T114" s="43"/>
      <c r="U114" s="43"/>
      <c r="AG114" s="5"/>
    </row>
    <row r="115" spans="1:33" ht="14.25" hidden="1" customHeight="1" x14ac:dyDescent="0.2">
      <c r="A115" s="57">
        <f>Berechnung2!B82</f>
        <v>0</v>
      </c>
      <c r="B115" s="58"/>
      <c r="C115" s="57">
        <f>Berechnung2!C82</f>
        <v>0</v>
      </c>
      <c r="D115" s="57">
        <f>Berechnung2!D82</f>
        <v>0</v>
      </c>
      <c r="E115" s="57"/>
      <c r="F115" s="57">
        <f>Berechnung2!E82</f>
        <v>10.01</v>
      </c>
      <c r="G115" s="57">
        <f>Berechnung2!F82</f>
        <v>10.01</v>
      </c>
      <c r="H115" s="57">
        <f>Berechnung2!G82</f>
        <v>1.01</v>
      </c>
      <c r="I115" s="44">
        <f>Berechnung2!H82</f>
        <v>0</v>
      </c>
      <c r="J115" s="57">
        <f>Berechnung2!I82</f>
        <v>1.01</v>
      </c>
      <c r="K115" s="57">
        <f>Berechnung2!J82</f>
        <v>1.01</v>
      </c>
      <c r="L115" s="57">
        <f>Berechnung2!K82</f>
        <v>0</v>
      </c>
      <c r="M115" s="43" t="str">
        <f>Berechnung2!L82</f>
        <v>OAS auffällig niedrig oder hoch</v>
      </c>
      <c r="N115" s="43" t="e">
        <f>Berechnung2!#REF!</f>
        <v>#REF!</v>
      </c>
      <c r="O115" s="43" t="str">
        <f>Berechnung2!M82</f>
        <v>OAS auffällig niedrig oder hoch</v>
      </c>
      <c r="P115" s="43"/>
      <c r="Q115" s="43"/>
      <c r="R115" s="43"/>
      <c r="S115" s="43"/>
      <c r="T115" s="43"/>
      <c r="U115" s="43"/>
      <c r="AG115" s="5"/>
    </row>
    <row r="116" spans="1:33" ht="14.25" hidden="1" customHeight="1" x14ac:dyDescent="0.2">
      <c r="A116" s="57">
        <f>Berechnung2!B83</f>
        <v>0</v>
      </c>
      <c r="B116" s="58"/>
      <c r="C116" s="57">
        <f>Berechnung2!C83</f>
        <v>0</v>
      </c>
      <c r="D116" s="57">
        <f>Berechnung2!D83</f>
        <v>0</v>
      </c>
      <c r="E116" s="57"/>
      <c r="F116" s="57">
        <f>Berechnung2!E83</f>
        <v>10.01</v>
      </c>
      <c r="G116" s="57">
        <f>Berechnung2!F83</f>
        <v>10.01</v>
      </c>
      <c r="H116" s="57">
        <f>Berechnung2!G83</f>
        <v>1.01</v>
      </c>
      <c r="I116" s="44">
        <f>Berechnung2!H83</f>
        <v>0</v>
      </c>
      <c r="J116" s="57">
        <f>Berechnung2!I83</f>
        <v>1.01</v>
      </c>
      <c r="K116" s="57">
        <f>Berechnung2!J83</f>
        <v>1.01</v>
      </c>
      <c r="L116" s="57">
        <f>Berechnung2!K83</f>
        <v>0</v>
      </c>
      <c r="M116" s="43" t="str">
        <f>Berechnung2!L83</f>
        <v>OAS auffällig niedrig oder hoch</v>
      </c>
      <c r="N116" s="43" t="e">
        <f>Berechnung2!#REF!</f>
        <v>#REF!</v>
      </c>
      <c r="O116" s="43" t="str">
        <f>Berechnung2!M83</f>
        <v>OAS auffällig niedrig oder hoch</v>
      </c>
      <c r="P116" s="43"/>
      <c r="Q116" s="43"/>
      <c r="R116" s="43"/>
      <c r="S116" s="43"/>
      <c r="T116" s="43"/>
      <c r="U116" s="43"/>
      <c r="AG116" s="5"/>
    </row>
    <row r="117" spans="1:33" ht="14.25" hidden="1" customHeight="1" x14ac:dyDescent="0.2">
      <c r="A117" s="57">
        <f>Berechnung2!B84</f>
        <v>0</v>
      </c>
      <c r="B117" s="58"/>
      <c r="C117" s="57">
        <f>Berechnung2!C84</f>
        <v>0</v>
      </c>
      <c r="D117" s="57">
        <f>Berechnung2!D84</f>
        <v>0</v>
      </c>
      <c r="E117" s="57"/>
      <c r="F117" s="57">
        <f>Berechnung2!E84</f>
        <v>10.01</v>
      </c>
      <c r="G117" s="57">
        <f>Berechnung2!F84</f>
        <v>10.01</v>
      </c>
      <c r="H117" s="57">
        <f>Berechnung2!G84</f>
        <v>1.01</v>
      </c>
      <c r="I117" s="44">
        <f>Berechnung2!H84</f>
        <v>0</v>
      </c>
      <c r="J117" s="57">
        <f>Berechnung2!I84</f>
        <v>1.01</v>
      </c>
      <c r="K117" s="57">
        <f>Berechnung2!J84</f>
        <v>1.01</v>
      </c>
      <c r="L117" s="57">
        <f>Berechnung2!K84</f>
        <v>0</v>
      </c>
      <c r="M117" s="43" t="str">
        <f>Berechnung2!L84</f>
        <v>OAS auffällig niedrig oder hoch</v>
      </c>
      <c r="N117" s="43" t="e">
        <f>Berechnung2!#REF!</f>
        <v>#REF!</v>
      </c>
      <c r="O117" s="43" t="str">
        <f>Berechnung2!M84</f>
        <v>OAS auffällig niedrig oder hoch</v>
      </c>
      <c r="P117" s="43"/>
      <c r="Q117" s="43"/>
      <c r="R117" s="43"/>
      <c r="S117" s="43"/>
      <c r="T117" s="43"/>
      <c r="U117" s="43"/>
      <c r="AG117" s="5"/>
    </row>
  </sheetData>
  <sheetProtection selectLockedCells="1"/>
  <dataConsolidate/>
  <mergeCells count="100">
    <mergeCell ref="J61:AG61"/>
    <mergeCell ref="O21:O22"/>
    <mergeCell ref="H21:H22"/>
    <mergeCell ref="J60:AG60"/>
    <mergeCell ref="O28:S28"/>
    <mergeCell ref="U28:AC28"/>
    <mergeCell ref="A40:AG40"/>
    <mergeCell ref="I21:I22"/>
    <mergeCell ref="G21:G22"/>
    <mergeCell ref="B59:E59"/>
    <mergeCell ref="AD18:AD29"/>
    <mergeCell ref="T19:T29"/>
    <mergeCell ref="C18:M18"/>
    <mergeCell ref="J21:J22"/>
    <mergeCell ref="X22:Z22"/>
    <mergeCell ref="L21:L22"/>
    <mergeCell ref="J68:AG68"/>
    <mergeCell ref="J67:AG67"/>
    <mergeCell ref="J66:AG66"/>
    <mergeCell ref="J62:AG62"/>
    <mergeCell ref="J65:AG65"/>
    <mergeCell ref="J63:AG63"/>
    <mergeCell ref="J64:AG64"/>
    <mergeCell ref="K21:K22"/>
    <mergeCell ref="AF21:AF22"/>
    <mergeCell ref="O29:S29"/>
    <mergeCell ref="AE28:AG28"/>
    <mergeCell ref="AA21:AA22"/>
    <mergeCell ref="AE29:AG29"/>
    <mergeCell ref="U29:AC29"/>
    <mergeCell ref="J59:AG59"/>
    <mergeCell ref="B75:E75"/>
    <mergeCell ref="B63:E63"/>
    <mergeCell ref="B64:E64"/>
    <mergeCell ref="F66:I66"/>
    <mergeCell ref="F72:I72"/>
    <mergeCell ref="B60:E60"/>
    <mergeCell ref="B61:E61"/>
    <mergeCell ref="F65:I65"/>
    <mergeCell ref="F64:I64"/>
    <mergeCell ref="B65:E65"/>
    <mergeCell ref="B67:E67"/>
    <mergeCell ref="F63:I63"/>
    <mergeCell ref="F60:I60"/>
    <mergeCell ref="B72:E72"/>
    <mergeCell ref="B66:E66"/>
    <mergeCell ref="C6:Z6"/>
    <mergeCell ref="C8:G8"/>
    <mergeCell ref="U8:Z8"/>
    <mergeCell ref="V21:V22"/>
    <mergeCell ref="F59:I59"/>
    <mergeCell ref="A53:D53"/>
    <mergeCell ref="A58:E58"/>
    <mergeCell ref="O20:S20"/>
    <mergeCell ref="R21:R22"/>
    <mergeCell ref="H13:N13"/>
    <mergeCell ref="O13:S13"/>
    <mergeCell ref="H14:N14"/>
    <mergeCell ref="A13:G13"/>
    <mergeCell ref="A14:G14"/>
    <mergeCell ref="J20:K20"/>
    <mergeCell ref="L20:M20"/>
    <mergeCell ref="B68:E68"/>
    <mergeCell ref="F68:I68"/>
    <mergeCell ref="B62:E62"/>
    <mergeCell ref="F61:I61"/>
    <mergeCell ref="F67:I67"/>
    <mergeCell ref="F62:I62"/>
    <mergeCell ref="J72:AG75"/>
    <mergeCell ref="A21:A22"/>
    <mergeCell ref="C21:C22"/>
    <mergeCell ref="D21:D22"/>
    <mergeCell ref="E21:E22"/>
    <mergeCell ref="B21:B22"/>
    <mergeCell ref="F21:F22"/>
    <mergeCell ref="AC21:AC22"/>
    <mergeCell ref="U21:U22"/>
    <mergeCell ref="W21:W22"/>
    <mergeCell ref="AE21:AE22"/>
    <mergeCell ref="AB21:AB22"/>
    <mergeCell ref="AG21:AG22"/>
    <mergeCell ref="P21:P22"/>
    <mergeCell ref="Q21:Q22"/>
    <mergeCell ref="F75:I75"/>
    <mergeCell ref="A11:AG11"/>
    <mergeCell ref="A35:AG35"/>
    <mergeCell ref="AF20:AG20"/>
    <mergeCell ref="T13:AB13"/>
    <mergeCell ref="T14:AB14"/>
    <mergeCell ref="AC13:AG13"/>
    <mergeCell ref="AC14:AG14"/>
    <mergeCell ref="AE18:AG18"/>
    <mergeCell ref="O18:AC18"/>
    <mergeCell ref="H20:I20"/>
    <mergeCell ref="F20:G20"/>
    <mergeCell ref="D20:E20"/>
    <mergeCell ref="O14:S14"/>
    <mergeCell ref="U20:AC20"/>
    <mergeCell ref="M21:M22"/>
    <mergeCell ref="S21:S22"/>
  </mergeCells>
  <phoneticPr fontId="35" type="noConversion"/>
  <conditionalFormatting sqref="A13">
    <cfRule type="expression" dxfId="41" priority="3578" stopIfTrue="1">
      <formula>$A$13="Nicht in Ordnung"</formula>
    </cfRule>
  </conditionalFormatting>
  <conditionalFormatting sqref="A14">
    <cfRule type="expression" dxfId="40" priority="3576" stopIfTrue="1">
      <formula>$A$14="die inkorrekten und unvollständigen Einträge beheben"</formula>
    </cfRule>
  </conditionalFormatting>
  <conditionalFormatting sqref="B23:B29">
    <cfRule type="expression" dxfId="39" priority="3091" stopIfTrue="1">
      <formula>OR(A23="nicht relevant",A23="EZ")</formula>
    </cfRule>
  </conditionalFormatting>
  <conditionalFormatting sqref="C23:C29">
    <cfRule type="cellIs" dxfId="38" priority="3658" stopIfTrue="1" operator="lessThan">
      <formula>$H$92</formula>
    </cfRule>
  </conditionalFormatting>
  <conditionalFormatting sqref="C23:N29">
    <cfRule type="expression" dxfId="37" priority="1" stopIfTrue="1">
      <formula>OR($A23="nicht relevant",$A23="EZ")</formula>
    </cfRule>
  </conditionalFormatting>
  <conditionalFormatting sqref="O23:O27">
    <cfRule type="expression" dxfId="36" priority="3648" stopIfTrue="1">
      <formula>LEN(TRIM(O23))=0</formula>
    </cfRule>
    <cfRule type="cellIs" dxfId="35" priority="3649" stopIfTrue="1" operator="greaterThan">
      <formula>$C23-$M23-$L23</formula>
    </cfRule>
  </conditionalFormatting>
  <conditionalFormatting sqref="O23:S27">
    <cfRule type="expression" dxfId="34" priority="13" stopIfTrue="1">
      <formula>OR($A23="nicht relevant",$A23="EZ")</formula>
    </cfRule>
  </conditionalFormatting>
  <conditionalFormatting sqref="P23:R27 D23:M29">
    <cfRule type="expression" dxfId="33" priority="3143" stopIfTrue="1">
      <formula>LEN(TRIM(D23))=0</formula>
    </cfRule>
  </conditionalFormatting>
  <conditionalFormatting sqref="S23:S24">
    <cfRule type="expression" dxfId="32" priority="14" stopIfTrue="1">
      <formula>LEN(TRIM(S23))=0</formula>
    </cfRule>
  </conditionalFormatting>
  <conditionalFormatting sqref="S24:S27">
    <cfRule type="cellIs" dxfId="31" priority="3661" stopIfTrue="1" operator="between">
      <formula>$H$94</formula>
      <formula>$J$94</formula>
    </cfRule>
  </conditionalFormatting>
  <conditionalFormatting sqref="S25:S27">
    <cfRule type="expression" dxfId="30" priority="3660" stopIfTrue="1">
      <formula>LEN(TRIM(S25))=0</formula>
    </cfRule>
  </conditionalFormatting>
  <conditionalFormatting sqref="S31">
    <cfRule type="cellIs" priority="3386" stopIfTrue="1" operator="equal">
      <formula>"---"</formula>
    </cfRule>
    <cfRule type="cellIs" dxfId="29" priority="3387" stopIfTrue="1" operator="between">
      <formula>$I$96</formula>
      <formula>$J$96</formula>
    </cfRule>
    <cfRule type="cellIs" dxfId="28" priority="3388" stopIfTrue="1" operator="between">
      <formula>$H$95</formula>
      <formula>$J$95</formula>
    </cfRule>
  </conditionalFormatting>
  <conditionalFormatting sqref="U23:U27">
    <cfRule type="cellIs" dxfId="27" priority="3149" stopIfTrue="1" operator="lessThan">
      <formula>0</formula>
    </cfRule>
  </conditionalFormatting>
  <conditionalFormatting sqref="U23:AC27">
    <cfRule type="expression" dxfId="26" priority="26" stopIfTrue="1">
      <formula>OR($A23="nicht relevant",$A23="EZ")</formula>
    </cfRule>
  </conditionalFormatting>
  <conditionalFormatting sqref="W23:AC27">
    <cfRule type="expression" dxfId="25" priority="27" stopIfTrue="1">
      <formula>LEN(TRIM(W23))=0</formula>
    </cfRule>
  </conditionalFormatting>
  <conditionalFormatting sqref="X23:Z27">
    <cfRule type="cellIs" dxfId="24" priority="3652" stopIfTrue="1" operator="greaterThan">
      <formula>$W23</formula>
    </cfRule>
  </conditionalFormatting>
  <conditionalFormatting sqref="AE23:AE27 V23:V27">
    <cfRule type="cellIs" dxfId="23" priority="3654" stopIfTrue="1" operator="between">
      <formula>$H$90</formula>
      <formula>$J$90</formula>
    </cfRule>
  </conditionalFormatting>
  <conditionalFormatting sqref="AE23:AE27">
    <cfRule type="expression" dxfId="22" priority="3653" stopIfTrue="1">
      <formula>OR($A23="nicht relevant",$A23="EZ")</formula>
    </cfRule>
  </conditionalFormatting>
  <dataValidations count="12">
    <dataValidation type="whole" allowBlank="1" showInputMessage="1" showErrorMessage="1" errorTitle="Eingabefehler" error="Ganze Zahl zwischen 0 und 5000 eingeben." sqref="D23:M28" xr:uid="{00000000-0002-0000-0900-000000000000}">
      <formula1>0</formula1>
      <formula2>5000</formula2>
    </dataValidation>
    <dataValidation type="whole" operator="greaterThanOrEqual" allowBlank="1" showInputMessage="1" showErrorMessage="1" errorTitle="Error" error="Minuszahlen..." sqref="C23:C29" xr:uid="{00000000-0002-0000-0900-000001000000}">
      <formula1>0</formula1>
    </dataValidation>
    <dataValidation type="whole" errorStyle="information" allowBlank="1" showInputMessage="1" showErrorMessage="1" errorTitle="Ausfüllhinweis" error="Nur postive ganze Zahlen verwenden." sqref="N23:N29" xr:uid="{00000000-0002-0000-0900-000002000000}">
      <formula1>0</formula1>
      <formula2>5000</formula2>
    </dataValidation>
    <dataValidation type="decimal" allowBlank="1" showInputMessage="1" showErrorMessage="1" errorTitle="Aufüllhinweis" error="Nur Prozentwerte zwischen 0% und 100% können verwendet werden." sqref="AF23:AG27" xr:uid="{00000000-0002-0000-0900-000003000000}">
      <formula1>0</formula1>
      <formula2>1</formula2>
    </dataValidation>
    <dataValidation type="whole" showInputMessage="1" showErrorMessage="1" errorTitle="Eingabefehler" error="Eingabe kann nicht größer sein als Ereignisse Spalte W." sqref="X23:Z27" xr:uid="{00000000-0002-0000-0900-000004000000}">
      <formula1>0</formula1>
      <formula2>$W23</formula2>
    </dataValidation>
    <dataValidation type="whole" showInputMessage="1" showErrorMessage="1" errorTitle="Eingabefehler" error="Summe Spalten W+AA+AB+AC (Patienten mit Ereignisse) darf nicht größer als Summe Spalten P+Q (Patientenrückmeldungen) sein._x000a__x000a_" sqref="W23:W27" xr:uid="{00000000-0002-0000-0900-000005000000}">
      <formula1>0</formula1>
      <formula2>SUM($P23:$Q23)-$AA23-$AB23-$AC23</formula2>
    </dataValidation>
    <dataValidation type="whole" showInputMessage="1" showErrorMessage="1" errorTitle="Eingabefehler" error="Summe Spalten W+AA+AB+AC (Patienten mit Ereignisse) darf nicht größer als Summe Spalten P+Q (Patientenrückmeldungen) sein." sqref="AA23:AA27" xr:uid="{00000000-0002-0000-0900-000006000000}">
      <formula1>0</formula1>
      <formula2>SUM($P23:$Q23)-$W23-$AB23-$AC23</formula2>
    </dataValidation>
    <dataValidation type="whole" showInputMessage="1" showErrorMessage="1" errorTitle="Eingabefehler" error="Summe Spalten W+AA+AB+AC (Patienten mit Ereignisse) darf nicht größer als Summe Spalten P+Q (Patientenrückmeldungen) sein." sqref="AB23:AB27" xr:uid="{00000000-0002-0000-0900-000007000000}">
      <formula1>0</formula1>
      <formula2>SUM($P23:$Q23)-$AA23-$W23-$AC23</formula2>
    </dataValidation>
    <dataValidation type="whole" showInputMessage="1" showErrorMessage="1" errorTitle="Eingabefehler" error="Summe Spalten W+AA+AB+AC (Patienten mit Ereignisse) darf nicht größer als Summe Spalten P+Q (Patientenrückmeldungen) sein." sqref="AC23:AC27" xr:uid="{00000000-0002-0000-0900-000008000000}">
      <formula1>0</formula1>
      <formula2>SUM($P23:$Q23)-$AA23-$AB23-$W23</formula2>
    </dataValidation>
    <dataValidation type="whole" showInputMessage="1" showErrorMessage="1" errorTitle="Eingabefehler" error="Anzahl Pat. im Follow-Up zu hoch." sqref="P23:P27" xr:uid="{00000000-0002-0000-0900-000009000000}">
      <formula1>0</formula1>
      <formula2>$C23-$M23-$L23-Q23-R23</formula2>
    </dataValidation>
    <dataValidation type="whole" showInputMessage="1" showErrorMessage="1" errorTitle="Eingabefehler" error="Anzahl Pat. im Follow-Up zu hoch." sqref="Q23:Q27" xr:uid="{00000000-0002-0000-0900-00000A000000}">
      <formula1>0</formula1>
      <formula2>$C23-$L23-$M23-P23-R23</formula2>
    </dataValidation>
    <dataValidation type="whole" showInputMessage="1" showErrorMessage="1" errorTitle="Eingabefehler" error="Anzahl Pat. im Follow-Up zu hoch." sqref="R23:R27" xr:uid="{00000000-0002-0000-0900-00000B000000}">
      <formula1>0</formula1>
      <formula2>$C23-$L23-$M23-P23-Q23</formula2>
    </dataValidation>
  </dataValidations>
  <pageMargins left="0.39370078740157483" right="0.19685039370078741"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6"/>
  <dimension ref="A1:N25"/>
  <sheetViews>
    <sheetView showGridLines="0" zoomScaleNormal="100" zoomScaleSheetLayoutView="100" workbookViewId="0">
      <selection activeCell="D28" sqref="D28"/>
    </sheetView>
  </sheetViews>
  <sheetFormatPr defaultColWidth="9" defaultRowHeight="14.25" x14ac:dyDescent="0.2"/>
  <cols>
    <col min="1" max="1" width="14.140625" style="5" customWidth="1"/>
    <col min="2" max="2" width="26.5703125" style="5" customWidth="1"/>
    <col min="3" max="3" width="23" style="5" customWidth="1"/>
    <col min="4" max="4" width="21.42578125" style="5" customWidth="1"/>
    <col min="5" max="5" width="19.85546875" style="5" customWidth="1"/>
    <col min="6" max="6" width="19.140625" style="5" customWidth="1"/>
    <col min="7" max="7" width="12.7109375" style="5" customWidth="1"/>
    <col min="8" max="182" width="11.42578125" style="5" customWidth="1"/>
    <col min="183" max="16384" width="9" style="5"/>
  </cols>
  <sheetData>
    <row r="1" spans="1:14" ht="6.95" customHeight="1" x14ac:dyDescent="0.2">
      <c r="B1" s="29"/>
      <c r="E1" s="17"/>
    </row>
    <row r="2" spans="1:14" ht="15.95" customHeight="1" x14ac:dyDescent="0.2">
      <c r="A2" s="23" t="s">
        <v>503</v>
      </c>
      <c r="E2" s="17"/>
    </row>
    <row r="3" spans="1:14" ht="16.5" x14ac:dyDescent="0.25">
      <c r="A3" s="20" t="s">
        <v>308</v>
      </c>
      <c r="E3" s="17"/>
      <c r="F3" s="18"/>
    </row>
    <row r="4" spans="1:14" ht="16.5" x14ac:dyDescent="0.25">
      <c r="A4" s="20"/>
      <c r="J4" s="21"/>
    </row>
    <row r="5" spans="1:14" ht="15" customHeight="1" x14ac:dyDescent="0.2">
      <c r="D5" s="12"/>
      <c r="E5" s="12"/>
      <c r="F5" s="12"/>
      <c r="G5" s="12"/>
      <c r="H5" s="12"/>
      <c r="I5" s="12"/>
      <c r="J5" s="21"/>
    </row>
    <row r="6" spans="1:14" s="23" customFormat="1" ht="15" customHeight="1" x14ac:dyDescent="0.2">
      <c r="A6" s="26" t="s">
        <v>246</v>
      </c>
      <c r="B6" s="671" t="str">
        <f>IF('Basic Data'!C8=0,"",'Basic Data'!C8)</f>
        <v/>
      </c>
      <c r="C6" s="672"/>
      <c r="D6" s="672"/>
      <c r="E6" s="672"/>
      <c r="F6" s="673"/>
      <c r="G6" s="12"/>
      <c r="H6" s="12"/>
      <c r="J6" s="21"/>
      <c r="K6" s="21"/>
      <c r="L6" s="19"/>
      <c r="M6" s="21"/>
      <c r="N6" s="21"/>
    </row>
    <row r="7" spans="1:14" s="23" customFormat="1" ht="6.95" customHeight="1" x14ac:dyDescent="0.2">
      <c r="A7" s="7"/>
      <c r="C7" s="12"/>
      <c r="D7" s="12"/>
      <c r="E7" s="12"/>
      <c r="F7" s="12"/>
      <c r="G7" s="12"/>
      <c r="H7" s="12"/>
      <c r="J7" s="21"/>
      <c r="K7" s="21"/>
      <c r="L7" s="19"/>
      <c r="M7" s="21"/>
      <c r="N7" s="21"/>
    </row>
    <row r="8" spans="1:14" s="23" customFormat="1" ht="15" customHeight="1" x14ac:dyDescent="0.2">
      <c r="A8" s="26" t="s">
        <v>186</v>
      </c>
      <c r="B8" s="38" t="str">
        <f>IF('Basic Data'!C6=0,"",'Basic Data'!C6)</f>
        <v/>
      </c>
      <c r="D8" s="21"/>
      <c r="E8" s="168" t="s">
        <v>184</v>
      </c>
      <c r="F8" s="37" t="str">
        <f>IF('Basic Data'!L12=0,"",'Basic Data'!L12)</f>
        <v/>
      </c>
      <c r="H8" s="5"/>
      <c r="J8" s="21"/>
      <c r="K8" s="21"/>
      <c r="L8" s="19"/>
      <c r="M8" s="21"/>
      <c r="N8" s="21"/>
    </row>
    <row r="9" spans="1:14" s="23" customFormat="1" ht="8.25" customHeight="1" x14ac:dyDescent="0.2">
      <c r="B9" s="25"/>
      <c r="C9" s="5"/>
      <c r="E9" s="5"/>
      <c r="I9" s="14"/>
      <c r="J9" s="22"/>
      <c r="K9" s="22"/>
      <c r="L9" s="22"/>
      <c r="M9" s="22"/>
      <c r="N9" s="22"/>
    </row>
    <row r="10" spans="1:14" ht="6.75" customHeight="1" x14ac:dyDescent="0.2">
      <c r="I10" s="15"/>
      <c r="J10" s="30"/>
      <c r="K10" s="30"/>
      <c r="L10" s="30"/>
      <c r="M10" s="30"/>
      <c r="N10" s="30"/>
    </row>
    <row r="11" spans="1:14" s="150" customFormat="1" ht="17.25" customHeight="1" x14ac:dyDescent="0.25">
      <c r="A11" s="167" t="s">
        <v>201</v>
      </c>
    </row>
    <row r="12" spans="1:14" ht="13.5" customHeight="1" x14ac:dyDescent="0.2">
      <c r="A12" s="938" t="str">
        <f>IF(OR(A13="",A13="Matrix kann eingereicht werden"),"In Ordnung",IF(A13="die inkorrekten und unvollständigen Einträge beheben","Nicht in Ordnung"))</f>
        <v>In Ordnung</v>
      </c>
      <c r="B12" s="939"/>
      <c r="C12" s="39" t="s">
        <v>185</v>
      </c>
      <c r="D12" s="40" t="s">
        <v>34</v>
      </c>
      <c r="E12" s="47" t="s">
        <v>195</v>
      </c>
      <c r="F12" s="48" t="s">
        <v>5</v>
      </c>
    </row>
    <row r="13" spans="1:14" ht="21" customHeight="1" x14ac:dyDescent="0.2">
      <c r="A13" s="902" t="str">
        <f>Berechnung2!B6</f>
        <v/>
      </c>
      <c r="B13" s="904"/>
      <c r="C13" s="51">
        <f>Berechnung2!C6</f>
        <v>0</v>
      </c>
      <c r="D13" s="52">
        <f>Berechnung2!D6</f>
        <v>0</v>
      </c>
      <c r="E13" s="68">
        <f>Berechnung2!E6</f>
        <v>0</v>
      </c>
      <c r="F13" s="69">
        <f>Berechnung2!F6</f>
        <v>0</v>
      </c>
    </row>
    <row r="14" spans="1:14" s="23" customFormat="1" ht="10.5" customHeight="1" x14ac:dyDescent="0.2">
      <c r="B14" s="13"/>
      <c r="C14" s="13"/>
    </row>
    <row r="15" spans="1:14" ht="12.75" customHeight="1" x14ac:dyDescent="0.2">
      <c r="A15" s="943" t="s">
        <v>228</v>
      </c>
      <c r="B15" s="945" t="s">
        <v>128</v>
      </c>
      <c r="C15" s="946" t="s">
        <v>336</v>
      </c>
      <c r="D15" s="947"/>
      <c r="E15" s="947"/>
      <c r="F15" s="947"/>
      <c r="G15" s="948"/>
    </row>
    <row r="16" spans="1:14" ht="11.25" customHeight="1" x14ac:dyDescent="0.2">
      <c r="A16" s="944"/>
      <c r="B16" s="944"/>
      <c r="C16" s="947"/>
      <c r="D16" s="947"/>
      <c r="E16" s="947"/>
      <c r="F16" s="947"/>
      <c r="G16" s="948"/>
    </row>
    <row r="17" spans="1:7" ht="66" customHeight="1" x14ac:dyDescent="0.25">
      <c r="A17" s="31" t="str">
        <f>IF(ISERROR(Berechnung2!G15),"",Berechnung2!G15)</f>
        <v/>
      </c>
      <c r="B17" s="31" t="str">
        <f>IF(ISERROR(Berechnung2!H15),"",Berechnung2!H15)</f>
        <v/>
      </c>
      <c r="C17" s="940"/>
      <c r="D17" s="941"/>
      <c r="E17" s="941"/>
      <c r="F17" s="941"/>
      <c r="G17" s="942"/>
    </row>
    <row r="18" spans="1:7" ht="66" customHeight="1" x14ac:dyDescent="0.25">
      <c r="A18" s="31" t="str">
        <f>IF(ISERROR(Berechnung2!G16),"",Berechnung2!G16)</f>
        <v/>
      </c>
      <c r="B18" s="31" t="str">
        <f>IF(ISERROR(Berechnung2!H16),"",Berechnung2!H16)</f>
        <v/>
      </c>
      <c r="C18" s="940"/>
      <c r="D18" s="941"/>
      <c r="E18" s="941"/>
      <c r="F18" s="941"/>
      <c r="G18" s="942"/>
    </row>
    <row r="19" spans="1:7" ht="66" customHeight="1" x14ac:dyDescent="0.25">
      <c r="A19" s="31" t="str">
        <f>IF(ISERROR(Berechnung2!G17),"",Berechnung2!G17)</f>
        <v/>
      </c>
      <c r="B19" s="31" t="str">
        <f>IF(ISERROR(Berechnung2!H17),"",Berechnung2!H17)</f>
        <v/>
      </c>
      <c r="C19" s="940"/>
      <c r="D19" s="941"/>
      <c r="E19" s="941"/>
      <c r="F19" s="941"/>
      <c r="G19" s="942"/>
    </row>
    <row r="20" spans="1:7" ht="66" customHeight="1" x14ac:dyDescent="0.25">
      <c r="A20" s="31" t="str">
        <f>IF(ISERROR(Berechnung2!G18),"",Berechnung2!G18)</f>
        <v/>
      </c>
      <c r="B20" s="31" t="str">
        <f>IF(ISERROR(Berechnung2!H18),"",Berechnung2!H18)</f>
        <v/>
      </c>
      <c r="C20" s="940"/>
      <c r="D20" s="941"/>
      <c r="E20" s="941"/>
      <c r="F20" s="941"/>
      <c r="G20" s="942"/>
    </row>
    <row r="21" spans="1:7" ht="66" customHeight="1" x14ac:dyDescent="0.25">
      <c r="A21" s="31" t="str">
        <f>IF(ISERROR(Berechnung2!G19),"",Berechnung2!G19)</f>
        <v/>
      </c>
      <c r="B21" s="31" t="str">
        <f>IF(ISERROR(Berechnung2!H19),"",Berechnung2!H19)</f>
        <v/>
      </c>
      <c r="C21" s="940"/>
      <c r="D21" s="941"/>
      <c r="E21" s="941"/>
      <c r="F21" s="941"/>
      <c r="G21" s="942"/>
    </row>
    <row r="22" spans="1:7" ht="66" customHeight="1" x14ac:dyDescent="0.25">
      <c r="A22" s="31" t="str">
        <f>IF(ISERROR(Berechnung2!G20),"",Berechnung2!G20)</f>
        <v/>
      </c>
      <c r="B22" s="31" t="str">
        <f>IF(ISERROR(Berechnung2!H20),"",Berechnung2!H20)</f>
        <v/>
      </c>
      <c r="C22" s="940"/>
      <c r="D22" s="941"/>
      <c r="E22" s="941"/>
      <c r="F22" s="941"/>
      <c r="G22" s="942"/>
    </row>
    <row r="23" spans="1:7" ht="66" customHeight="1" x14ac:dyDescent="0.25">
      <c r="A23" s="31" t="str">
        <f>IF(ISERROR(Berechnung2!G21),"",Berechnung2!G21)</f>
        <v/>
      </c>
      <c r="B23" s="31" t="str">
        <f>IF(ISERROR(Berechnung2!H21),"",Berechnung2!H21)</f>
        <v/>
      </c>
      <c r="C23" s="940"/>
      <c r="D23" s="941"/>
      <c r="E23" s="941"/>
      <c r="F23" s="941"/>
      <c r="G23" s="942"/>
    </row>
    <row r="24" spans="1:7" ht="66" customHeight="1" x14ac:dyDescent="0.25">
      <c r="A24" s="31" t="str">
        <f>IF(ISERROR(Berechnung2!G22),"",Berechnung2!G22)</f>
        <v/>
      </c>
      <c r="B24" s="31" t="str">
        <f>IF(ISERROR(Berechnung2!H22),"",Berechnung2!H22)</f>
        <v/>
      </c>
      <c r="C24" s="940"/>
      <c r="D24" s="941"/>
      <c r="E24" s="941"/>
      <c r="F24" s="941"/>
      <c r="G24" s="942"/>
    </row>
    <row r="25" spans="1:7" ht="66" customHeight="1" x14ac:dyDescent="0.25">
      <c r="A25" s="31" t="str">
        <f>IF(ISERROR(Berechnung2!G23),"",Berechnung2!G23)</f>
        <v/>
      </c>
      <c r="B25" s="31" t="str">
        <f>IF(ISERROR(Berechnung2!H23),"",Berechnung2!H23)</f>
        <v/>
      </c>
      <c r="C25" s="940"/>
      <c r="D25" s="941"/>
      <c r="E25" s="941"/>
      <c r="F25" s="941"/>
      <c r="G25" s="942"/>
    </row>
  </sheetData>
  <sheetProtection selectLockedCells="1"/>
  <mergeCells count="15">
    <mergeCell ref="C25:G25"/>
    <mergeCell ref="C20:G20"/>
    <mergeCell ref="A15:A16"/>
    <mergeCell ref="B15:B16"/>
    <mergeCell ref="C15:G16"/>
    <mergeCell ref="C17:G17"/>
    <mergeCell ref="C18:G18"/>
    <mergeCell ref="C19:G19"/>
    <mergeCell ref="C22:G22"/>
    <mergeCell ref="C23:G23"/>
    <mergeCell ref="A12:B12"/>
    <mergeCell ref="A13:B13"/>
    <mergeCell ref="B6:F6"/>
    <mergeCell ref="C21:G21"/>
    <mergeCell ref="C24:G24"/>
  </mergeCells>
  <phoneticPr fontId="35" type="noConversion"/>
  <conditionalFormatting sqref="A12">
    <cfRule type="expression" dxfId="21" priority="2" stopIfTrue="1">
      <formula>$A$12="Nicht in Ordnung"</formula>
    </cfRule>
  </conditionalFormatting>
  <conditionalFormatting sqref="A13">
    <cfRule type="expression" dxfId="20" priority="1" stopIfTrue="1">
      <formula>$A$13="die inkorrekten und unvollständigen Einträge beheben"</formula>
    </cfRule>
  </conditionalFormatting>
  <conditionalFormatting sqref="B17:B25">
    <cfRule type="expression" dxfId="19" priority="2504" stopIfTrue="1">
      <formula>SEARCH("Unvollständig",$B17,1)</formula>
    </cfRule>
    <cfRule type="expression" dxfId="18" priority="2514" stopIfTrue="1">
      <formula>SEARCH($D$12,$B17,1)</formula>
    </cfRule>
    <cfRule type="expression" dxfId="17" priority="2515" stopIfTrue="1">
      <formula>SEARCH($C$12,$B17,1)</formula>
    </cfRule>
    <cfRule type="expression" dxfId="16" priority="2516" stopIfTrue="1">
      <formula>SEARCH($E$12,$B17,1)</formula>
    </cfRule>
  </conditionalFormatting>
  <conditionalFormatting sqref="C17:C25">
    <cfRule type="notContainsBlanks" dxfId="15" priority="7" stopIfTrue="1">
      <formula>LEN(TRIM(C17))&gt;0</formula>
    </cfRule>
    <cfRule type="expression" dxfId="14" priority="8" stopIfTrue="1">
      <formula>A17&lt;&gt;""</formula>
    </cfRule>
  </conditionalFormatting>
  <dataValidations count="1">
    <dataValidation type="textLength" allowBlank="1" showErrorMessage="1" errorTitle="Zeichenlänge" error="Minimal 30 Zeichen und max. 450 Zeichen." sqref="C17:G25" xr:uid="{00000000-0002-0000-0A00-000000000000}">
      <formula1>30</formula1>
      <formula2>450</formula2>
    </dataValidation>
  </dataValidations>
  <pageMargins left="0.39370078740157483" right="0.19685039370078741" top="0.59055118110236227" bottom="0.39370078740157483" header="0.11811023622047245" footer="0.11811023622047245"/>
  <pageSetup paperSize="9" orientation="landscape" r:id="rId1"/>
  <headerFooter>
    <oddFooter xml:space="preserve">&amp;L&amp;"Arial,Standard"&amp;7&amp;F&amp;C&amp;"Arial,Standard"&amp;7 © DKG  Alle Rechte vorbehalten&amp;R&amp;"Arial,Standard"&amp;7&amp;P       </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9"/>
  <dimension ref="A1:BK85"/>
  <sheetViews>
    <sheetView zoomScaleNormal="100" workbookViewId="0">
      <selection activeCell="D15" sqref="D15"/>
    </sheetView>
  </sheetViews>
  <sheetFormatPr defaultColWidth="9" defaultRowHeight="11.25" x14ac:dyDescent="0.25"/>
  <cols>
    <col min="1" max="1" width="20.7109375" style="75" customWidth="1"/>
    <col min="2" max="2" width="25.140625" style="75" customWidth="1"/>
    <col min="3" max="3" width="21.140625" style="75" customWidth="1"/>
    <col min="4" max="4" width="26.28515625" style="75" customWidth="1"/>
    <col min="5" max="5" width="23.42578125" style="75" customWidth="1"/>
    <col min="6" max="6" width="18.42578125" style="75" customWidth="1"/>
    <col min="7" max="7" width="27.140625" style="87" customWidth="1"/>
    <col min="8" max="8" width="26.7109375" style="81" customWidth="1"/>
    <col min="9" max="9" width="16.7109375" style="81" customWidth="1"/>
    <col min="10" max="10" width="43" style="75" customWidth="1"/>
    <col min="11" max="11" width="29.85546875" style="75" customWidth="1"/>
    <col min="12" max="12" width="32.85546875" style="75" customWidth="1"/>
    <col min="13" max="13" width="30.28515625" style="75" customWidth="1"/>
    <col min="14" max="14" width="24.42578125" style="75" customWidth="1"/>
    <col min="15" max="15" width="14.7109375" style="75" customWidth="1"/>
    <col min="16" max="16" width="11.42578125" style="75" customWidth="1"/>
    <col min="17" max="17" width="27.140625" style="75" customWidth="1"/>
    <col min="18" max="18" width="27.5703125" style="75" customWidth="1"/>
    <col min="19" max="19" width="21.7109375" style="75" customWidth="1"/>
    <col min="20" max="20" width="19.7109375" style="75" customWidth="1"/>
    <col min="21" max="21" width="18.7109375" style="75" customWidth="1"/>
    <col min="22" max="160" width="11.42578125" style="75" customWidth="1"/>
    <col min="161" max="16384" width="9" style="75"/>
  </cols>
  <sheetData>
    <row r="1" spans="1:63" x14ac:dyDescent="0.25">
      <c r="G1" s="75"/>
      <c r="H1" s="75"/>
      <c r="I1" s="75"/>
    </row>
    <row r="2" spans="1:63" ht="12.75" customHeight="1" x14ac:dyDescent="0.25">
      <c r="A2" s="86" t="s">
        <v>201</v>
      </c>
      <c r="G2" s="75"/>
      <c r="H2" s="75"/>
      <c r="I2" s="75"/>
      <c r="AI2" s="81"/>
      <c r="BJ2" s="87"/>
    </row>
    <row r="3" spans="1:63" ht="14.25" customHeight="1" x14ac:dyDescent="0.25">
      <c r="AI3" s="81"/>
      <c r="BJ3" s="87"/>
    </row>
    <row r="4" spans="1:63" x14ac:dyDescent="0.25">
      <c r="G4" s="75"/>
      <c r="H4" s="75"/>
      <c r="I4" s="75"/>
      <c r="AI4" s="81"/>
      <c r="BJ4" s="87"/>
    </row>
    <row r="5" spans="1:63" ht="15" customHeight="1" x14ac:dyDescent="0.25">
      <c r="B5" s="76" t="s">
        <v>194</v>
      </c>
      <c r="C5" s="77" t="s">
        <v>185</v>
      </c>
      <c r="D5" s="78" t="s">
        <v>34</v>
      </c>
      <c r="E5" s="79" t="s">
        <v>195</v>
      </c>
      <c r="F5" s="80" t="s">
        <v>196</v>
      </c>
      <c r="G5" s="75"/>
      <c r="H5" s="75"/>
      <c r="I5" s="75"/>
      <c r="AI5" s="81"/>
      <c r="BI5" s="60"/>
    </row>
    <row r="6" spans="1:63" x14ac:dyDescent="0.25">
      <c r="B6" s="122" t="str">
        <f>IF(AND(E6=0,F6=0,Berechnung3!A7="relevant"),B8,IF(OR(Berechnung3!A7="nicht relevant",Berechnung3!A7="EZ"),"",B9))</f>
        <v/>
      </c>
      <c r="C6" s="82">
        <f>Berechnung3!J57</f>
        <v>0</v>
      </c>
      <c r="D6" s="83">
        <f>Berechnung3!J58</f>
        <v>0</v>
      </c>
      <c r="E6" s="84">
        <f>Berechnung3!J56</f>
        <v>0</v>
      </c>
      <c r="F6" s="85">
        <f>Berechnung3!J55</f>
        <v>0</v>
      </c>
      <c r="G6" s="75"/>
      <c r="H6" s="75"/>
      <c r="I6" s="75"/>
      <c r="AI6" s="81"/>
    </row>
    <row r="7" spans="1:63" x14ac:dyDescent="0.25">
      <c r="G7" s="75"/>
      <c r="H7" s="75"/>
      <c r="I7" s="75"/>
      <c r="AI7" s="81"/>
    </row>
    <row r="8" spans="1:63" x14ac:dyDescent="0.25">
      <c r="A8" s="86" t="s">
        <v>266</v>
      </c>
      <c r="B8" s="75" t="s">
        <v>252</v>
      </c>
      <c r="G8" s="75"/>
      <c r="H8" s="75"/>
      <c r="I8" s="75"/>
      <c r="AI8" s="81"/>
    </row>
    <row r="9" spans="1:63" x14ac:dyDescent="0.25">
      <c r="B9" s="75" t="s">
        <v>28</v>
      </c>
      <c r="G9" s="75"/>
      <c r="H9" s="75"/>
      <c r="I9" s="75"/>
      <c r="AI9" s="81"/>
    </row>
    <row r="10" spans="1:63" x14ac:dyDescent="0.25">
      <c r="G10" s="75"/>
      <c r="H10" s="75"/>
      <c r="I10" s="75"/>
      <c r="AI10" s="81"/>
    </row>
    <row r="11" spans="1:63" x14ac:dyDescent="0.25">
      <c r="A11" s="81"/>
      <c r="B11" s="86" t="s">
        <v>227</v>
      </c>
      <c r="G11" s="75"/>
      <c r="H11" s="75"/>
      <c r="I11" s="75"/>
      <c r="AI11" s="81"/>
    </row>
    <row r="12" spans="1:63" x14ac:dyDescent="0.25">
      <c r="A12" s="81"/>
      <c r="G12" s="75"/>
      <c r="H12" s="75"/>
      <c r="I12" s="75"/>
      <c r="AI12" s="81"/>
    </row>
    <row r="13" spans="1:63" x14ac:dyDescent="0.25">
      <c r="A13" s="81"/>
      <c r="B13" s="949" t="s">
        <v>213</v>
      </c>
      <c r="C13" s="951" t="s">
        <v>229</v>
      </c>
      <c r="D13" s="883" t="s">
        <v>212</v>
      </c>
      <c r="E13" s="883" t="s">
        <v>351</v>
      </c>
      <c r="G13" s="75"/>
      <c r="H13" s="75"/>
      <c r="I13" s="75"/>
      <c r="AJ13" s="81"/>
    </row>
    <row r="14" spans="1:63" x14ac:dyDescent="0.25">
      <c r="A14" s="81"/>
      <c r="B14" s="950"/>
      <c r="C14" s="952"/>
      <c r="D14" s="883"/>
      <c r="E14" s="883"/>
      <c r="G14" s="89"/>
      <c r="H14" s="89"/>
      <c r="I14" s="92" t="s">
        <v>351</v>
      </c>
      <c r="J14" s="92" t="s">
        <v>352</v>
      </c>
      <c r="AJ14" s="81"/>
    </row>
    <row r="15" spans="1:63" ht="50.1" customHeight="1" x14ac:dyDescent="0.25">
      <c r="A15" s="60" t="s">
        <v>226</v>
      </c>
      <c r="B15" s="31" t="str">
        <f>CONCATENATE(IF(Berechnung3!$H$2=Berechnung2!$L$56,Berechnung3!$B$2,""),IF(Berechnung3!$H$3=Berechnung2!$L$56,Berechnung3!$B$3,""),IF(Berechnung3!$H$4=Berechnung2!$L$56,Berechnung3!$B$4,""),IF(Berechnung3!$H$5=Berechnung2!$L$56,Berechnung3!$B$5,""),IF(Berechnung3!$H$6=Berechnung2!$L$56,Berechnung3!$B$6,""),IF(Berechnung3!$H$7=Berechnung2!$L$56,Berechnung3!$B$7,""),IF(Berechnung3!$H$8=Berechnung2!$L$56,Berechnung3!$B$8,""))</f>
        <v/>
      </c>
      <c r="C15" s="31">
        <f>IF(LEN(B15)&gt;0,"X",0)</f>
        <v>0</v>
      </c>
      <c r="D15" s="31" t="str">
        <f>IF(COUNTIF(Berechnung3!$H$2:$H$8,Berechnung2!$L$56)&gt;0,CONCATENATE(Berechnung1!$F$5,"                                                  ",Berechnung2!$L$56),"")</f>
        <v/>
      </c>
      <c r="E15" s="31" t="str">
        <f>IF(COUNTIF(Berechnung3!$H$2:$H$7,Berechnung2!$L$56)&gt;0,"a","")</f>
        <v/>
      </c>
      <c r="G15" s="90" t="e">
        <f t="array" ref="G15">INDEX(B:B,SMALL(IF($C$15:$C$26="X",ROW($15:$26)),1))</f>
        <v>#NUM!</v>
      </c>
      <c r="H15" s="123" t="e">
        <f t="array" ref="H15">INDEX(D:D,SMALL(IF($C$15:$C$26="X",ROW($15:$26)),1))</f>
        <v>#NUM!</v>
      </c>
      <c r="I15" s="94" t="e">
        <f t="array" ref="I15">INDEX(E:E,SMALL(IF($C$15:$C$26="X",ROW($15:$26)),1))</f>
        <v>#NUM!</v>
      </c>
      <c r="J15" s="104" t="e">
        <f>IF(AND(Datendefizite_Matrix!C17="",I15&lt;&gt;""),"Anmerkung OnkoZert : Keine Erläuterung vorhanden",Datendefizite_Matrix!C17)</f>
        <v>#NUM!</v>
      </c>
      <c r="AJ15" s="81"/>
    </row>
    <row r="16" spans="1:63" ht="50.1" customHeight="1" x14ac:dyDescent="0.25">
      <c r="A16" s="60" t="s">
        <v>231</v>
      </c>
      <c r="B16" s="31" t="str">
        <f>CONCATENATE(IF(Berechnung3!$H$9=Berechnung2!$L$60,Berechnung3!$B$2,""),IF(Berechnung3!$H$10=Berechnung2!$L$60,Berechnung3!$B$3,""),IF(Berechnung3!$H$11=Berechnung2!$L$60,Berechnung3!$B$4,""),IF(Berechnung3!$H$12=Berechnung2!$L$60,Berechnung3!$B$5,""),IF(Berechnung3!$H$13=Berechnung2!$L$60,Berechnung3!$B$6,""))</f>
        <v/>
      </c>
      <c r="C16" s="31">
        <f>IF(LEN(B16)&gt;0,"X",0)</f>
        <v>0</v>
      </c>
      <c r="D16" s="31" t="str">
        <f>IF(COUNTIF(Berechnung3!$H$9:$H$13,Berechnung2!$L$60)&gt;0,CONCATENATE(Berechnung1!$G$5,"                                                                      ",Berechnung2!$L$60),"")</f>
        <v/>
      </c>
      <c r="E16" s="31" t="str">
        <f>IF(COUNTIF(Berechnung3!$H$9:$H$13,Berechnung2!$L$60)&gt;0,"b","")</f>
        <v/>
      </c>
      <c r="G16" s="90" t="e">
        <f t="array" ref="G16">INDEX(B:B,SMALL(IF($C$15:$C$26="X",ROW($15:$26)),2))</f>
        <v>#NUM!</v>
      </c>
      <c r="H16" s="123" t="e">
        <f t="array" ref="H16">INDEX(D:D,SMALL(IF($C$15:$C$26="X",ROW($15:$26)),2))</f>
        <v>#NUM!</v>
      </c>
      <c r="I16" s="94" t="e">
        <f t="array" ref="I16">INDEX(E:E,SMALL(IF($C$15:$C$26="X",ROW($15:$26)),2))</f>
        <v>#NUM!</v>
      </c>
      <c r="J16" s="104" t="e">
        <f>IF(AND(Datendefizite_Matrix!C18="",I16&lt;&gt;""),"Anmerkung OnkoZert : Keine Erläuterung vorhanden",Datendefizite_Matrix!C18)</f>
        <v>#NUM!</v>
      </c>
      <c r="AJ16" s="81"/>
      <c r="BK16" s="88"/>
    </row>
    <row r="17" spans="1:63" ht="50.1" customHeight="1" x14ac:dyDescent="0.25">
      <c r="A17" s="60" t="s">
        <v>232</v>
      </c>
      <c r="B17" s="31" t="str">
        <f>CONCATENATE(IF(Berechnung3!$H$14=Berechnung2!$L$66,Berechnung3!$B$2,""),IF(Berechnung3!$H$15=Berechnung2!$L$66,Berechnung3!$B$3,""),IF(Berechnung3!$H$16=Berechnung2!$L$66,Berechnung3!$B$4,""),IF(Berechnung3!$H$17=Berechnung2!$L$66,Berechnung3!$B$5,""),IF(Berechnung3!$H$18=Berechnung2!$L$66,Berechnung3!$B$6,""))</f>
        <v/>
      </c>
      <c r="C17" s="31">
        <f>IF(LEN(B17)&gt;0,"X",0)</f>
        <v>0</v>
      </c>
      <c r="D17" s="31" t="str">
        <f>IF(COUNTIF(Berechnung3!$H$14:$H$18,Berechnung2!$L$66)&gt;0,CONCATENATE(Berechnung1!$G$5,"                                                                ",Berechnung2!$L$66),"")</f>
        <v/>
      </c>
      <c r="E17" s="31" t="str">
        <f>IF(COUNTIF(Berechnung3!$H$14:$H$18,Berechnung2!$L$66)&gt;0,"c","")</f>
        <v/>
      </c>
      <c r="G17" s="90" t="e">
        <f t="array" ref="G17">INDEX(B:B,SMALL(IF($C$15:$C$26="X",ROW($15:$26)),3))</f>
        <v>#NUM!</v>
      </c>
      <c r="H17" s="123" t="e">
        <f t="array" ref="H17">INDEX(D:D,SMALL(IF($C$15:$C$26="X",ROW($15:$26)),3))</f>
        <v>#NUM!</v>
      </c>
      <c r="I17" s="94" t="e">
        <f t="array" ref="I17">INDEX(E:E,SMALL(IF($C$15:$C$26="X",ROW($15:$26)),3))</f>
        <v>#NUM!</v>
      </c>
      <c r="J17" s="104" t="e">
        <f>IF(AND(Datendefizite_Matrix!C19="",I17&lt;&gt;""),"Anmerkung OnkoZert : Keine Erläuterung vorhanden",Datendefizite_Matrix!C19)</f>
        <v>#NUM!</v>
      </c>
      <c r="AJ17" s="81"/>
    </row>
    <row r="18" spans="1:63" ht="50.1" customHeight="1" x14ac:dyDescent="0.25">
      <c r="A18" s="60" t="s">
        <v>230</v>
      </c>
      <c r="B18" s="31" t="str">
        <f>CONCATENATE(IF(Berechnung3!$H$19=Berechnung2!$L$64,Berechnung3!$B$2,""),IF(Berechnung3!$H$20=Berechnung2!$L$64,Berechnung3!$B$3,""),IF(Berechnung3!$H$21=Berechnung2!$L$64,Berechnung3!$B$4,""),IF(Berechnung3!$H$22=Berechnung2!$L$64,Berechnung3!$B$5,""),IF(Berechnung3!$H$23=Berechnung2!$L$64,Berechnung3!$B$6,""))</f>
        <v/>
      </c>
      <c r="C18" s="31">
        <f>IF(LEN(B18)&gt;0,"X",0)</f>
        <v>0</v>
      </c>
      <c r="D18" s="31" t="str">
        <f>IF(COUNTIF(Berechnung3!$H$19:$H$23,Berechnung2!$L$64)&gt;0,CONCATENATE(Berechnung1!$G$5,"                                                                  ",Berechnung2!$L$64),"")</f>
        <v/>
      </c>
      <c r="E18" s="31" t="str">
        <f>IF(COUNTIF(Berechnung3!$H$19:$H$23,Berechnung2!$L$64)&gt;0,"d","")</f>
        <v/>
      </c>
      <c r="G18" s="90" t="e">
        <f t="array" ref="G18">INDEX(B:B,SMALL(IF($C$15:$C$26="X",ROW($15:$26)),4))</f>
        <v>#NUM!</v>
      </c>
      <c r="H18" s="123" t="e">
        <f t="array" ref="H18">INDEX(D:D,SMALL(IF($C$15:$C$26="X",ROW($15:$26)),4))</f>
        <v>#NUM!</v>
      </c>
      <c r="I18" s="94" t="e">
        <f t="array" ref="I18">INDEX(E:E,SMALL(IF($C$15:$C$26="X",ROW($15:$26)),4))</f>
        <v>#NUM!</v>
      </c>
      <c r="J18" s="104" t="e">
        <f>IF(AND(Datendefizite_Matrix!C20="",I18&lt;&gt;""),"Anmerkung OnkoZert : Keine Erläuterung vorhanden",Datendefizite_Matrix!C20)</f>
        <v>#NUM!</v>
      </c>
      <c r="AJ18" s="81"/>
      <c r="BK18" s="87"/>
    </row>
    <row r="19" spans="1:63" ht="49.5" customHeight="1" x14ac:dyDescent="0.25">
      <c r="A19" s="60" t="s">
        <v>30</v>
      </c>
      <c r="B19" s="31" t="s">
        <v>499</v>
      </c>
      <c r="C19" s="31">
        <f>IF(LEN(D19)&gt;0,"X",0)</f>
        <v>0</v>
      </c>
      <c r="D19" s="31" t="str">
        <f>IF(COUNTIF(Berechnung3!$H$24,Berechnung2!$L$62)&gt;0,CONCATENATE(Berechnung1!$E$5,"                                     ",Berechnung2!$L$62),"")</f>
        <v/>
      </c>
      <c r="E19" s="31" t="str">
        <f>IF(COUNTIF(Berechnung3!$H$24,Berechnung2!$L$62)&gt;0,"e","")</f>
        <v/>
      </c>
      <c r="G19" s="90" t="e">
        <f t="array" ref="G19">INDEX(B:B,SMALL(IF($C$15:$C$26="X",ROW($15:$26)),5))</f>
        <v>#NUM!</v>
      </c>
      <c r="H19" s="123" t="e">
        <f t="array" ref="H19">INDEX(D:D,SMALL(IF($C$15:$C$26="X",ROW($15:$26)),5))</f>
        <v>#NUM!</v>
      </c>
      <c r="I19" s="94" t="e">
        <f t="array" ref="I19">INDEX(E:E,SMALL(IF($C$15:$C$26="X",ROW($15:$26)),5))</f>
        <v>#NUM!</v>
      </c>
      <c r="J19" s="104" t="e">
        <f>IF(AND(Datendefizite_Matrix!C21="",I19&lt;&gt;""),"Anmerkung OnkoZert : Keine Erläuterung vorhanden",Datendefizite_Matrix!C21)</f>
        <v>#NUM!</v>
      </c>
    </row>
    <row r="20" spans="1:63" ht="50.1" customHeight="1" x14ac:dyDescent="0.25">
      <c r="A20" s="60" t="s">
        <v>233</v>
      </c>
      <c r="B20" s="31" t="str">
        <f>CONCATENATE(IF(Berechnung3!$H$25=Berechnung2!$L$59,Berechnung3!$B$2,""),IF(Berechnung3!$H$26=Berechnung2!$L$59,Berechnung3!$B$3,""),IF(Berechnung3!$H$27=Berechnung2!$L$59,Berechnung3!$B$4,""),IF(Berechnung3!$H$28=Berechnung2!$L$59,Berechnung3!$B$5,""),IF(Berechnung3!$H$29=Berechnung2!$L$59,Berechnung3!$B$6,""),IF(Berechnung3!$H$31=Berechnung2!$L$59,Berechnung3!$B$7,""))</f>
        <v/>
      </c>
      <c r="C20" s="31">
        <f>IF(LEN(B20)&gt;0,"X",0)</f>
        <v>0</v>
      </c>
      <c r="D20" s="31" t="str">
        <f>IF(COUNTIF(Berechnung3!$H$25:$H$31,Berechnung2!$L$59)&gt;0,CONCATENATE(Berechnung1!$D$4,"                                     ",Berechnung2!$L$59),"")</f>
        <v/>
      </c>
      <c r="E20" s="31" t="str">
        <f>IF(COUNTIF(Berechnung3!$H$25:$H$31,Berechnung2!$L$59)&gt;0,"f","")</f>
        <v/>
      </c>
      <c r="G20" s="90" t="e">
        <f t="array" ref="G20">INDEX(B:B,SMALL(IF($C$15:$C$26="X",ROW($15:$26)),6))</f>
        <v>#NUM!</v>
      </c>
      <c r="H20" s="123" t="e">
        <f t="array" ref="H20">INDEX(D:D,SMALL(IF($C$15:$C$26="X",ROW($15:$26)),6))</f>
        <v>#NUM!</v>
      </c>
      <c r="I20" s="94" t="e">
        <f t="array" ref="I20">INDEX(E:E,SMALL(IF($C$15:$C$26="X",ROW($15:$26)),6))</f>
        <v>#NUM!</v>
      </c>
      <c r="J20" s="104" t="e">
        <f>IF(AND(Datendefizite_Matrix!C22="",I20&lt;&gt;""),"Anmerkung OnkoZert : Keine Erläuterung vorhanden",Datendefizite_Matrix!C22)</f>
        <v>#NUM!</v>
      </c>
    </row>
    <row r="21" spans="1:63" ht="50.1" customHeight="1" x14ac:dyDescent="0.25">
      <c r="A21" s="60" t="s">
        <v>231</v>
      </c>
      <c r="B21" s="31" t="s">
        <v>499</v>
      </c>
      <c r="C21" s="31">
        <f>IF(LEN(D21)&gt;0,"X",0)</f>
        <v>0</v>
      </c>
      <c r="D21" s="31" t="str">
        <f>IF(COUNTIF(Berechnung3!$H$32,Berechnung2!$L$63)&gt;0,CONCATENATE(Berechnung2!$C$5,"                                     ",Berechnung2!$L$63),"")</f>
        <v/>
      </c>
      <c r="E21" s="31" t="str">
        <f>IF(COUNTIF(Berechnung3!$H$32,Berechnung2!$L$63)&gt;0,"g","")</f>
        <v/>
      </c>
      <c r="G21" s="90" t="e">
        <f t="array" ref="G21">INDEX(B:B,SMALL(IF($C$15:$C$26="X",ROW($15:$26)),7))</f>
        <v>#NUM!</v>
      </c>
      <c r="H21" s="123" t="e">
        <f t="array" ref="H21">INDEX(D:D,SMALL(IF($C$15:$C$26="X",ROW($15:$26)),7))</f>
        <v>#NUM!</v>
      </c>
      <c r="I21" s="94" t="e">
        <f t="array" ref="I21">INDEX(E:E,SMALL(IF($C$15:$C$26="X",ROW($15:$26)),7))</f>
        <v>#NUM!</v>
      </c>
      <c r="J21" s="104" t="e">
        <f>IF(AND(Datendefizite_Matrix!C23="",I21&lt;&gt;""),"Anmerkung OnkoZert : Keine Erläuterung vorhanden",Datendefizite_Matrix!C23)</f>
        <v>#NUM!</v>
      </c>
    </row>
    <row r="22" spans="1:63" ht="50.1" customHeight="1" x14ac:dyDescent="0.25">
      <c r="A22" s="60" t="s">
        <v>234</v>
      </c>
      <c r="B22" s="31" t="str">
        <f>CONCATENATE(IF(Berechnung3!$H$33=Berechnung2!$L$61,Berechnung3!$B$2,""),IF(Berechnung3!$H$34=Berechnung2!$L$61,Berechnung3!$B$3,""),IF(Berechnung3!$H$35=Berechnung2!$L$61,Berechnung3!$B$4,""),IF(Berechnung3!$H$36=Berechnung2!$L$61,Berechnung3!$B$5,""),IF(Berechnung3!$H$37=Berechnung2!$L$61,Berechnung3!$B$6,""))</f>
        <v/>
      </c>
      <c r="C22" s="31">
        <f>IF(LEN(B22)&gt;0,"X",0)</f>
        <v>0</v>
      </c>
      <c r="D22" s="31" t="str">
        <f>IF(COUNTIF(Berechnung3!H33:H37,Berechnung2!$L$61)&gt;0,CONCATENATE(Berechnung1!$D$4,"                                     ",Berechnung2!$L$61),"")</f>
        <v/>
      </c>
      <c r="E22" s="31" t="str">
        <f>IF(COUNTIF(Berechnung3!H33:H37,Berechnung2!$L$61)&gt;0,"h","")</f>
        <v/>
      </c>
      <c r="G22" s="90" t="e">
        <f t="array" ref="G22">INDEX(B:B,SMALL(IF($C$15:$C$26="X",ROW($15:$26)),8))</f>
        <v>#NUM!</v>
      </c>
      <c r="H22" s="123" t="e">
        <f t="array" ref="H22">INDEX(D:D,SMALL(IF($C$15:$C$26="X",ROW($15:$26)),8))</f>
        <v>#NUM!</v>
      </c>
      <c r="I22" s="94" t="e">
        <f t="array" ref="I22">INDEX(E:E,SMALL(IF($C$15:$C$26="X",ROW($15:$26)),8))</f>
        <v>#NUM!</v>
      </c>
      <c r="J22" s="104" t="e">
        <f>IF(AND(Datendefizite_Matrix!C24="",I22&lt;&gt;""),"Anmerkung OnkoZert : Keine Erläuterung vorhanden",Datendefizite_Matrix!C24)</f>
        <v>#NUM!</v>
      </c>
    </row>
    <row r="23" spans="1:63" ht="50.1" customHeight="1" x14ac:dyDescent="0.25">
      <c r="A23" s="60" t="s">
        <v>235</v>
      </c>
      <c r="B23" s="31" t="str">
        <f>CONCATENATE(IF(Berechnung3!$H$38=Berechnung2!$L$57,Berechnung3!$B$2,""),IF(Berechnung3!$H$39=Berechnung2!$L$57,Berechnung3!$B$3,""),IF(Berechnung3!$H$40=Berechnung2!$L$57,Berechnung3!$B$4,""),IF(Berechnung3!$H$41=Berechnung2!$L$57,Berechnung3!$B$5,""),IF(Berechnung3!$H$42=Berechnung2!$L$57,Berechnung3!$B$6,""))</f>
        <v/>
      </c>
      <c r="C23" s="31">
        <f>IF(LEN(B23)&gt;0,"X",0)</f>
        <v>0</v>
      </c>
      <c r="D23" s="31" t="str">
        <f>IF(COUNTIF(Berechnung3!$H$38:$H$42,Berechnung2!$L$57)&gt;0,CONCATENATE(Berechnung1!$D$4,"                                     ",Berechnung2!$L$57),"")</f>
        <v/>
      </c>
      <c r="E23" s="31" t="str">
        <f>IF(COUNTIF(Berechnung3!$H$38:$H$42,Berechnung2!$L$57)&gt;0,"i","")</f>
        <v/>
      </c>
      <c r="G23" s="90" t="e">
        <f t="array" ref="G23">INDEX(B:B,SMALL(IF($C$15:$C$26="X",ROW($15:$26)),9))</f>
        <v>#NUM!</v>
      </c>
      <c r="H23" s="123" t="e">
        <f t="array" ref="H23">INDEX(D:D,SMALL(IF($C$15:$C$26="X",ROW($15:$26)),9))</f>
        <v>#NUM!</v>
      </c>
      <c r="I23" s="94" t="e">
        <f t="array" ref="I23">INDEX(E:E,SMALL(IF($C$15:$C$26="X",ROW($15:$26)),9))</f>
        <v>#NUM!</v>
      </c>
      <c r="J23" s="104" t="e">
        <f>IF(AND(Datendefizite_Matrix!C25="",I23&lt;&gt;""),"Anmerkung OnkoZert : Keine Erläuterung vorhanden",Datendefizite_Matrix!C25)</f>
        <v>#NUM!</v>
      </c>
    </row>
    <row r="24" spans="1:63" ht="50.1" customHeight="1" x14ac:dyDescent="0.25">
      <c r="A24" s="60" t="s">
        <v>199</v>
      </c>
      <c r="B24" s="31" t="str">
        <f>CONCATENATE(IF(Berechnung3!$H$43=Berechnung2!$L$69,Berechnung3!$B$2,""),IF(Berechnung3!$H$44=Berechnung2!$L$69,Berechnung3!$B$3,""),IF(Berechnung3!$H$45=Berechnung2!$L$69,Berechnung3!$B$4,""),IF(Berechnung3!$H$46=Berechnung2!$L$69,Berechnung3!$B$5,""),IF(Berechnung3!$H$47=Berechnung2!$L$69,Berechnung3!$B$6,""))</f>
        <v/>
      </c>
      <c r="C24" s="31">
        <f>IF(LEN(B24)&gt;0,"X",0)</f>
        <v>0</v>
      </c>
      <c r="D24" s="31" t="str">
        <f>IF(COUNTIF(Berechnung3!$H$43:$H$47,Berechnung2!$L$68)&gt;0,CONCATENATE(Berechnung1!$D$4,"                       ",Berechnung2!$L$69),"")</f>
        <v/>
      </c>
      <c r="E24" s="31" t="str">
        <f>IF(COUNTIF(Berechnung3!$H$43:$H$47,Berechnung2!$L$68)&gt;0,"j","")</f>
        <v/>
      </c>
      <c r="G24" s="90" t="e">
        <f t="array" ref="G24">INDEX(B:B,SMALL(IF($C$15:$C$26="X",ROW($15:$26)),10))</f>
        <v>#NUM!</v>
      </c>
      <c r="H24" s="123" t="e">
        <f t="array" ref="H24">INDEX(D:D,SMALL(IF($C$15:$C$26="X",ROW($15:$26)),10))</f>
        <v>#NUM!</v>
      </c>
      <c r="I24" s="94" t="e">
        <f t="array" ref="I24">INDEX(E:E,SMALL(IF($C$15:$C$26="X",ROW($15:$26)),10))</f>
        <v>#NUM!</v>
      </c>
      <c r="J24" s="104" t="e">
        <f>IF(AND(Datendefizite_Matrix!C26="",I24&lt;&gt;""),"Anmerkung OnkoZert : Keine Erläuterung vorhanden",Datendefizite_Matrix!C26)</f>
        <v>#NUM!</v>
      </c>
    </row>
    <row r="25" spans="1:63" ht="50.1" customHeight="1" x14ac:dyDescent="0.25">
      <c r="A25" s="60" t="s">
        <v>127</v>
      </c>
      <c r="B25" s="31" t="str">
        <f>CONCATENATE(IF(Berechnung3!$H$48=Berechnung2!$L$78,Berechnung3!$B$2,""),IF(Berechnung3!$H$49=Berechnung2!$L$78,Berechnung3!$B$3,""),IF(Berechnung3!$H$50=Berechnung2!$L$78,Berechnung3!$B$4,""),IF(Berechnung3!$H$51=Berechnung2!$L$78,Berechnung3!$B$5,""),IF(Berechnung3!$H$52=Berechnung2!$L$78,Berechnung3!$B$6,""))</f>
        <v/>
      </c>
      <c r="C25" s="31">
        <f>IF(LEN(B25)&gt;0,"X",0)</f>
        <v>0</v>
      </c>
      <c r="D25" s="31" t="str">
        <f>IF(COUNTIF(Berechnung3!$H$48:$H$52,Berechnung2!$L$77)&gt;0,CONCATENATE(Berechnung1!$D$4,"                       ",Berechnung2!$L$77),"")</f>
        <v/>
      </c>
      <c r="E25" s="31" t="str">
        <f>IF(COUNTIF(Berechnung3!$H$48:$H$52,Berechnung2!$L$77)&gt;0,"k","")</f>
        <v/>
      </c>
      <c r="G25" s="90" t="e">
        <f t="array" ref="G25">INDEX(B:B,SMALL(IF($C$15:$C$26="X",ROW($15:$26)),11))</f>
        <v>#NUM!</v>
      </c>
      <c r="H25" s="123" t="e">
        <f t="array" ref="H25">INDEX(D:D,SMALL(IF($C$15:$C$26="X",ROW($15:$26)),11))</f>
        <v>#NUM!</v>
      </c>
      <c r="I25" s="94" t="e">
        <f t="array" ref="I25">INDEX(E:E,SMALL(IF($C$15:$C$26="X",ROW($15:$26)),11))</f>
        <v>#NUM!</v>
      </c>
      <c r="J25" s="104" t="e">
        <f>IF(AND(Datendefizite_Matrix!C27="",I25&lt;&gt;""),"Anmerkung OnkoZert : Keine Erläuterung vorhanden",Datendefizite_Matrix!C27)</f>
        <v>#NUM!</v>
      </c>
    </row>
    <row r="26" spans="1:63" ht="50.1" customHeight="1" x14ac:dyDescent="0.25">
      <c r="A26" s="60" t="s">
        <v>33</v>
      </c>
      <c r="B26" s="364" t="s">
        <v>458</v>
      </c>
      <c r="C26" s="31">
        <f>IF(LEN(D26)&gt;0,"X",0)</f>
        <v>0</v>
      </c>
      <c r="D26" s="31" t="str">
        <f>IF(COUNTIF(Berechnung3!$H$53,Berechnung2!$L$54),CONCATENATE(Berechnung2!$C$5,"                                     ",L54),"")</f>
        <v/>
      </c>
      <c r="E26" s="31" t="str">
        <f>IF(COUNTIF(Berechnung3!$H$53,Berechnung2!$L$54)&gt;0,"l","")</f>
        <v/>
      </c>
      <c r="G26" s="90" t="e">
        <f t="array" ref="G26">INDEX(B:B,SMALL(IF($C$15:$C$26="X",ROW($15:$26)),12))</f>
        <v>#NUM!</v>
      </c>
      <c r="H26" s="123" t="e">
        <f t="array" ref="H26">INDEX(D:D,SMALL(IF($C$15:$C$26="X",ROW($15:$26)),12))</f>
        <v>#NUM!</v>
      </c>
      <c r="I26" s="94" t="e">
        <f t="array" ref="I26">INDEX(E:E,SMALL(IF($C$15:$C$26="X",ROW($15:$26)),12))</f>
        <v>#NUM!</v>
      </c>
      <c r="J26" s="104" t="e">
        <f>IF(AND(Datendefizite_Matrix!C28="",I26&lt;&gt;""),"Anmerkung OnkoZert : Keine Erläuterung vorhanden",Datendefizite_Matrix!C28)</f>
        <v>#NUM!</v>
      </c>
    </row>
    <row r="27" spans="1:63" x14ac:dyDescent="0.25">
      <c r="G27" s="75"/>
      <c r="H27" s="75"/>
    </row>
    <row r="52" spans="1:16" s="91" customFormat="1" x14ac:dyDescent="0.25">
      <c r="B52" s="86" t="s">
        <v>210</v>
      </c>
    </row>
    <row r="53" spans="1:16" x14ac:dyDescent="0.25">
      <c r="A53" s="91"/>
      <c r="B53" s="92" t="s">
        <v>223</v>
      </c>
      <c r="C53" s="92"/>
      <c r="D53" s="92"/>
      <c r="E53" s="61"/>
      <c r="F53" s="62" t="s">
        <v>221</v>
      </c>
      <c r="G53" s="61"/>
      <c r="H53" s="61"/>
      <c r="I53" s="61"/>
      <c r="J53" s="63"/>
      <c r="K53" s="92"/>
      <c r="L53" s="92" t="s">
        <v>9</v>
      </c>
      <c r="M53" s="92"/>
      <c r="N53" s="92" t="s">
        <v>10</v>
      </c>
      <c r="O53" s="92"/>
      <c r="P53" s="91"/>
    </row>
    <row r="54" spans="1:16" x14ac:dyDescent="0.25">
      <c r="A54" s="91"/>
      <c r="B54" s="89" t="s">
        <v>321</v>
      </c>
      <c r="C54" s="92"/>
      <c r="D54" s="93" t="s">
        <v>224</v>
      </c>
      <c r="E54" s="61"/>
      <c r="F54" s="62"/>
      <c r="G54" s="61"/>
      <c r="H54" s="61"/>
      <c r="I54" s="61" t="s">
        <v>323</v>
      </c>
      <c r="J54" s="143">
        <f>SUM('Basic Data'!E40:J40)</f>
        <v>0</v>
      </c>
      <c r="K54" s="92"/>
      <c r="L54" s="215" t="s">
        <v>324</v>
      </c>
      <c r="M54" s="215"/>
      <c r="N54" s="89"/>
      <c r="O54" s="89"/>
      <c r="P54" s="91"/>
    </row>
    <row r="55" spans="1:16" x14ac:dyDescent="0.25">
      <c r="A55" s="91"/>
      <c r="B55" s="89" t="s">
        <v>322</v>
      </c>
      <c r="C55" s="92"/>
      <c r="D55" s="92"/>
      <c r="E55" s="61"/>
      <c r="F55" s="62"/>
      <c r="G55" s="61"/>
      <c r="H55" s="61"/>
      <c r="I55" s="61"/>
      <c r="J55" s="63"/>
      <c r="K55" s="92"/>
      <c r="L55" s="89"/>
      <c r="M55" s="89"/>
      <c r="N55" s="89" t="s">
        <v>263</v>
      </c>
      <c r="O55" s="89"/>
      <c r="P55" s="91"/>
    </row>
    <row r="56" spans="1:16" x14ac:dyDescent="0.25">
      <c r="B56" s="93" t="s">
        <v>316</v>
      </c>
      <c r="C56" s="93"/>
      <c r="D56" s="93" t="s">
        <v>226</v>
      </c>
      <c r="E56" s="64"/>
      <c r="F56" s="65"/>
      <c r="G56" s="64"/>
      <c r="H56" s="64"/>
      <c r="I56" s="64"/>
      <c r="J56" s="66"/>
      <c r="K56" s="64"/>
      <c r="L56" s="89" t="s">
        <v>316</v>
      </c>
      <c r="M56" s="89"/>
      <c r="N56" s="89"/>
      <c r="O56" s="89"/>
      <c r="P56" s="91"/>
    </row>
    <row r="57" spans="1:16" x14ac:dyDescent="0.25">
      <c r="B57" s="225" t="s">
        <v>209</v>
      </c>
      <c r="C57" s="226"/>
      <c r="D57" s="93" t="s">
        <v>224</v>
      </c>
      <c r="E57" s="227" t="s">
        <v>325</v>
      </c>
      <c r="F57" s="228">
        <v>-1</v>
      </c>
      <c r="G57" s="229">
        <v>-1</v>
      </c>
      <c r="H57" s="229">
        <v>-1</v>
      </c>
      <c r="I57" s="66">
        <v>-1</v>
      </c>
      <c r="J57" s="66">
        <v>-1</v>
      </c>
      <c r="K57" s="230"/>
      <c r="L57" s="231" t="s">
        <v>240</v>
      </c>
      <c r="M57" s="231"/>
      <c r="N57" s="232"/>
      <c r="O57" s="233"/>
      <c r="P57" s="91"/>
    </row>
    <row r="58" spans="1:16" x14ac:dyDescent="0.25">
      <c r="B58" s="93" t="s">
        <v>214</v>
      </c>
      <c r="C58" s="93"/>
      <c r="D58" s="93" t="s">
        <v>200</v>
      </c>
      <c r="E58" s="64" t="s">
        <v>205</v>
      </c>
      <c r="F58" s="67">
        <v>0</v>
      </c>
      <c r="G58" s="67">
        <v>0</v>
      </c>
      <c r="H58" s="67"/>
      <c r="I58" s="66"/>
      <c r="J58" s="66">
        <v>1</v>
      </c>
      <c r="K58" s="64"/>
      <c r="L58" s="89"/>
      <c r="M58" s="89"/>
      <c r="N58" s="89"/>
      <c r="O58" s="89"/>
      <c r="P58" s="91"/>
    </row>
    <row r="59" spans="1:16" x14ac:dyDescent="0.25">
      <c r="B59" s="93" t="s">
        <v>215</v>
      </c>
      <c r="C59" s="93"/>
      <c r="D59" s="93" t="s">
        <v>224</v>
      </c>
      <c r="E59" s="64" t="s">
        <v>206</v>
      </c>
      <c r="F59" s="66"/>
      <c r="G59" s="144">
        <v>-1</v>
      </c>
      <c r="H59" s="66"/>
      <c r="I59" s="66"/>
      <c r="J59" s="66"/>
      <c r="K59" s="64"/>
      <c r="L59" s="89" t="s">
        <v>241</v>
      </c>
      <c r="M59" s="89"/>
      <c r="N59" s="89"/>
      <c r="O59" s="89"/>
      <c r="P59" s="91"/>
    </row>
    <row r="60" spans="1:16" x14ac:dyDescent="0.25">
      <c r="B60" s="93" t="s">
        <v>216</v>
      </c>
      <c r="C60" s="93"/>
      <c r="D60" s="93" t="s">
        <v>200</v>
      </c>
      <c r="E60" s="64"/>
      <c r="F60" s="66"/>
      <c r="G60" s="66"/>
      <c r="H60" s="66"/>
      <c r="I60" s="66"/>
      <c r="J60" s="66"/>
      <c r="K60" s="64"/>
      <c r="L60" s="89" t="s">
        <v>320</v>
      </c>
      <c r="M60" s="89"/>
      <c r="N60" s="89" t="s">
        <v>24</v>
      </c>
      <c r="O60" s="89"/>
      <c r="P60" s="91"/>
    </row>
    <row r="61" spans="1:16" x14ac:dyDescent="0.25">
      <c r="B61" s="93" t="s">
        <v>326</v>
      </c>
      <c r="C61" s="93"/>
      <c r="D61" s="93" t="s">
        <v>224</v>
      </c>
      <c r="E61" s="64" t="s">
        <v>206</v>
      </c>
      <c r="F61" s="67">
        <v>0</v>
      </c>
      <c r="G61" s="67">
        <v>0</v>
      </c>
      <c r="H61" s="67"/>
      <c r="I61" s="66">
        <v>0.69999</v>
      </c>
      <c r="J61" s="66">
        <v>0.69999</v>
      </c>
      <c r="K61" s="64"/>
      <c r="L61" s="89" t="s">
        <v>318</v>
      </c>
      <c r="M61" s="89"/>
      <c r="O61" s="89"/>
      <c r="P61" s="91"/>
    </row>
    <row r="62" spans="1:16" x14ac:dyDescent="0.25">
      <c r="B62" s="89" t="s">
        <v>501</v>
      </c>
      <c r="C62" s="93"/>
      <c r="D62" s="93" t="s">
        <v>225</v>
      </c>
      <c r="E62" s="64" t="s">
        <v>206</v>
      </c>
      <c r="F62" s="67">
        <v>0</v>
      </c>
      <c r="G62" s="67">
        <v>0</v>
      </c>
      <c r="H62" s="67"/>
      <c r="I62" s="66">
        <v>0.79998999999999998</v>
      </c>
      <c r="J62" s="66">
        <v>0.79998999999999998</v>
      </c>
      <c r="K62" s="64"/>
      <c r="L62" s="89" t="s">
        <v>327</v>
      </c>
      <c r="M62" s="89"/>
      <c r="N62" s="89"/>
      <c r="O62" s="89"/>
      <c r="P62" s="91"/>
    </row>
    <row r="63" spans="1:16" x14ac:dyDescent="0.25">
      <c r="B63" s="89" t="s">
        <v>500</v>
      </c>
      <c r="C63" s="93"/>
      <c r="D63" s="93" t="s">
        <v>224</v>
      </c>
      <c r="E63" s="64" t="s">
        <v>205</v>
      </c>
      <c r="F63" s="66"/>
      <c r="G63" s="67">
        <v>0</v>
      </c>
      <c r="H63" s="67">
        <v>0.95001000000000002</v>
      </c>
      <c r="I63" s="66">
        <v>1</v>
      </c>
      <c r="J63" s="66">
        <v>0.95001000000000002</v>
      </c>
      <c r="K63" s="64"/>
      <c r="L63" s="89" t="s">
        <v>328</v>
      </c>
      <c r="M63" s="89"/>
      <c r="N63" s="89"/>
      <c r="O63" s="89"/>
      <c r="P63" s="91"/>
    </row>
    <row r="64" spans="1:16" x14ac:dyDescent="0.25">
      <c r="B64" s="93" t="s">
        <v>217</v>
      </c>
      <c r="C64" s="93"/>
      <c r="D64" s="93" t="s">
        <v>200</v>
      </c>
      <c r="E64" s="64"/>
      <c r="F64" s="64"/>
      <c r="G64" s="64"/>
      <c r="H64" s="64"/>
      <c r="I64" s="64"/>
      <c r="J64" s="66"/>
      <c r="K64" s="64"/>
      <c r="L64" s="216" t="s">
        <v>408</v>
      </c>
      <c r="M64" s="89"/>
      <c r="N64" s="216" t="s">
        <v>413</v>
      </c>
      <c r="O64" s="216"/>
      <c r="P64" s="91"/>
    </row>
    <row r="65" spans="1:18" x14ac:dyDescent="0.25">
      <c r="B65" s="93"/>
      <c r="C65" s="93"/>
      <c r="D65" s="93"/>
      <c r="E65" s="64"/>
      <c r="F65" s="64"/>
      <c r="G65" s="64"/>
      <c r="H65" s="64"/>
      <c r="I65" s="64"/>
      <c r="J65" s="66"/>
      <c r="K65" s="64"/>
      <c r="L65" s="89"/>
      <c r="M65" s="89"/>
      <c r="N65" s="89"/>
      <c r="O65" s="89"/>
      <c r="P65" s="91"/>
    </row>
    <row r="66" spans="1:18" x14ac:dyDescent="0.25">
      <c r="B66" s="93" t="s">
        <v>218</v>
      </c>
      <c r="C66" s="93"/>
      <c r="D66" s="93" t="s">
        <v>200</v>
      </c>
      <c r="E66" s="64" t="s">
        <v>206</v>
      </c>
      <c r="F66" s="64"/>
      <c r="G66" s="64">
        <v>0</v>
      </c>
      <c r="H66" s="64"/>
      <c r="I66" s="64"/>
      <c r="J66" s="66"/>
      <c r="K66" s="64"/>
      <c r="L66" s="216" t="s">
        <v>409</v>
      </c>
      <c r="M66" s="89"/>
      <c r="N66" s="217" t="s">
        <v>414</v>
      </c>
      <c r="O66" s="216"/>
      <c r="P66" s="218"/>
      <c r="Q66" s="217"/>
      <c r="R66" s="217"/>
    </row>
    <row r="67" spans="1:18" x14ac:dyDescent="0.25">
      <c r="A67" s="91"/>
      <c r="B67" s="93"/>
      <c r="C67" s="93"/>
      <c r="D67" s="93"/>
      <c r="E67" s="64"/>
      <c r="F67" s="64"/>
      <c r="G67" s="64"/>
      <c r="H67" s="64"/>
      <c r="I67" s="64"/>
      <c r="J67" s="64"/>
      <c r="K67" s="93"/>
      <c r="L67" s="89"/>
      <c r="M67" s="89"/>
      <c r="N67" s="89"/>
      <c r="O67" s="89"/>
      <c r="P67" s="91"/>
    </row>
    <row r="68" spans="1:18" x14ac:dyDescent="0.25">
      <c r="A68" s="91"/>
      <c r="B68" s="93" t="s">
        <v>199</v>
      </c>
      <c r="C68" s="93"/>
      <c r="D68" s="93"/>
      <c r="E68" s="137" t="s">
        <v>222</v>
      </c>
      <c r="F68" s="137"/>
      <c r="G68" s="137" t="s">
        <v>219</v>
      </c>
      <c r="H68" s="137"/>
      <c r="I68" s="137"/>
      <c r="J68" s="137" t="s">
        <v>220</v>
      </c>
      <c r="K68" s="93"/>
      <c r="L68" s="89"/>
      <c r="M68" s="89"/>
      <c r="N68" s="89" t="s">
        <v>317</v>
      </c>
      <c r="O68" s="89"/>
      <c r="P68" s="91"/>
    </row>
    <row r="69" spans="1:18" x14ac:dyDescent="0.25">
      <c r="A69" s="91"/>
      <c r="B69" s="93"/>
      <c r="C69" s="67"/>
      <c r="D69" s="67"/>
      <c r="E69" s="138">
        <v>10.01</v>
      </c>
      <c r="F69" s="138">
        <v>10.01</v>
      </c>
      <c r="G69" s="139">
        <v>1.01</v>
      </c>
      <c r="H69" s="140"/>
      <c r="I69" s="141">
        <f t="shared" ref="I69:I75" si="0">J69-$D$69</f>
        <v>1.01</v>
      </c>
      <c r="J69" s="139">
        <v>1.01</v>
      </c>
      <c r="K69" s="93"/>
      <c r="L69" s="89" t="s">
        <v>244</v>
      </c>
      <c r="M69" s="89" t="s">
        <v>244</v>
      </c>
      <c r="N69" s="89"/>
      <c r="O69" s="89"/>
      <c r="P69" s="91"/>
    </row>
    <row r="70" spans="1:18" x14ac:dyDescent="0.25">
      <c r="A70" s="91"/>
      <c r="B70" s="93"/>
      <c r="C70" s="67"/>
      <c r="D70" s="67"/>
      <c r="E70" s="138">
        <v>10.01</v>
      </c>
      <c r="F70" s="138">
        <v>10.01</v>
      </c>
      <c r="G70" s="139">
        <v>1.01</v>
      </c>
      <c r="H70" s="140"/>
      <c r="I70" s="141">
        <f t="shared" si="0"/>
        <v>1.01</v>
      </c>
      <c r="J70" s="139">
        <v>1.01</v>
      </c>
      <c r="K70" s="93"/>
      <c r="L70" s="89" t="s">
        <v>244</v>
      </c>
      <c r="M70" s="89" t="s">
        <v>244</v>
      </c>
      <c r="N70" s="89"/>
      <c r="O70" s="89"/>
      <c r="P70" s="91"/>
    </row>
    <row r="71" spans="1:18" x14ac:dyDescent="0.25">
      <c r="A71" s="91"/>
      <c r="B71" s="93"/>
      <c r="C71" s="67"/>
      <c r="D71" s="67"/>
      <c r="E71" s="138">
        <v>10.01</v>
      </c>
      <c r="F71" s="138">
        <v>10.01</v>
      </c>
      <c r="G71" s="139">
        <v>1.01</v>
      </c>
      <c r="H71" s="140"/>
      <c r="I71" s="141">
        <f t="shared" si="0"/>
        <v>1.01</v>
      </c>
      <c r="J71" s="139">
        <v>1.01</v>
      </c>
      <c r="K71" s="93"/>
      <c r="L71" s="89" t="s">
        <v>244</v>
      </c>
      <c r="M71" s="89" t="s">
        <v>244</v>
      </c>
      <c r="N71" s="89"/>
      <c r="O71" s="89"/>
      <c r="P71" s="91"/>
    </row>
    <row r="72" spans="1:18" x14ac:dyDescent="0.25">
      <c r="A72" s="91"/>
      <c r="B72" s="93"/>
      <c r="C72" s="67"/>
      <c r="D72" s="67"/>
      <c r="E72" s="138">
        <v>10.01</v>
      </c>
      <c r="F72" s="138">
        <v>10.01</v>
      </c>
      <c r="G72" s="139">
        <v>1.01</v>
      </c>
      <c r="H72" s="140"/>
      <c r="I72" s="141">
        <f t="shared" si="0"/>
        <v>1.01</v>
      </c>
      <c r="J72" s="139">
        <v>1.01</v>
      </c>
      <c r="K72" s="93"/>
      <c r="L72" s="89" t="s">
        <v>244</v>
      </c>
      <c r="M72" s="89" t="s">
        <v>244</v>
      </c>
      <c r="N72" s="89"/>
      <c r="O72" s="89"/>
      <c r="P72" s="91"/>
    </row>
    <row r="73" spans="1:18" x14ac:dyDescent="0.25">
      <c r="A73" s="91"/>
      <c r="B73" s="93"/>
      <c r="C73" s="67"/>
      <c r="D73" s="67"/>
      <c r="E73" s="138">
        <v>10.01</v>
      </c>
      <c r="F73" s="138">
        <v>10.01</v>
      </c>
      <c r="G73" s="139">
        <v>1.01</v>
      </c>
      <c r="H73" s="140"/>
      <c r="I73" s="141">
        <f t="shared" si="0"/>
        <v>1.01</v>
      </c>
      <c r="J73" s="139">
        <v>1.01</v>
      </c>
      <c r="K73" s="93"/>
      <c r="L73" s="89" t="s">
        <v>244</v>
      </c>
      <c r="M73" s="89" t="s">
        <v>244</v>
      </c>
      <c r="N73" s="89"/>
      <c r="O73" s="89"/>
      <c r="P73" s="91"/>
    </row>
    <row r="74" spans="1:18" x14ac:dyDescent="0.25">
      <c r="A74" s="91"/>
      <c r="B74" s="93"/>
      <c r="C74" s="67"/>
      <c r="D74" s="67"/>
      <c r="E74" s="138">
        <v>10.01</v>
      </c>
      <c r="F74" s="138">
        <v>10.01</v>
      </c>
      <c r="G74" s="139">
        <v>1.01</v>
      </c>
      <c r="H74" s="140"/>
      <c r="I74" s="141">
        <f t="shared" si="0"/>
        <v>1.01</v>
      </c>
      <c r="J74" s="139">
        <v>1.01</v>
      </c>
      <c r="K74" s="93"/>
      <c r="L74" s="89" t="s">
        <v>244</v>
      </c>
      <c r="M74" s="89" t="s">
        <v>244</v>
      </c>
      <c r="N74" s="89"/>
      <c r="O74" s="89"/>
      <c r="P74" s="91"/>
    </row>
    <row r="75" spans="1:18" x14ac:dyDescent="0.25">
      <c r="A75" s="91"/>
      <c r="B75" s="93"/>
      <c r="C75" s="67"/>
      <c r="D75" s="67"/>
      <c r="E75" s="138">
        <v>10.01</v>
      </c>
      <c r="F75" s="138">
        <v>10.01</v>
      </c>
      <c r="G75" s="139">
        <v>1.01</v>
      </c>
      <c r="H75" s="140"/>
      <c r="I75" s="141">
        <f t="shared" si="0"/>
        <v>1.01</v>
      </c>
      <c r="J75" s="139">
        <v>1.01</v>
      </c>
      <c r="K75" s="93"/>
      <c r="L75" s="89" t="s">
        <v>244</v>
      </c>
      <c r="M75" s="89" t="s">
        <v>244</v>
      </c>
      <c r="N75" s="89"/>
      <c r="O75" s="89"/>
      <c r="P75" s="91"/>
    </row>
    <row r="76" spans="1:18" x14ac:dyDescent="0.25">
      <c r="A76" s="91"/>
      <c r="B76" s="93"/>
      <c r="C76" s="64"/>
      <c r="D76" s="64"/>
      <c r="E76" s="137"/>
      <c r="F76" s="137"/>
      <c r="G76" s="137"/>
      <c r="H76" s="137"/>
      <c r="I76" s="137"/>
      <c r="J76" s="142"/>
      <c r="K76" s="93"/>
      <c r="L76" s="89"/>
      <c r="M76" s="89"/>
      <c r="N76" s="89"/>
      <c r="O76" s="89"/>
      <c r="P76" s="91"/>
    </row>
    <row r="77" spans="1:18" x14ac:dyDescent="0.25">
      <c r="A77" s="91"/>
      <c r="B77" s="93" t="s">
        <v>127</v>
      </c>
      <c r="C77" s="64"/>
      <c r="D77" s="64"/>
      <c r="E77" s="137"/>
      <c r="F77" s="137"/>
      <c r="G77" s="137" t="s">
        <v>219</v>
      </c>
      <c r="H77" s="137"/>
      <c r="I77" s="137"/>
      <c r="J77" s="137" t="s">
        <v>220</v>
      </c>
      <c r="K77" s="93"/>
      <c r="L77" s="89"/>
      <c r="M77" s="89"/>
      <c r="N77" s="89"/>
      <c r="O77" s="89"/>
      <c r="P77" s="91"/>
    </row>
    <row r="78" spans="1:18" x14ac:dyDescent="0.25">
      <c r="A78" s="91"/>
      <c r="B78" s="93"/>
      <c r="C78" s="67"/>
      <c r="D78" s="67"/>
      <c r="E78" s="138">
        <v>10.01</v>
      </c>
      <c r="F78" s="138">
        <v>10.01</v>
      </c>
      <c r="G78" s="139">
        <v>1.01</v>
      </c>
      <c r="H78" s="140"/>
      <c r="I78" s="141">
        <f t="shared" ref="I78:I84" si="1">J78-$D$69</f>
        <v>1.01</v>
      </c>
      <c r="J78" s="139">
        <v>1.01</v>
      </c>
      <c r="K78" s="93"/>
      <c r="L78" s="89" t="s">
        <v>245</v>
      </c>
      <c r="M78" s="89" t="s">
        <v>245</v>
      </c>
      <c r="N78" s="89"/>
      <c r="O78" s="89"/>
      <c r="P78" s="91"/>
    </row>
    <row r="79" spans="1:18" x14ac:dyDescent="0.25">
      <c r="A79" s="91"/>
      <c r="B79" s="93"/>
      <c r="C79" s="67"/>
      <c r="D79" s="67"/>
      <c r="E79" s="138">
        <v>10.01</v>
      </c>
      <c r="F79" s="138">
        <v>10.01</v>
      </c>
      <c r="G79" s="139">
        <v>1.01</v>
      </c>
      <c r="H79" s="140"/>
      <c r="I79" s="141">
        <f t="shared" si="1"/>
        <v>1.01</v>
      </c>
      <c r="J79" s="139">
        <v>1.01</v>
      </c>
      <c r="K79" s="93"/>
      <c r="L79" s="89" t="s">
        <v>245</v>
      </c>
      <c r="M79" s="89" t="s">
        <v>245</v>
      </c>
      <c r="N79" s="89"/>
      <c r="O79" s="89"/>
      <c r="P79" s="91"/>
    </row>
    <row r="80" spans="1:18" x14ac:dyDescent="0.25">
      <c r="A80" s="91"/>
      <c r="B80" s="93"/>
      <c r="C80" s="67"/>
      <c r="D80" s="67"/>
      <c r="E80" s="138">
        <v>10.01</v>
      </c>
      <c r="F80" s="138">
        <v>10.01</v>
      </c>
      <c r="G80" s="139">
        <v>1.01</v>
      </c>
      <c r="H80" s="140"/>
      <c r="I80" s="141">
        <f t="shared" si="1"/>
        <v>1.01</v>
      </c>
      <c r="J80" s="139">
        <v>1.01</v>
      </c>
      <c r="K80" s="93"/>
      <c r="L80" s="89" t="s">
        <v>245</v>
      </c>
      <c r="M80" s="89" t="s">
        <v>245</v>
      </c>
      <c r="N80" s="89"/>
      <c r="O80" s="89"/>
      <c r="P80" s="91"/>
    </row>
    <row r="81" spans="1:16" x14ac:dyDescent="0.25">
      <c r="A81" s="91"/>
      <c r="B81" s="93"/>
      <c r="C81" s="67"/>
      <c r="D81" s="67"/>
      <c r="E81" s="138">
        <v>10.01</v>
      </c>
      <c r="F81" s="138">
        <v>10.01</v>
      </c>
      <c r="G81" s="139">
        <v>1.01</v>
      </c>
      <c r="H81" s="140"/>
      <c r="I81" s="141">
        <f t="shared" si="1"/>
        <v>1.01</v>
      </c>
      <c r="J81" s="139">
        <v>1.01</v>
      </c>
      <c r="K81" s="93"/>
      <c r="L81" s="89" t="s">
        <v>245</v>
      </c>
      <c r="M81" s="89" t="s">
        <v>245</v>
      </c>
      <c r="N81" s="89"/>
      <c r="O81" s="89"/>
      <c r="P81" s="91"/>
    </row>
    <row r="82" spans="1:16" x14ac:dyDescent="0.25">
      <c r="A82" s="91"/>
      <c r="B82" s="93"/>
      <c r="C82" s="67"/>
      <c r="D82" s="67"/>
      <c r="E82" s="138">
        <v>10.01</v>
      </c>
      <c r="F82" s="138">
        <v>10.01</v>
      </c>
      <c r="G82" s="139">
        <v>1.01</v>
      </c>
      <c r="H82" s="140"/>
      <c r="I82" s="141">
        <f t="shared" si="1"/>
        <v>1.01</v>
      </c>
      <c r="J82" s="139">
        <v>1.01</v>
      </c>
      <c r="K82" s="93"/>
      <c r="L82" s="89" t="s">
        <v>245</v>
      </c>
      <c r="M82" s="89" t="s">
        <v>245</v>
      </c>
      <c r="N82" s="89"/>
      <c r="O82" s="93"/>
      <c r="P82" s="91"/>
    </row>
    <row r="83" spans="1:16" x14ac:dyDescent="0.25">
      <c r="A83" s="91"/>
      <c r="B83" s="93"/>
      <c r="C83" s="67"/>
      <c r="D83" s="67"/>
      <c r="E83" s="138">
        <v>10.01</v>
      </c>
      <c r="F83" s="138">
        <v>10.01</v>
      </c>
      <c r="G83" s="139">
        <v>1.01</v>
      </c>
      <c r="H83" s="140"/>
      <c r="I83" s="141">
        <f t="shared" si="1"/>
        <v>1.01</v>
      </c>
      <c r="J83" s="139">
        <v>1.01</v>
      </c>
      <c r="K83" s="93"/>
      <c r="L83" s="89" t="s">
        <v>245</v>
      </c>
      <c r="M83" s="89" t="s">
        <v>245</v>
      </c>
      <c r="N83" s="89"/>
      <c r="O83" s="93"/>
      <c r="P83" s="91"/>
    </row>
    <row r="84" spans="1:16" x14ac:dyDescent="0.25">
      <c r="A84" s="91"/>
      <c r="B84" s="93"/>
      <c r="C84" s="67"/>
      <c r="D84" s="67"/>
      <c r="E84" s="138">
        <v>10.01</v>
      </c>
      <c r="F84" s="138">
        <v>10.01</v>
      </c>
      <c r="G84" s="139">
        <v>1.01</v>
      </c>
      <c r="H84" s="140"/>
      <c r="I84" s="141">
        <f t="shared" si="1"/>
        <v>1.01</v>
      </c>
      <c r="J84" s="139">
        <v>1.01</v>
      </c>
      <c r="K84" s="93"/>
      <c r="L84" s="89" t="s">
        <v>245</v>
      </c>
      <c r="M84" s="89" t="s">
        <v>245</v>
      </c>
      <c r="N84" s="89"/>
      <c r="O84" s="93"/>
      <c r="P84" s="91"/>
    </row>
    <row r="85" spans="1:16" x14ac:dyDescent="0.25">
      <c r="F85" s="87"/>
      <c r="G85" s="81"/>
      <c r="I85" s="75"/>
    </row>
  </sheetData>
  <mergeCells count="4">
    <mergeCell ref="D13:D14"/>
    <mergeCell ref="B13:B14"/>
    <mergeCell ref="C13:C14"/>
    <mergeCell ref="E13:E14"/>
  </mergeCells>
  <phoneticPr fontId="35" type="noConversion"/>
  <pageMargins left="0.31496062992125984" right="0.11811023622047245" top="0.39370078740157483" bottom="0.39370078740157483" header="0.31496062992125984" footer="0.31496062992125984"/>
  <pageSetup paperSize="9" orientation="landscape" r:id="rId1"/>
  <ignoredErrors>
    <ignoredError sqref="C19:C21" formula="1"/>
    <ignoredError sqref="C15" evalError="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dimension ref="A1:P58"/>
  <sheetViews>
    <sheetView zoomScaleNormal="100" workbookViewId="0">
      <selection activeCell="H14" sqref="H14"/>
    </sheetView>
  </sheetViews>
  <sheetFormatPr defaultColWidth="11.42578125" defaultRowHeight="12" x14ac:dyDescent="0.25"/>
  <cols>
    <col min="1" max="1" width="15.28515625" style="290" customWidth="1"/>
    <col min="2" max="2" width="9.140625" style="290" customWidth="1"/>
    <col min="3" max="3" width="5" style="290" customWidth="1"/>
    <col min="4" max="4" width="29.5703125" style="324" customWidth="1"/>
    <col min="5" max="5" width="17.28515625" style="293" customWidth="1"/>
    <col min="6" max="7" width="7.85546875" style="293" customWidth="1"/>
    <col min="8" max="8" width="50.140625" style="290" customWidth="1"/>
    <col min="9" max="9" width="51.7109375" style="290" customWidth="1"/>
    <col min="10" max="10" width="6.7109375" style="293" customWidth="1"/>
    <col min="11" max="11" width="9.140625" style="290" customWidth="1"/>
    <col min="12" max="12" width="28" style="293" customWidth="1"/>
    <col min="13" max="13" width="26.5703125" style="293" customWidth="1"/>
    <col min="14" max="14" width="27.5703125" style="293" customWidth="1"/>
    <col min="15" max="15" width="46.42578125" style="290" customWidth="1"/>
    <col min="16" max="16" width="60.5703125" style="290" customWidth="1"/>
    <col min="17" max="16384" width="11.42578125" style="290"/>
  </cols>
  <sheetData>
    <row r="1" spans="1:16" ht="24.75" thickBot="1" x14ac:dyDescent="0.3">
      <c r="B1" s="291"/>
      <c r="C1" s="291"/>
      <c r="D1" s="292"/>
      <c r="E1" s="291"/>
      <c r="F1" s="291"/>
      <c r="G1" s="291"/>
      <c r="L1" s="294" t="s">
        <v>228</v>
      </c>
      <c r="M1" s="295" t="s">
        <v>351</v>
      </c>
      <c r="N1" s="295" t="s">
        <v>365</v>
      </c>
      <c r="O1" s="294" t="s">
        <v>128</v>
      </c>
      <c r="P1" s="294" t="s">
        <v>336</v>
      </c>
    </row>
    <row r="2" spans="1:16" x14ac:dyDescent="0.25">
      <c r="A2" s="296" t="str">
        <f>IF(Datenquelle!$H$3&gt;6,IF(Datenquelle!$H$3=7,"EZ",IF(Datenquelle!$H$3&gt;7,"relevant","?")),"nicht relevant")</f>
        <v>nicht relevant</v>
      </c>
      <c r="B2" s="365" t="s">
        <v>0</v>
      </c>
      <c r="C2" s="291"/>
      <c r="D2" s="297" t="s">
        <v>196</v>
      </c>
      <c r="E2" s="298" t="str">
        <f>IF(H2="","","2013")</f>
        <v/>
      </c>
      <c r="F2" s="298" t="str">
        <f t="shared" ref="F2:F7" si="0">IF(H2="","","a")</f>
        <v/>
      </c>
      <c r="G2" s="298" t="str">
        <f>IF(H2="","","1")</f>
        <v/>
      </c>
      <c r="H2" s="299" t="str">
        <f>IF(A2="relevant",IF(COUNTIF(Matrix!C23:AC23,"")&gt;2,Berechnung2!$L$56,""),"")</f>
        <v/>
      </c>
      <c r="I2" s="300" t="str">
        <f>IF(H2="","",VLOOKUP(F2,Berechnung2!$I$15:$J$26,2,FALSE))</f>
        <v/>
      </c>
      <c r="J2" s="301" t="str">
        <f>IF(H2&lt;&gt;"",1,"")</f>
        <v/>
      </c>
      <c r="L2" s="302" t="str">
        <f t="array" aca="1" ref="L2" ca="1">IF(ROW()-ROW($F$2:$F$53)+1&gt;ROWS($E$2:$E$53)-COUNTBLANK($E$2:$E$53),"",INDIRECT(ADDRESS(SMALL((IF($E$2:$E$53&lt;&gt;"",ROW($E$2:$E$53),ROW()+ROWS($E$2:$E$53))),ROW()-ROW($F$2:$F$53)+1),COLUMN($E$2:$E$53),4)))</f>
        <v/>
      </c>
      <c r="M2" s="302" t="str">
        <f t="array" aca="1" ref="M2" ca="1">IF(ROW()-ROW($G$2:$G$53)+1&gt;ROWS($F$2:$F$53)-COUNTBLANK($F$2:$F$53),"",INDIRECT(ADDRESS(SMALL((IF($F$2:$F$53&lt;&gt;"",ROW($F$2:$F$53),ROW()+ROWS($F$2:$F$53))),ROW()-ROW($G$2:$G$53)+1),COLUMN($F$2:$F$53),4)))</f>
        <v/>
      </c>
      <c r="N2" s="302" t="str">
        <f t="array" aca="1" ref="N2" ca="1">IF(ROW()-ROW($H$2:$H$53)+1&gt;ROWS($G$2:$G$53)-COUNTBLANK($G$2:$G$53),"",INDIRECT(ADDRESS(SMALL((IF($G$2:$G$53&lt;&gt;"",ROW($G$2:$G$53),ROW()+ROWS($G$2:$G$53))),ROW()-ROW($H$2:$H$53)+1),COLUMN($G$2:$G$53),4)))</f>
        <v/>
      </c>
      <c r="O2" s="296" t="str">
        <f t="array" aca="1" ref="O2" ca="1">IF(ROW()-ROW($I$2:$I$53)+1&gt;ROWS($H$2:$H$53)-COUNTBLANK($H$2:$H$53),"",INDIRECT(ADDRESS(SMALL((IF($H$2:$H$53&lt;&gt;"",ROW($H$2:$H$53),ROW()+ROWS($H$2:$H$53))),ROW()-ROW($I$2:$I$53)+1),COLUMN($H$2:$H$53),4)))</f>
        <v/>
      </c>
      <c r="P2" s="296" t="str">
        <f t="array" aca="1" ref="P2" ca="1">IF(ROW()-ROW($J$2:$J$53)+1&gt;ROWS($I$2:$I$53)-COUNTBLANK($I$2:$I$53),"",INDIRECT(ADDRESS(SMALL((IF($I$2:$I$53&lt;&gt;"",ROW($I$2:$I$53),ROW()+ROWS($I$2:$I$53))),ROW()-ROW($J$2:$J$53)+1),COLUMN($I$2:$I$53),4)))</f>
        <v/>
      </c>
    </row>
    <row r="3" spans="1:16" ht="12" customHeight="1" x14ac:dyDescent="0.25">
      <c r="A3" s="296" t="str">
        <f>IF(Datenquelle!$H$3&gt;5,IF(Datenquelle!$H$3=6,"EZ",IF(Datenquelle!$H$3&gt;6,"relevant","?")),"nicht relevant")</f>
        <v>nicht relevant</v>
      </c>
      <c r="B3" s="365" t="s">
        <v>391</v>
      </c>
      <c r="C3" s="291"/>
      <c r="D3" s="957" t="s">
        <v>316</v>
      </c>
      <c r="E3" s="302" t="str">
        <f>IF(H3="","","2014")</f>
        <v/>
      </c>
      <c r="F3" s="302" t="str">
        <f t="shared" si="0"/>
        <v/>
      </c>
      <c r="G3" s="302" t="str">
        <f t="shared" ref="G3:G23" si="1">IF(H3="","","1")</f>
        <v/>
      </c>
      <c r="H3" s="303" t="str">
        <f>IF(A3="relevant",IF(COUNTIF(Matrix!C24:AC24,"")&gt;2,Berechnung2!$L$56,""),"")</f>
        <v/>
      </c>
      <c r="I3" s="304" t="str">
        <f>IF(H3="","",VLOOKUP(F3,Berechnung2!$I$15:$J$26,2,FALSE))</f>
        <v/>
      </c>
      <c r="J3" s="305" t="str">
        <f t="shared" ref="J3:J52" si="2">IF(H3&lt;&gt;"",1,"")</f>
        <v/>
      </c>
      <c r="L3" s="302" t="str">
        <f t="array" aca="1" ref="L3" ca="1">IF(ROW()-ROW($F$2:$F$53)+1&gt;ROWS($E$2:$E$53)-COUNTBLANK($E$2:$E$53),"",INDIRECT(ADDRESS(SMALL((IF($E$2:$E$53&lt;&gt;"",ROW($E$2:$E$53),ROW()+ROWS($E$2:$E$53))),ROW()-ROW($F$2:$F$53)+1),COLUMN($E$2:$E$53),4)))</f>
        <v/>
      </c>
      <c r="M3" s="302" t="str">
        <f t="array" aca="1" ref="M3" ca="1">IF(ROW()-ROW($G$2:$G$53)+1&gt;ROWS($F$2:$F$53)-COUNTBLANK($F$2:$F$53),"",INDIRECT(ADDRESS(SMALL((IF($F$2:$F$53&lt;&gt;"",ROW($F$2:$F$53),ROW()+ROWS($F$2:$F$53))),ROW()-ROW($G$2:$G$53)+1),COLUMN($F$2:$F$53),4)))</f>
        <v/>
      </c>
      <c r="N3" s="302" t="str">
        <f t="array" aca="1" ref="N3" ca="1">IF(ROW()-ROW($H$2:$H$53)+1&gt;ROWS($G$2:$G$53)-COUNTBLANK($G$2:$G$53),"",INDIRECT(ADDRESS(SMALL((IF($G$2:$G$53&lt;&gt;"",ROW($G$2:$G$53),ROW()+ROWS($G$2:$G$53))),ROW()-ROW($H$2:$H$53)+1),COLUMN($G$2:$G$53),4)))</f>
        <v/>
      </c>
      <c r="O3" s="296" t="str">
        <f t="array" aca="1" ref="O3" ca="1">IF(ROW()-ROW($I$2:$I$53)+1&gt;ROWS($H$2:$H$53)-COUNTBLANK($H$2:$H$53),"",INDIRECT(ADDRESS(SMALL((IF($H$2:$H$53&lt;&gt;"",ROW($H$2:$H$53),ROW()+ROWS($H$2:$H$53))),ROW()-ROW($I$2:$I$53)+1),COLUMN($H$2:$H$53),4)))</f>
        <v/>
      </c>
      <c r="P3" s="296" t="str">
        <f t="array" aca="1" ref="P3" ca="1">IF(ROW()-ROW($J$2:$J$53)+1&gt;ROWS($I$2:$I$53)-COUNTBLANK($I$2:$I$53),"",INDIRECT(ADDRESS(SMALL((IF($I$2:$I$53&lt;&gt;"",ROW($I$2:$I$53),ROW()+ROWS($I$2:$I$53))),ROW()-ROW($J$2:$J$53)+1),COLUMN($I$2:$I$53),4)))</f>
        <v/>
      </c>
    </row>
    <row r="4" spans="1:16" ht="15" customHeight="1" x14ac:dyDescent="0.25">
      <c r="A4" s="296" t="str">
        <f>IF(Datenquelle!$H$3&gt;4,IF(Datenquelle!$H$3=5,"EZ",IF(Datenquelle!$H$3&gt;5,"relevant","?")),"nicht relevant")</f>
        <v>nicht relevant</v>
      </c>
      <c r="B4" s="365" t="s">
        <v>426</v>
      </c>
      <c r="C4" s="291"/>
      <c r="D4" s="957"/>
      <c r="E4" s="302" t="str">
        <f>IF(H4="","","2015")</f>
        <v/>
      </c>
      <c r="F4" s="302" t="str">
        <f t="shared" si="0"/>
        <v/>
      </c>
      <c r="G4" s="302" t="str">
        <f t="shared" si="1"/>
        <v/>
      </c>
      <c r="H4" s="303" t="str">
        <f>IF(A4="relevant",IF(COUNTIF(Matrix!C25:AC25,"")&gt;2,Berechnung2!$L$56,""),"")</f>
        <v/>
      </c>
      <c r="I4" s="304" t="str">
        <f>IF(H4="","",VLOOKUP(F4,Berechnung2!$I$15:$J$26,2,FALSE))</f>
        <v/>
      </c>
      <c r="J4" s="305" t="str">
        <f t="shared" si="2"/>
        <v/>
      </c>
      <c r="L4" s="302" t="str">
        <f t="array" aca="1" ref="L4" ca="1">IF(ROW()-ROW($F$2:$F$53)+1&gt;ROWS($E$2:$E$53)-COUNTBLANK($E$2:$E$53),"",INDIRECT(ADDRESS(SMALL((IF($E$2:$E$53&lt;&gt;"",ROW($E$2:$E$53),ROW()+ROWS($E$2:$E$53))),ROW()-ROW($F$2:$F$53)+1),COLUMN($E$2:$E$53),4)))</f>
        <v/>
      </c>
      <c r="M4" s="302" t="str">
        <f t="array" aca="1" ref="M4" ca="1">IF(ROW()-ROW($G$2:$G$53)+1&gt;ROWS($F$2:$F$53)-COUNTBLANK($F$2:$F$53),"",INDIRECT(ADDRESS(SMALL((IF($F$2:$F$53&lt;&gt;"",ROW($F$2:$F$53),ROW()+ROWS($F$2:$F$53))),ROW()-ROW($G$2:$G$53)+1),COLUMN($F$2:$F$53),4)))</f>
        <v/>
      </c>
      <c r="N4" s="302" t="str">
        <f t="array" aca="1" ref="N4" ca="1">IF(ROW()-ROW($H$2:$H$53)+1&gt;ROWS($G$2:$G$53)-COUNTBLANK($G$2:$G$53),"",INDIRECT(ADDRESS(SMALL((IF($G$2:$G$53&lt;&gt;"",ROW($G$2:$G$53),ROW()+ROWS($G$2:$G$53))),ROW()-ROW($H$2:$H$53)+1),COLUMN($G$2:$G$53),4)))</f>
        <v/>
      </c>
      <c r="O4" s="296" t="str">
        <f t="array" aca="1" ref="O4" ca="1">IF(ROW()-ROW($I$2:$I$53)+1&gt;ROWS($H$2:$H$53)-COUNTBLANK($H$2:$H$53),"",INDIRECT(ADDRESS(SMALL((IF($H$2:$H$53&lt;&gt;"",ROW($H$2:$H$53),ROW()+ROWS($H$2:$H$53))),ROW()-ROW($I$2:$I$53)+1),COLUMN($H$2:$H$53),4)))</f>
        <v/>
      </c>
      <c r="P4" s="296" t="str">
        <f t="array" aca="1" ref="P4" ca="1">IF(ROW()-ROW($J$2:$J$53)+1&gt;ROWS($I$2:$I$53)-COUNTBLANK($I$2:$I$53),"",INDIRECT(ADDRESS(SMALL((IF($I$2:$I$53&lt;&gt;"",ROW($I$2:$I$53),ROW()+ROWS($I$2:$I$53))),ROW()-ROW($J$2:$J$53)+1),COLUMN($I$2:$I$53),4)))</f>
        <v/>
      </c>
    </row>
    <row r="5" spans="1:16" ht="15" customHeight="1" x14ac:dyDescent="0.25">
      <c r="A5" s="296" t="str">
        <f>IF(Datenquelle!$H$3&gt;3,IF(Datenquelle!$H$3=4,"EZ",IF(Datenquelle!$H$3&gt;4,"relevant","?")),"nicht relevant")</f>
        <v>nicht relevant</v>
      </c>
      <c r="B5" s="365" t="s">
        <v>438</v>
      </c>
      <c r="C5" s="291"/>
      <c r="D5" s="957"/>
      <c r="E5" s="302" t="str">
        <f>IF(H5="","","2016")</f>
        <v/>
      </c>
      <c r="F5" s="302" t="str">
        <f t="shared" si="0"/>
        <v/>
      </c>
      <c r="G5" s="302" t="str">
        <f t="shared" si="1"/>
        <v/>
      </c>
      <c r="H5" s="303" t="str">
        <f>IF(A5="relevant",IF(COUNTIF(Matrix!C26:AC26,"")&gt;2,Berechnung2!$L$56,""),"")</f>
        <v/>
      </c>
      <c r="I5" s="304" t="str">
        <f>IF(H5="","",VLOOKUP(F5,Berechnung2!$I$15:$J$26,2,FALSE))</f>
        <v/>
      </c>
      <c r="J5" s="305" t="str">
        <f t="shared" si="2"/>
        <v/>
      </c>
      <c r="L5" s="302" t="str">
        <f t="array" aca="1" ref="L5" ca="1">IF(ROW()-ROW($F$2:$F$53)+1&gt;ROWS($E$2:$E$53)-COUNTBLANK($E$2:$E$53),"",INDIRECT(ADDRESS(SMALL((IF($E$2:$E$53&lt;&gt;"",ROW($E$2:$E$53),ROW()+ROWS($E$2:$E$53))),ROW()-ROW($F$2:$F$53)+1),COLUMN($E$2:$E$53),4)))</f>
        <v/>
      </c>
      <c r="M5" s="302" t="str">
        <f t="array" aca="1" ref="M5" ca="1">IF(ROW()-ROW($G$2:$G$53)+1&gt;ROWS($F$2:$F$53)-COUNTBLANK($F$2:$F$53),"",INDIRECT(ADDRESS(SMALL((IF($F$2:$F$53&lt;&gt;"",ROW($F$2:$F$53),ROW()+ROWS($F$2:$F$53))),ROW()-ROW($G$2:$G$53)+1),COLUMN($F$2:$F$53),4)))</f>
        <v/>
      </c>
      <c r="N5" s="302" t="str">
        <f t="array" aca="1" ref="N5" ca="1">IF(ROW()-ROW($H$2:$H$53)+1&gt;ROWS($G$2:$G$53)-COUNTBLANK($G$2:$G$53),"",INDIRECT(ADDRESS(SMALL((IF($G$2:$G$53&lt;&gt;"",ROW($G$2:$G$53),ROW()+ROWS($G$2:$G$53))),ROW()-ROW($H$2:$H$53)+1),COLUMN($G$2:$G$53),4)))</f>
        <v/>
      </c>
      <c r="O5" s="296" t="str">
        <f t="array" aca="1" ref="O5" ca="1">IF(ROW()-ROW($I$2:$I$53)+1&gt;ROWS($H$2:$H$53)-COUNTBLANK($H$2:$H$53),"",INDIRECT(ADDRESS(SMALL((IF($H$2:$H$53&lt;&gt;"",ROW($H$2:$H$53),ROW()+ROWS($H$2:$H$53))),ROW()-ROW($I$2:$I$53)+1),COLUMN($H$2:$H$53),4)))</f>
        <v/>
      </c>
      <c r="P5" s="296" t="str">
        <f t="array" aca="1" ref="P5" ca="1">IF(ROW()-ROW($J$2:$J$53)+1&gt;ROWS($I$2:$I$53)-COUNTBLANK($I$2:$I$53),"",INDIRECT(ADDRESS(SMALL((IF($I$2:$I$53&lt;&gt;"",ROW($I$2:$I$53),ROW()+ROWS($I$2:$I$53))),ROW()-ROW($J$2:$J$53)+1),COLUMN($I$2:$I$53),4)))</f>
        <v/>
      </c>
    </row>
    <row r="6" spans="1:16" ht="15" customHeight="1" x14ac:dyDescent="0.25">
      <c r="A6" s="296" t="str">
        <f>IF(Datenquelle!$H$3&gt;2,IF(Datenquelle!$H$3=3,"EZ",IF(Datenquelle!$H$3&gt;3,"relevant","?")),"nicht relevant")</f>
        <v>nicht relevant</v>
      </c>
      <c r="B6" s="365" t="s">
        <v>454</v>
      </c>
      <c r="C6" s="291"/>
      <c r="D6" s="957"/>
      <c r="E6" s="302" t="str">
        <f>IF(H6="","","2017")</f>
        <v/>
      </c>
      <c r="F6" s="302" t="str">
        <f t="shared" si="0"/>
        <v/>
      </c>
      <c r="G6" s="302" t="str">
        <f t="shared" si="1"/>
        <v/>
      </c>
      <c r="H6" s="303" t="str">
        <f>IF(A6="relevant",IF(COUNTIF(Matrix!C27:AC27,"")&gt;2,Berechnung2!$L$56,""),"")</f>
        <v/>
      </c>
      <c r="I6" s="304" t="str">
        <f>IF(H6="","",VLOOKUP(F6,Berechnung2!$I$15:$J$26,2,FALSE))</f>
        <v/>
      </c>
      <c r="J6" s="305" t="str">
        <f t="shared" si="2"/>
        <v/>
      </c>
      <c r="L6" s="302" t="str">
        <f t="array" aca="1" ref="L6" ca="1">IF(ROW()-ROW($F$2:$F$53)+1&gt;ROWS($E$2:$E$53)-COUNTBLANK($E$2:$E$53),"",INDIRECT(ADDRESS(SMALL((IF($E$2:$E$53&lt;&gt;"",ROW($E$2:$E$53),ROW()+ROWS($E$2:$E$53))),ROW()-ROW($F$2:$F$53)+1),COLUMN($E$2:$E$53),4)))</f>
        <v/>
      </c>
      <c r="M6" s="302" t="str">
        <f t="array" aca="1" ref="M6" ca="1">IF(ROW()-ROW($G$2:$G$53)+1&gt;ROWS($F$2:$F$53)-COUNTBLANK($F$2:$F$53),"",INDIRECT(ADDRESS(SMALL((IF($F$2:$F$53&lt;&gt;"",ROW($F$2:$F$53),ROW()+ROWS($F$2:$F$53))),ROW()-ROW($G$2:$G$53)+1),COLUMN($F$2:$F$53),4)))</f>
        <v/>
      </c>
      <c r="N6" s="302" t="str">
        <f t="array" aca="1" ref="N6" ca="1">IF(ROW()-ROW($H$2:$H$53)+1&gt;ROWS($G$2:$G$53)-COUNTBLANK($G$2:$G$53),"",INDIRECT(ADDRESS(SMALL((IF($G$2:$G$53&lt;&gt;"",ROW($G$2:$G$53),ROW()+ROWS($G$2:$G$53))),ROW()-ROW($H$2:$H$53)+1),COLUMN($G$2:$G$53),4)))</f>
        <v/>
      </c>
      <c r="O6" s="296" t="str">
        <f t="array" aca="1" ref="O6" ca="1">IF(ROW()-ROW($I$2:$I$53)+1&gt;ROWS($H$2:$H$53)-COUNTBLANK($H$2:$H$53),"",INDIRECT(ADDRESS(SMALL((IF($H$2:$H$53&lt;&gt;"",ROW($H$2:$H$53),ROW()+ROWS($H$2:$H$53))),ROW()-ROW($I$2:$I$53)+1),COLUMN($H$2:$H$53),4)))</f>
        <v/>
      </c>
      <c r="P6" s="296" t="str">
        <f t="array" aca="1" ref="P6" ca="1">IF(ROW()-ROW($J$2:$J$53)+1&gt;ROWS($I$2:$I$53)-COUNTBLANK($I$2:$I$53),"",INDIRECT(ADDRESS(SMALL((IF($I$2:$I$53&lt;&gt;"",ROW($I$2:$I$53),ROW()+ROWS($I$2:$I$53))),ROW()-ROW($J$2:$J$53)+1),COLUMN($I$2:$I$53),4)))</f>
        <v/>
      </c>
    </row>
    <row r="7" spans="1:16" ht="15.75" customHeight="1" x14ac:dyDescent="0.25">
      <c r="A7" s="296" t="str">
        <f>IF(Datenquelle!$H$3&gt;1,IF(Datenquelle!$H$3=2,"EZ",IF(Datenquelle!$H$3&gt;2,"relevant","?")),"nicht relevant")</f>
        <v>nicht relevant</v>
      </c>
      <c r="B7" s="365" t="s">
        <v>459</v>
      </c>
      <c r="C7" s="291"/>
      <c r="D7" s="957" t="s">
        <v>353</v>
      </c>
      <c r="E7" s="302" t="str">
        <f>IF(H7="","","2018")</f>
        <v/>
      </c>
      <c r="F7" s="302" t="str">
        <f t="shared" si="0"/>
        <v/>
      </c>
      <c r="G7" s="302" t="str">
        <f t="shared" si="1"/>
        <v/>
      </c>
      <c r="H7" s="303" t="str">
        <f>IF(A7="relevant",IF(COUNTIF(Matrix!C28:M28,"")&gt;0,Berechnung2!$L$56,""),"")</f>
        <v/>
      </c>
      <c r="I7" s="304" t="str">
        <f>IF(H7="","",VLOOKUP(F7,Berechnung2!$I$15:$J$26,2,FALSE))</f>
        <v/>
      </c>
      <c r="J7" s="305" t="str">
        <f t="shared" si="2"/>
        <v/>
      </c>
      <c r="L7" s="302" t="str">
        <f t="array" aca="1" ref="L7" ca="1">IF(ROW()-ROW($F$2:$F$53)+1&gt;ROWS($E$2:$E$53)-COUNTBLANK($E$2:$E$53),"",INDIRECT(ADDRESS(SMALL((IF($E$2:$E$53&lt;&gt;"",ROW($E$2:$E$53),ROW()+ROWS($E$2:$E$53))),ROW()-ROW($F$2:$F$53)+1),COLUMN($E$2:$E$53),4)))</f>
        <v/>
      </c>
      <c r="M7" s="302" t="str">
        <f t="array" aca="1" ref="M7" ca="1">IF(ROW()-ROW($G$2:$G$53)+1&gt;ROWS($F$2:$F$53)-COUNTBLANK($F$2:$F$53),"",INDIRECT(ADDRESS(SMALL((IF($F$2:$F$53&lt;&gt;"",ROW($F$2:$F$53),ROW()+ROWS($F$2:$F$53))),ROW()-ROW($G$2:$G$53)+1),COLUMN($F$2:$F$53),4)))</f>
        <v/>
      </c>
      <c r="N7" s="302" t="str">
        <f t="array" aca="1" ref="N7" ca="1">IF(ROW()-ROW($H$2:$H$53)+1&gt;ROWS($G$2:$G$53)-COUNTBLANK($G$2:$G$53),"",INDIRECT(ADDRESS(SMALL((IF($G$2:$G$53&lt;&gt;"",ROW($G$2:$G$53),ROW()+ROWS($G$2:$G$53))),ROW()-ROW($H$2:$H$53)+1),COLUMN($G$2:$G$53),4)))</f>
        <v/>
      </c>
      <c r="O7" s="296" t="str">
        <f t="array" aca="1" ref="O7" ca="1">IF(ROW()-ROW($I$2:$I$53)+1&gt;ROWS($H$2:$H$53)-COUNTBLANK($H$2:$H$53),"",INDIRECT(ADDRESS(SMALL((IF($H$2:$H$53&lt;&gt;"",ROW($H$2:$H$53),ROW()+ROWS($H$2:$H$53))),ROW()-ROW($I$2:$I$53)+1),COLUMN($H$2:$H$53),4)))</f>
        <v/>
      </c>
      <c r="P7" s="296" t="str">
        <f t="array" aca="1" ref="P7" ca="1">IF(ROW()-ROW($J$2:$J$53)+1&gt;ROWS($I$2:$I$53)-COUNTBLANK($I$2:$I$53),"",INDIRECT(ADDRESS(SMALL((IF($I$2:$I$53&lt;&gt;"",ROW($I$2:$I$53),ROW()+ROWS($I$2:$I$53))),ROW()-ROW($J$2:$J$53)+1),COLUMN($I$2:$I$53),4)))</f>
        <v/>
      </c>
    </row>
    <row r="8" spans="1:16" ht="15.75" customHeight="1" thickBot="1" x14ac:dyDescent="0.3">
      <c r="A8" s="296" t="str">
        <f>IF(Datenquelle!$H$3&gt;0,IF(Datenquelle!$H$3=1,"EZ",IF(Datenquelle!$H$3&gt;1,"relevant","?")),"nicht relevant")</f>
        <v>nicht relevant</v>
      </c>
      <c r="B8" s="365" t="s">
        <v>502</v>
      </c>
      <c r="C8" s="293"/>
      <c r="D8" s="959"/>
      <c r="E8" s="302" t="str">
        <f>IF(H8="","","2019")</f>
        <v/>
      </c>
      <c r="F8" s="302" t="str">
        <f t="shared" ref="F8" si="3">IF(H8="","","a")</f>
        <v/>
      </c>
      <c r="G8" s="302" t="str">
        <f t="shared" ref="G8" si="4">IF(H8="","","1")</f>
        <v/>
      </c>
      <c r="H8" s="303" t="str">
        <f>IF(A8="relevant",IF(COUNTIF(Matrix!C29:M29,"")&gt;0,Berechnung2!$L$56,""),"")</f>
        <v/>
      </c>
      <c r="I8" s="304" t="str">
        <f>IF(H8="","",VLOOKUP(F8,Berechnung2!$I$15:$J$26,2,FALSE))</f>
        <v/>
      </c>
      <c r="J8" s="305" t="str">
        <f t="shared" ref="J8" si="5">IF(H8&lt;&gt;"",1,"")</f>
        <v/>
      </c>
      <c r="L8" s="302" t="str">
        <f t="array" aca="1" ref="L8" ca="1">IF(ROW()-ROW($F$2:$F$53)+1&gt;ROWS($E$2:$E$53)-COUNTBLANK($E$2:$E$53),"",INDIRECT(ADDRESS(SMALL((IF($E$2:$E$53&lt;&gt;"",ROW($E$2:$E$53),ROW()+ROWS($E$2:$E$53))),ROW()-ROW($F$2:$F$53)+1),COLUMN($E$2:$E$53),4)))</f>
        <v/>
      </c>
      <c r="M8" s="302" t="str">
        <f t="array" aca="1" ref="M8" ca="1">IF(ROW()-ROW($G$2:$G$53)+1&gt;ROWS($F$2:$F$53)-COUNTBLANK($F$2:$F$53),"",INDIRECT(ADDRESS(SMALL((IF($F$2:$F$53&lt;&gt;"",ROW($F$2:$F$53),ROW()+ROWS($F$2:$F$53))),ROW()-ROW($G$2:$G$53)+1),COLUMN($F$2:$F$53),4)))</f>
        <v/>
      </c>
      <c r="N8" s="302" t="str">
        <f t="array" aca="1" ref="N8" ca="1">IF(ROW()-ROW($H$2:$H$53)+1&gt;ROWS($G$2:$G$53)-COUNTBLANK($G$2:$G$53),"",INDIRECT(ADDRESS(SMALL((IF($G$2:$G$53&lt;&gt;"",ROW($G$2:$G$53),ROW()+ROWS($G$2:$G$53))),ROW()-ROW($H$2:$H$53)+1),COLUMN($G$2:$G$53),4)))</f>
        <v/>
      </c>
      <c r="O8" s="296" t="str">
        <f t="array" aca="1" ref="O8" ca="1">IF(ROW()-ROW($I$2:$I$53)+1&gt;ROWS($H$2:$H$53)-COUNTBLANK($H$2:$H$53),"",INDIRECT(ADDRESS(SMALL((IF($H$2:$H$53&lt;&gt;"",ROW($H$2:$H$53),ROW()+ROWS($H$2:$H$53))),ROW()-ROW($I$2:$I$53)+1),COLUMN($H$2:$H$53),4)))</f>
        <v/>
      </c>
      <c r="P8" s="296" t="str">
        <f t="array" aca="1" ref="P8" ca="1">IF(ROW()-ROW($J$2:$J$53)+1&gt;ROWS($I$2:$I$53)-COUNTBLANK($I$2:$I$53),"",INDIRECT(ADDRESS(SMALL((IF($I$2:$I$53&lt;&gt;"",ROW($I$2:$I$53),ROW()+ROWS($I$2:$I$53))),ROW()-ROW($J$2:$J$53)+1),COLUMN($I$2:$I$53),4)))</f>
        <v/>
      </c>
    </row>
    <row r="9" spans="1:16" x14ac:dyDescent="0.25">
      <c r="D9" s="297" t="s">
        <v>195</v>
      </c>
      <c r="E9" s="298" t="str">
        <f>IF(H9="","","2013")</f>
        <v/>
      </c>
      <c r="F9" s="298" t="str">
        <f>IF(H9="","","b")</f>
        <v/>
      </c>
      <c r="G9" s="298" t="str">
        <f t="shared" si="1"/>
        <v/>
      </c>
      <c r="H9" s="299" t="str">
        <f>IF(A2="relevant",IF(Matrix!O23="","",IF(Matrix!O23&gt;(Matrix!C23-Matrix!M23),Berechnung2!$L$60,"")),"")</f>
        <v/>
      </c>
      <c r="I9" s="300" t="str">
        <f>IF(H9="","",VLOOKUP(F9,Berechnung2!$I$15:$J$26,2,FALSE))</f>
        <v/>
      </c>
      <c r="J9" s="301" t="str">
        <f t="shared" si="2"/>
        <v/>
      </c>
      <c r="L9" s="302" t="str">
        <f t="array" aca="1" ref="L9" ca="1">IF(ROW()-ROW($F$2:$F$53)+1&gt;ROWS($E$2:$E$53)-COUNTBLANK($E$2:$E$53),"",INDIRECT(ADDRESS(SMALL((IF($E$2:$E$53&lt;&gt;"",ROW($E$2:$E$53),ROW()+ROWS($E$2:$E$53))),ROW()-ROW($F$2:$F$53)+1),COLUMN($E$2:$E$53),4)))</f>
        <v/>
      </c>
      <c r="M9" s="302" t="str">
        <f t="array" aca="1" ref="M9" ca="1">IF(ROW()-ROW($G$2:$G$53)+1&gt;ROWS($F$2:$F$53)-COUNTBLANK($F$2:$F$53),"",INDIRECT(ADDRESS(SMALL((IF($F$2:$F$53&lt;&gt;"",ROW($F$2:$F$53),ROW()+ROWS($F$2:$F$53))),ROW()-ROW($G$2:$G$53)+1),COLUMN($F$2:$F$53),4)))</f>
        <v/>
      </c>
      <c r="N9" s="302" t="str">
        <f t="array" aca="1" ref="N9" ca="1">IF(ROW()-ROW($H$2:$H$53)+1&gt;ROWS($G$2:$G$53)-COUNTBLANK($G$2:$G$53),"",INDIRECT(ADDRESS(SMALL((IF($G$2:$G$53&lt;&gt;"",ROW($G$2:$G$53),ROW()+ROWS($G$2:$G$53))),ROW()-ROW($H$2:$H$53)+1),COLUMN($G$2:$G$53),4)))</f>
        <v/>
      </c>
      <c r="O9" s="296" t="str">
        <f t="array" aca="1" ref="O9" ca="1">IF(ROW()-ROW($I$2:$I$53)+1&gt;ROWS($H$2:$H$53)-COUNTBLANK($H$2:$H$53),"",INDIRECT(ADDRESS(SMALL((IF($H$2:$H$53&lt;&gt;"",ROW($H$2:$H$53),ROW()+ROWS($H$2:$H$53))),ROW()-ROW($I$2:$I$53)+1),COLUMN($H$2:$H$53),4)))</f>
        <v/>
      </c>
      <c r="P9" s="296" t="str">
        <f t="array" aca="1" ref="P9" ca="1">IF(ROW()-ROW($J$2:$J$53)+1&gt;ROWS($I$2:$I$53)-COUNTBLANK($I$2:$I$53),"",INDIRECT(ADDRESS(SMALL((IF($I$2:$I$53&lt;&gt;"",ROW($I$2:$I$53),ROW()+ROWS($I$2:$I$53))),ROW()-ROW($J$2:$J$53)+1),COLUMN($I$2:$I$53),4)))</f>
        <v/>
      </c>
    </row>
    <row r="10" spans="1:16" x14ac:dyDescent="0.25">
      <c r="D10" s="958" t="s">
        <v>320</v>
      </c>
      <c r="E10" s="302" t="str">
        <f>IF(H10="","","2014")</f>
        <v/>
      </c>
      <c r="F10" s="302" t="str">
        <f>IF(H10="","","b")</f>
        <v/>
      </c>
      <c r="G10" s="302" t="str">
        <f t="shared" si="1"/>
        <v/>
      </c>
      <c r="H10" s="303" t="str">
        <f>IF(A3="relevant",IF(Matrix!O24="","",IF(Matrix!O24&gt;(Matrix!C24-Matrix!M24),Berechnung2!$L$60,"")),"")</f>
        <v/>
      </c>
      <c r="I10" s="304" t="str">
        <f>IF(H10="","",VLOOKUP(F10,Berechnung2!$I$15:$J$26,2,FALSE))</f>
        <v/>
      </c>
      <c r="J10" s="305" t="str">
        <f t="shared" si="2"/>
        <v/>
      </c>
      <c r="L10" s="302" t="str">
        <f t="array" aca="1" ref="L10" ca="1">IF(ROW()-ROW($F$2:$F$53)+1&gt;ROWS($E$2:$E$53)-COUNTBLANK($E$2:$E$53),"",INDIRECT(ADDRESS(SMALL((IF($E$2:$E$53&lt;&gt;"",ROW($E$2:$E$53),ROW()+ROWS($E$2:$E$53))),ROW()-ROW($F$2:$F$53)+1),COLUMN($E$2:$E$53),4)))</f>
        <v/>
      </c>
      <c r="M10" s="302" t="str">
        <f t="array" aca="1" ref="M10" ca="1">IF(ROW()-ROW($G$2:$G$53)+1&gt;ROWS($F$2:$F$53)-COUNTBLANK($F$2:$F$53),"",INDIRECT(ADDRESS(SMALL((IF($F$2:$F$53&lt;&gt;"",ROW($F$2:$F$53),ROW()+ROWS($F$2:$F$53))),ROW()-ROW($G$2:$G$53)+1),COLUMN($F$2:$F$53),4)))</f>
        <v/>
      </c>
      <c r="N10" s="302" t="str">
        <f t="array" aca="1" ref="N10" ca="1">IF(ROW()-ROW($H$2:$H$53)+1&gt;ROWS($G$2:$G$53)-COUNTBLANK($G$2:$G$53),"",INDIRECT(ADDRESS(SMALL((IF($G$2:$G$53&lt;&gt;"",ROW($G$2:$G$53),ROW()+ROWS($G$2:$G$53))),ROW()-ROW($H$2:$H$53)+1),COLUMN($G$2:$G$53),4)))</f>
        <v/>
      </c>
      <c r="O10" s="296" t="str">
        <f t="array" aca="1" ref="O10" ca="1">IF(ROW()-ROW($I$2:$I$53)+1&gt;ROWS($H$2:$H$53)-COUNTBLANK($H$2:$H$53),"",INDIRECT(ADDRESS(SMALL((IF($H$2:$H$53&lt;&gt;"",ROW($H$2:$H$53),ROW()+ROWS($H$2:$H$53))),ROW()-ROW($I$2:$I$53)+1),COLUMN($H$2:$H$53),4)))</f>
        <v/>
      </c>
      <c r="P10" s="296" t="str">
        <f t="array" aca="1" ref="P10" ca="1">IF(ROW()-ROW($J$2:$J$53)+1&gt;ROWS($I$2:$I$53)-COUNTBLANK($I$2:$I$53),"",INDIRECT(ADDRESS(SMALL((IF($I$2:$I$53&lt;&gt;"",ROW($I$2:$I$53),ROW()+ROWS($I$2:$I$53))),ROW()-ROW($J$2:$J$53)+1),COLUMN($I$2:$I$53),4)))</f>
        <v/>
      </c>
    </row>
    <row r="11" spans="1:16" x14ac:dyDescent="0.25">
      <c r="D11" s="958"/>
      <c r="E11" s="302" t="str">
        <f>IF(H11="","","2015")</f>
        <v/>
      </c>
      <c r="F11" s="302" t="str">
        <f>IF(H11="","","b")</f>
        <v/>
      </c>
      <c r="G11" s="302" t="str">
        <f t="shared" si="1"/>
        <v/>
      </c>
      <c r="H11" s="303" t="str">
        <f>IF(A4="relevant",IF(Matrix!O25="","",IF(Matrix!O25&gt;(Matrix!C25-Matrix!M25),Berechnung2!$L$60,"")),"")</f>
        <v/>
      </c>
      <c r="I11" s="304" t="str">
        <f>IF(H11="","",VLOOKUP(F11,Berechnung2!$I$15:$J$26,2,FALSE))</f>
        <v/>
      </c>
      <c r="J11" s="305" t="str">
        <f t="shared" si="2"/>
        <v/>
      </c>
      <c r="L11" s="302" t="str">
        <f t="array" aca="1" ref="L11" ca="1">IF(ROW()-ROW($F$2:$F$53)+1&gt;ROWS($E$2:$E$53)-COUNTBLANK($E$2:$E$53),"",INDIRECT(ADDRESS(SMALL((IF($E$2:$E$53&lt;&gt;"",ROW($E$2:$E$53),ROW()+ROWS($E$2:$E$53))),ROW()-ROW($F$2:$F$53)+1),COLUMN($E$2:$E$53),4)))</f>
        <v/>
      </c>
      <c r="M11" s="302" t="str">
        <f t="array" aca="1" ref="M11" ca="1">IF(ROW()-ROW($G$2:$G$53)+1&gt;ROWS($F$2:$F$53)-COUNTBLANK($F$2:$F$53),"",INDIRECT(ADDRESS(SMALL((IF($F$2:$F$53&lt;&gt;"",ROW($F$2:$F$53),ROW()+ROWS($F$2:$F$53))),ROW()-ROW($G$2:$G$53)+1),COLUMN($F$2:$F$53),4)))</f>
        <v/>
      </c>
      <c r="N11" s="302" t="str">
        <f t="array" aca="1" ref="N11" ca="1">IF(ROW()-ROW($H$2:$H$53)+1&gt;ROWS($G$2:$G$53)-COUNTBLANK($G$2:$G$53),"",INDIRECT(ADDRESS(SMALL((IF($G$2:$G$53&lt;&gt;"",ROW($G$2:$G$53),ROW()+ROWS($G$2:$G$53))),ROW()-ROW($H$2:$H$53)+1),COLUMN($G$2:$G$53),4)))</f>
        <v/>
      </c>
      <c r="O11" s="296" t="str">
        <f t="array" aca="1" ref="O11" ca="1">IF(ROW()-ROW($I$2:$I$53)+1&gt;ROWS($H$2:$H$53)-COUNTBLANK($H$2:$H$53),"",INDIRECT(ADDRESS(SMALL((IF($H$2:$H$53&lt;&gt;"",ROW($H$2:$H$53),ROW()+ROWS($H$2:$H$53))),ROW()-ROW($I$2:$I$53)+1),COLUMN($H$2:$H$53),4)))</f>
        <v/>
      </c>
      <c r="P11" s="296" t="str">
        <f t="array" aca="1" ref="P11" ca="1">IF(ROW()-ROW($J$2:$J$53)+1&gt;ROWS($I$2:$I$53)-COUNTBLANK($I$2:$I$53),"",INDIRECT(ADDRESS(SMALL((IF($I$2:$I$53&lt;&gt;"",ROW($I$2:$I$53),ROW()+ROWS($I$2:$I$53))),ROW()-ROW($J$2:$J$53)+1),COLUMN($I$2:$I$53),4)))</f>
        <v/>
      </c>
    </row>
    <row r="12" spans="1:16" x14ac:dyDescent="0.25">
      <c r="D12" s="958"/>
      <c r="E12" s="302" t="str">
        <f>IF(H12="","","2016")</f>
        <v/>
      </c>
      <c r="F12" s="302" t="str">
        <f>IF(H12="","","b")</f>
        <v/>
      </c>
      <c r="G12" s="302" t="str">
        <f t="shared" si="1"/>
        <v/>
      </c>
      <c r="H12" s="303" t="str">
        <f>IF(A5="relevant",IF(Matrix!O26="","",IF(Matrix!O26&gt;(Matrix!C26-Matrix!M26),Berechnung2!$L$60,"")),"")</f>
        <v/>
      </c>
      <c r="I12" s="304" t="str">
        <f>IF(H12="","",VLOOKUP(F12,Berechnung2!$I$15:$J$26,2,FALSE))</f>
        <v/>
      </c>
      <c r="J12" s="305" t="str">
        <f>IF(H12&lt;&gt;"",1,"")</f>
        <v/>
      </c>
      <c r="L12" s="302" t="str">
        <f t="array" aca="1" ref="L12" ca="1">IF(ROW()-ROW($F$2:$F$53)+1&gt;ROWS($E$2:$E$53)-COUNTBLANK($E$2:$E$53),"",INDIRECT(ADDRESS(SMALL((IF($E$2:$E$53&lt;&gt;"",ROW($E$2:$E$53),ROW()+ROWS($E$2:$E$53))),ROW()-ROW($F$2:$F$53)+1),COLUMN($E$2:$E$53),4)))</f>
        <v/>
      </c>
      <c r="M12" s="302" t="str">
        <f t="array" aca="1" ref="M12" ca="1">IF(ROW()-ROW($G$2:$G$53)+1&gt;ROWS($F$2:$F$53)-COUNTBLANK($F$2:$F$53),"",INDIRECT(ADDRESS(SMALL((IF($F$2:$F$53&lt;&gt;"",ROW($F$2:$F$53),ROW()+ROWS($F$2:$F$53))),ROW()-ROW($G$2:$G$53)+1),COLUMN($F$2:$F$53),4)))</f>
        <v/>
      </c>
      <c r="N12" s="302" t="str">
        <f t="array" aca="1" ref="N12" ca="1">IF(ROW()-ROW($H$2:$H$53)+1&gt;ROWS($G$2:$G$53)-COUNTBLANK($G$2:$G$53),"",INDIRECT(ADDRESS(SMALL((IF($G$2:$G$53&lt;&gt;"",ROW($G$2:$G$53),ROW()+ROWS($G$2:$G$53))),ROW()-ROW($H$2:$H$53)+1),COLUMN($G$2:$G$53),4)))</f>
        <v/>
      </c>
      <c r="O12" s="296" t="str">
        <f t="array" aca="1" ref="O12" ca="1">IF(ROW()-ROW($I$2:$I$53)+1&gt;ROWS($H$2:$H$53)-COUNTBLANK($H$2:$H$53),"",INDIRECT(ADDRESS(SMALL((IF($H$2:$H$53&lt;&gt;"",ROW($H$2:$H$53),ROW()+ROWS($H$2:$H$53))),ROW()-ROW($I$2:$I$53)+1),COLUMN($H$2:$H$53),4)))</f>
        <v/>
      </c>
      <c r="P12" s="296" t="str">
        <f t="array" aca="1" ref="P12" ca="1">IF(ROW()-ROW($J$2:$J$53)+1&gt;ROWS($I$2:$I$53)-COUNTBLANK($I$2:$I$53),"",INDIRECT(ADDRESS(SMALL((IF($I$2:$I$53&lt;&gt;"",ROW($I$2:$I$53),ROW()+ROWS($I$2:$I$53))),ROW()-ROW($J$2:$J$53)+1),COLUMN($I$2:$I$53),4)))</f>
        <v/>
      </c>
    </row>
    <row r="13" spans="1:16" ht="12.75" thickBot="1" x14ac:dyDescent="0.3">
      <c r="D13" s="310" t="s">
        <v>354</v>
      </c>
      <c r="E13" s="302" t="str">
        <f>IF(H13="","","2017")</f>
        <v/>
      </c>
      <c r="F13" s="306" t="str">
        <f>IF(H13="","","b")</f>
        <v/>
      </c>
      <c r="G13" s="306" t="str">
        <f t="shared" si="1"/>
        <v/>
      </c>
      <c r="H13" s="307" t="str">
        <f>IF(A5="relevant",IF(Matrix!O27="","",IF(Matrix!O27&gt;(Matrix!C27-Matrix!M27),Berechnung2!$L$60,"")),"")</f>
        <v/>
      </c>
      <c r="I13" s="308" t="str">
        <f>IF(H13="","",VLOOKUP(F13,Berechnung2!$I$15:$J$26,2,FALSE))</f>
        <v/>
      </c>
      <c r="J13" s="309" t="str">
        <f>IF(H13&lt;&gt;"",1,"")</f>
        <v/>
      </c>
      <c r="L13" s="302" t="str">
        <f t="array" aca="1" ref="L13" ca="1">IF(ROW()-ROW($F$2:$F$53)+1&gt;ROWS($E$2:$E$53)-COUNTBLANK($E$2:$E$53),"",INDIRECT(ADDRESS(SMALL((IF($E$2:$E$53&lt;&gt;"",ROW($E$2:$E$53),ROW()+ROWS($E$2:$E$53))),ROW()-ROW($F$2:$F$53)+1),COLUMN($E$2:$E$53),4)))</f>
        <v/>
      </c>
      <c r="M13" s="302" t="str">
        <f t="array" aca="1" ref="M13" ca="1">IF(ROW()-ROW($G$2:$G$53)+1&gt;ROWS($F$2:$F$53)-COUNTBLANK($F$2:$F$53),"",INDIRECT(ADDRESS(SMALL((IF($F$2:$F$53&lt;&gt;"",ROW($F$2:$F$53),ROW()+ROWS($F$2:$F$53))),ROW()-ROW($G$2:$G$53)+1),COLUMN($F$2:$F$53),4)))</f>
        <v/>
      </c>
      <c r="N13" s="302" t="str">
        <f t="array" aca="1" ref="N13" ca="1">IF(ROW()-ROW($H$2:$H$53)+1&gt;ROWS($G$2:$G$53)-COUNTBLANK($G$2:$G$53),"",INDIRECT(ADDRESS(SMALL((IF($G$2:$G$53&lt;&gt;"",ROW($G$2:$G$53),ROW()+ROWS($G$2:$G$53))),ROW()-ROW($H$2:$H$53)+1),COLUMN($G$2:$G$53),4)))</f>
        <v/>
      </c>
      <c r="O13" s="296" t="str">
        <f t="array" aca="1" ref="O13" ca="1">IF(ROW()-ROW($I$2:$I$53)+1&gt;ROWS($H$2:$H$53)-COUNTBLANK($H$2:$H$53),"",INDIRECT(ADDRESS(SMALL((IF($H$2:$H$53&lt;&gt;"",ROW($H$2:$H$53),ROW()+ROWS($H$2:$H$53))),ROW()-ROW($I$2:$I$53)+1),COLUMN($H$2:$H$53),4)))</f>
        <v/>
      </c>
      <c r="P13" s="296" t="str">
        <f t="array" aca="1" ref="P13" ca="1">IF(ROW()-ROW($J$2:$J$53)+1&gt;ROWS($I$2:$I$53)-COUNTBLANK($I$2:$I$53),"",INDIRECT(ADDRESS(SMALL((IF($I$2:$I$53&lt;&gt;"",ROW($I$2:$I$53),ROW()+ROWS($I$2:$I$53))),ROW()-ROW($J$2:$J$53)+1),COLUMN($I$2:$I$53),4)))</f>
        <v/>
      </c>
    </row>
    <row r="14" spans="1:16" x14ac:dyDescent="0.25">
      <c r="D14" s="297" t="s">
        <v>195</v>
      </c>
      <c r="E14" s="298" t="str">
        <f>IF(H14="","","2013")</f>
        <v/>
      </c>
      <c r="F14" s="298" t="str">
        <f>IF(H14="","","c")</f>
        <v/>
      </c>
      <c r="G14" s="298" t="str">
        <f t="shared" si="1"/>
        <v/>
      </c>
      <c r="H14" s="299" t="str">
        <f>IF(A2="relevant",IF(Matrix!U23&lt;Berechnung2!$G$66,Berechnung2!$L$66,""),"")</f>
        <v/>
      </c>
      <c r="I14" s="300" t="str">
        <f>IF(H14="","",VLOOKUP(F14,Berechnung2!$I$15:$J$26,2,FALSE))</f>
        <v/>
      </c>
      <c r="J14" s="301" t="str">
        <f t="shared" si="2"/>
        <v/>
      </c>
      <c r="L14" s="302" t="str">
        <f t="array" aca="1" ref="L14" ca="1">IF(ROW()-ROW($F$2:$F$53)+1&gt;ROWS($E$2:$E$53)-COUNTBLANK($E$2:$E$53),"",INDIRECT(ADDRESS(SMALL((IF($E$2:$E$53&lt;&gt;"",ROW($E$2:$E$53),ROW()+ROWS($E$2:$E$53))),ROW()-ROW($F$2:$F$53)+1),COLUMN($E$2:$E$53),4)))</f>
        <v/>
      </c>
      <c r="M14" s="302" t="str">
        <f t="array" aca="1" ref="M14" ca="1">IF(ROW()-ROW($G$2:$G$53)+1&gt;ROWS($F$2:$F$53)-COUNTBLANK($F$2:$F$53),"",INDIRECT(ADDRESS(SMALL((IF($F$2:$F$53&lt;&gt;"",ROW($F$2:$F$53),ROW()+ROWS($F$2:$F$53))),ROW()-ROW($G$2:$G$53)+1),COLUMN($F$2:$F$53),4)))</f>
        <v/>
      </c>
      <c r="N14" s="302" t="str">
        <f t="array" aca="1" ref="N14" ca="1">IF(ROW()-ROW($H$2:$H$53)+1&gt;ROWS($G$2:$G$53)-COUNTBLANK($G$2:$G$53),"",INDIRECT(ADDRESS(SMALL((IF($G$2:$G$53&lt;&gt;"",ROW($G$2:$G$53),ROW()+ROWS($G$2:$G$53))),ROW()-ROW($H$2:$H$53)+1),COLUMN($G$2:$G$53),4)))</f>
        <v/>
      </c>
      <c r="O14" s="296" t="str">
        <f t="array" aca="1" ref="O14" ca="1">IF(ROW()-ROW($I$2:$I$53)+1&gt;ROWS($H$2:$H$53)-COUNTBLANK($H$2:$H$53),"",INDIRECT(ADDRESS(SMALL((IF($H$2:$H$53&lt;&gt;"",ROW($H$2:$H$53),ROW()+ROWS($H$2:$H$53))),ROW()-ROW($I$2:$I$53)+1),COLUMN($H$2:$H$53),4)))</f>
        <v/>
      </c>
      <c r="P14" s="296" t="str">
        <f t="array" aca="1" ref="P14" ca="1">IF(ROW()-ROW($J$2:$J$53)+1&gt;ROWS($I$2:$I$53)-COUNTBLANK($I$2:$I$53),"",INDIRECT(ADDRESS(SMALL((IF($I$2:$I$53&lt;&gt;"",ROW($I$2:$I$53),ROW()+ROWS($I$2:$I$53))),ROW()-ROW($J$2:$J$53)+1),COLUMN($I$2:$I$53),4)))</f>
        <v/>
      </c>
    </row>
    <row r="15" spans="1:16" x14ac:dyDescent="0.25">
      <c r="D15" s="958" t="s">
        <v>409</v>
      </c>
      <c r="E15" s="302" t="str">
        <f>IF(H15="","","2014")</f>
        <v/>
      </c>
      <c r="F15" s="302" t="str">
        <f>IF(H15="","","c")</f>
        <v/>
      </c>
      <c r="G15" s="302" t="str">
        <f t="shared" si="1"/>
        <v/>
      </c>
      <c r="H15" s="303" t="str">
        <f>IF(A3="relevant",IF(Matrix!U24&lt;Berechnung2!$G$66,Berechnung2!$L$66,""),"")</f>
        <v/>
      </c>
      <c r="I15" s="304" t="str">
        <f>IF(H15="","",VLOOKUP(F15,Berechnung2!$I$15:$J$26,2,FALSE))</f>
        <v/>
      </c>
      <c r="J15" s="305" t="str">
        <f t="shared" si="2"/>
        <v/>
      </c>
      <c r="L15" s="302" t="str">
        <f t="array" aca="1" ref="L15" ca="1">IF(ROW()-ROW($F$2:$F$53)+1&gt;ROWS($E$2:$E$53)-COUNTBLANK($E$2:$E$53),"",INDIRECT(ADDRESS(SMALL((IF($E$2:$E$53&lt;&gt;"",ROW($E$2:$E$53),ROW()+ROWS($E$2:$E$53))),ROW()-ROW($F$2:$F$53)+1),COLUMN($E$2:$E$53),4)))</f>
        <v/>
      </c>
      <c r="M15" s="302" t="str">
        <f t="array" aca="1" ref="M15" ca="1">IF(ROW()-ROW($G$2:$G$53)+1&gt;ROWS($F$2:$F$53)-COUNTBLANK($F$2:$F$53),"",INDIRECT(ADDRESS(SMALL((IF($F$2:$F$53&lt;&gt;"",ROW($F$2:$F$53),ROW()+ROWS($F$2:$F$53))),ROW()-ROW($G$2:$G$53)+1),COLUMN($F$2:$F$53),4)))</f>
        <v/>
      </c>
      <c r="N15" s="302" t="str">
        <f t="array" aca="1" ref="N15" ca="1">IF(ROW()-ROW($H$2:$H$53)+1&gt;ROWS($G$2:$G$53)-COUNTBLANK($G$2:$G$53),"",INDIRECT(ADDRESS(SMALL((IF($G$2:$G$53&lt;&gt;"",ROW($G$2:$G$53),ROW()+ROWS($G$2:$G$53))),ROW()-ROW($H$2:$H$53)+1),COLUMN($G$2:$G$53),4)))</f>
        <v/>
      </c>
      <c r="O15" s="296" t="str">
        <f t="array" aca="1" ref="O15" ca="1">IF(ROW()-ROW($I$2:$I$53)+1&gt;ROWS($H$2:$H$53)-COUNTBLANK($H$2:$H$53),"",INDIRECT(ADDRESS(SMALL((IF($H$2:$H$53&lt;&gt;"",ROW($H$2:$H$53),ROW()+ROWS($H$2:$H$53))),ROW()-ROW($I$2:$I$53)+1),COLUMN($H$2:$H$53),4)))</f>
        <v/>
      </c>
      <c r="P15" s="296" t="str">
        <f t="array" aca="1" ref="P15" ca="1">IF(ROW()-ROW($J$2:$J$53)+1&gt;ROWS($I$2:$I$53)-COUNTBLANK($I$2:$I$53),"",INDIRECT(ADDRESS(SMALL((IF($I$2:$I$53&lt;&gt;"",ROW($I$2:$I$53),ROW()+ROWS($I$2:$I$53))),ROW()-ROW($J$2:$J$53)+1),COLUMN($I$2:$I$53),4)))</f>
        <v/>
      </c>
    </row>
    <row r="16" spans="1:16" x14ac:dyDescent="0.25">
      <c r="D16" s="958"/>
      <c r="E16" s="302" t="str">
        <f>IF(H16="","","2015")</f>
        <v/>
      </c>
      <c r="F16" s="302" t="str">
        <f>IF(H16="","","c")</f>
        <v/>
      </c>
      <c r="G16" s="302" t="str">
        <f t="shared" si="1"/>
        <v/>
      </c>
      <c r="H16" s="303" t="str">
        <f>IF(A4="relevant",IF(Matrix!U25&lt;Berechnung2!$G$66,Berechnung2!$L$66,""),"")</f>
        <v/>
      </c>
      <c r="I16" s="304" t="str">
        <f>IF(H16="","",VLOOKUP(F16,Berechnung2!$I$15:$J$26,2,FALSE))</f>
        <v/>
      </c>
      <c r="J16" s="305" t="str">
        <f t="shared" si="2"/>
        <v/>
      </c>
      <c r="L16" s="302" t="str">
        <f t="array" aca="1" ref="L16" ca="1">IF(ROW()-ROW($F$2:$F$53)+1&gt;ROWS($E$2:$E$53)-COUNTBLANK($E$2:$E$53),"",INDIRECT(ADDRESS(SMALL((IF($E$2:$E$53&lt;&gt;"",ROW($E$2:$E$53),ROW()+ROWS($E$2:$E$53))),ROW()-ROW($F$2:$F$53)+1),COLUMN($E$2:$E$53),4)))</f>
        <v/>
      </c>
      <c r="M16" s="302" t="str">
        <f t="array" aca="1" ref="M16" ca="1">IF(ROW()-ROW($G$2:$G$53)+1&gt;ROWS($F$2:$F$53)-COUNTBLANK($F$2:$F$53),"",INDIRECT(ADDRESS(SMALL((IF($F$2:$F$53&lt;&gt;"",ROW($F$2:$F$53),ROW()+ROWS($F$2:$F$53))),ROW()-ROW($G$2:$G$53)+1),COLUMN($F$2:$F$53),4)))</f>
        <v/>
      </c>
      <c r="N16" s="302" t="str">
        <f t="array" aca="1" ref="N16" ca="1">IF(ROW()-ROW($H$2:$H$53)+1&gt;ROWS($G$2:$G$53)-COUNTBLANK($G$2:$G$53),"",INDIRECT(ADDRESS(SMALL((IF($G$2:$G$53&lt;&gt;"",ROW($G$2:$G$53),ROW()+ROWS($G$2:$G$53))),ROW()-ROW($H$2:$H$53)+1),COLUMN($G$2:$G$53),4)))</f>
        <v/>
      </c>
      <c r="O16" s="296" t="str">
        <f t="array" aca="1" ref="O16" ca="1">IF(ROW()-ROW($I$2:$I$53)+1&gt;ROWS($H$2:$H$53)-COUNTBLANK($H$2:$H$53),"",INDIRECT(ADDRESS(SMALL((IF($H$2:$H$53&lt;&gt;"",ROW($H$2:$H$53),ROW()+ROWS($H$2:$H$53))),ROW()-ROW($I$2:$I$53)+1),COLUMN($H$2:$H$53),4)))</f>
        <v/>
      </c>
      <c r="P16" s="296" t="str">
        <f t="array" aca="1" ref="P16" ca="1">IF(ROW()-ROW($J$2:$J$53)+1&gt;ROWS($I$2:$I$53)-COUNTBLANK($I$2:$I$53),"",INDIRECT(ADDRESS(SMALL((IF($I$2:$I$53&lt;&gt;"",ROW($I$2:$I$53),ROW()+ROWS($I$2:$I$53))),ROW()-ROW($J$2:$J$53)+1),COLUMN($I$2:$I$53),4)))</f>
        <v/>
      </c>
    </row>
    <row r="17" spans="4:16" x14ac:dyDescent="0.25">
      <c r="D17" s="958"/>
      <c r="E17" s="302" t="str">
        <f>IF(H17="","","2016")</f>
        <v/>
      </c>
      <c r="F17" s="302" t="str">
        <f>IF(H17="","","c")</f>
        <v/>
      </c>
      <c r="G17" s="302" t="str">
        <f t="shared" si="1"/>
        <v/>
      </c>
      <c r="H17" s="303" t="str">
        <f>IF(A5="relevant",IF(Matrix!U26&lt;Berechnung2!$G$66,Berechnung2!$L$66,""),"")</f>
        <v/>
      </c>
      <c r="I17" s="304" t="str">
        <f>IF(H17="","",VLOOKUP(F17,Berechnung2!$I$15:$J$26,2,FALSE))</f>
        <v/>
      </c>
      <c r="J17" s="305" t="str">
        <f t="shared" si="2"/>
        <v/>
      </c>
      <c r="L17" s="302" t="str">
        <f t="array" aca="1" ref="L17" ca="1">IF(ROW()-ROW($F$2:$F$53)+1&gt;ROWS($E$2:$E$53)-COUNTBLANK($E$2:$E$53),"",INDIRECT(ADDRESS(SMALL((IF($E$2:$E$53&lt;&gt;"",ROW($E$2:$E$53),ROW()+ROWS($E$2:$E$53))),ROW()-ROW($F$2:$F$53)+1),COLUMN($E$2:$E$53),4)))</f>
        <v/>
      </c>
      <c r="M17" s="302" t="str">
        <f t="array" aca="1" ref="M17" ca="1">IF(ROW()-ROW($G$2:$G$53)+1&gt;ROWS($F$2:$F$53)-COUNTBLANK($F$2:$F$53),"",INDIRECT(ADDRESS(SMALL((IF($F$2:$F$53&lt;&gt;"",ROW($F$2:$F$53),ROW()+ROWS($F$2:$F$53))),ROW()-ROW($G$2:$G$53)+1),COLUMN($F$2:$F$53),4)))</f>
        <v/>
      </c>
      <c r="N17" s="302" t="str">
        <f t="array" aca="1" ref="N17" ca="1">IF(ROW()-ROW($H$2:$H$53)+1&gt;ROWS($G$2:$G$53)-COUNTBLANK($G$2:$G$53),"",INDIRECT(ADDRESS(SMALL((IF($G$2:$G$53&lt;&gt;"",ROW($G$2:$G$53),ROW()+ROWS($G$2:$G$53))),ROW()-ROW($H$2:$H$53)+1),COLUMN($G$2:$G$53),4)))</f>
        <v/>
      </c>
      <c r="O17" s="296" t="str">
        <f t="array" aca="1" ref="O17" ca="1">IF(ROW()-ROW($I$2:$I$53)+1&gt;ROWS($H$2:$H$53)-COUNTBLANK($H$2:$H$53),"",INDIRECT(ADDRESS(SMALL((IF($H$2:$H$53&lt;&gt;"",ROW($H$2:$H$53),ROW()+ROWS($H$2:$H$53))),ROW()-ROW($I$2:$I$53)+1),COLUMN($H$2:$H$53),4)))</f>
        <v/>
      </c>
      <c r="P17" s="296" t="str">
        <f t="array" aca="1" ref="P17" ca="1">IF(ROW()-ROW($J$2:$J$53)+1&gt;ROWS($I$2:$I$53)-COUNTBLANK($I$2:$I$53),"",INDIRECT(ADDRESS(SMALL((IF($I$2:$I$53&lt;&gt;"",ROW($I$2:$I$53),ROW()+ROWS($I$2:$I$53))),ROW()-ROW($J$2:$J$53)+1),COLUMN($I$2:$I$53),4)))</f>
        <v/>
      </c>
    </row>
    <row r="18" spans="4:16" ht="12.75" thickBot="1" x14ac:dyDescent="0.3">
      <c r="D18" s="310" t="s">
        <v>355</v>
      </c>
      <c r="E18" s="302" t="str">
        <f>IF(H18="","","2017")</f>
        <v/>
      </c>
      <c r="F18" s="306" t="str">
        <f>IF(H18="","","c")</f>
        <v/>
      </c>
      <c r="G18" s="306" t="str">
        <f t="shared" si="1"/>
        <v/>
      </c>
      <c r="H18" s="307" t="str">
        <f>IF(A6="relevant",IF(Matrix!U27&lt;Berechnung2!$G$66,Berechnung2!$L$66,""),"")</f>
        <v/>
      </c>
      <c r="I18" s="308" t="str">
        <f>IF(H18="","",VLOOKUP(F18,Berechnung2!$I$15:$J$26,2,FALSE))</f>
        <v/>
      </c>
      <c r="J18" s="309" t="str">
        <f t="shared" si="2"/>
        <v/>
      </c>
      <c r="L18" s="302" t="str">
        <f t="array" aca="1" ref="L18" ca="1">IF(ROW()-ROW($F$2:$F$53)+1&gt;ROWS($E$2:$E$53)-COUNTBLANK($E$2:$E$53),"",INDIRECT(ADDRESS(SMALL((IF($E$2:$E$53&lt;&gt;"",ROW($E$2:$E$53),ROW()+ROWS($E$2:$E$53))),ROW()-ROW($F$2:$F$53)+1),COLUMN($E$2:$E$53),4)))</f>
        <v/>
      </c>
      <c r="M18" s="302" t="str">
        <f t="array" aca="1" ref="M18" ca="1">IF(ROW()-ROW($G$2:$G$53)+1&gt;ROWS($F$2:$F$53)-COUNTBLANK($F$2:$F$53),"",INDIRECT(ADDRESS(SMALL((IF($F$2:$F$53&lt;&gt;"",ROW($F$2:$F$53),ROW()+ROWS($F$2:$F$53))),ROW()-ROW($G$2:$G$53)+1),COLUMN($F$2:$F$53),4)))</f>
        <v/>
      </c>
      <c r="N18" s="302" t="str">
        <f t="array" aca="1" ref="N18" ca="1">IF(ROW()-ROW($H$2:$H$53)+1&gt;ROWS($G$2:$G$53)-COUNTBLANK($G$2:$G$53),"",INDIRECT(ADDRESS(SMALL((IF($G$2:$G$53&lt;&gt;"",ROW($G$2:$G$53),ROW()+ROWS($G$2:$G$53))),ROW()-ROW($H$2:$H$53)+1),COLUMN($G$2:$G$53),4)))</f>
        <v/>
      </c>
      <c r="O18" s="296" t="str">
        <f t="array" aca="1" ref="O18" ca="1">IF(ROW()-ROW($I$2:$I$53)+1&gt;ROWS($H$2:$H$53)-COUNTBLANK($H$2:$H$53),"",INDIRECT(ADDRESS(SMALL((IF($H$2:$H$53&lt;&gt;"",ROW($H$2:$H$53),ROW()+ROWS($H$2:$H$53))),ROW()-ROW($I$2:$I$53)+1),COLUMN($H$2:$H$53),4)))</f>
        <v/>
      </c>
      <c r="P18" s="296" t="str">
        <f t="array" aca="1" ref="P18" ca="1">IF(ROW()-ROW($J$2:$J$53)+1&gt;ROWS($I$2:$I$53)-COUNTBLANK($I$2:$I$53),"",INDIRECT(ADDRESS(SMALL((IF($I$2:$I$53&lt;&gt;"",ROW($I$2:$I$53),ROW()+ROWS($I$2:$I$53))),ROW()-ROW($J$2:$J$53)+1),COLUMN($I$2:$I$53),4)))</f>
        <v/>
      </c>
    </row>
    <row r="19" spans="4:16" x14ac:dyDescent="0.25">
      <c r="D19" s="297" t="s">
        <v>195</v>
      </c>
      <c r="E19" s="298" t="str">
        <f>IF(H19="","","2013")</f>
        <v/>
      </c>
      <c r="F19" s="298" t="str">
        <f>IF(H19="","","d")</f>
        <v/>
      </c>
      <c r="G19" s="298" t="str">
        <f t="shared" si="1"/>
        <v/>
      </c>
      <c r="H19" s="299" t="str">
        <f>IF(A2="relevant",IF(AND(Matrix!W23="",Matrix!X23="",Matrix!Y23="",Matrix!Z23=""),"",IF(Matrix!W23&lt;MAX(Matrix!X23:Z23),Berechnung2!$L$64,"")),"")</f>
        <v/>
      </c>
      <c r="I19" s="300" t="str">
        <f>IF(H19="","",VLOOKUP(F19,Berechnung2!$I$15:$J$26,2,FALSE))</f>
        <v/>
      </c>
      <c r="J19" s="301" t="str">
        <f t="shared" si="2"/>
        <v/>
      </c>
      <c r="L19" s="302" t="str">
        <f t="array" aca="1" ref="L19" ca="1">IF(ROW()-ROW($F$2:$F$53)+1&gt;ROWS($E$2:$E$53)-COUNTBLANK($E$2:$E$53),"",INDIRECT(ADDRESS(SMALL((IF($E$2:$E$53&lt;&gt;"",ROW($E$2:$E$53),ROW()+ROWS($E$2:$E$53))),ROW()-ROW($F$2:$F$53)+1),COLUMN($E$2:$E$53),4)))</f>
        <v/>
      </c>
      <c r="M19" s="302" t="str">
        <f t="array" aca="1" ref="M19" ca="1">IF(ROW()-ROW($G$2:$G$53)+1&gt;ROWS($F$2:$F$53)-COUNTBLANK($F$2:$F$53),"",INDIRECT(ADDRESS(SMALL((IF($F$2:$F$53&lt;&gt;"",ROW($F$2:$F$53),ROW()+ROWS($F$2:$F$53))),ROW()-ROW($G$2:$G$53)+1),COLUMN($F$2:$F$53),4)))</f>
        <v/>
      </c>
      <c r="N19" s="302" t="str">
        <f t="array" aca="1" ref="N19" ca="1">IF(ROW()-ROW($H$2:$H$53)+1&gt;ROWS($G$2:$G$53)-COUNTBLANK($G$2:$G$53),"",INDIRECT(ADDRESS(SMALL((IF($G$2:$G$53&lt;&gt;"",ROW($G$2:$G$53),ROW()+ROWS($G$2:$G$53))),ROW()-ROW($H$2:$H$53)+1),COLUMN($G$2:$G$53),4)))</f>
        <v/>
      </c>
      <c r="O19" s="296" t="str">
        <f t="array" aca="1" ref="O19" ca="1">IF(ROW()-ROW($I$2:$I$53)+1&gt;ROWS($H$2:$H$53)-COUNTBLANK($H$2:$H$53),"",INDIRECT(ADDRESS(SMALL((IF($H$2:$H$53&lt;&gt;"",ROW($H$2:$H$53),ROW()+ROWS($H$2:$H$53))),ROW()-ROW($I$2:$I$53)+1),COLUMN($H$2:$H$53),4)))</f>
        <v/>
      </c>
      <c r="P19" s="296" t="str">
        <f t="array" aca="1" ref="P19" ca="1">IF(ROW()-ROW($J$2:$J$53)+1&gt;ROWS($I$2:$I$53)-COUNTBLANK($I$2:$I$53),"",INDIRECT(ADDRESS(SMALL((IF($I$2:$I$53&lt;&gt;"",ROW($I$2:$I$53),ROW()+ROWS($I$2:$I$53))),ROW()-ROW($J$2:$J$53)+1),COLUMN($I$2:$I$53),4)))</f>
        <v/>
      </c>
    </row>
    <row r="20" spans="4:16" x14ac:dyDescent="0.25">
      <c r="D20" s="958" t="s">
        <v>408</v>
      </c>
      <c r="E20" s="302" t="str">
        <f>IF(H20="","","2014")</f>
        <v/>
      </c>
      <c r="F20" s="302" t="str">
        <f>IF(H20="","","d")</f>
        <v/>
      </c>
      <c r="G20" s="302" t="str">
        <f t="shared" si="1"/>
        <v/>
      </c>
      <c r="H20" s="303" t="str">
        <f>IF(A3="relevant",IF(AND(Matrix!W24="",Matrix!X24="",Matrix!Y24="",Matrix!Z24=""),"",IF(Matrix!W24&lt;MAX(Matrix!X24:Z24),Berechnung2!$L$64,"")),"")</f>
        <v/>
      </c>
      <c r="I20" s="304" t="str">
        <f>IF(H20="","",VLOOKUP(F20,Berechnung2!$I$15:$J$26,2,FALSE))</f>
        <v/>
      </c>
      <c r="J20" s="305" t="str">
        <f t="shared" si="2"/>
        <v/>
      </c>
      <c r="L20" s="302" t="str">
        <f t="array" aca="1" ref="L20" ca="1">IF(ROW()-ROW($F$2:$F$53)+1&gt;ROWS($E$2:$E$53)-COUNTBLANK($E$2:$E$53),"",INDIRECT(ADDRESS(SMALL((IF($E$2:$E$53&lt;&gt;"",ROW($E$2:$E$53),ROW()+ROWS($E$2:$E$53))),ROW()-ROW($F$2:$F$53)+1),COLUMN($E$2:$E$53),4)))</f>
        <v/>
      </c>
      <c r="M20" s="302" t="str">
        <f t="array" aca="1" ref="M20" ca="1">IF(ROW()-ROW($G$2:$G$53)+1&gt;ROWS($F$2:$F$53)-COUNTBLANK($F$2:$F$53),"",INDIRECT(ADDRESS(SMALL((IF($F$2:$F$53&lt;&gt;"",ROW($F$2:$F$53),ROW()+ROWS($F$2:$F$53))),ROW()-ROW($G$2:$G$53)+1),COLUMN($F$2:$F$53),4)))</f>
        <v/>
      </c>
      <c r="N20" s="302" t="str">
        <f t="array" aca="1" ref="N20" ca="1">IF(ROW()-ROW($H$2:$H$53)+1&gt;ROWS($G$2:$G$53)-COUNTBLANK($G$2:$G$53),"",INDIRECT(ADDRESS(SMALL((IF($G$2:$G$53&lt;&gt;"",ROW($G$2:$G$53),ROW()+ROWS($G$2:$G$53))),ROW()-ROW($H$2:$H$53)+1),COLUMN($G$2:$G$53),4)))</f>
        <v/>
      </c>
      <c r="O20" s="296" t="str">
        <f t="array" aca="1" ref="O20" ca="1">IF(ROW()-ROW($I$2:$I$53)+1&gt;ROWS($H$2:$H$53)-COUNTBLANK($H$2:$H$53),"",INDIRECT(ADDRESS(SMALL((IF($H$2:$H$53&lt;&gt;"",ROW($H$2:$H$53),ROW()+ROWS($H$2:$H$53))),ROW()-ROW($I$2:$I$53)+1),COLUMN($H$2:$H$53),4)))</f>
        <v/>
      </c>
      <c r="P20" s="296" t="str">
        <f t="array" aca="1" ref="P20" ca="1">IF(ROW()-ROW($J$2:$J$53)+1&gt;ROWS($I$2:$I$53)-COUNTBLANK($I$2:$I$53),"",INDIRECT(ADDRESS(SMALL((IF($I$2:$I$53&lt;&gt;"",ROW($I$2:$I$53),ROW()+ROWS($I$2:$I$53))),ROW()-ROW($J$2:$J$53)+1),COLUMN($I$2:$I$53),4)))</f>
        <v/>
      </c>
    </row>
    <row r="21" spans="4:16" x14ac:dyDescent="0.25">
      <c r="D21" s="958"/>
      <c r="E21" s="302" t="str">
        <f>IF(H21="","","2015")</f>
        <v/>
      </c>
      <c r="F21" s="302" t="str">
        <f>IF(H21="","","d")</f>
        <v/>
      </c>
      <c r="G21" s="302" t="str">
        <f t="shared" si="1"/>
        <v/>
      </c>
      <c r="H21" s="303" t="str">
        <f>IF(A4="relevant",IF(AND(Matrix!W25="",Matrix!X25="",Matrix!Y25="",Matrix!Z25=""),"",IF(Matrix!W25&lt;MAX(Matrix!X25:Z25),Berechnung2!$L$64,"")),"")</f>
        <v/>
      </c>
      <c r="I21" s="304" t="str">
        <f>IF(H21="","",VLOOKUP(F21,Berechnung2!$I$15:$J$26,2,FALSE))</f>
        <v/>
      </c>
      <c r="J21" s="305" t="str">
        <f t="shared" si="2"/>
        <v/>
      </c>
      <c r="L21" s="302" t="str">
        <f t="array" aca="1" ref="L21" ca="1">IF(ROW()-ROW($F$2:$F$53)+1&gt;ROWS($E$2:$E$53)-COUNTBLANK($E$2:$E$53),"",INDIRECT(ADDRESS(SMALL((IF($E$2:$E$53&lt;&gt;"",ROW($E$2:$E$53),ROW()+ROWS($E$2:$E$53))),ROW()-ROW($F$2:$F$53)+1),COLUMN($E$2:$E$53),4)))</f>
        <v/>
      </c>
      <c r="M21" s="302" t="str">
        <f t="array" aca="1" ref="M21" ca="1">IF(ROW()-ROW($G$2:$G$53)+1&gt;ROWS($F$2:$F$53)-COUNTBLANK($F$2:$F$53),"",INDIRECT(ADDRESS(SMALL((IF($F$2:$F$53&lt;&gt;"",ROW($F$2:$F$53),ROW()+ROWS($F$2:$F$53))),ROW()-ROW($G$2:$G$53)+1),COLUMN($F$2:$F$53),4)))</f>
        <v/>
      </c>
      <c r="N21" s="302" t="str">
        <f t="array" aca="1" ref="N21" ca="1">IF(ROW()-ROW($H$2:$H$53)+1&gt;ROWS($G$2:$G$53)-COUNTBLANK($G$2:$G$53),"",INDIRECT(ADDRESS(SMALL((IF($G$2:$G$53&lt;&gt;"",ROW($G$2:$G$53),ROW()+ROWS($G$2:$G$53))),ROW()-ROW($H$2:$H$53)+1),COLUMN($G$2:$G$53),4)))</f>
        <v/>
      </c>
      <c r="O21" s="296" t="str">
        <f t="array" aca="1" ref="O21" ca="1">IF(ROW()-ROW($I$2:$I$53)+1&gt;ROWS($H$2:$H$53)-COUNTBLANK($H$2:$H$53),"",INDIRECT(ADDRESS(SMALL((IF($H$2:$H$53&lt;&gt;"",ROW($H$2:$H$53),ROW()+ROWS($H$2:$H$53))),ROW()-ROW($I$2:$I$53)+1),COLUMN($H$2:$H$53),4)))</f>
        <v/>
      </c>
      <c r="P21" s="296" t="str">
        <f t="array" aca="1" ref="P21" ca="1">IF(ROW()-ROW($J$2:$J$53)+1&gt;ROWS($I$2:$I$53)-COUNTBLANK($I$2:$I$53),"",INDIRECT(ADDRESS(SMALL((IF($I$2:$I$53&lt;&gt;"",ROW($I$2:$I$53),ROW()+ROWS($I$2:$I$53))),ROW()-ROW($J$2:$J$53)+1),COLUMN($I$2:$I$53),4)))</f>
        <v/>
      </c>
    </row>
    <row r="22" spans="4:16" x14ac:dyDescent="0.25">
      <c r="D22" s="958"/>
      <c r="E22" s="302" t="str">
        <f>IF(H22="","","2016")</f>
        <v/>
      </c>
      <c r="F22" s="302" t="str">
        <f>IF(H22="","","d")</f>
        <v/>
      </c>
      <c r="G22" s="302" t="str">
        <f t="shared" si="1"/>
        <v/>
      </c>
      <c r="H22" s="303" t="str">
        <f>IF(A5="relevant",IF(AND(Matrix!W26="",Matrix!X26="",Matrix!Y26="",Matrix!Z26=""),"",IF(Matrix!W26&lt;MAX(Matrix!X26:Z26),Berechnung2!$L$64,"")),"")</f>
        <v/>
      </c>
      <c r="I22" s="304" t="str">
        <f>IF(H22="","",VLOOKUP(F22,Berechnung2!$I$15:$J$26,2,FALSE))</f>
        <v/>
      </c>
      <c r="J22" s="305" t="str">
        <f t="shared" si="2"/>
        <v/>
      </c>
      <c r="L22" s="302" t="str">
        <f t="array" aca="1" ref="L22" ca="1">IF(ROW()-ROW($F$2:$F$53)+1&gt;ROWS($E$2:$E$53)-COUNTBLANK($E$2:$E$53),"",INDIRECT(ADDRESS(SMALL((IF($E$2:$E$53&lt;&gt;"",ROW($E$2:$E$53),ROW()+ROWS($E$2:$E$53))),ROW()-ROW($F$2:$F$53)+1),COLUMN($E$2:$E$53),4)))</f>
        <v/>
      </c>
      <c r="M22" s="302" t="str">
        <f t="array" aca="1" ref="M22" ca="1">IF(ROW()-ROW($G$2:$G$53)+1&gt;ROWS($F$2:$F$53)-COUNTBLANK($F$2:$F$53),"",INDIRECT(ADDRESS(SMALL((IF($F$2:$F$53&lt;&gt;"",ROW($F$2:$F$53),ROW()+ROWS($F$2:$F$53))),ROW()-ROW($G$2:$G$53)+1),COLUMN($F$2:$F$53),4)))</f>
        <v/>
      </c>
      <c r="N22" s="302" t="str">
        <f t="array" aca="1" ref="N22" ca="1">IF(ROW()-ROW($H$2:$H$53)+1&gt;ROWS($G$2:$G$53)-COUNTBLANK($G$2:$G$53),"",INDIRECT(ADDRESS(SMALL((IF($G$2:$G$53&lt;&gt;"",ROW($G$2:$G$53),ROW()+ROWS($G$2:$G$53))),ROW()-ROW($H$2:$H$53)+1),COLUMN($G$2:$G$53),4)))</f>
        <v/>
      </c>
      <c r="O22" s="296" t="str">
        <f t="array" aca="1" ref="O22" ca="1">IF(ROW()-ROW($I$2:$I$53)+1&gt;ROWS($H$2:$H$53)-COUNTBLANK($H$2:$H$53),"",INDIRECT(ADDRESS(SMALL((IF($H$2:$H$53&lt;&gt;"",ROW($H$2:$H$53),ROW()+ROWS($H$2:$H$53))),ROW()-ROW($I$2:$I$53)+1),COLUMN($H$2:$H$53),4)))</f>
        <v/>
      </c>
      <c r="P22" s="296" t="str">
        <f t="array" aca="1" ref="P22" ca="1">IF(ROW()-ROW($J$2:$J$53)+1&gt;ROWS($I$2:$I$53)-COUNTBLANK($I$2:$I$53),"",INDIRECT(ADDRESS(SMALL((IF($I$2:$I$53&lt;&gt;"",ROW($I$2:$I$53),ROW()+ROWS($I$2:$I$53))),ROW()-ROW($J$2:$J$53)+1),COLUMN($I$2:$I$53),4)))</f>
        <v/>
      </c>
    </row>
    <row r="23" spans="4:16" ht="12.75" thickBot="1" x14ac:dyDescent="0.3">
      <c r="D23" s="310" t="s">
        <v>356</v>
      </c>
      <c r="E23" s="302" t="str">
        <f>IF(H23="","","2017")</f>
        <v/>
      </c>
      <c r="F23" s="306" t="str">
        <f>IF(H23="","","d")</f>
        <v/>
      </c>
      <c r="G23" s="306" t="str">
        <f t="shared" si="1"/>
        <v/>
      </c>
      <c r="H23" s="307" t="str">
        <f>IF(A5="relevant",IF(AND(Matrix!W27="",Matrix!X27="",Matrix!Y27="",Matrix!Z27=""),"",IF(Matrix!W27&lt;MAX(Matrix!X27:Z27),Berechnung2!$L$64,"")),"")</f>
        <v/>
      </c>
      <c r="I23" s="308" t="str">
        <f>IF(H23="","",VLOOKUP(F23,Berechnung2!$I$15:$J$26,2,FALSE))</f>
        <v/>
      </c>
      <c r="J23" s="309" t="str">
        <f t="shared" si="2"/>
        <v/>
      </c>
      <c r="L23" s="302" t="str">
        <f t="array" aca="1" ref="L23" ca="1">IF(ROW()-ROW($F$2:$F$53)+1&gt;ROWS($E$2:$E$53)-COUNTBLANK($E$2:$E$53),"",INDIRECT(ADDRESS(SMALL((IF($E$2:$E$53&lt;&gt;"",ROW($E$2:$E$53),ROW()+ROWS($E$2:$E$53))),ROW()-ROW($F$2:$F$53)+1),COLUMN($E$2:$E$53),4)))</f>
        <v/>
      </c>
      <c r="M23" s="302" t="str">
        <f t="array" aca="1" ref="M23" ca="1">IF(ROW()-ROW($G$2:$G$53)+1&gt;ROWS($F$2:$F$53)-COUNTBLANK($F$2:$F$53),"",INDIRECT(ADDRESS(SMALL((IF($F$2:$F$53&lt;&gt;"",ROW($F$2:$F$53),ROW()+ROWS($F$2:$F$53))),ROW()-ROW($G$2:$G$53)+1),COLUMN($F$2:$F$53),4)))</f>
        <v/>
      </c>
      <c r="N23" s="302" t="str">
        <f t="array" aca="1" ref="N23" ca="1">IF(ROW()-ROW($H$2:$H$53)+1&gt;ROWS($G$2:$G$53)-COUNTBLANK($G$2:$G$53),"",INDIRECT(ADDRESS(SMALL((IF($G$2:$G$53&lt;&gt;"",ROW($G$2:$G$53),ROW()+ROWS($G$2:$G$53))),ROW()-ROW($H$2:$H$53)+1),COLUMN($G$2:$G$53),4)))</f>
        <v/>
      </c>
      <c r="O23" s="296" t="str">
        <f t="array" aca="1" ref="O23" ca="1">IF(ROW()-ROW($I$2:$I$53)+1&gt;ROWS($H$2:$H$53)-COUNTBLANK($H$2:$H$53),"",INDIRECT(ADDRESS(SMALL((IF($H$2:$H$53&lt;&gt;"",ROW($H$2:$H$53),ROW()+ROWS($H$2:$H$53))),ROW()-ROW($I$2:$I$53)+1),COLUMN($H$2:$H$53),4)))</f>
        <v/>
      </c>
      <c r="P23" s="296" t="str">
        <f t="array" aca="1" ref="P23" ca="1">IF(ROW()-ROW($J$2:$J$53)+1&gt;ROWS($I$2:$I$53)-COUNTBLANK($I$2:$I$53),"",INDIRECT(ADDRESS(SMALL((IF($I$2:$I$53&lt;&gt;"",ROW($I$2:$I$53),ROW()+ROWS($I$2:$I$53))),ROW()-ROW($J$2:$J$53)+1),COLUMN($I$2:$I$53),4)))</f>
        <v/>
      </c>
    </row>
    <row r="24" spans="4:16" ht="34.5" thickBot="1" x14ac:dyDescent="0.3">
      <c r="D24" s="311" t="s">
        <v>357</v>
      </c>
      <c r="E24" s="312" t="str">
        <f>IF(H24="","","2015-2017")</f>
        <v/>
      </c>
      <c r="F24" s="312" t="str">
        <f>IF(H24="","","e")</f>
        <v/>
      </c>
      <c r="G24" s="312" t="str">
        <f>IF(H24="","","5")</f>
        <v/>
      </c>
      <c r="H24" s="313" t="str">
        <f>IF(OR(Matrix!$S$31="-----",Matrix!$S$31=""),"",IF(Matrix!S31="",0,IF(AND(ROUND(Matrix!S31,4)&gt;=Berechnung2!G62,ROUND(Matrix!S31,4)&lt;Berechnung2!J62),Berechnung2!L62,"")))</f>
        <v/>
      </c>
      <c r="I24" s="314" t="str">
        <f>IF(H24="","",VLOOKUP(F24,Berechnung2!$I$15:$J$26,2,FALSE))</f>
        <v/>
      </c>
      <c r="J24" s="315" t="str">
        <f t="shared" si="2"/>
        <v/>
      </c>
      <c r="L24" s="302" t="str">
        <f t="array" aca="1" ref="L24" ca="1">IF(ROW()-ROW($F$2:$F$53)+1&gt;ROWS($E$2:$E$53)-COUNTBLANK($E$2:$E$53),"",INDIRECT(ADDRESS(SMALL((IF($E$2:$E$53&lt;&gt;"",ROW($E$2:$E$53),ROW()+ROWS($E$2:$E$53))),ROW()-ROW($F$2:$F$53)+1),COLUMN($E$2:$E$53),4)))</f>
        <v/>
      </c>
      <c r="M24" s="302" t="str">
        <f t="array" aca="1" ref="M24" ca="1">IF(ROW()-ROW($G$2:$G$53)+1&gt;ROWS($F$2:$F$53)-COUNTBLANK($F$2:$F$53),"",INDIRECT(ADDRESS(SMALL((IF($F$2:$F$53&lt;&gt;"",ROW($F$2:$F$53),ROW()+ROWS($F$2:$F$53))),ROW()-ROW($G$2:$G$53)+1),COLUMN($F$2:$F$53),4)))</f>
        <v/>
      </c>
      <c r="N24" s="302" t="str">
        <f t="array" aca="1" ref="N24" ca="1">IF(ROW()-ROW($H$2:$H$53)+1&gt;ROWS($G$2:$G$53)-COUNTBLANK($G$2:$G$53),"",INDIRECT(ADDRESS(SMALL((IF($G$2:$G$53&lt;&gt;"",ROW($G$2:$G$53),ROW()+ROWS($G$2:$G$53))),ROW()-ROW($H$2:$H$53)+1),COLUMN($G$2:$G$53),4)))</f>
        <v/>
      </c>
      <c r="O24" s="296" t="str">
        <f t="array" aca="1" ref="O24" ca="1">IF(ROW()-ROW($I$2:$I$53)+1&gt;ROWS($H$2:$H$53)-COUNTBLANK($H$2:$H$53),"",INDIRECT(ADDRESS(SMALL((IF($H$2:$H$53&lt;&gt;"",ROW($H$2:$H$53),ROW()+ROWS($H$2:$H$53))),ROW()-ROW($I$2:$I$53)+1),COLUMN($H$2:$H$53),4)))</f>
        <v/>
      </c>
      <c r="P24" s="296" t="str">
        <f t="array" aca="1" ref="P24" ca="1">IF(ROW()-ROW($J$2:$J$53)+1&gt;ROWS($I$2:$I$53)-COUNTBLANK($I$2:$I$53),"",INDIRECT(ADDRESS(SMALL((IF($I$2:$I$53&lt;&gt;"",ROW($I$2:$I$53),ROW()+ROWS($I$2:$I$53))),ROW()-ROW($J$2:$J$53)+1),COLUMN($I$2:$I$53),4)))</f>
        <v/>
      </c>
    </row>
    <row r="25" spans="4:16" x14ac:dyDescent="0.25">
      <c r="D25" s="316" t="s">
        <v>185</v>
      </c>
      <c r="E25" s="298" t="str">
        <f>IF(H25="","","2013")</f>
        <v/>
      </c>
      <c r="F25" s="298" t="str">
        <f t="shared" ref="F25:F31" si="6">IF(H25="","","f")</f>
        <v/>
      </c>
      <c r="G25" s="298" t="str">
        <f>IF(H25="","","6")</f>
        <v/>
      </c>
      <c r="H25" s="299" t="str">
        <f>IF(A2="relevant",IF(Matrix!C23="","",IF(Matrix!C23&lt;Berechnung2!$G$59,Berechnung2!$L$59,"")),"")</f>
        <v/>
      </c>
      <c r="I25" s="300" t="str">
        <f>IF(H25="","",VLOOKUP(F25,Berechnung2!$I$15:$J$26,2,FALSE))</f>
        <v/>
      </c>
      <c r="J25" s="301" t="str">
        <f t="shared" si="2"/>
        <v/>
      </c>
      <c r="L25" s="302" t="str">
        <f t="array" aca="1" ref="L25" ca="1">IF(ROW()-ROW($F$2:$F$53)+1&gt;ROWS($E$2:$E$53)-COUNTBLANK($E$2:$E$53),"",INDIRECT(ADDRESS(SMALL((IF($E$2:$E$53&lt;&gt;"",ROW($E$2:$E$53),ROW()+ROWS($E$2:$E$53))),ROW()-ROW($F$2:$F$53)+1),COLUMN($E$2:$E$53),4)))</f>
        <v/>
      </c>
      <c r="M25" s="302" t="str">
        <f t="array" aca="1" ref="M25" ca="1">IF(ROW()-ROW($G$2:$G$53)+1&gt;ROWS($F$2:$F$53)-COUNTBLANK($F$2:$F$53),"",INDIRECT(ADDRESS(SMALL((IF($F$2:$F$53&lt;&gt;"",ROW($F$2:$F$53),ROW()+ROWS($F$2:$F$53))),ROW()-ROW($G$2:$G$53)+1),COLUMN($F$2:$F$53),4)))</f>
        <v/>
      </c>
      <c r="N25" s="302" t="str">
        <f t="array" aca="1" ref="N25" ca="1">IF(ROW()-ROW($H$2:$H$53)+1&gt;ROWS($G$2:$G$53)-COUNTBLANK($G$2:$G$53),"",INDIRECT(ADDRESS(SMALL((IF($G$2:$G$53&lt;&gt;"",ROW($G$2:$G$53),ROW()+ROWS($G$2:$G$53))),ROW()-ROW($H$2:$H$53)+1),COLUMN($G$2:$G$53),4)))</f>
        <v/>
      </c>
      <c r="O25" s="296" t="str">
        <f t="array" aca="1" ref="O25" ca="1">IF(ROW()-ROW($I$2:$I$53)+1&gt;ROWS($H$2:$H$53)-COUNTBLANK($H$2:$H$53),"",INDIRECT(ADDRESS(SMALL((IF($H$2:$H$53&lt;&gt;"",ROW($H$2:$H$53),ROW()+ROWS($H$2:$H$53))),ROW()-ROW($I$2:$I$53)+1),COLUMN($H$2:$H$53),4)))</f>
        <v/>
      </c>
      <c r="P25" s="296" t="str">
        <f t="array" aca="1" ref="P25" ca="1">IF(ROW()-ROW($J$2:$J$53)+1&gt;ROWS($I$2:$I$53)-COUNTBLANK($I$2:$I$53),"",INDIRECT(ADDRESS(SMALL((IF($I$2:$I$53&lt;&gt;"",ROW($I$2:$I$53),ROW()+ROWS($I$2:$I$53))),ROW()-ROW($J$2:$J$53)+1),COLUMN($I$2:$I$53),4)))</f>
        <v/>
      </c>
    </row>
    <row r="26" spans="4:16" x14ac:dyDescent="0.25">
      <c r="D26" s="955" t="s">
        <v>241</v>
      </c>
      <c r="E26" s="302" t="str">
        <f>IF(H26="","","2014")</f>
        <v/>
      </c>
      <c r="F26" s="302" t="str">
        <f t="shared" si="6"/>
        <v/>
      </c>
      <c r="G26" s="302" t="str">
        <f t="shared" ref="G26:G52" si="7">IF(H26="","","6")</f>
        <v/>
      </c>
      <c r="H26" s="303" t="str">
        <f>IF(A3="relevant",IF(Matrix!C24="","",IF(Matrix!C24&lt;Berechnung2!$G$59,Berechnung2!$L$59,"")),"")</f>
        <v/>
      </c>
      <c r="I26" s="304" t="str">
        <f>IF(H26="","",VLOOKUP(F26,Berechnung2!$I$15:$J$26,2,FALSE))</f>
        <v/>
      </c>
      <c r="J26" s="305" t="str">
        <f t="shared" si="2"/>
        <v/>
      </c>
      <c r="L26" s="302" t="str">
        <f t="array" aca="1" ref="L26" ca="1">IF(ROW()-ROW($F$2:$F$53)+1&gt;ROWS($E$2:$E$53)-COUNTBLANK($E$2:$E$53),"",INDIRECT(ADDRESS(SMALL((IF($E$2:$E$53&lt;&gt;"",ROW($E$2:$E$53),ROW()+ROWS($E$2:$E$53))),ROW()-ROW($F$2:$F$53)+1),COLUMN($E$2:$E$53),4)))</f>
        <v/>
      </c>
      <c r="M26" s="302" t="str">
        <f t="array" aca="1" ref="M26" ca="1">IF(ROW()-ROW($G$2:$G$53)+1&gt;ROWS($F$2:$F$53)-COUNTBLANK($F$2:$F$53),"",INDIRECT(ADDRESS(SMALL((IF($F$2:$F$53&lt;&gt;"",ROW($F$2:$F$53),ROW()+ROWS($F$2:$F$53))),ROW()-ROW($G$2:$G$53)+1),COLUMN($F$2:$F$53),4)))</f>
        <v/>
      </c>
      <c r="N26" s="302" t="str">
        <f t="array" aca="1" ref="N26" ca="1">IF(ROW()-ROW($H$2:$H$53)+1&gt;ROWS($G$2:$G$53)-COUNTBLANK($G$2:$G$53),"",INDIRECT(ADDRESS(SMALL((IF($G$2:$G$53&lt;&gt;"",ROW($G$2:$G$53),ROW()+ROWS($G$2:$G$53))),ROW()-ROW($H$2:$H$53)+1),COLUMN($G$2:$G$53),4)))</f>
        <v/>
      </c>
      <c r="O26" s="296" t="str">
        <f t="array" aca="1" ref="O26" ca="1">IF(ROW()-ROW($I$2:$I$53)+1&gt;ROWS($H$2:$H$53)-COUNTBLANK($H$2:$H$53),"",INDIRECT(ADDRESS(SMALL((IF($H$2:$H$53&lt;&gt;"",ROW($H$2:$H$53),ROW()+ROWS($H$2:$H$53))),ROW()-ROW($I$2:$I$53)+1),COLUMN($H$2:$H$53),4)))</f>
        <v/>
      </c>
      <c r="P26" s="296" t="str">
        <f t="array" aca="1" ref="P26" ca="1">IF(ROW()-ROW($J$2:$J$53)+1&gt;ROWS($I$2:$I$53)-COUNTBLANK($I$2:$I$53),"",INDIRECT(ADDRESS(SMALL((IF($I$2:$I$53&lt;&gt;"",ROW($I$2:$I$53),ROW()+ROWS($I$2:$I$53))),ROW()-ROW($J$2:$J$53)+1),COLUMN($I$2:$I$53),4)))</f>
        <v/>
      </c>
    </row>
    <row r="27" spans="4:16" x14ac:dyDescent="0.25">
      <c r="D27" s="955"/>
      <c r="E27" s="302" t="str">
        <f>IF(H27="","","2015")</f>
        <v/>
      </c>
      <c r="F27" s="302" t="str">
        <f t="shared" si="6"/>
        <v/>
      </c>
      <c r="G27" s="302" t="str">
        <f t="shared" si="7"/>
        <v/>
      </c>
      <c r="H27" s="303" t="str">
        <f>IF(A4="relevant",IF(Matrix!C25="","",IF(Matrix!C25&lt;Berechnung2!$G$59,Berechnung2!$L$59,"")),"")</f>
        <v/>
      </c>
      <c r="I27" s="304" t="str">
        <f>IF(H27="","",VLOOKUP(F27,Berechnung2!$I$15:$J$26,2,FALSE))</f>
        <v/>
      </c>
      <c r="J27" s="305" t="str">
        <f t="shared" si="2"/>
        <v/>
      </c>
      <c r="L27" s="302" t="str">
        <f t="array" aca="1" ref="L27" ca="1">IF(ROW()-ROW($F$2:$F$53)+1&gt;ROWS($E$2:$E$53)-COUNTBLANK($E$2:$E$53),"",INDIRECT(ADDRESS(SMALL((IF($E$2:$E$53&lt;&gt;"",ROW($E$2:$E$53),ROW()+ROWS($E$2:$E$53))),ROW()-ROW($F$2:$F$53)+1),COLUMN($E$2:$E$53),4)))</f>
        <v/>
      </c>
      <c r="M27" s="302" t="str">
        <f t="array" aca="1" ref="M27" ca="1">IF(ROW()-ROW($G$2:$G$53)+1&gt;ROWS($F$2:$F$53)-COUNTBLANK($F$2:$F$53),"",INDIRECT(ADDRESS(SMALL((IF($F$2:$F$53&lt;&gt;"",ROW($F$2:$F$53),ROW()+ROWS($F$2:$F$53))),ROW()-ROW($G$2:$G$53)+1),COLUMN($F$2:$F$53),4)))</f>
        <v/>
      </c>
      <c r="N27" s="302" t="str">
        <f t="array" aca="1" ref="N27" ca="1">IF(ROW()-ROW($H$2:$H$53)+1&gt;ROWS($G$2:$G$53)-COUNTBLANK($G$2:$G$53),"",INDIRECT(ADDRESS(SMALL((IF($G$2:$G$53&lt;&gt;"",ROW($G$2:$G$53),ROW()+ROWS($G$2:$G$53))),ROW()-ROW($H$2:$H$53)+1),COLUMN($G$2:$G$53),4)))</f>
        <v/>
      </c>
      <c r="O27" s="296" t="str">
        <f t="array" aca="1" ref="O27" ca="1">IF(ROW()-ROW($I$2:$I$53)+1&gt;ROWS($H$2:$H$53)-COUNTBLANK($H$2:$H$53),"",INDIRECT(ADDRESS(SMALL((IF($H$2:$H$53&lt;&gt;"",ROW($H$2:$H$53),ROW()+ROWS($H$2:$H$53))),ROW()-ROW($I$2:$I$53)+1),COLUMN($H$2:$H$53),4)))</f>
        <v/>
      </c>
      <c r="P27" s="296" t="str">
        <f t="array" aca="1" ref="P27" ca="1">IF(ROW()-ROW($J$2:$J$53)+1&gt;ROWS($I$2:$I$53)-COUNTBLANK($I$2:$I$53),"",INDIRECT(ADDRESS(SMALL((IF($I$2:$I$53&lt;&gt;"",ROW($I$2:$I$53),ROW()+ROWS($I$2:$I$53))),ROW()-ROW($J$2:$J$53)+1),COLUMN($I$2:$I$53),4)))</f>
        <v/>
      </c>
    </row>
    <row r="28" spans="4:16" x14ac:dyDescent="0.25">
      <c r="D28" s="955"/>
      <c r="E28" s="302" t="str">
        <f>IF(H28="","","2016")</f>
        <v/>
      </c>
      <c r="F28" s="302" t="str">
        <f t="shared" si="6"/>
        <v/>
      </c>
      <c r="G28" s="302" t="str">
        <f t="shared" si="7"/>
        <v/>
      </c>
      <c r="H28" s="303" t="str">
        <f>IF(A5="relevant",IF(Matrix!C26="","",IF(Matrix!C26&lt;Berechnung2!$G$59,Berechnung2!$L$59,"")),"")</f>
        <v/>
      </c>
      <c r="I28" s="304" t="str">
        <f>IF(H28="","",VLOOKUP(F28,Berechnung2!$I$15:$J$26,2,FALSE))</f>
        <v/>
      </c>
      <c r="J28" s="305" t="str">
        <f t="shared" si="2"/>
        <v/>
      </c>
      <c r="L28" s="302" t="str">
        <f t="array" aca="1" ref="L28" ca="1">IF(ROW()-ROW($F$2:$F$53)+1&gt;ROWS($E$2:$E$53)-COUNTBLANK($E$2:$E$53),"",INDIRECT(ADDRESS(SMALL((IF($E$2:$E$53&lt;&gt;"",ROW($E$2:$E$53),ROW()+ROWS($E$2:$E$53))),ROW()-ROW($F$2:$F$53)+1),COLUMN($E$2:$E$53),4)))</f>
        <v/>
      </c>
      <c r="M28" s="302" t="str">
        <f t="array" aca="1" ref="M28" ca="1">IF(ROW()-ROW($G$2:$G$53)+1&gt;ROWS($F$2:$F$53)-COUNTBLANK($F$2:$F$53),"",INDIRECT(ADDRESS(SMALL((IF($F$2:$F$53&lt;&gt;"",ROW($F$2:$F$53),ROW()+ROWS($F$2:$F$53))),ROW()-ROW($G$2:$G$53)+1),COLUMN($F$2:$F$53),4)))</f>
        <v/>
      </c>
      <c r="N28" s="302" t="str">
        <f t="array" aca="1" ref="N28" ca="1">IF(ROW()-ROW($H$2:$H$53)+1&gt;ROWS($G$2:$G$53)-COUNTBLANK($G$2:$G$53),"",INDIRECT(ADDRESS(SMALL((IF($G$2:$G$53&lt;&gt;"",ROW($G$2:$G$53),ROW()+ROWS($G$2:$G$53))),ROW()-ROW($H$2:$H$53)+1),COLUMN($G$2:$G$53),4)))</f>
        <v/>
      </c>
      <c r="O28" s="296" t="str">
        <f t="array" aca="1" ref="O28" ca="1">IF(ROW()-ROW($I$2:$I$53)+1&gt;ROWS($H$2:$H$53)-COUNTBLANK($H$2:$H$53),"",INDIRECT(ADDRESS(SMALL((IF($H$2:$H$53&lt;&gt;"",ROW($H$2:$H$53),ROW()+ROWS($H$2:$H$53))),ROW()-ROW($I$2:$I$53)+1),COLUMN($H$2:$H$53),4)))</f>
        <v/>
      </c>
      <c r="P28" s="296" t="str">
        <f t="array" aca="1" ref="P28" ca="1">IF(ROW()-ROW($J$2:$J$53)+1&gt;ROWS($I$2:$I$53)-COUNTBLANK($I$2:$I$53),"",INDIRECT(ADDRESS(SMALL((IF($I$2:$I$53&lt;&gt;"",ROW($I$2:$I$53),ROW()+ROWS($I$2:$I$53))),ROW()-ROW($J$2:$J$53)+1),COLUMN($I$2:$I$53),4)))</f>
        <v/>
      </c>
    </row>
    <row r="29" spans="4:16" x14ac:dyDescent="0.25">
      <c r="D29" s="955"/>
      <c r="E29" s="302" t="str">
        <f>IF(H29="","","2017")</f>
        <v/>
      </c>
      <c r="F29" s="302" t="str">
        <f t="shared" si="6"/>
        <v/>
      </c>
      <c r="G29" s="302" t="str">
        <f t="shared" si="7"/>
        <v/>
      </c>
      <c r="H29" s="303" t="str">
        <f>IF(A6="relevant",IF(Matrix!C27="","",IF(Matrix!C27&lt;Berechnung2!$G$59,Berechnung2!$L$59,"")),"")</f>
        <v/>
      </c>
      <c r="I29" s="304" t="str">
        <f>IF(H29="","",VLOOKUP(F29,Berechnung2!$I$15:$J$26,2,FALSE))</f>
        <v/>
      </c>
      <c r="J29" s="305" t="str">
        <f t="shared" si="2"/>
        <v/>
      </c>
      <c r="L29" s="302" t="str">
        <f t="array" aca="1" ref="L29" ca="1">IF(ROW()-ROW($F$2:$F$53)+1&gt;ROWS($E$2:$E$53)-COUNTBLANK($E$2:$E$53),"",INDIRECT(ADDRESS(SMALL((IF($E$2:$E$53&lt;&gt;"",ROW($E$2:$E$53),ROW()+ROWS($E$2:$E$53))),ROW()-ROW($F$2:$F$53)+1),COLUMN($E$2:$E$53),4)))</f>
        <v/>
      </c>
      <c r="M29" s="302" t="str">
        <f t="array" aca="1" ref="M29" ca="1">IF(ROW()-ROW($G$2:$G$53)+1&gt;ROWS($F$2:$F$53)-COUNTBLANK($F$2:$F$53),"",INDIRECT(ADDRESS(SMALL((IF($F$2:$F$53&lt;&gt;"",ROW($F$2:$F$53),ROW()+ROWS($F$2:$F$53))),ROW()-ROW($G$2:$G$53)+1),COLUMN($F$2:$F$53),4)))</f>
        <v/>
      </c>
      <c r="N29" s="302" t="str">
        <f t="array" aca="1" ref="N29" ca="1">IF(ROW()-ROW($H$2:$H$53)+1&gt;ROWS($G$2:$G$53)-COUNTBLANK($G$2:$G$53),"",INDIRECT(ADDRESS(SMALL((IF($G$2:$G$53&lt;&gt;"",ROW($G$2:$G$53),ROW()+ROWS($G$2:$G$53))),ROW()-ROW($H$2:$H$53)+1),COLUMN($G$2:$G$53),4)))</f>
        <v/>
      </c>
      <c r="O29" s="296" t="str">
        <f t="array" aca="1" ref="O29" ca="1">IF(ROW()-ROW($I$2:$I$53)+1&gt;ROWS($H$2:$H$53)-COUNTBLANK($H$2:$H$53),"",INDIRECT(ADDRESS(SMALL((IF($H$2:$H$53&lt;&gt;"",ROW($H$2:$H$53),ROW()+ROWS($H$2:$H$53))),ROW()-ROW($I$2:$I$53)+1),COLUMN($H$2:$H$53),4)))</f>
        <v/>
      </c>
      <c r="P29" s="296" t="str">
        <f t="array" aca="1" ref="P29" ca="1">IF(ROW()-ROW($J$2:$J$53)+1&gt;ROWS($I$2:$I$53)-COUNTBLANK($I$2:$I$53),"",INDIRECT(ADDRESS(SMALL((IF($I$2:$I$53&lt;&gt;"",ROW($I$2:$I$53),ROW()+ROWS($I$2:$I$53))),ROW()-ROW($J$2:$J$53)+1),COLUMN($I$2:$I$53),4)))</f>
        <v/>
      </c>
    </row>
    <row r="30" spans="4:16" x14ac:dyDescent="0.25">
      <c r="D30" s="373"/>
      <c r="E30" s="302" t="str">
        <f>IF(H30="","","2018")</f>
        <v/>
      </c>
      <c r="F30" s="302" t="str">
        <f t="shared" ref="F30" si="8">IF(H30="","","f")</f>
        <v/>
      </c>
      <c r="G30" s="302" t="str">
        <f t="shared" ref="G30" si="9">IF(H30="","","6")</f>
        <v/>
      </c>
      <c r="H30" s="303" t="str">
        <f>IF(A7="relevant",IF(Matrix!C28="","",IF(Matrix!C28&lt;Berechnung2!$G$59,Berechnung2!$L$59,"")),"")</f>
        <v/>
      </c>
      <c r="I30" s="304" t="str">
        <f>IF(H30="","",VLOOKUP(F30,Berechnung2!$I$15:$J$26,2,FALSE))</f>
        <v/>
      </c>
      <c r="J30" s="305" t="str">
        <f t="shared" ref="J30" si="10">IF(H30&lt;&gt;"",1,"")</f>
        <v/>
      </c>
      <c r="L30" s="302" t="str">
        <f t="array" aca="1" ref="L30" ca="1">IF(ROW()-ROW($F$2:$F$53)+1&gt;ROWS($E$2:$E$53)-COUNTBLANK($E$2:$E$53),"",INDIRECT(ADDRESS(SMALL((IF($E$2:$E$53&lt;&gt;"",ROW($E$2:$E$53),ROW()+ROWS($E$2:$E$53))),ROW()-ROW($F$2:$F$53)+1),COLUMN($E$2:$E$53),4)))</f>
        <v/>
      </c>
      <c r="M30" s="302" t="str">
        <f t="array" aca="1" ref="M30" ca="1">IF(ROW()-ROW($G$2:$G$53)+1&gt;ROWS($F$2:$F$53)-COUNTBLANK($F$2:$F$53),"",INDIRECT(ADDRESS(SMALL((IF($F$2:$F$53&lt;&gt;"",ROW($F$2:$F$53),ROW()+ROWS($F$2:$F$53))),ROW()-ROW($G$2:$G$53)+1),COLUMN($F$2:$F$53),4)))</f>
        <v/>
      </c>
      <c r="N30" s="302" t="str">
        <f t="array" aca="1" ref="N30" ca="1">IF(ROW()-ROW($H$2:$H$53)+1&gt;ROWS($G$2:$G$53)-COUNTBLANK($G$2:$G$53),"",INDIRECT(ADDRESS(SMALL((IF($G$2:$G$53&lt;&gt;"",ROW($G$2:$G$53),ROW()+ROWS($G$2:$G$53))),ROW()-ROW($H$2:$H$53)+1),COLUMN($G$2:$G$53),4)))</f>
        <v/>
      </c>
      <c r="O30" s="296" t="str">
        <f t="array" aca="1" ref="O30" ca="1">IF(ROW()-ROW($I$2:$I$53)+1&gt;ROWS($H$2:$H$53)-COUNTBLANK($H$2:$H$53),"",INDIRECT(ADDRESS(SMALL((IF($H$2:$H$53&lt;&gt;"",ROW($H$2:$H$53),ROW()+ROWS($H$2:$H$53))),ROW()-ROW($I$2:$I$53)+1),COLUMN($H$2:$H$53),4)))</f>
        <v/>
      </c>
      <c r="P30" s="296" t="str">
        <f t="array" aca="1" ref="P30" ca="1">IF(ROW()-ROW($J$2:$J$53)+1&gt;ROWS($I$2:$I$53)-COUNTBLANK($I$2:$I$53),"",INDIRECT(ADDRESS(SMALL((IF($I$2:$I$53&lt;&gt;"",ROW($I$2:$I$53),ROW()+ROWS($I$2:$I$53))),ROW()-ROW($J$2:$J$53)+1),COLUMN($I$2:$I$53),4)))</f>
        <v/>
      </c>
    </row>
    <row r="31" spans="4:16" ht="12.75" thickBot="1" x14ac:dyDescent="0.3">
      <c r="D31" s="317" t="s">
        <v>358</v>
      </c>
      <c r="E31" s="306" t="str">
        <f>IF(H31="","","2019")</f>
        <v/>
      </c>
      <c r="F31" s="306" t="str">
        <f t="shared" si="6"/>
        <v/>
      </c>
      <c r="G31" s="306" t="str">
        <f t="shared" si="7"/>
        <v/>
      </c>
      <c r="H31" s="307" t="str">
        <f>IF(A7="relevant",IF(Matrix!C29="","",IF(Matrix!C29&lt;Berechnung2!$G$59,Berechnung2!$L$59,"")),"")</f>
        <v/>
      </c>
      <c r="I31" s="308" t="str">
        <f>IF(H31="","",VLOOKUP(F31,Berechnung2!$I$15:$J$26,2,FALSE))</f>
        <v/>
      </c>
      <c r="J31" s="309" t="str">
        <f t="shared" si="2"/>
        <v/>
      </c>
      <c r="L31" s="302" t="str">
        <f t="array" aca="1" ref="L31" ca="1">IF(ROW()-ROW($F$2:$F$53)+1&gt;ROWS($E$2:$E$53)-COUNTBLANK($E$2:$E$53),"",INDIRECT(ADDRESS(SMALL((IF($E$2:$E$53&lt;&gt;"",ROW($E$2:$E$53),ROW()+ROWS($E$2:$E$53))),ROW()-ROW($F$2:$F$53)+1),COLUMN($E$2:$E$53),4)))</f>
        <v/>
      </c>
      <c r="M31" s="302" t="str">
        <f t="array" aca="1" ref="M31" ca="1">IF(ROW()-ROW($G$2:$G$53)+1&gt;ROWS($F$2:$F$53)-COUNTBLANK($F$2:$F$53),"",INDIRECT(ADDRESS(SMALL((IF($F$2:$F$53&lt;&gt;"",ROW($F$2:$F$53),ROW()+ROWS($F$2:$F$53))),ROW()-ROW($G$2:$G$53)+1),COLUMN($F$2:$F$53),4)))</f>
        <v/>
      </c>
      <c r="N31" s="302" t="str">
        <f t="array" aca="1" ref="N31" ca="1">IF(ROW()-ROW($H$2:$H$53)+1&gt;ROWS($G$2:$G$53)-COUNTBLANK($G$2:$G$53),"",INDIRECT(ADDRESS(SMALL((IF($G$2:$G$53&lt;&gt;"",ROW($G$2:$G$53),ROW()+ROWS($G$2:$G$53))),ROW()-ROW($H$2:$H$53)+1),COLUMN($G$2:$G$53),4)))</f>
        <v/>
      </c>
      <c r="O31" s="296" t="str">
        <f t="array" aca="1" ref="O31" ca="1">IF(ROW()-ROW($I$2:$I$53)+1&gt;ROWS($H$2:$H$53)-COUNTBLANK($H$2:$H$53),"",INDIRECT(ADDRESS(SMALL((IF($H$2:$H$53&lt;&gt;"",ROW($H$2:$H$53),ROW()+ROWS($H$2:$H$53))),ROW()-ROW($I$2:$I$53)+1),COLUMN($H$2:$H$53),4)))</f>
        <v/>
      </c>
      <c r="P31" s="296" t="str">
        <f t="array" aca="1" ref="P31" ca="1">IF(ROW()-ROW($J$2:$J$53)+1&gt;ROWS($I$2:$I$53)-COUNTBLANK($I$2:$I$53),"",INDIRECT(ADDRESS(SMALL((IF($I$2:$I$53&lt;&gt;"",ROW($I$2:$I$53),ROW()+ROWS($I$2:$I$53))),ROW()-ROW($J$2:$J$53)+1),COLUMN($I$2:$I$53),4)))</f>
        <v/>
      </c>
    </row>
    <row r="32" spans="4:16" ht="23.25" thickBot="1" x14ac:dyDescent="0.3">
      <c r="D32" s="318" t="s">
        <v>359</v>
      </c>
      <c r="E32" s="312" t="str">
        <f>IF(H32="","","2015-2017")</f>
        <v/>
      </c>
      <c r="F32" s="312" t="str">
        <f>IF(H32="","","g")</f>
        <v/>
      </c>
      <c r="G32" s="312" t="str">
        <f t="shared" si="7"/>
        <v/>
      </c>
      <c r="H32" s="313" t="str">
        <f>IF(OR(Matrix!S31="-----",Matrix!S31=""),"",IF(Matrix!S31="",0,IF(ROUND(Matrix!S31,4)&gt;=Berechnung2!J63,Berechnung2!L63,"")))</f>
        <v/>
      </c>
      <c r="I32" s="314" t="str">
        <f>IF(H32="","",VLOOKUP(F32,Berechnung2!$I$15:$J$26,2,FALSE))</f>
        <v/>
      </c>
      <c r="J32" s="315" t="str">
        <f t="shared" si="2"/>
        <v/>
      </c>
      <c r="L32" s="302" t="str">
        <f t="array" aca="1" ref="L32" ca="1">IF(ROW()-ROW($F$2:$F$53)+1&gt;ROWS($E$2:$E$53)-COUNTBLANK($E$2:$E$53),"",INDIRECT(ADDRESS(SMALL((IF($E$2:$E$53&lt;&gt;"",ROW($E$2:$E$53),ROW()+ROWS($E$2:$E$53))),ROW()-ROW($F$2:$F$53)+1),COLUMN($E$2:$E$53),4)))</f>
        <v/>
      </c>
      <c r="M32" s="302" t="str">
        <f t="array" aca="1" ref="M32" ca="1">IF(ROW()-ROW($G$2:$G$53)+1&gt;ROWS($F$2:$F$53)-COUNTBLANK($F$2:$F$53),"",INDIRECT(ADDRESS(SMALL((IF($F$2:$F$53&lt;&gt;"",ROW($F$2:$F$53),ROW()+ROWS($F$2:$F$53))),ROW()-ROW($G$2:$G$53)+1),COLUMN($F$2:$F$53),4)))</f>
        <v/>
      </c>
      <c r="N32" s="302" t="str">
        <f t="array" aca="1" ref="N32" ca="1">IF(ROW()-ROW($H$2:$H$53)+1&gt;ROWS($G$2:$G$53)-COUNTBLANK($G$2:$G$53),"",INDIRECT(ADDRESS(SMALL((IF($G$2:$G$53&lt;&gt;"",ROW($G$2:$G$53),ROW()+ROWS($G$2:$G$53))),ROW()-ROW($H$2:$H$53)+1),COLUMN($G$2:$G$53),4)))</f>
        <v/>
      </c>
      <c r="O32" s="296" t="str">
        <f t="array" aca="1" ref="O32" ca="1">IF(ROW()-ROW($I$2:$I$53)+1&gt;ROWS($H$2:$H$53)-COUNTBLANK($H$2:$H$53),"",INDIRECT(ADDRESS(SMALL((IF($H$2:$H$53&lt;&gt;"",ROW($H$2:$H$53),ROW()+ROWS($H$2:$H$53))),ROW()-ROW($I$2:$I$53)+1),COLUMN($H$2:$H$53),4)))</f>
        <v/>
      </c>
      <c r="P32" s="296" t="str">
        <f t="array" aca="1" ref="P32" ca="1">IF(ROW()-ROW($J$2:$J$53)+1&gt;ROWS($I$2:$I$53)-COUNTBLANK($I$2:$I$53),"",INDIRECT(ADDRESS(SMALL((IF($I$2:$I$53&lt;&gt;"",ROW($I$2:$I$53),ROW()+ROWS($I$2:$I$53))),ROW()-ROW($J$2:$J$53)+1),COLUMN($I$2:$I$53),4)))</f>
        <v/>
      </c>
    </row>
    <row r="33" spans="4:16" x14ac:dyDescent="0.25">
      <c r="D33" s="316" t="s">
        <v>185</v>
      </c>
      <c r="E33" s="377"/>
      <c r="F33" s="377"/>
      <c r="G33" s="377"/>
      <c r="H33" s="378"/>
      <c r="I33" s="379"/>
      <c r="J33" s="380"/>
      <c r="L33" s="302" t="str">
        <f t="array" aca="1" ref="L33" ca="1">IF(ROW()-ROW($F$2:$F$53)+1&gt;ROWS($E$2:$E$53)-COUNTBLANK($E$2:$E$53),"",INDIRECT(ADDRESS(SMALL((IF($E$2:$E$53&lt;&gt;"",ROW($E$2:$E$53),ROW()+ROWS($E$2:$E$53))),ROW()-ROW($F$2:$F$53)+1),COLUMN($E$2:$E$53),4)))</f>
        <v/>
      </c>
      <c r="M33" s="302" t="str">
        <f t="array" aca="1" ref="M33" ca="1">IF(ROW()-ROW($G$2:$G$53)+1&gt;ROWS($F$2:$F$53)-COUNTBLANK($F$2:$F$53),"",INDIRECT(ADDRESS(SMALL((IF($F$2:$F$53&lt;&gt;"",ROW($F$2:$F$53),ROW()+ROWS($F$2:$F$53))),ROW()-ROW($G$2:$G$53)+1),COLUMN($F$2:$F$53),4)))</f>
        <v/>
      </c>
      <c r="N33" s="302" t="str">
        <f t="array" aca="1" ref="N33" ca="1">IF(ROW()-ROW($H$2:$H$53)+1&gt;ROWS($G$2:$G$53)-COUNTBLANK($G$2:$G$53),"",INDIRECT(ADDRESS(SMALL((IF($G$2:$G$53&lt;&gt;"",ROW($G$2:$G$53),ROW()+ROWS($G$2:$G$53))),ROW()-ROW($H$2:$H$53)+1),COLUMN($G$2:$G$53),4)))</f>
        <v/>
      </c>
      <c r="O33" s="296" t="str">
        <f t="array" aca="1" ref="O33" ca="1">IF(ROW()-ROW($I$2:$I$53)+1&gt;ROWS($H$2:$H$53)-COUNTBLANK($H$2:$H$53),"",INDIRECT(ADDRESS(SMALL((IF($H$2:$H$53&lt;&gt;"",ROW($H$2:$H$53),ROW()+ROWS($H$2:$H$53))),ROW()-ROW($I$2:$I$53)+1),COLUMN($H$2:$H$53),4)))</f>
        <v/>
      </c>
      <c r="P33" s="296" t="str">
        <f t="array" aca="1" ref="P33" ca="1">IF(ROW()-ROW($J$2:$J$53)+1&gt;ROWS($I$2:$I$53)-COUNTBLANK($I$2:$I$53),"",INDIRECT(ADDRESS(SMALL((IF($I$2:$I$53&lt;&gt;"",ROW($I$2:$I$53),ROW()+ROWS($I$2:$I$53))),ROW()-ROW($J$2:$J$53)+1),COLUMN($I$2:$I$53),4)))</f>
        <v/>
      </c>
    </row>
    <row r="34" spans="4:16" x14ac:dyDescent="0.25">
      <c r="D34" s="955" t="s">
        <v>318</v>
      </c>
      <c r="E34" s="302" t="str">
        <f>IF(H34="","","2014")</f>
        <v/>
      </c>
      <c r="F34" s="302" t="str">
        <f>IF(H34="","","h")</f>
        <v/>
      </c>
      <c r="G34" s="302" t="str">
        <f t="shared" ref="G34" si="11">IF(H34="","","6")</f>
        <v/>
      </c>
      <c r="H34" s="303" t="str">
        <f>IF(A3="relevant",IF(Matrix!S24="","",IF(ROUND(Matrix!S24,4)&lt;Berechnung2!$J$61,Berechnung2!$L$61,"")),"")</f>
        <v/>
      </c>
      <c r="I34" s="304" t="str">
        <f>IF(H34="","",VLOOKUP(F34,Berechnung2!$I$15:$J$26,2,FALSE))</f>
        <v/>
      </c>
      <c r="J34" s="305" t="str">
        <f t="shared" ref="J34" si="12">IF(H34&lt;&gt;"",1,"")</f>
        <v/>
      </c>
      <c r="L34" s="302" t="str">
        <f t="array" aca="1" ref="L34" ca="1">IF(ROW()-ROW($F$2:$F$53)+1&gt;ROWS($E$2:$E$53)-COUNTBLANK($E$2:$E$53),"",INDIRECT(ADDRESS(SMALL((IF($E$2:$E$53&lt;&gt;"",ROW($E$2:$E$53),ROW()+ROWS($E$2:$E$53))),ROW()-ROW($F$2:$F$53)+1),COLUMN($E$2:$E$53),4)))</f>
        <v/>
      </c>
      <c r="M34" s="302" t="str">
        <f t="array" aca="1" ref="M34" ca="1">IF(ROW()-ROW($G$2:$G$53)+1&gt;ROWS($F$2:$F$53)-COUNTBLANK($F$2:$F$53),"",INDIRECT(ADDRESS(SMALL((IF($F$2:$F$53&lt;&gt;"",ROW($F$2:$F$53),ROW()+ROWS($F$2:$F$53))),ROW()-ROW($G$2:$G$53)+1),COLUMN($F$2:$F$53),4)))</f>
        <v/>
      </c>
      <c r="N34" s="302" t="str">
        <f t="array" aca="1" ref="N34" ca="1">IF(ROW()-ROW($H$2:$H$53)+1&gt;ROWS($G$2:$G$53)-COUNTBLANK($G$2:$G$53),"",INDIRECT(ADDRESS(SMALL((IF($G$2:$G$53&lt;&gt;"",ROW($G$2:$G$53),ROW()+ROWS($G$2:$G$53))),ROW()-ROW($H$2:$H$53)+1),COLUMN($G$2:$G$53),4)))</f>
        <v/>
      </c>
      <c r="O34" s="296" t="str">
        <f t="array" aca="1" ref="O34" ca="1">IF(ROW()-ROW($I$2:$I$53)+1&gt;ROWS($H$2:$H$53)-COUNTBLANK($H$2:$H$53),"",INDIRECT(ADDRESS(SMALL((IF($H$2:$H$53&lt;&gt;"",ROW($H$2:$H$53),ROW()+ROWS($H$2:$H$53))),ROW()-ROW($I$2:$I$53)+1),COLUMN($H$2:$H$53),4)))</f>
        <v/>
      </c>
      <c r="P34" s="296" t="str">
        <f t="array" aca="1" ref="P34" ca="1">IF(ROW()-ROW($J$2:$J$53)+1&gt;ROWS($I$2:$I$53)-COUNTBLANK($I$2:$I$53),"",INDIRECT(ADDRESS(SMALL((IF($I$2:$I$53&lt;&gt;"",ROW($I$2:$I$53),ROW()+ROWS($I$2:$I$53))),ROW()-ROW($J$2:$J$53)+1),COLUMN($I$2:$I$53),4)))</f>
        <v/>
      </c>
    </row>
    <row r="35" spans="4:16" x14ac:dyDescent="0.25">
      <c r="D35" s="955"/>
      <c r="E35" s="302" t="str">
        <f>IF(H35="","","2015")</f>
        <v/>
      </c>
      <c r="F35" s="302" t="str">
        <f>IF(H35="","","h")</f>
        <v/>
      </c>
      <c r="G35" s="302" t="str">
        <f t="shared" si="7"/>
        <v/>
      </c>
      <c r="H35" s="303" t="str">
        <f>IF(A4="relevant",IF(Matrix!S25="","",IF(ROUND(Matrix!S25,4)&lt;Berechnung2!$J$61,Berechnung2!$L$61,"")),"")</f>
        <v/>
      </c>
      <c r="I35" s="304" t="str">
        <f>IF(H35="","",VLOOKUP(F35,Berechnung2!$I$15:$J$26,2,FALSE))</f>
        <v/>
      </c>
      <c r="J35" s="305" t="str">
        <f t="shared" si="2"/>
        <v/>
      </c>
      <c r="L35" s="302" t="str">
        <f t="array" aca="1" ref="L35" ca="1">IF(ROW()-ROW($F$2:$F$53)+1&gt;ROWS($E$2:$E$53)-COUNTBLANK($E$2:$E$53),"",INDIRECT(ADDRESS(SMALL((IF($E$2:$E$53&lt;&gt;"",ROW($E$2:$E$53),ROW()+ROWS($E$2:$E$53))),ROW()-ROW($F$2:$F$53)+1),COLUMN($E$2:$E$53),4)))</f>
        <v/>
      </c>
      <c r="M35" s="302" t="str">
        <f t="array" aca="1" ref="M35" ca="1">IF(ROW()-ROW($G$2:$G$53)+1&gt;ROWS($F$2:$F$53)-COUNTBLANK($F$2:$F$53),"",INDIRECT(ADDRESS(SMALL((IF($F$2:$F$53&lt;&gt;"",ROW($F$2:$F$53),ROW()+ROWS($F$2:$F$53))),ROW()-ROW($G$2:$G$53)+1),COLUMN($F$2:$F$53),4)))</f>
        <v/>
      </c>
      <c r="N35" s="302" t="str">
        <f t="array" aca="1" ref="N35" ca="1">IF(ROW()-ROW($H$2:$H$53)+1&gt;ROWS($G$2:$G$53)-COUNTBLANK($G$2:$G$53),"",INDIRECT(ADDRESS(SMALL((IF($G$2:$G$53&lt;&gt;"",ROW($G$2:$G$53),ROW()+ROWS($G$2:$G$53))),ROW()-ROW($H$2:$H$53)+1),COLUMN($G$2:$G$53),4)))</f>
        <v/>
      </c>
      <c r="O35" s="296" t="str">
        <f t="array" aca="1" ref="O35" ca="1">IF(ROW()-ROW($I$2:$I$53)+1&gt;ROWS($H$2:$H$53)-COUNTBLANK($H$2:$H$53),"",INDIRECT(ADDRESS(SMALL((IF($H$2:$H$53&lt;&gt;"",ROW($H$2:$H$53),ROW()+ROWS($H$2:$H$53))),ROW()-ROW($I$2:$I$53)+1),COLUMN($H$2:$H$53),4)))</f>
        <v/>
      </c>
      <c r="P35" s="296" t="str">
        <f t="array" aca="1" ref="P35" ca="1">IF(ROW()-ROW($J$2:$J$53)+1&gt;ROWS($I$2:$I$53)-COUNTBLANK($I$2:$I$53),"",INDIRECT(ADDRESS(SMALL((IF($I$2:$I$53&lt;&gt;"",ROW($I$2:$I$53),ROW()+ROWS($I$2:$I$53))),ROW()-ROW($J$2:$J$53)+1),COLUMN($I$2:$I$53),4)))</f>
        <v/>
      </c>
    </row>
    <row r="36" spans="4:16" x14ac:dyDescent="0.25">
      <c r="D36" s="955"/>
      <c r="E36" s="302" t="str">
        <f>IF(H36="","","2016")</f>
        <v/>
      </c>
      <c r="F36" s="302" t="str">
        <f>IF(H36="","","h")</f>
        <v/>
      </c>
      <c r="G36" s="302" t="str">
        <f t="shared" si="7"/>
        <v/>
      </c>
      <c r="H36" s="303" t="str">
        <f>IF(A5="relevant",IF(Matrix!S26="","",IF(ROUND(Matrix!S26,4)&lt;Berechnung2!$J$61,Berechnung2!$L$61,"")),"")</f>
        <v/>
      </c>
      <c r="I36" s="304" t="str">
        <f>IF(H36="","",VLOOKUP(F36,Berechnung2!$I$15:$J$26,2,FALSE))</f>
        <v/>
      </c>
      <c r="J36" s="305" t="str">
        <f t="shared" si="2"/>
        <v/>
      </c>
      <c r="L36" s="302" t="str">
        <f t="array" aca="1" ref="L36" ca="1">IF(ROW()-ROW($F$2:$F$53)+1&gt;ROWS($E$2:$E$53)-COUNTBLANK($E$2:$E$53),"",INDIRECT(ADDRESS(SMALL((IF($E$2:$E$53&lt;&gt;"",ROW($E$2:$E$53),ROW()+ROWS($E$2:$E$53))),ROW()-ROW($F$2:$F$53)+1),COLUMN($E$2:$E$53),4)))</f>
        <v/>
      </c>
      <c r="M36" s="302" t="str">
        <f t="array" aca="1" ref="M36" ca="1">IF(ROW()-ROW($G$2:$G$53)+1&gt;ROWS($F$2:$F$53)-COUNTBLANK($F$2:$F$53),"",INDIRECT(ADDRESS(SMALL((IF($F$2:$F$53&lt;&gt;"",ROW($F$2:$F$53),ROW()+ROWS($F$2:$F$53))),ROW()-ROW($G$2:$G$53)+1),COLUMN($F$2:$F$53),4)))</f>
        <v/>
      </c>
      <c r="N36" s="302" t="str">
        <f t="array" aca="1" ref="N36" ca="1">IF(ROW()-ROW($H$2:$H$53)+1&gt;ROWS($G$2:$G$53)-COUNTBLANK($G$2:$G$53),"",INDIRECT(ADDRESS(SMALL((IF($G$2:$G$53&lt;&gt;"",ROW($G$2:$G$53),ROW()+ROWS($G$2:$G$53))),ROW()-ROW($H$2:$H$53)+1),COLUMN($G$2:$G$53),4)))</f>
        <v/>
      </c>
      <c r="O36" s="296" t="str">
        <f t="array" aca="1" ref="O36" ca="1">IF(ROW()-ROW($I$2:$I$53)+1&gt;ROWS($H$2:$H$53)-COUNTBLANK($H$2:$H$53),"",INDIRECT(ADDRESS(SMALL((IF($H$2:$H$53&lt;&gt;"",ROW($H$2:$H$53),ROW()+ROWS($H$2:$H$53))),ROW()-ROW($I$2:$I$53)+1),COLUMN($H$2:$H$53),4)))</f>
        <v/>
      </c>
      <c r="P36" s="296" t="str">
        <f t="array" aca="1" ref="P36" ca="1">IF(ROW()-ROW($J$2:$J$53)+1&gt;ROWS($I$2:$I$53)-COUNTBLANK($I$2:$I$53),"",INDIRECT(ADDRESS(SMALL((IF($I$2:$I$53&lt;&gt;"",ROW($I$2:$I$53),ROW()+ROWS($I$2:$I$53))),ROW()-ROW($J$2:$J$53)+1),COLUMN($I$2:$I$53),4)))</f>
        <v/>
      </c>
    </row>
    <row r="37" spans="4:16" ht="12.75" thickBot="1" x14ac:dyDescent="0.3">
      <c r="D37" s="317" t="s">
        <v>360</v>
      </c>
      <c r="E37" s="302" t="str">
        <f>IF(H37="","","2017")</f>
        <v/>
      </c>
      <c r="F37" s="306" t="str">
        <f>IF(H37="","","h")</f>
        <v/>
      </c>
      <c r="G37" s="306" t="str">
        <f t="shared" si="7"/>
        <v/>
      </c>
      <c r="H37" s="307" t="str">
        <f>IF(A5="relevant",IF(Matrix!S27="","",IF(ROUND(Matrix!S27,4)&lt;Berechnung2!$J$61,Berechnung2!$L$61,"")),"")</f>
        <v/>
      </c>
      <c r="I37" s="308" t="str">
        <f>IF(H37="","",VLOOKUP(F37,Berechnung2!$I$15:$J$26,2,FALSE))</f>
        <v/>
      </c>
      <c r="J37" s="309" t="str">
        <f t="shared" si="2"/>
        <v/>
      </c>
      <c r="L37" s="302" t="str">
        <f t="array" aca="1" ref="L37" ca="1">IF(ROW()-ROW($F$2:$F$53)+1&gt;ROWS($E$2:$E$53)-COUNTBLANK($E$2:$E$53),"",INDIRECT(ADDRESS(SMALL((IF($E$2:$E$53&lt;&gt;"",ROW($E$2:$E$53),ROW()+ROWS($E$2:$E$53))),ROW()-ROW($F$2:$F$53)+1),COLUMN($E$2:$E$53),4)))</f>
        <v/>
      </c>
      <c r="M37" s="302" t="str">
        <f t="array" aca="1" ref="M37" ca="1">IF(ROW()-ROW($G$2:$G$53)+1&gt;ROWS($F$2:$F$53)-COUNTBLANK($F$2:$F$53),"",INDIRECT(ADDRESS(SMALL((IF($F$2:$F$53&lt;&gt;"",ROW($F$2:$F$53),ROW()+ROWS($F$2:$F$53))),ROW()-ROW($G$2:$G$53)+1),COLUMN($F$2:$F$53),4)))</f>
        <v/>
      </c>
      <c r="N37" s="302" t="str">
        <f t="array" aca="1" ref="N37" ca="1">IF(ROW()-ROW($H$2:$H$53)+1&gt;ROWS($G$2:$G$53)-COUNTBLANK($G$2:$G$53),"",INDIRECT(ADDRESS(SMALL((IF($G$2:$G$53&lt;&gt;"",ROW($G$2:$G$53),ROW()+ROWS($G$2:$G$53))),ROW()-ROW($H$2:$H$53)+1),COLUMN($G$2:$G$53),4)))</f>
        <v/>
      </c>
      <c r="O37" s="296" t="str">
        <f t="array" aca="1" ref="O37" ca="1">IF(ROW()-ROW($I$2:$I$53)+1&gt;ROWS($H$2:$H$53)-COUNTBLANK($H$2:$H$53),"",INDIRECT(ADDRESS(SMALL((IF($H$2:$H$53&lt;&gt;"",ROW($H$2:$H$53),ROW()+ROWS($H$2:$H$53))),ROW()-ROW($I$2:$I$53)+1),COLUMN($H$2:$H$53),4)))</f>
        <v/>
      </c>
      <c r="P37" s="296" t="str">
        <f t="array" aca="1" ref="P37" ca="1">IF(ROW()-ROW($J$2:$J$53)+1&gt;ROWS($I$2:$I$53)-COUNTBLANK($I$2:$I$53),"",INDIRECT(ADDRESS(SMALL((IF($I$2:$I$53&lt;&gt;"",ROW($I$2:$I$53),ROW()+ROWS($I$2:$I$53))),ROW()-ROW($J$2:$J$53)+1),COLUMN($I$2:$I$53),4)))</f>
        <v/>
      </c>
    </row>
    <row r="38" spans="4:16" x14ac:dyDescent="0.25">
      <c r="D38" s="316" t="s">
        <v>185</v>
      </c>
      <c r="E38" s="298" t="str">
        <f>IF(H38="","","2013")</f>
        <v/>
      </c>
      <c r="F38" s="298" t="str">
        <f>IF(H38="","","i")</f>
        <v/>
      </c>
      <c r="G38" s="298" t="str">
        <f t="shared" si="7"/>
        <v/>
      </c>
      <c r="H38" s="299" t="str">
        <f>IF(A2="relevant",IF(Matrix!V23="","",IF(AND(ROUND(Matrix!V23,4)&lt;Berechnung2!$J$57,(ROUND(Matrix!V23,4))&gt;=0),Berechnung2!$L$57,"")),"")</f>
        <v/>
      </c>
      <c r="I38" s="300" t="str">
        <f>IF(H38="","",VLOOKUP(F38,Berechnung2!$I$15:$J$26,2,FALSE))</f>
        <v/>
      </c>
      <c r="J38" s="301" t="str">
        <f t="shared" si="2"/>
        <v/>
      </c>
      <c r="L38" s="302" t="str">
        <f t="array" aca="1" ref="L38" ca="1">IF(ROW()-ROW($F$2:$F$53)+1&gt;ROWS($E$2:$E$53)-COUNTBLANK($E$2:$E$53),"",INDIRECT(ADDRESS(SMALL((IF($E$2:$E$53&lt;&gt;"",ROW($E$2:$E$53),ROW()+ROWS($E$2:$E$53))),ROW()-ROW($F$2:$F$53)+1),COLUMN($E$2:$E$53),4)))</f>
        <v/>
      </c>
      <c r="M38" s="302" t="str">
        <f t="array" aca="1" ref="M38" ca="1">IF(ROW()-ROW($G$2:$G$53)+1&gt;ROWS($F$2:$F$53)-COUNTBLANK($F$2:$F$53),"",INDIRECT(ADDRESS(SMALL((IF($F$2:$F$53&lt;&gt;"",ROW($F$2:$F$53),ROW()+ROWS($F$2:$F$53))),ROW()-ROW($G$2:$G$53)+1),COLUMN($F$2:$F$53),4)))</f>
        <v/>
      </c>
      <c r="N38" s="302" t="str">
        <f t="array" aca="1" ref="N38" ca="1">IF(ROW()-ROW($H$2:$H$53)+1&gt;ROWS($G$2:$G$53)-COUNTBLANK($G$2:$G$53),"",INDIRECT(ADDRESS(SMALL((IF($G$2:$G$53&lt;&gt;"",ROW($G$2:$G$53),ROW()+ROWS($G$2:$G$53))),ROW()-ROW($H$2:$H$53)+1),COLUMN($G$2:$G$53),4)))</f>
        <v/>
      </c>
      <c r="O38" s="296" t="str">
        <f t="array" aca="1" ref="O38" ca="1">IF(ROW()-ROW($I$2:$I$53)+1&gt;ROWS($H$2:$H$53)-COUNTBLANK($H$2:$H$53),"",INDIRECT(ADDRESS(SMALL((IF($H$2:$H$53&lt;&gt;"",ROW($H$2:$H$53),ROW()+ROWS($H$2:$H$53))),ROW()-ROW($I$2:$I$53)+1),COLUMN($H$2:$H$53),4)))</f>
        <v/>
      </c>
      <c r="P38" s="296" t="str">
        <f t="array" aca="1" ref="P38" ca="1">IF(ROW()-ROW($J$2:$J$53)+1&gt;ROWS($I$2:$I$53)-COUNTBLANK($I$2:$I$53),"",INDIRECT(ADDRESS(SMALL((IF($I$2:$I$53&lt;&gt;"",ROW($I$2:$I$53),ROW()+ROWS($I$2:$I$53))),ROW()-ROW($J$2:$J$53)+1),COLUMN($I$2:$I$53),4)))</f>
        <v/>
      </c>
    </row>
    <row r="39" spans="4:16" x14ac:dyDescent="0.25">
      <c r="D39" s="955" t="s">
        <v>240</v>
      </c>
      <c r="E39" s="302" t="str">
        <f>IF(H39="","","2014")</f>
        <v/>
      </c>
      <c r="F39" s="302" t="str">
        <f>IF(H39="","","i")</f>
        <v/>
      </c>
      <c r="G39" s="302" t="str">
        <f t="shared" si="7"/>
        <v/>
      </c>
      <c r="H39" s="303" t="str">
        <f>IF(A3="relevant",IF(Matrix!V24="","",IF(AND(ROUND(Matrix!V24,4)&lt;Berechnung2!$J$57,(ROUND(Matrix!V24,4))&gt;=0),Berechnung2!$L$57,"")),"")</f>
        <v/>
      </c>
      <c r="I39" s="304" t="str">
        <f>IF(H39="","",VLOOKUP(F39,Berechnung2!$I$15:$J$26,2,FALSE))</f>
        <v/>
      </c>
      <c r="J39" s="305" t="str">
        <f t="shared" si="2"/>
        <v/>
      </c>
      <c r="L39" s="302" t="str">
        <f t="array" aca="1" ref="L39" ca="1">IF(ROW()-ROW($F$2:$F$53)+1&gt;ROWS($E$2:$E$53)-COUNTBLANK($E$2:$E$53),"",INDIRECT(ADDRESS(SMALL((IF($E$2:$E$53&lt;&gt;"",ROW($E$2:$E$53),ROW()+ROWS($E$2:$E$53))),ROW()-ROW($F$2:$F$53)+1),COLUMN($E$2:$E$53),4)))</f>
        <v/>
      </c>
      <c r="M39" s="302" t="str">
        <f t="array" aca="1" ref="M39" ca="1">IF(ROW()-ROW($G$2:$G$53)+1&gt;ROWS($F$2:$F$53)-COUNTBLANK($F$2:$F$53),"",INDIRECT(ADDRESS(SMALL((IF($F$2:$F$53&lt;&gt;"",ROW($F$2:$F$53),ROW()+ROWS($F$2:$F$53))),ROW()-ROW($G$2:$G$53)+1),COLUMN($F$2:$F$53),4)))</f>
        <v/>
      </c>
      <c r="N39" s="302" t="str">
        <f t="array" aca="1" ref="N39" ca="1">IF(ROW()-ROW($H$2:$H$53)+1&gt;ROWS($G$2:$G$53)-COUNTBLANK($G$2:$G$53),"",INDIRECT(ADDRESS(SMALL((IF($G$2:$G$53&lt;&gt;"",ROW($G$2:$G$53),ROW()+ROWS($G$2:$G$53))),ROW()-ROW($H$2:$H$53)+1),COLUMN($G$2:$G$53),4)))</f>
        <v/>
      </c>
      <c r="O39" s="296" t="str">
        <f t="array" aca="1" ref="O39" ca="1">IF(ROW()-ROW($I$2:$I$53)+1&gt;ROWS($H$2:$H$53)-COUNTBLANK($H$2:$H$53),"",INDIRECT(ADDRESS(SMALL((IF($H$2:$H$53&lt;&gt;"",ROW($H$2:$H$53),ROW()+ROWS($H$2:$H$53))),ROW()-ROW($I$2:$I$53)+1),COLUMN($H$2:$H$53),4)))</f>
        <v/>
      </c>
      <c r="P39" s="296" t="str">
        <f t="array" aca="1" ref="P39" ca="1">IF(ROW()-ROW($J$2:$J$53)+1&gt;ROWS($I$2:$I$53)-COUNTBLANK($I$2:$I$53),"",INDIRECT(ADDRESS(SMALL((IF($I$2:$I$53&lt;&gt;"",ROW($I$2:$I$53),ROW()+ROWS($I$2:$I$53))),ROW()-ROW($J$2:$J$53)+1),COLUMN($I$2:$I$53),4)))</f>
        <v/>
      </c>
    </row>
    <row r="40" spans="4:16" x14ac:dyDescent="0.25">
      <c r="D40" s="955"/>
      <c r="E40" s="302" t="str">
        <f>IF(H40="","","2015")</f>
        <v/>
      </c>
      <c r="F40" s="302" t="str">
        <f>IF(H40="","","i")</f>
        <v/>
      </c>
      <c r="G40" s="302" t="str">
        <f t="shared" si="7"/>
        <v/>
      </c>
      <c r="H40" s="303" t="str">
        <f>IF(A4="relevant",IF(Matrix!V25="","",IF(AND(ROUND(Matrix!V25,4)&lt;Berechnung2!$J$57,(ROUND(Matrix!V25,4))&gt;=0),Berechnung2!$L$57,"")),"")</f>
        <v/>
      </c>
      <c r="I40" s="304" t="str">
        <f>IF(H40="","",VLOOKUP(F40,Berechnung2!$I$15:$J$26,2,FALSE))</f>
        <v/>
      </c>
      <c r="J40" s="305" t="str">
        <f t="shared" si="2"/>
        <v/>
      </c>
      <c r="L40" s="302" t="str">
        <f t="array" aca="1" ref="L40" ca="1">IF(ROW()-ROW($F$2:$F$53)+1&gt;ROWS($E$2:$E$53)-COUNTBLANK($E$2:$E$53),"",INDIRECT(ADDRESS(SMALL((IF($E$2:$E$53&lt;&gt;"",ROW($E$2:$E$53),ROW()+ROWS($E$2:$E$53))),ROW()-ROW($F$2:$F$53)+1),COLUMN($E$2:$E$53),4)))</f>
        <v/>
      </c>
      <c r="M40" s="302" t="str">
        <f t="array" aca="1" ref="M40" ca="1">IF(ROW()-ROW($G$2:$G$53)+1&gt;ROWS($F$2:$F$53)-COUNTBLANK($F$2:$F$53),"",INDIRECT(ADDRESS(SMALL((IF($F$2:$F$53&lt;&gt;"",ROW($F$2:$F$53),ROW()+ROWS($F$2:$F$53))),ROW()-ROW($G$2:$G$53)+1),COLUMN($F$2:$F$53),4)))</f>
        <v/>
      </c>
      <c r="N40" s="302" t="str">
        <f t="array" aca="1" ref="N40" ca="1">IF(ROW()-ROW($H$2:$H$53)+1&gt;ROWS($G$2:$G$53)-COUNTBLANK($G$2:$G$53),"",INDIRECT(ADDRESS(SMALL((IF($G$2:$G$53&lt;&gt;"",ROW($G$2:$G$53),ROW()+ROWS($G$2:$G$53))),ROW()-ROW($H$2:$H$53)+1),COLUMN($G$2:$G$53),4)))</f>
        <v/>
      </c>
      <c r="O40" s="296" t="str">
        <f t="array" aca="1" ref="O40" ca="1">IF(ROW()-ROW($I$2:$I$53)+1&gt;ROWS($H$2:$H$53)-COUNTBLANK($H$2:$H$53),"",INDIRECT(ADDRESS(SMALL((IF($H$2:$H$53&lt;&gt;"",ROW($H$2:$H$53),ROW()+ROWS($H$2:$H$53))),ROW()-ROW($I$2:$I$53)+1),COLUMN($H$2:$H$53),4)))</f>
        <v/>
      </c>
      <c r="P40" s="296" t="str">
        <f t="array" aca="1" ref="P40" ca="1">IF(ROW()-ROW($J$2:$J$53)+1&gt;ROWS($I$2:$I$53)-COUNTBLANK($I$2:$I$53),"",INDIRECT(ADDRESS(SMALL((IF($I$2:$I$53&lt;&gt;"",ROW($I$2:$I$53),ROW()+ROWS($I$2:$I$53))),ROW()-ROW($J$2:$J$53)+1),COLUMN($I$2:$I$53),4)))</f>
        <v/>
      </c>
    </row>
    <row r="41" spans="4:16" x14ac:dyDescent="0.25">
      <c r="D41" s="955"/>
      <c r="E41" s="302" t="str">
        <f>IF(H41="","","2016")</f>
        <v/>
      </c>
      <c r="F41" s="302" t="str">
        <f>IF(H41="","","i")</f>
        <v/>
      </c>
      <c r="G41" s="302" t="str">
        <f t="shared" si="7"/>
        <v/>
      </c>
      <c r="H41" s="303" t="str">
        <f>IF(A5="relevant",IF(Matrix!V26="","",IF(AND(ROUND(Matrix!V26,4)&lt;Berechnung2!$J$57,(ROUND(Matrix!V26,4))&gt;=0),Berechnung2!$L$57,"")),"")</f>
        <v/>
      </c>
      <c r="I41" s="304" t="str">
        <f>IF(H41="","",VLOOKUP(F41,Berechnung2!$I$15:$J$26,2,FALSE))</f>
        <v/>
      </c>
      <c r="J41" s="305" t="str">
        <f t="shared" si="2"/>
        <v/>
      </c>
      <c r="L41" s="302" t="str">
        <f t="array" aca="1" ref="L41" ca="1">IF(ROW()-ROW($F$2:$F$53)+1&gt;ROWS($E$2:$E$53)-COUNTBLANK($E$2:$E$53),"",INDIRECT(ADDRESS(SMALL((IF($E$2:$E$53&lt;&gt;"",ROW($E$2:$E$53),ROW()+ROWS($E$2:$E$53))),ROW()-ROW($F$2:$F$53)+1),COLUMN($E$2:$E$53),4)))</f>
        <v/>
      </c>
      <c r="M41" s="302" t="str">
        <f t="array" aca="1" ref="M41" ca="1">IF(ROW()-ROW($G$2:$G$53)+1&gt;ROWS($F$2:$F$53)-COUNTBLANK($F$2:$F$53),"",INDIRECT(ADDRESS(SMALL((IF($F$2:$F$53&lt;&gt;"",ROW($F$2:$F$53),ROW()+ROWS($F$2:$F$53))),ROW()-ROW($G$2:$G$53)+1),COLUMN($F$2:$F$53),4)))</f>
        <v/>
      </c>
      <c r="N41" s="302" t="str">
        <f t="array" aca="1" ref="N41" ca="1">IF(ROW()-ROW($H$2:$H$53)+1&gt;ROWS($G$2:$G$53)-COUNTBLANK($G$2:$G$53),"",INDIRECT(ADDRESS(SMALL((IF($G$2:$G$53&lt;&gt;"",ROW($G$2:$G$53),ROW()+ROWS($G$2:$G$53))),ROW()-ROW($H$2:$H$53)+1),COLUMN($G$2:$G$53),4)))</f>
        <v/>
      </c>
      <c r="O41" s="296" t="str">
        <f t="array" aca="1" ref="O41" ca="1">IF(ROW()-ROW($I$2:$I$53)+1&gt;ROWS($H$2:$H$53)-COUNTBLANK($H$2:$H$53),"",INDIRECT(ADDRESS(SMALL((IF($H$2:$H$53&lt;&gt;"",ROW($H$2:$H$53),ROW()+ROWS($H$2:$H$53))),ROW()-ROW($I$2:$I$53)+1),COLUMN($H$2:$H$53),4)))</f>
        <v/>
      </c>
      <c r="P41" s="296" t="str">
        <f t="array" aca="1" ref="P41" ca="1">IF(ROW()-ROW($J$2:$J$53)+1&gt;ROWS($I$2:$I$53)-COUNTBLANK($I$2:$I$53),"",INDIRECT(ADDRESS(SMALL((IF($I$2:$I$53&lt;&gt;"",ROW($I$2:$I$53),ROW()+ROWS($I$2:$I$53))),ROW()-ROW($J$2:$J$53)+1),COLUMN($I$2:$I$53),4)))</f>
        <v/>
      </c>
    </row>
    <row r="42" spans="4:16" ht="12.75" thickBot="1" x14ac:dyDescent="0.3">
      <c r="D42" s="317" t="s">
        <v>361</v>
      </c>
      <c r="E42" s="302" t="str">
        <f>IF(H42="","","2017")</f>
        <v/>
      </c>
      <c r="F42" s="306" t="str">
        <f>IF(H42="","","i")</f>
        <v/>
      </c>
      <c r="G42" s="306" t="str">
        <f t="shared" si="7"/>
        <v/>
      </c>
      <c r="H42" s="307" t="str">
        <f>IF(A5="relevant",IF(Matrix!V27="","",IF(AND(ROUND(Matrix!V27,4)&lt;Berechnung2!$J$57,(ROUND(Matrix!V27,4))&gt;=0),Berechnung2!$L$57,"")),"")</f>
        <v/>
      </c>
      <c r="I42" s="308" t="str">
        <f>IF(H42="","",VLOOKUP(F42,Berechnung2!$I$15:$J$26,2,FALSE))</f>
        <v/>
      </c>
      <c r="J42" s="309" t="str">
        <f t="shared" si="2"/>
        <v/>
      </c>
      <c r="L42" s="302" t="str">
        <f t="array" aca="1" ref="L42" ca="1">IF(ROW()-ROW($F$2:$F$53)+1&gt;ROWS($E$2:$E$53)-COUNTBLANK($E$2:$E$53),"",INDIRECT(ADDRESS(SMALL((IF($E$2:$E$53&lt;&gt;"",ROW($E$2:$E$53),ROW()+ROWS($E$2:$E$53))),ROW()-ROW($F$2:$F$53)+1),COLUMN($E$2:$E$53),4)))</f>
        <v/>
      </c>
      <c r="M42" s="302" t="str">
        <f t="array" aca="1" ref="M42" ca="1">IF(ROW()-ROW($G$2:$G$53)+1&gt;ROWS($F$2:$F$53)-COUNTBLANK($F$2:$F$53),"",INDIRECT(ADDRESS(SMALL((IF($F$2:$F$53&lt;&gt;"",ROW($F$2:$F$53),ROW()+ROWS($F$2:$F$53))),ROW()-ROW($G$2:$G$53)+1),COLUMN($F$2:$F$53),4)))</f>
        <v/>
      </c>
      <c r="N42" s="302" t="str">
        <f t="array" aca="1" ref="N42" ca="1">IF(ROW()-ROW($H$2:$H$53)+1&gt;ROWS($G$2:$G$53)-COUNTBLANK($G$2:$G$53),"",INDIRECT(ADDRESS(SMALL((IF($G$2:$G$53&lt;&gt;"",ROW($G$2:$G$53),ROW()+ROWS($G$2:$G$53))),ROW()-ROW($H$2:$H$53)+1),COLUMN($G$2:$G$53),4)))</f>
        <v/>
      </c>
      <c r="O42" s="296" t="str">
        <f t="array" aca="1" ref="O42" ca="1">IF(ROW()-ROW($I$2:$I$53)+1&gt;ROWS($H$2:$H$53)-COUNTBLANK($H$2:$H$53),"",INDIRECT(ADDRESS(SMALL((IF($H$2:$H$53&lt;&gt;"",ROW($H$2:$H$53),ROW()+ROWS($H$2:$H$53))),ROW()-ROW($I$2:$I$53)+1),COLUMN($H$2:$H$53),4)))</f>
        <v/>
      </c>
      <c r="P42" s="296" t="str">
        <f t="array" aca="1" ref="P42" ca="1">IF(ROW()-ROW($J$2:$J$53)+1&gt;ROWS($I$2:$I$53)-COUNTBLANK($I$2:$I$53),"",INDIRECT(ADDRESS(SMALL((IF($I$2:$I$53&lt;&gt;"",ROW($I$2:$I$53),ROW()+ROWS($I$2:$I$53))),ROW()-ROW($J$2:$J$53)+1),COLUMN($I$2:$I$53),4)))</f>
        <v/>
      </c>
    </row>
    <row r="43" spans="4:16" x14ac:dyDescent="0.25">
      <c r="D43" s="316" t="s">
        <v>185</v>
      </c>
      <c r="E43" s="298" t="str">
        <f>IF(H43="","","2013")</f>
        <v/>
      </c>
      <c r="F43" s="298" t="str">
        <f>IF(H43="","","j")</f>
        <v/>
      </c>
      <c r="G43" s="298" t="str">
        <f t="shared" si="7"/>
        <v/>
      </c>
      <c r="H43" s="299" t="str">
        <f>IF(A2="relevant",IF(AND(ROUND(Matrix!AG23,4)&gt;Berechnung2!E71,ROUND(Matrix!AG23,4)&lt;Berechnung2!G71),Berechnung2!L71,IF(ROUND(Matrix!AG23,4)&gt;Berechnung2!J71,Berechnung2!M71,"")),"")</f>
        <v/>
      </c>
      <c r="I43" s="300" t="str">
        <f>IF(H43="","",VLOOKUP(F43,Berechnung2!$I$15:$J$26,2,FALSE))</f>
        <v/>
      </c>
      <c r="J43" s="301" t="str">
        <f t="shared" si="2"/>
        <v/>
      </c>
      <c r="L43" s="302" t="str">
        <f t="array" aca="1" ref="L43" ca="1">IF(ROW()-ROW($F$2:$F$53)+1&gt;ROWS($E$2:$E$53)-COUNTBLANK($E$2:$E$53),"",INDIRECT(ADDRESS(SMALL((IF($E$2:$E$53&lt;&gt;"",ROW($E$2:$E$53),ROW()+ROWS($E$2:$E$53))),ROW()-ROW($F$2:$F$53)+1),COLUMN($E$2:$E$53),4)))</f>
        <v/>
      </c>
      <c r="M43" s="302" t="str">
        <f t="array" aca="1" ref="M43" ca="1">IF(ROW()-ROW($G$2:$G$53)+1&gt;ROWS($F$2:$F$53)-COUNTBLANK($F$2:$F$53),"",INDIRECT(ADDRESS(SMALL((IF($F$2:$F$53&lt;&gt;"",ROW($F$2:$F$53),ROW()+ROWS($F$2:$F$53))),ROW()-ROW($G$2:$G$53)+1),COLUMN($F$2:$F$53),4)))</f>
        <v/>
      </c>
      <c r="N43" s="302" t="str">
        <f t="array" aca="1" ref="N43" ca="1">IF(ROW()-ROW($H$2:$H$53)+1&gt;ROWS($G$2:$G$53)-COUNTBLANK($G$2:$G$53),"",INDIRECT(ADDRESS(SMALL((IF($G$2:$G$53&lt;&gt;"",ROW($G$2:$G$53),ROW()+ROWS($G$2:$G$53))),ROW()-ROW($H$2:$H$53)+1),COLUMN($G$2:$G$53),4)))</f>
        <v/>
      </c>
      <c r="O43" s="296" t="str">
        <f t="array" aca="1" ref="O43" ca="1">IF(ROW()-ROW($I$2:$I$53)+1&gt;ROWS($H$2:$H$53)-COUNTBLANK($H$2:$H$53),"",INDIRECT(ADDRESS(SMALL((IF($H$2:$H$53&lt;&gt;"",ROW($H$2:$H$53),ROW()+ROWS($H$2:$H$53))),ROW()-ROW($I$2:$I$53)+1),COLUMN($H$2:$H$53),4)))</f>
        <v/>
      </c>
      <c r="P43" s="296" t="str">
        <f t="array" aca="1" ref="P43" ca="1">IF(ROW()-ROW($J$2:$J$53)+1&gt;ROWS($I$2:$I$53)-COUNTBLANK($I$2:$I$53),"",INDIRECT(ADDRESS(SMALL((IF($I$2:$I$53&lt;&gt;"",ROW($I$2:$I$53),ROW()+ROWS($I$2:$I$53))),ROW()-ROW($J$2:$J$53)+1),COLUMN($I$2:$I$53),4)))</f>
        <v/>
      </c>
    </row>
    <row r="44" spans="4:16" x14ac:dyDescent="0.25">
      <c r="D44" s="955" t="s">
        <v>244</v>
      </c>
      <c r="E44" s="302" t="str">
        <f>IF(H44="","","2014")</f>
        <v/>
      </c>
      <c r="F44" s="302" t="str">
        <f>IF(H44="","","j")</f>
        <v/>
      </c>
      <c r="G44" s="302" t="str">
        <f t="shared" si="7"/>
        <v/>
      </c>
      <c r="H44" s="303" t="str">
        <f>IF(A3="relevant",IF(AND(ROUND(Matrix!AG24,4)&gt;Berechnung2!E72,ROUND(Matrix!AG24,4)&lt;Berechnung2!G72),Berechnung2!L72,IF(ROUND(Matrix!AG24,4)&gt;Berechnung2!J72,Berechnung2!M72,"")),"")</f>
        <v/>
      </c>
      <c r="I44" s="304" t="str">
        <f>IF(H44="","",VLOOKUP(F44,Berechnung2!$I$15:$J$26,2,FALSE))</f>
        <v/>
      </c>
      <c r="J44" s="305" t="str">
        <f t="shared" si="2"/>
        <v/>
      </c>
      <c r="L44" s="302" t="str">
        <f t="array" aca="1" ref="L44" ca="1">IF(ROW()-ROW($F$2:$F$53)+1&gt;ROWS($E$2:$E$53)-COUNTBLANK($E$2:$E$53),"",INDIRECT(ADDRESS(SMALL((IF($E$2:$E$53&lt;&gt;"",ROW($E$2:$E$53),ROW()+ROWS($E$2:$E$53))),ROW()-ROW($F$2:$F$53)+1),COLUMN($E$2:$E$53),4)))</f>
        <v/>
      </c>
      <c r="M44" s="302" t="str">
        <f t="array" aca="1" ref="M44" ca="1">IF(ROW()-ROW($G$2:$G$53)+1&gt;ROWS($F$2:$F$53)-COUNTBLANK($F$2:$F$53),"",INDIRECT(ADDRESS(SMALL((IF($F$2:$F$53&lt;&gt;"",ROW($F$2:$F$53),ROW()+ROWS($F$2:$F$53))),ROW()-ROW($G$2:$G$53)+1),COLUMN($F$2:$F$53),4)))</f>
        <v/>
      </c>
      <c r="N44" s="302" t="str">
        <f t="array" aca="1" ref="N44" ca="1">IF(ROW()-ROW($H$2:$H$53)+1&gt;ROWS($G$2:$G$53)-COUNTBLANK($G$2:$G$53),"",INDIRECT(ADDRESS(SMALL((IF($G$2:$G$53&lt;&gt;"",ROW($G$2:$G$53),ROW()+ROWS($G$2:$G$53))),ROW()-ROW($H$2:$H$53)+1),COLUMN($G$2:$G$53),4)))</f>
        <v/>
      </c>
      <c r="O44" s="296" t="str">
        <f t="array" aca="1" ref="O44" ca="1">IF(ROW()-ROW($I$2:$I$53)+1&gt;ROWS($H$2:$H$53)-COUNTBLANK($H$2:$H$53),"",INDIRECT(ADDRESS(SMALL((IF($H$2:$H$53&lt;&gt;"",ROW($H$2:$H$53),ROW()+ROWS($H$2:$H$53))),ROW()-ROW($I$2:$I$53)+1),COLUMN($H$2:$H$53),4)))</f>
        <v/>
      </c>
      <c r="P44" s="296" t="str">
        <f t="array" aca="1" ref="P44" ca="1">IF(ROW()-ROW($J$2:$J$53)+1&gt;ROWS($I$2:$I$53)-COUNTBLANK($I$2:$I$53),"",INDIRECT(ADDRESS(SMALL((IF($I$2:$I$53&lt;&gt;"",ROW($I$2:$I$53),ROW()+ROWS($I$2:$I$53))),ROW()-ROW($J$2:$J$53)+1),COLUMN($I$2:$I$53),4)))</f>
        <v/>
      </c>
    </row>
    <row r="45" spans="4:16" x14ac:dyDescent="0.25">
      <c r="D45" s="955"/>
      <c r="E45" s="302" t="str">
        <f>IF(H45="","","2015")</f>
        <v/>
      </c>
      <c r="F45" s="302" t="str">
        <f>IF(H45="","","j")</f>
        <v/>
      </c>
      <c r="G45" s="302" t="str">
        <f t="shared" si="7"/>
        <v/>
      </c>
      <c r="H45" s="303" t="str">
        <f>IF(A4="relevant",IF(AND(ROUND(Matrix!AG25,4)&gt;Berechnung2!E73,ROUND(Matrix!AG25,4)&lt;Berechnung2!G73),Berechnung2!L73,IF(ROUND(Matrix!AG25,4)&gt;Berechnung2!J73,Berechnung2!M73,"")),"")</f>
        <v/>
      </c>
      <c r="I45" s="304" t="str">
        <f>IF(H45="","",VLOOKUP(F45,Berechnung2!$I$15:$J$26,2,FALSE))</f>
        <v/>
      </c>
      <c r="J45" s="305" t="str">
        <f t="shared" si="2"/>
        <v/>
      </c>
      <c r="L45" s="302" t="str">
        <f t="array" aca="1" ref="L45" ca="1">IF(ROW()-ROW($F$2:$F$53)+1&gt;ROWS($E$2:$E$53)-COUNTBLANK($E$2:$E$53),"",INDIRECT(ADDRESS(SMALL((IF($E$2:$E$53&lt;&gt;"",ROW($E$2:$E$53),ROW()+ROWS($E$2:$E$53))),ROW()-ROW($F$2:$F$53)+1),COLUMN($E$2:$E$53),4)))</f>
        <v/>
      </c>
      <c r="M45" s="302" t="str">
        <f t="array" aca="1" ref="M45" ca="1">IF(ROW()-ROW($G$2:$G$53)+1&gt;ROWS($F$2:$F$53)-COUNTBLANK($F$2:$F$53),"",INDIRECT(ADDRESS(SMALL((IF($F$2:$F$53&lt;&gt;"",ROW($F$2:$F$53),ROW()+ROWS($F$2:$F$53))),ROW()-ROW($G$2:$G$53)+1),COLUMN($F$2:$F$53),4)))</f>
        <v/>
      </c>
      <c r="N45" s="302" t="str">
        <f t="array" aca="1" ref="N45" ca="1">IF(ROW()-ROW($H$2:$H$53)+1&gt;ROWS($G$2:$G$53)-COUNTBLANK($G$2:$G$53),"",INDIRECT(ADDRESS(SMALL((IF($G$2:$G$53&lt;&gt;"",ROW($G$2:$G$53),ROW()+ROWS($G$2:$G$53))),ROW()-ROW($H$2:$H$53)+1),COLUMN($G$2:$G$53),4)))</f>
        <v/>
      </c>
      <c r="O45" s="296" t="str">
        <f t="array" aca="1" ref="O45" ca="1">IF(ROW()-ROW($I$2:$I$53)+1&gt;ROWS($H$2:$H$53)-COUNTBLANK($H$2:$H$53),"",INDIRECT(ADDRESS(SMALL((IF($H$2:$H$53&lt;&gt;"",ROW($H$2:$H$53),ROW()+ROWS($H$2:$H$53))),ROW()-ROW($I$2:$I$53)+1),COLUMN($H$2:$H$53),4)))</f>
        <v/>
      </c>
      <c r="P45" s="296" t="str">
        <f t="array" aca="1" ref="P45" ca="1">IF(ROW()-ROW($J$2:$J$53)+1&gt;ROWS($I$2:$I$53)-COUNTBLANK($I$2:$I$53),"",INDIRECT(ADDRESS(SMALL((IF($I$2:$I$53&lt;&gt;"",ROW($I$2:$I$53),ROW()+ROWS($I$2:$I$53))),ROW()-ROW($J$2:$J$53)+1),COLUMN($I$2:$I$53),4)))</f>
        <v/>
      </c>
    </row>
    <row r="46" spans="4:16" x14ac:dyDescent="0.25">
      <c r="D46" s="955"/>
      <c r="E46" s="302" t="str">
        <f>IF(H46="","","2016")</f>
        <v/>
      </c>
      <c r="F46" s="302" t="str">
        <f>IF(H46="","","j")</f>
        <v/>
      </c>
      <c r="G46" s="302" t="str">
        <f t="shared" si="7"/>
        <v/>
      </c>
      <c r="H46" s="303" t="str">
        <f>IF(A5="relevant",IF(AND(ROUND(Matrix!AG26,4)&gt;Berechnung2!E74,ROUND(Matrix!AG26,4)&lt;Berechnung2!G74),Berechnung2!L74,IF(ROUND(Matrix!AG26,4)&gt;Berechnung2!J74,Berechnung2!M74,"")),"")</f>
        <v/>
      </c>
      <c r="I46" s="304" t="str">
        <f>IF(H46="","",VLOOKUP(F46,Berechnung2!$I$15:$J$26,2,FALSE))</f>
        <v/>
      </c>
      <c r="J46" s="305" t="str">
        <f t="shared" si="2"/>
        <v/>
      </c>
      <c r="L46" s="302" t="str">
        <f t="array" aca="1" ref="L46" ca="1">IF(ROW()-ROW($F$2:$F$53)+1&gt;ROWS($E$2:$E$53)-COUNTBLANK($E$2:$E$53),"",INDIRECT(ADDRESS(SMALL((IF($E$2:$E$53&lt;&gt;"",ROW($E$2:$E$53),ROW()+ROWS($E$2:$E$53))),ROW()-ROW($F$2:$F$53)+1),COLUMN($E$2:$E$53),4)))</f>
        <v/>
      </c>
      <c r="M46" s="302" t="str">
        <f t="array" aca="1" ref="M46" ca="1">IF(ROW()-ROW($G$2:$G$53)+1&gt;ROWS($F$2:$F$53)-COUNTBLANK($F$2:$F$53),"",INDIRECT(ADDRESS(SMALL((IF($F$2:$F$53&lt;&gt;"",ROW($F$2:$F$53),ROW()+ROWS($F$2:$F$53))),ROW()-ROW($G$2:$G$53)+1),COLUMN($F$2:$F$53),4)))</f>
        <v/>
      </c>
      <c r="N46" s="302" t="str">
        <f t="array" aca="1" ref="N46" ca="1">IF(ROW()-ROW($H$2:$H$53)+1&gt;ROWS($G$2:$G$53)-COUNTBLANK($G$2:$G$53),"",INDIRECT(ADDRESS(SMALL((IF($G$2:$G$53&lt;&gt;"",ROW($G$2:$G$53),ROW()+ROWS($G$2:$G$53))),ROW()-ROW($H$2:$H$53)+1),COLUMN($G$2:$G$53),4)))</f>
        <v/>
      </c>
      <c r="O46" s="296" t="str">
        <f t="array" aca="1" ref="O46" ca="1">IF(ROW()-ROW($I$2:$I$53)+1&gt;ROWS($H$2:$H$53)-COUNTBLANK($H$2:$H$53),"",INDIRECT(ADDRESS(SMALL((IF($H$2:$H$53&lt;&gt;"",ROW($H$2:$H$53),ROW()+ROWS($H$2:$H$53))),ROW()-ROW($I$2:$I$53)+1),COLUMN($H$2:$H$53),4)))</f>
        <v/>
      </c>
      <c r="P46" s="296" t="str">
        <f t="array" aca="1" ref="P46" ca="1">IF(ROW()-ROW($J$2:$J$53)+1&gt;ROWS($I$2:$I$53)-COUNTBLANK($I$2:$I$53),"",INDIRECT(ADDRESS(SMALL((IF($I$2:$I$53&lt;&gt;"",ROW($I$2:$I$53),ROW()+ROWS($I$2:$I$53))),ROW()-ROW($J$2:$J$53)+1),COLUMN($I$2:$I$53),4)))</f>
        <v/>
      </c>
    </row>
    <row r="47" spans="4:16" ht="12.75" thickBot="1" x14ac:dyDescent="0.3">
      <c r="D47" s="317" t="s">
        <v>362</v>
      </c>
      <c r="E47" s="302" t="str">
        <f>IF(H47="","","2017")</f>
        <v/>
      </c>
      <c r="F47" s="306" t="str">
        <f>IF(H47="","","j")</f>
        <v/>
      </c>
      <c r="G47" s="306" t="str">
        <f t="shared" si="7"/>
        <v/>
      </c>
      <c r="H47" s="307" t="str">
        <f>IF(A5="relevant",IF(AND(ROUND(Matrix!AG27,4)&gt;Berechnung2!E74,ROUND(Matrix!AG27,4)&lt;Berechnung2!G74),Berechnung2!L74,IF(ROUND(Matrix!AG27,4)&gt;Berechnung2!J74,Berechnung2!M74,"")),"")</f>
        <v/>
      </c>
      <c r="I47" s="308" t="str">
        <f>IF(H47="","",VLOOKUP(F47,Berechnung2!$I$15:$J$26,2,FALSE))</f>
        <v/>
      </c>
      <c r="J47" s="309" t="str">
        <f t="shared" si="2"/>
        <v/>
      </c>
      <c r="L47" s="302" t="str">
        <f t="array" aca="1" ref="L47" ca="1">IF(ROW()-ROW($F$2:$F$53)+1&gt;ROWS($E$2:$E$53)-COUNTBLANK($E$2:$E$53),"",INDIRECT(ADDRESS(SMALL((IF($E$2:$E$53&lt;&gt;"",ROW($E$2:$E$53),ROW()+ROWS($E$2:$E$53))),ROW()-ROW($F$2:$F$53)+1),COLUMN($E$2:$E$53),4)))</f>
        <v/>
      </c>
      <c r="M47" s="302" t="str">
        <f t="array" aca="1" ref="M47" ca="1">IF(ROW()-ROW($G$2:$G$53)+1&gt;ROWS($F$2:$F$53)-COUNTBLANK($F$2:$F$53),"",INDIRECT(ADDRESS(SMALL((IF($F$2:$F$53&lt;&gt;"",ROW($F$2:$F$53),ROW()+ROWS($F$2:$F$53))),ROW()-ROW($G$2:$G$53)+1),COLUMN($F$2:$F$53),4)))</f>
        <v/>
      </c>
      <c r="N47" s="302" t="str">
        <f t="array" aca="1" ref="N47" ca="1">IF(ROW()-ROW($H$2:$H$53)+1&gt;ROWS($G$2:$G$53)-COUNTBLANK($G$2:$G$53),"",INDIRECT(ADDRESS(SMALL((IF($G$2:$G$53&lt;&gt;"",ROW($G$2:$G$53),ROW()+ROWS($G$2:$G$53))),ROW()-ROW($H$2:$H$53)+1),COLUMN($G$2:$G$53),4)))</f>
        <v/>
      </c>
      <c r="O47" s="296" t="str">
        <f t="array" aca="1" ref="O47" ca="1">IF(ROW()-ROW($I$2:$I$53)+1&gt;ROWS($H$2:$H$53)-COUNTBLANK($H$2:$H$53),"",INDIRECT(ADDRESS(SMALL((IF($H$2:$H$53&lt;&gt;"",ROW($H$2:$H$53),ROW()+ROWS($H$2:$H$53))),ROW()-ROW($I$2:$I$53)+1),COLUMN($H$2:$H$53),4)))</f>
        <v/>
      </c>
      <c r="P47" s="296" t="str">
        <f t="array" aca="1" ref="P47" ca="1">IF(ROW()-ROW($J$2:$J$53)+1&gt;ROWS($I$2:$I$53)-COUNTBLANK($I$2:$I$53),"",INDIRECT(ADDRESS(SMALL((IF($I$2:$I$53&lt;&gt;"",ROW($I$2:$I$53),ROW()+ROWS($I$2:$I$53))),ROW()-ROW($J$2:$J$53)+1),COLUMN($I$2:$I$53),4)))</f>
        <v/>
      </c>
    </row>
    <row r="48" spans="4:16" x14ac:dyDescent="0.25">
      <c r="D48" s="316" t="s">
        <v>185</v>
      </c>
      <c r="E48" s="298" t="str">
        <f>IF(H48="","","2013")</f>
        <v/>
      </c>
      <c r="F48" s="298" t="str">
        <f>IF(H48="","","k")</f>
        <v/>
      </c>
      <c r="G48" s="298" t="str">
        <f t="shared" si="7"/>
        <v/>
      </c>
      <c r="H48" s="299" t="str">
        <f>IF(A2="relevant",IF(AND(ROUND(Matrix!AF23,4)&gt;Berechnung2!E80,ROUND(Matrix!AF23,4)&lt;Berechnung2!G80),Berechnung2!L80,IF(ROUND(Matrix!AF23,4)&gt;Berechnung2!J80,Berechnung2!M80,"")),"")</f>
        <v/>
      </c>
      <c r="I48" s="300" t="str">
        <f>IF(H48="","",VLOOKUP(F48,Berechnung2!$I$15:$J$26,2,FALSE))</f>
        <v/>
      </c>
      <c r="J48" s="301" t="str">
        <f t="shared" si="2"/>
        <v/>
      </c>
      <c r="L48" s="302" t="str">
        <f t="array" aca="1" ref="L48" ca="1">IF(ROW()-ROW($F$2:$F$53)+1&gt;ROWS($E$2:$E$53)-COUNTBLANK($E$2:$E$53),"",INDIRECT(ADDRESS(SMALL((IF($E$2:$E$53&lt;&gt;"",ROW($E$2:$E$53),ROW()+ROWS($E$2:$E$53))),ROW()-ROW($F$2:$F$53)+1),COLUMN($E$2:$E$53),4)))</f>
        <v/>
      </c>
      <c r="M48" s="302" t="str">
        <f t="array" aca="1" ref="M48" ca="1">IF(ROW()-ROW($G$2:$G$53)+1&gt;ROWS($F$2:$F$53)-COUNTBLANK($F$2:$F$53),"",INDIRECT(ADDRESS(SMALL((IF($F$2:$F$53&lt;&gt;"",ROW($F$2:$F$53),ROW()+ROWS($F$2:$F$53))),ROW()-ROW($G$2:$G$53)+1),COLUMN($F$2:$F$53),4)))</f>
        <v/>
      </c>
      <c r="N48" s="302" t="str">
        <f t="array" aca="1" ref="N48" ca="1">IF(ROW()-ROW($H$2:$H$53)+1&gt;ROWS($G$2:$G$53)-COUNTBLANK($G$2:$G$53),"",INDIRECT(ADDRESS(SMALL((IF($G$2:$G$53&lt;&gt;"",ROW($G$2:$G$53),ROW()+ROWS($G$2:$G$53))),ROW()-ROW($H$2:$H$53)+1),COLUMN($G$2:$G$53),4)))</f>
        <v/>
      </c>
      <c r="O48" s="296" t="str">
        <f t="array" aca="1" ref="O48" ca="1">IF(ROW()-ROW($I$2:$I$53)+1&gt;ROWS($H$2:$H$53)-COUNTBLANK($H$2:$H$53),"",INDIRECT(ADDRESS(SMALL((IF($H$2:$H$53&lt;&gt;"",ROW($H$2:$H$53),ROW()+ROWS($H$2:$H$53))),ROW()-ROW($I$2:$I$53)+1),COLUMN($H$2:$H$53),4)))</f>
        <v/>
      </c>
      <c r="P48" s="296" t="str">
        <f t="array" aca="1" ref="P48" ca="1">IF(ROW()-ROW($J$2:$J$53)+1&gt;ROWS($I$2:$I$53)-COUNTBLANK($I$2:$I$53),"",INDIRECT(ADDRESS(SMALL((IF($I$2:$I$53&lt;&gt;"",ROW($I$2:$I$53),ROW()+ROWS($I$2:$I$53))),ROW()-ROW($J$2:$J$53)+1),COLUMN($I$2:$I$53),4)))</f>
        <v/>
      </c>
    </row>
    <row r="49" spans="4:16" x14ac:dyDescent="0.25">
      <c r="D49" s="955" t="s">
        <v>245</v>
      </c>
      <c r="E49" s="302" t="str">
        <f>IF(H49="","","2014")</f>
        <v/>
      </c>
      <c r="F49" s="302" t="str">
        <f>IF(H49="","","k")</f>
        <v/>
      </c>
      <c r="G49" s="302" t="str">
        <f t="shared" si="7"/>
        <v/>
      </c>
      <c r="H49" s="303" t="str">
        <f>IF(A3="relevant",IF(AND(ROUND(Matrix!AF24,4)&gt;Berechnung2!E81,ROUND(Matrix!AF24,4)&lt;Berechnung2!G81),Berechnung2!L81,IF(ROUND(Matrix!AF24,4)&gt;Berechnung2!J81,Berechnung2!M81,"")),"")</f>
        <v/>
      </c>
      <c r="I49" s="304" t="str">
        <f>IF(H49="","",VLOOKUP(F49,Berechnung2!$I$15:$J$26,2,FALSE))</f>
        <v/>
      </c>
      <c r="J49" s="305" t="str">
        <f t="shared" si="2"/>
        <v/>
      </c>
      <c r="L49" s="302" t="str">
        <f t="array" aca="1" ref="L49" ca="1">IF(ROW()-ROW($F$2:$F$53)+1&gt;ROWS($E$2:$E$53)-COUNTBLANK($E$2:$E$53),"",INDIRECT(ADDRESS(SMALL((IF($E$2:$E$53&lt;&gt;"",ROW($E$2:$E$53),ROW()+ROWS($E$2:$E$53))),ROW()-ROW($F$2:$F$53)+1),COLUMN($E$2:$E$53),4)))</f>
        <v/>
      </c>
      <c r="M49" s="302" t="str">
        <f t="array" aca="1" ref="M49" ca="1">IF(ROW()-ROW($G$2:$G$53)+1&gt;ROWS($F$2:$F$53)-COUNTBLANK($F$2:$F$53),"",INDIRECT(ADDRESS(SMALL((IF($F$2:$F$53&lt;&gt;"",ROW($F$2:$F$53),ROW()+ROWS($F$2:$F$53))),ROW()-ROW($G$2:$G$53)+1),COLUMN($F$2:$F$53),4)))</f>
        <v/>
      </c>
      <c r="N49" s="302" t="str">
        <f t="array" aca="1" ref="N49" ca="1">IF(ROW()-ROW($H$2:$H$53)+1&gt;ROWS($G$2:$G$53)-COUNTBLANK($G$2:$G$53),"",INDIRECT(ADDRESS(SMALL((IF($G$2:$G$53&lt;&gt;"",ROW($G$2:$G$53),ROW()+ROWS($G$2:$G$53))),ROW()-ROW($H$2:$H$53)+1),COLUMN($G$2:$G$53),4)))</f>
        <v/>
      </c>
      <c r="O49" s="296" t="str">
        <f t="array" aca="1" ref="O49" ca="1">IF(ROW()-ROW($I$2:$I$53)+1&gt;ROWS($H$2:$H$53)-COUNTBLANK($H$2:$H$53),"",INDIRECT(ADDRESS(SMALL((IF($H$2:$H$53&lt;&gt;"",ROW($H$2:$H$53),ROW()+ROWS($H$2:$H$53))),ROW()-ROW($I$2:$I$53)+1),COLUMN($H$2:$H$53),4)))</f>
        <v/>
      </c>
      <c r="P49" s="296" t="str">
        <f t="array" aca="1" ref="P49" ca="1">IF(ROW()-ROW($J$2:$J$53)+1&gt;ROWS($I$2:$I$53)-COUNTBLANK($I$2:$I$53),"",INDIRECT(ADDRESS(SMALL((IF($I$2:$I$53&lt;&gt;"",ROW($I$2:$I$53),ROW()+ROWS($I$2:$I$53))),ROW()-ROW($J$2:$J$53)+1),COLUMN($I$2:$I$53),4)))</f>
        <v/>
      </c>
    </row>
    <row r="50" spans="4:16" x14ac:dyDescent="0.25">
      <c r="D50" s="955"/>
      <c r="E50" s="302" t="str">
        <f>IF(H50="","","2015")</f>
        <v/>
      </c>
      <c r="F50" s="302" t="str">
        <f>IF(H50="","","k")</f>
        <v/>
      </c>
      <c r="G50" s="302" t="str">
        <f t="shared" si="7"/>
        <v/>
      </c>
      <c r="H50" s="303" t="str">
        <f>IF(A4="relevant",IF(AND(ROUND(Matrix!AF25,4)&gt;Berechnung2!E82,ROUND(Matrix!AF25,4)&lt;Berechnung2!G82),Berechnung2!L82,IF(ROUND(Matrix!AF25,4)&gt;Berechnung2!J82,Berechnung2!M82,"")),"")</f>
        <v/>
      </c>
      <c r="I50" s="304" t="str">
        <f>IF(H50="","",VLOOKUP(F50,Berechnung2!$I$15:$J$26,2,FALSE))</f>
        <v/>
      </c>
      <c r="J50" s="305" t="str">
        <f t="shared" si="2"/>
        <v/>
      </c>
      <c r="L50" s="302" t="str">
        <f t="array" aca="1" ref="L50" ca="1">IF(ROW()-ROW($F$2:$F$53)+1&gt;ROWS($E$2:$E$53)-COUNTBLANK($E$2:$E$53),"",INDIRECT(ADDRESS(SMALL((IF($E$2:$E$53&lt;&gt;"",ROW($E$2:$E$53),ROW()+ROWS($E$2:$E$53))),ROW()-ROW($F$2:$F$53)+1),COLUMN($E$2:$E$53),4)))</f>
        <v/>
      </c>
      <c r="M50" s="302" t="str">
        <f t="array" aca="1" ref="M50" ca="1">IF(ROW()-ROW($G$2:$G$53)+1&gt;ROWS($F$2:$F$53)-COUNTBLANK($F$2:$F$53),"",INDIRECT(ADDRESS(SMALL((IF($F$2:$F$53&lt;&gt;"",ROW($F$2:$F$53),ROW()+ROWS($F$2:$F$53))),ROW()-ROW($G$2:$G$53)+1),COLUMN($F$2:$F$53),4)))</f>
        <v/>
      </c>
      <c r="N50" s="302" t="str">
        <f t="array" aca="1" ref="N50" ca="1">IF(ROW()-ROW($H$2:$H$53)+1&gt;ROWS($G$2:$G$53)-COUNTBLANK($G$2:$G$53),"",INDIRECT(ADDRESS(SMALL((IF($G$2:$G$53&lt;&gt;"",ROW($G$2:$G$53),ROW()+ROWS($G$2:$G$53))),ROW()-ROW($H$2:$H$53)+1),COLUMN($G$2:$G$53),4)))</f>
        <v/>
      </c>
      <c r="O50" s="296" t="str">
        <f t="array" aca="1" ref="O50" ca="1">IF(ROW()-ROW($I$2:$I$53)+1&gt;ROWS($H$2:$H$53)-COUNTBLANK($H$2:$H$53),"",INDIRECT(ADDRESS(SMALL((IF($H$2:$H$53&lt;&gt;"",ROW($H$2:$H$53),ROW()+ROWS($H$2:$H$53))),ROW()-ROW($I$2:$I$53)+1),COLUMN($H$2:$H$53),4)))</f>
        <v/>
      </c>
      <c r="P50" s="296" t="str">
        <f t="array" aca="1" ref="P50" ca="1">IF(ROW()-ROW($J$2:$J$53)+1&gt;ROWS($I$2:$I$53)-COUNTBLANK($I$2:$I$53),"",INDIRECT(ADDRESS(SMALL((IF($I$2:$I$53&lt;&gt;"",ROW($I$2:$I$53),ROW()+ROWS($I$2:$I$53))),ROW()-ROW($J$2:$J$53)+1),COLUMN($I$2:$I$53),4)))</f>
        <v/>
      </c>
    </row>
    <row r="51" spans="4:16" s="375" customFormat="1" x14ac:dyDescent="0.25">
      <c r="D51" s="955"/>
      <c r="E51" s="302" t="str">
        <f>IF(H51="","","2016")</f>
        <v/>
      </c>
      <c r="F51" s="302" t="str">
        <f>IF(H51="","","k")</f>
        <v/>
      </c>
      <c r="G51" s="302" t="str">
        <f t="shared" si="7"/>
        <v/>
      </c>
      <c r="H51" s="303" t="str">
        <f>IF(A5="relevant",IF(AND(ROUND(Matrix!AF26,4)&gt;Berechnung2!E83,ROUND(Matrix!AF26,4)&lt;Berechnung2!G83),Berechnung2!L83,IF(ROUND(Matrix!AF26,4)&gt;Berechnung2!J83,Berechnung2!M83,"")),"")</f>
        <v/>
      </c>
      <c r="I51" s="304" t="str">
        <f>IF(H51="","",VLOOKUP(F51,Berechnung2!$I$15:$J$26,2,FALSE))</f>
        <v/>
      </c>
      <c r="J51" s="305" t="str">
        <f t="shared" si="2"/>
        <v/>
      </c>
      <c r="K51" s="290"/>
      <c r="L51" s="302" t="str">
        <f t="array" aca="1" ref="L51" ca="1">IF(ROW()-ROW($F$2:$F$53)+1&gt;ROWS($E$2:$E$53)-COUNTBLANK($E$2:$E$53),"",INDIRECT(ADDRESS(SMALL((IF($E$2:$E$53&lt;&gt;"",ROW($E$2:$E$53),ROW()+ROWS($E$2:$E$53))),ROW()-ROW($F$2:$F$53)+1),COLUMN($E$2:$E$53),4)))</f>
        <v/>
      </c>
      <c r="M51" s="302" t="str">
        <f t="array" aca="1" ref="M51" ca="1">IF(ROW()-ROW($G$2:$G$53)+1&gt;ROWS($F$2:$F$53)-COUNTBLANK($F$2:$F$53),"",INDIRECT(ADDRESS(SMALL((IF($F$2:$F$53&lt;&gt;"",ROW($F$2:$F$53),ROW()+ROWS($F$2:$F$53))),ROW()-ROW($G$2:$G$53)+1),COLUMN($F$2:$F$53),4)))</f>
        <v/>
      </c>
      <c r="N51" s="302" t="str">
        <f t="array" aca="1" ref="N51" ca="1">IF(ROW()-ROW($H$2:$H$53)+1&gt;ROWS($G$2:$G$53)-COUNTBLANK($G$2:$G$53),"",INDIRECT(ADDRESS(SMALL((IF($G$2:$G$53&lt;&gt;"",ROW($G$2:$G$53),ROW()+ROWS($G$2:$G$53))),ROW()-ROW($H$2:$H$53)+1),COLUMN($G$2:$G$53),4)))</f>
        <v/>
      </c>
      <c r="O51" s="296" t="str">
        <f t="array" aca="1" ref="O51" ca="1">IF(ROW()-ROW($I$2:$I$53)+1&gt;ROWS($H$2:$H$53)-COUNTBLANK($H$2:$H$53),"",INDIRECT(ADDRESS(SMALL((IF($H$2:$H$53&lt;&gt;"",ROW($H$2:$H$53),ROW()+ROWS($H$2:$H$53))),ROW()-ROW($I$2:$I$53)+1),COLUMN($H$2:$H$53),4)))</f>
        <v/>
      </c>
      <c r="P51" s="296" t="str">
        <f t="array" aca="1" ref="P51" ca="1">IF(ROW()-ROW($J$2:$J$53)+1&gt;ROWS($I$2:$I$53)-COUNTBLANK($I$2:$I$53),"",INDIRECT(ADDRESS(SMALL((IF($I$2:$I$53&lt;&gt;"",ROW($I$2:$I$53),ROW()+ROWS($I$2:$I$53))),ROW()-ROW($J$2:$J$53)+1),COLUMN($I$2:$I$53),4)))</f>
        <v/>
      </c>
    </row>
    <row r="52" spans="4:16" ht="12.75" thickBot="1" x14ac:dyDescent="0.3">
      <c r="D52" s="376" t="s">
        <v>363</v>
      </c>
      <c r="E52" s="302" t="str">
        <f>IF(H52="","","2017")</f>
        <v/>
      </c>
      <c r="F52" s="306" t="str">
        <f>IF(H52="","","k")</f>
        <v/>
      </c>
      <c r="G52" s="306" t="str">
        <f t="shared" si="7"/>
        <v/>
      </c>
      <c r="H52" s="307" t="str">
        <f>IF(A5="relevant",IF(AND(ROUND(Matrix!AF27,4)&gt;Berechnung2!E83,ROUND(Matrix!AF27,4)&lt;Berechnung2!G83),Berechnung2!L83,IF(ROUND(Matrix!AF27,4)&gt;Berechnung2!J83,Berechnung2!M83,"")),"")</f>
        <v/>
      </c>
      <c r="I52" s="308" t="str">
        <f>IF(H52="","",VLOOKUP(F52,Berechnung2!$I$15:$J$26,2,FALSE))</f>
        <v/>
      </c>
      <c r="J52" s="309" t="str">
        <f t="shared" si="2"/>
        <v/>
      </c>
      <c r="K52" s="375"/>
      <c r="L52" s="302" t="str">
        <f t="array" aca="1" ref="L52" ca="1">IF(ROW()-ROW($F$2:$F$53)+1&gt;ROWS($E$2:$E$53)-COUNTBLANK($E$2:$E$53),"",INDIRECT(ADDRESS(SMALL((IF($E$2:$E$53&lt;&gt;"",ROW($E$2:$E$53),ROW()+ROWS($E$2:$E$53))),ROW()-ROW($F$2:$F$53)+1),COLUMN($E$2:$E$53),4)))</f>
        <v/>
      </c>
      <c r="M52" s="302" t="str">
        <f t="array" aca="1" ref="M52" ca="1">IF(ROW()-ROW($G$2:$G$53)+1&gt;ROWS($F$2:$F$53)-COUNTBLANK($F$2:$F$53),"",INDIRECT(ADDRESS(SMALL((IF($F$2:$F$53&lt;&gt;"",ROW($F$2:$F$53),ROW()+ROWS($F$2:$F$53))),ROW()-ROW($G$2:$G$53)+1),COLUMN($F$2:$F$53),4)))</f>
        <v/>
      </c>
      <c r="N52" s="302" t="str">
        <f t="array" aca="1" ref="N52" ca="1">IF(ROW()-ROW($H$2:$H$53)+1&gt;ROWS($G$2:$G$53)-COUNTBLANK($G$2:$G$53),"",INDIRECT(ADDRESS(SMALL((IF($G$2:$G$53&lt;&gt;"",ROW($G$2:$G$53),ROW()+ROWS($G$2:$G$53))),ROW()-ROW($H$2:$H$53)+1),COLUMN($G$2:$G$53),4)))</f>
        <v/>
      </c>
      <c r="O52" s="296" t="str">
        <f t="array" aca="1" ref="O52" ca="1">IF(ROW()-ROW($I$2:$I$53)+1&gt;ROWS($H$2:$H$53)-COUNTBLANK($H$2:$H$53),"",INDIRECT(ADDRESS(SMALL((IF($H$2:$H$53&lt;&gt;"",ROW($H$2:$H$53),ROW()+ROWS($H$2:$H$53))),ROW()-ROW($I$2:$I$53)+1),COLUMN($H$2:$H$53),4)))</f>
        <v/>
      </c>
      <c r="P52" s="296" t="str">
        <f t="array" aca="1" ref="P52" ca="1">IF(ROW()-ROW($J$2:$J$53)+1&gt;ROWS($I$2:$I$53)-COUNTBLANK($I$2:$I$53),"",INDIRECT(ADDRESS(SMALL((IF($I$2:$I$53&lt;&gt;"",ROW($I$2:$I$53),ROW()+ROWS($I$2:$I$53))),ROW()-ROW($J$2:$J$53)+1),COLUMN($I$2:$I$53),4)))</f>
        <v/>
      </c>
    </row>
    <row r="53" spans="4:16" ht="15" customHeight="1" thickBot="1" x14ac:dyDescent="0.3">
      <c r="D53" s="319" t="s">
        <v>364</v>
      </c>
      <c r="E53" s="320"/>
      <c r="F53" s="321"/>
      <c r="G53" s="321"/>
      <c r="H53" s="322"/>
      <c r="I53" s="322"/>
      <c r="J53" s="323"/>
      <c r="L53" s="381" t="str">
        <f t="array" aca="1" ref="L53" ca="1">IF(ROW()-ROW($F$2:$F$53)+1&gt;ROWS($E$2:$E$53)-COUNTBLANK($E$2:$E$53),"",INDIRECT(ADDRESS(SMALL((IF($E$2:$E$53&lt;&gt;"",ROW($E$2:$E$53),ROW()+ROWS($E$2:$E$53))),ROW()-ROW($F$2:$F$53)+1),COLUMN($E$2:$E$53),4)))</f>
        <v/>
      </c>
      <c r="M53" s="381" t="str">
        <f t="array" aca="1" ref="M53" ca="1">IF(ROW()-ROW($G$2:$G$53)+1&gt;ROWS($F$2:$F$53)-COUNTBLANK($F$2:$F$53),"",INDIRECT(ADDRESS(SMALL((IF($F$2:$F$53&lt;&gt;"",ROW($F$2:$F$53),ROW()+ROWS($F$2:$F$53))),ROW()-ROW($G$2:$G$53)+1),COLUMN($F$2:$F$53),4)))</f>
        <v/>
      </c>
      <c r="N53" s="381" t="str">
        <f t="array" aca="1" ref="N53" ca="1">IF(ROW()-ROW($H$2:$H$53)+1&gt;ROWS($G$2:$G$53)-COUNTBLANK($G$2:$G$53),"",INDIRECT(ADDRESS(SMALL((IF($G$2:$G$53&lt;&gt;"",ROW($G$2:$G$53),ROW()+ROWS($G$2:$G$53))),ROW()-ROW($H$2:$H$53)+1),COLUMN($G$2:$G$53),4)))</f>
        <v/>
      </c>
      <c r="O53" s="382" t="str">
        <f t="array" aca="1" ref="O53" ca="1">IF(ROW()-ROW($I$2:$I$53)+1&gt;ROWS($H$2:$H$53)-COUNTBLANK($H$2:$H$53),"",INDIRECT(ADDRESS(SMALL((IF($H$2:$H$53&lt;&gt;"",ROW($H$2:$H$53),ROW()+ROWS($H$2:$H$53))),ROW()-ROW($I$2:$I$53)+1),COLUMN($H$2:$H$53),4)))</f>
        <v/>
      </c>
      <c r="P53" s="382" t="str">
        <f t="array" aca="1" ref="P53" ca="1">IF(ROW()-ROW($J$2:$J$53)+1&gt;ROWS($I$2:$I$53)-COUNTBLANK($I$2:$I$53),"",INDIRECT(ADDRESS(SMALL((IF($I$2:$I$53&lt;&gt;"",ROW($I$2:$I$53),ROW()+ROWS($I$2:$I$53))),ROW()-ROW($J$2:$J$53)+1),COLUMN($I$2:$I$53),4)))</f>
        <v/>
      </c>
    </row>
    <row r="54" spans="4:16" ht="15" customHeight="1" x14ac:dyDescent="0.25"/>
    <row r="55" spans="4:16" ht="15" customHeight="1" x14ac:dyDescent="0.25">
      <c r="H55" s="956" t="s">
        <v>196</v>
      </c>
      <c r="I55" s="956"/>
      <c r="J55" s="325">
        <f>IF(SUM(J2:J8)=0,0,SUM(J2:J8))</f>
        <v>0</v>
      </c>
    </row>
    <row r="56" spans="4:16" ht="15" customHeight="1" x14ac:dyDescent="0.25">
      <c r="H56" s="956" t="s">
        <v>195</v>
      </c>
      <c r="I56" s="956"/>
      <c r="J56" s="325">
        <f>IF(SUM(J9:J23)=0,0,SUM(J9:J23))</f>
        <v>0</v>
      </c>
    </row>
    <row r="57" spans="4:16" ht="12.75" x14ac:dyDescent="0.25">
      <c r="H57" s="953" t="s">
        <v>185</v>
      </c>
      <c r="I57" s="953"/>
      <c r="J57" s="326">
        <f>IF(SUM(J25:J53)=0,0,SUM(J25:J53))</f>
        <v>0</v>
      </c>
    </row>
    <row r="58" spans="4:16" ht="12.75" x14ac:dyDescent="0.25">
      <c r="H58" s="954" t="s">
        <v>34</v>
      </c>
      <c r="I58" s="954"/>
      <c r="J58" s="327">
        <f>IF(J24="",0,J24)</f>
        <v>0</v>
      </c>
    </row>
  </sheetData>
  <mergeCells count="14">
    <mergeCell ref="D26:D29"/>
    <mergeCell ref="H56:I56"/>
    <mergeCell ref="D3:D6"/>
    <mergeCell ref="D10:D12"/>
    <mergeCell ref="D15:D17"/>
    <mergeCell ref="D20:D22"/>
    <mergeCell ref="D7:D8"/>
    <mergeCell ref="H57:I57"/>
    <mergeCell ref="H58:I58"/>
    <mergeCell ref="D34:D36"/>
    <mergeCell ref="D39:D41"/>
    <mergeCell ref="D44:D46"/>
    <mergeCell ref="D49:D51"/>
    <mergeCell ref="H55:I55"/>
  </mergeCells>
  <phoneticPr fontId="35" type="noConversion"/>
  <conditionalFormatting sqref="B2:B8 E2:J8">
    <cfRule type="expression" dxfId="13" priority="18" stopIfTrue="1">
      <formula>OR($A2="EZ",$A2="nicht relevant")</formula>
    </cfRule>
  </conditionalFormatting>
  <conditionalFormatting sqref="E9:E23">
    <cfRule type="expression" dxfId="12" priority="7" stopIfTrue="1">
      <formula>OR($A8="EZ",$A8="nicht relevant")</formula>
    </cfRule>
  </conditionalFormatting>
  <conditionalFormatting sqref="E25:E30">
    <cfRule type="expression" dxfId="11" priority="6" stopIfTrue="1">
      <formula>OR($A24="EZ",$A24="nicht relevant")</formula>
    </cfRule>
  </conditionalFormatting>
  <conditionalFormatting sqref="E31">
    <cfRule type="expression" dxfId="10" priority="5" stopIfTrue="1">
      <formula>OR($A29="EZ",$A29="nicht relevant")</formula>
    </cfRule>
  </conditionalFormatting>
  <conditionalFormatting sqref="E33:E52">
    <cfRule type="expression" dxfId="9" priority="1" stopIfTrue="1">
      <formula>OR($A31="EZ",$A31="nicht relevant")</formula>
    </cfRule>
  </conditionalFormatting>
  <conditionalFormatting sqref="E9:J13">
    <cfRule type="expression" dxfId="8" priority="17" stopIfTrue="1">
      <formula>OR($A2="EZ",$A2="nicht relevant")</formula>
    </cfRule>
  </conditionalFormatting>
  <conditionalFormatting sqref="E14:J18">
    <cfRule type="expression" dxfId="7" priority="16" stopIfTrue="1">
      <formula>OR($A2="EZ",$A2="nicht relevant")</formula>
    </cfRule>
  </conditionalFormatting>
  <conditionalFormatting sqref="E19:J23">
    <cfRule type="expression" dxfId="6" priority="15" stopIfTrue="1">
      <formula>OR($A2="EZ",$A2="nicht relevant")</formula>
    </cfRule>
  </conditionalFormatting>
  <conditionalFormatting sqref="E25:J30">
    <cfRule type="expression" dxfId="5" priority="14" stopIfTrue="1">
      <formula>OR($A2="EZ",$A2="nicht relevant")</formula>
    </cfRule>
  </conditionalFormatting>
  <conditionalFormatting sqref="E31:J31">
    <cfRule type="expression" dxfId="4" priority="3663" stopIfTrue="1">
      <formula>OR($A7="EZ",$A7="nicht relevant")</formula>
    </cfRule>
  </conditionalFormatting>
  <conditionalFormatting sqref="E33:J37">
    <cfRule type="expression" dxfId="3" priority="10" stopIfTrue="1">
      <formula>OR($A2="EZ",$A2="nicht relevant")</formula>
    </cfRule>
  </conditionalFormatting>
  <conditionalFormatting sqref="E38:J42">
    <cfRule type="expression" dxfId="2" priority="11" stopIfTrue="1">
      <formula>OR($A2="EZ",$A2="nicht relevant")</formula>
    </cfRule>
  </conditionalFormatting>
  <conditionalFormatting sqref="E43:J47">
    <cfRule type="expression" dxfId="1" priority="12" stopIfTrue="1">
      <formula>OR($A2="EZ",$A2="nicht relevant")</formula>
    </cfRule>
  </conditionalFormatting>
  <conditionalFormatting sqref="E48:J52">
    <cfRule type="expression" dxfId="0" priority="13" stopIfTrue="1">
      <formula>OR($A2="EZ",$A2="nicht relevant")</formula>
    </cfRule>
  </conditionalFormatting>
  <pageMargins left="0.7" right="0.7" top="0.78740157499999996" bottom="0.78740157499999996"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AD8"/>
  <sheetViews>
    <sheetView workbookViewId="0">
      <selection activeCell="O1" sqref="O1"/>
    </sheetView>
  </sheetViews>
  <sheetFormatPr defaultColWidth="11.42578125" defaultRowHeight="11.25" x14ac:dyDescent="0.2"/>
  <cols>
    <col min="1" max="1" width="14.5703125" style="59" customWidth="1"/>
    <col min="2" max="2" width="11.140625" style="59" customWidth="1"/>
    <col min="3" max="3" width="9.140625" style="59" customWidth="1"/>
    <col min="4" max="13" width="4.7109375" style="59" customWidth="1"/>
    <col min="14" max="14" width="14.85546875" style="59" customWidth="1"/>
    <col min="15" max="15" width="12.28515625" style="59" customWidth="1"/>
    <col min="16" max="16" width="9.140625" style="59" customWidth="1"/>
    <col min="17" max="17" width="11.85546875" style="59" customWidth="1"/>
    <col min="18" max="18" width="10.140625" style="59" customWidth="1"/>
    <col min="19" max="19" width="10.85546875" style="59" customWidth="1"/>
    <col min="20" max="20" width="9.7109375" style="59" customWidth="1"/>
    <col min="21" max="21" width="13.5703125" style="59" customWidth="1"/>
    <col min="22" max="23" width="10.85546875" style="59" customWidth="1"/>
    <col min="24" max="24" width="8.7109375" style="59" customWidth="1"/>
    <col min="25" max="25" width="13.28515625" style="59" customWidth="1"/>
    <col min="26" max="26" width="14.42578125" style="59" customWidth="1"/>
    <col min="27" max="30" width="14.7109375" style="59" customWidth="1"/>
    <col min="31" max="16384" width="11.42578125" style="59"/>
  </cols>
  <sheetData>
    <row r="1" spans="1:30" s="98" customFormat="1" ht="86.25" customHeight="1" x14ac:dyDescent="0.25">
      <c r="A1" s="99" t="str">
        <f>Matrix!A21</f>
        <v>Relevante Nachsorgejahre</v>
      </c>
      <c r="B1" s="99" t="str">
        <f>Matrix!B21</f>
        <v>Jahr der Erstdiagnose</v>
      </c>
      <c r="C1" s="99" t="str">
        <f>Matrix!C21</f>
        <v>Anzahl Primärpatientinnen (Zervix)</v>
      </c>
      <c r="D1" s="99" t="str">
        <f>Matrix!D21</f>
        <v>FIGO IA1  (= T1a1)</v>
      </c>
      <c r="E1" s="99" t="str">
        <f>Matrix!E21</f>
        <v>FIGO IA2  (= T1a2)</v>
      </c>
      <c r="F1" s="99" t="str">
        <f>Matrix!F21</f>
        <v>FIGO IB1  (= T1b1)</v>
      </c>
      <c r="G1" s="99" t="str">
        <f>Matrix!G21</f>
        <v>FIGO IB2  (= T1b2)</v>
      </c>
      <c r="H1" s="99" t="str">
        <f>Matrix!H21</f>
        <v>FIGO IIA  (= T2a)</v>
      </c>
      <c r="I1" s="99" t="str">
        <f>Matrix!I21</f>
        <v>FIGO IIB   (= T2b)</v>
      </c>
      <c r="J1" s="99" t="str">
        <f>Matrix!J21</f>
        <v>FIGO IIIA   (= T3a)</v>
      </c>
      <c r="K1" s="99" t="str">
        <f>Matrix!K21</f>
        <v>FIGO IIIB   (= T3b)</v>
      </c>
      <c r="L1" s="99" t="str">
        <f>Matrix!L21</f>
        <v>FIGO IVA   (= T4)</v>
      </c>
      <c r="M1" s="99" t="str">
        <f>Matrix!M21</f>
        <v>FIGO IVB   (= M1)</v>
      </c>
      <c r="N1" s="99" t="str">
        <f>LEFT(Matrix!O21,60)</f>
        <v xml:space="preserve">Patientinnen „im Follow-Up“
(aus Grundgesamtheit Primpat.)  </v>
      </c>
      <c r="O1" s="99" t="str">
        <f>LEFT(Matrix!P21,44)</f>
        <v>Follow-Up-Daten vom Klinischen Krebsregister</v>
      </c>
      <c r="P1" s="99" t="str">
        <f>LEFT(Matrix!Q21,28)</f>
        <v xml:space="preserve">Follow-Up-Daten vom Zentrum </v>
      </c>
      <c r="Q1" s="99" t="str">
        <f>Matrix!R21</f>
        <v>Keine Rückmeldung</v>
      </c>
      <c r="R1" s="99" t="str">
        <f>Matrix!S21</f>
        <v>Follow-Up Quote in %
= (P + Q) / O</v>
      </c>
      <c r="S1" s="99" t="str">
        <f>Matrix!U21</f>
        <v>Patientinnen tumorfrei</v>
      </c>
      <c r="T1" s="99" t="str">
        <f>Matrix!V21</f>
        <v>Relative Quote tumorfrei 
= V / (Q + R)</v>
      </c>
      <c r="U1" s="99" t="str">
        <f>Matrix!W21</f>
        <v>Patientinnen mit mindestens 1 der Ereignisse in Spalte X, Y und Z</v>
      </c>
      <c r="V1" s="99" t="str">
        <f>Matrix!X21</f>
        <v xml:space="preserve">  Pat. mit Lokalrezidiv </v>
      </c>
      <c r="W1" s="99" t="str">
        <f>Matrix!Y21</f>
        <v xml:space="preserve">  Pat. mit Lymphknotenrezidiv</v>
      </c>
      <c r="X1" s="99" t="str">
        <f>Matrix!Z21</f>
        <v xml:space="preserve">  Pat. mit Fernmetastasen </v>
      </c>
      <c r="Y1" s="99" t="str">
        <f>Matrix!AA21</f>
        <v>Diagnose Zweittumor im Verlauf</v>
      </c>
      <c r="Z1" s="99" t="str">
        <f>Matrix!AB21</f>
        <v>Tumorbedingt gestorben</v>
      </c>
      <c r="AA1" s="99" t="str">
        <f>Matrix!AC21</f>
        <v>Nicht tumorbedingt gestorben bzw. Todesursache unbekannt</v>
      </c>
      <c r="AB1" s="99" t="str">
        <f>Matrix!AE21</f>
        <v>Lokalrezidiv-Quote
= X / (P + Q)</v>
      </c>
      <c r="AC1" s="99" t="str">
        <f>Matrix!AF21</f>
        <v>DFS nach Kaplan-Meier
(Disease Free Survival) in %</v>
      </c>
      <c r="AD1" s="99" t="str">
        <f>Matrix!AG21</f>
        <v>OAS nach Kaplan-Meier    
(Overall Survival) in %</v>
      </c>
    </row>
    <row r="2" spans="1:30" x14ac:dyDescent="0.2">
      <c r="A2" s="103" t="str">
        <f>Matrix!A23</f>
        <v>nicht relevant</v>
      </c>
      <c r="B2" s="100">
        <f>Matrix!B23</f>
        <v>2013</v>
      </c>
      <c r="C2" s="120">
        <f>IF(Matrix!C23="","",Matrix!C23)</f>
        <v>0</v>
      </c>
      <c r="D2" s="120" t="str">
        <f>IF(Matrix!D23="","",Matrix!D23)</f>
        <v/>
      </c>
      <c r="E2" s="120" t="str">
        <f>IF(Matrix!E23="","",Matrix!E23)</f>
        <v/>
      </c>
      <c r="F2" s="120" t="str">
        <f>IF(Matrix!F23="","",Matrix!F23)</f>
        <v/>
      </c>
      <c r="G2" s="120" t="str">
        <f>IF(Matrix!G23="","",Matrix!G23)</f>
        <v/>
      </c>
      <c r="H2" s="120" t="str">
        <f>IF(Matrix!H23="","",Matrix!H23)</f>
        <v/>
      </c>
      <c r="I2" s="120" t="str">
        <f>IF(Matrix!I23="","",Matrix!I23)</f>
        <v/>
      </c>
      <c r="J2" s="120" t="str">
        <f>IF(Matrix!J23="","",Matrix!J23)</f>
        <v/>
      </c>
      <c r="K2" s="120" t="str">
        <f>IF(Matrix!K23="","",Matrix!K23)</f>
        <v/>
      </c>
      <c r="L2" s="120" t="str">
        <f>IF(Matrix!L23="","",Matrix!L23)</f>
        <v/>
      </c>
      <c r="M2" s="120" t="str">
        <f>IF(Matrix!M23="","",Matrix!M23)</f>
        <v/>
      </c>
      <c r="N2" s="120" t="str">
        <f>IF(Matrix!O23="","",Matrix!O23)</f>
        <v/>
      </c>
      <c r="O2" s="120" t="str">
        <f>IF(Matrix!P23="","",Matrix!P23)</f>
        <v/>
      </c>
      <c r="P2" s="120" t="str">
        <f>IF(Matrix!Q23="","",Matrix!Q23)</f>
        <v/>
      </c>
      <c r="Q2" s="120" t="str">
        <f>IF(Matrix!R23="","",Matrix!R23)</f>
        <v/>
      </c>
      <c r="R2" s="97" t="str">
        <f>IF(Matrix!S23="","",Matrix!S23*100)</f>
        <v/>
      </c>
      <c r="S2" s="120" t="str">
        <f>IF(Matrix!U23="","",Matrix!U23)</f>
        <v/>
      </c>
      <c r="T2" s="97" t="str">
        <f>IF(Matrix!V23="","",Matrix!V23*100)</f>
        <v/>
      </c>
      <c r="U2" s="120" t="str">
        <f>IF(Matrix!W23="","",Matrix!W23)</f>
        <v/>
      </c>
      <c r="V2" s="120" t="str">
        <f>IF(Matrix!X23="","",Matrix!X23)</f>
        <v/>
      </c>
      <c r="W2" s="120" t="str">
        <f>IF(Matrix!Y23="","",Matrix!Y23)</f>
        <v/>
      </c>
      <c r="X2" s="120" t="str">
        <f>IF(Matrix!Z23="","",Matrix!Z23)</f>
        <v/>
      </c>
      <c r="Y2" s="120" t="str">
        <f>IF(Matrix!AA23="","",Matrix!AA23)</f>
        <v/>
      </c>
      <c r="Z2" s="120" t="str">
        <f>IF(Matrix!AB23="","",Matrix!AB23)</f>
        <v/>
      </c>
      <c r="AA2" s="102" t="str">
        <f>IF(Matrix!AC23="","",Matrix!AC23)</f>
        <v/>
      </c>
      <c r="AB2" s="119" t="str">
        <f>IF(Matrix!AE23="","",Matrix!AE23*100)</f>
        <v/>
      </c>
      <c r="AC2" s="97" t="str">
        <f>IF(Matrix!AF23="","",Matrix!AF23*100)</f>
        <v/>
      </c>
      <c r="AD2" s="97" t="str">
        <f>IF(Matrix!AG23="","",Matrix!AG23*100)</f>
        <v/>
      </c>
    </row>
    <row r="3" spans="1:30" x14ac:dyDescent="0.2">
      <c r="A3" s="117" t="str">
        <f>Matrix!A24</f>
        <v>nicht relevant</v>
      </c>
      <c r="B3" s="101">
        <f>Matrix!B24</f>
        <v>2014</v>
      </c>
      <c r="C3" s="120">
        <f>IF(Matrix!C24="","",Matrix!C24)</f>
        <v>0</v>
      </c>
      <c r="D3" s="120" t="str">
        <f>IF(Matrix!D24="","",Matrix!D24)</f>
        <v/>
      </c>
      <c r="E3" s="120" t="str">
        <f>IF(Matrix!E24="","",Matrix!E24)</f>
        <v/>
      </c>
      <c r="F3" s="120" t="str">
        <f>IF(Matrix!F24="","",Matrix!F24)</f>
        <v/>
      </c>
      <c r="G3" s="120" t="str">
        <f>IF(Matrix!G24="","",Matrix!G24)</f>
        <v/>
      </c>
      <c r="H3" s="120" t="str">
        <f>IF(Matrix!H24="","",Matrix!H24)</f>
        <v/>
      </c>
      <c r="I3" s="120" t="str">
        <f>IF(Matrix!I24="","",Matrix!I24)</f>
        <v/>
      </c>
      <c r="J3" s="120" t="str">
        <f>IF(Matrix!J24="","",Matrix!J24)</f>
        <v/>
      </c>
      <c r="K3" s="120" t="str">
        <f>IF(Matrix!K24="","",Matrix!K24)</f>
        <v/>
      </c>
      <c r="L3" s="120" t="str">
        <f>IF(Matrix!L24="","",Matrix!L24)</f>
        <v/>
      </c>
      <c r="M3" s="120" t="str">
        <f>IF(Matrix!M24="","",Matrix!M24)</f>
        <v/>
      </c>
      <c r="N3" s="120" t="str">
        <f>IF(Matrix!O24="","",Matrix!O24)</f>
        <v/>
      </c>
      <c r="O3" s="120" t="str">
        <f>IF(Matrix!P24="","",Matrix!P24)</f>
        <v/>
      </c>
      <c r="P3" s="120" t="str">
        <f>IF(Matrix!Q24="","",Matrix!Q24)</f>
        <v/>
      </c>
      <c r="Q3" s="120" t="str">
        <f>IF(Matrix!R24="","",Matrix!R24)</f>
        <v/>
      </c>
      <c r="R3" s="97" t="str">
        <f>IF(Matrix!S24="","",Matrix!S24*100)</f>
        <v/>
      </c>
      <c r="S3" s="120" t="str">
        <f>IF(Matrix!U24="","",Matrix!U24)</f>
        <v/>
      </c>
      <c r="T3" s="97" t="str">
        <f>IF(Matrix!V24="","",Matrix!V24*100)</f>
        <v/>
      </c>
      <c r="U3" s="120" t="str">
        <f>IF(Matrix!W24="","",Matrix!W24)</f>
        <v/>
      </c>
      <c r="V3" s="120" t="str">
        <f>IF(Matrix!X24="","",Matrix!X24)</f>
        <v/>
      </c>
      <c r="W3" s="120" t="str">
        <f>IF(Matrix!Y24="","",Matrix!Y24)</f>
        <v/>
      </c>
      <c r="X3" s="120" t="str">
        <f>IF(Matrix!Z24="","",Matrix!Z24)</f>
        <v/>
      </c>
      <c r="Y3" s="120" t="str">
        <f>IF(Matrix!AA24="","",Matrix!AA24)</f>
        <v/>
      </c>
      <c r="Z3" s="120" t="str">
        <f>IF(Matrix!AB24="","",Matrix!AB24)</f>
        <v/>
      </c>
      <c r="AA3" s="102" t="str">
        <f>IF(Matrix!AC24="","",Matrix!AC24)</f>
        <v/>
      </c>
      <c r="AB3" s="119" t="str">
        <f>IF(Matrix!AE24="","",Matrix!AE24*100)</f>
        <v/>
      </c>
      <c r="AC3" s="97" t="str">
        <f>IF(Matrix!AF24="","",Matrix!AF24*100)</f>
        <v/>
      </c>
      <c r="AD3" s="97" t="str">
        <f>IF(Matrix!AG24="","",Matrix!AG24*100)</f>
        <v/>
      </c>
    </row>
    <row r="4" spans="1:30" x14ac:dyDescent="0.2">
      <c r="A4" s="117" t="str">
        <f>Matrix!A25</f>
        <v>nicht relevant</v>
      </c>
      <c r="B4" s="101">
        <f>Matrix!B25</f>
        <v>2015</v>
      </c>
      <c r="C4" s="120">
        <f>IF(Matrix!C25="","",Matrix!C25)</f>
        <v>0</v>
      </c>
      <c r="D4" s="120" t="str">
        <f>IF(Matrix!D25="","",Matrix!D25)</f>
        <v/>
      </c>
      <c r="E4" s="120" t="str">
        <f>IF(Matrix!E25="","",Matrix!E25)</f>
        <v/>
      </c>
      <c r="F4" s="120" t="str">
        <f>IF(Matrix!F25="","",Matrix!F25)</f>
        <v/>
      </c>
      <c r="G4" s="120" t="str">
        <f>IF(Matrix!G25="","",Matrix!G25)</f>
        <v/>
      </c>
      <c r="H4" s="120" t="str">
        <f>IF(Matrix!H25="","",Matrix!H25)</f>
        <v/>
      </c>
      <c r="I4" s="120" t="str">
        <f>IF(Matrix!I25="","",Matrix!I25)</f>
        <v/>
      </c>
      <c r="J4" s="120" t="str">
        <f>IF(Matrix!J25="","",Matrix!J25)</f>
        <v/>
      </c>
      <c r="K4" s="120" t="str">
        <f>IF(Matrix!K25="","",Matrix!K25)</f>
        <v/>
      </c>
      <c r="L4" s="120" t="str">
        <f>IF(Matrix!L25="","",Matrix!L25)</f>
        <v/>
      </c>
      <c r="M4" s="120" t="str">
        <f>IF(Matrix!M25="","",Matrix!M25)</f>
        <v/>
      </c>
      <c r="N4" s="120" t="str">
        <f>IF(Matrix!O25="","",Matrix!O25)</f>
        <v/>
      </c>
      <c r="O4" s="120" t="str">
        <f>IF(Matrix!P25="","",Matrix!P25)</f>
        <v/>
      </c>
      <c r="P4" s="120" t="str">
        <f>IF(Matrix!Q25="","",Matrix!Q25)</f>
        <v/>
      </c>
      <c r="Q4" s="120" t="str">
        <f>IF(Matrix!R25="","",Matrix!R25)</f>
        <v/>
      </c>
      <c r="R4" s="97" t="str">
        <f>IF(Matrix!S25="","",Matrix!S25*100)</f>
        <v/>
      </c>
      <c r="S4" s="120" t="str">
        <f>IF(Matrix!U25="","",Matrix!U25)</f>
        <v/>
      </c>
      <c r="T4" s="97" t="str">
        <f>IF(Matrix!V25="","",Matrix!V25*100)</f>
        <v/>
      </c>
      <c r="U4" s="120" t="str">
        <f>IF(Matrix!W25="","",Matrix!W25)</f>
        <v/>
      </c>
      <c r="V4" s="120" t="str">
        <f>IF(Matrix!X25="","",Matrix!X25)</f>
        <v/>
      </c>
      <c r="W4" s="120" t="str">
        <f>IF(Matrix!Y25="","",Matrix!Y25)</f>
        <v/>
      </c>
      <c r="X4" s="120" t="str">
        <f>IF(Matrix!Z25="","",Matrix!Z25)</f>
        <v/>
      </c>
      <c r="Y4" s="120" t="str">
        <f>IF(Matrix!AA25="","",Matrix!AA25)</f>
        <v/>
      </c>
      <c r="Z4" s="120" t="str">
        <f>IF(Matrix!AB25="","",Matrix!AB25)</f>
        <v/>
      </c>
      <c r="AA4" s="102" t="str">
        <f>IF(Matrix!AC25="","",Matrix!AC25)</f>
        <v/>
      </c>
      <c r="AB4" s="119" t="str">
        <f>IF(Matrix!AE25="","",Matrix!AE25*100)</f>
        <v/>
      </c>
      <c r="AC4" s="97" t="str">
        <f>IF(Matrix!AF25="","",Matrix!AF25*100)</f>
        <v/>
      </c>
      <c r="AD4" s="97" t="str">
        <f>IF(Matrix!AG25="","",Matrix!AG25*100)</f>
        <v/>
      </c>
    </row>
    <row r="5" spans="1:30" x14ac:dyDescent="0.2">
      <c r="A5" s="117" t="str">
        <f>Matrix!A26</f>
        <v>nicht relevant</v>
      </c>
      <c r="B5" s="101">
        <f>Matrix!B26</f>
        <v>2016</v>
      </c>
      <c r="C5" s="120">
        <f>IF(Matrix!C26="","",Matrix!C26)</f>
        <v>0</v>
      </c>
      <c r="D5" s="120" t="str">
        <f>IF(Matrix!D26="","",Matrix!D26)</f>
        <v/>
      </c>
      <c r="E5" s="120" t="str">
        <f>IF(Matrix!E26="","",Matrix!E26)</f>
        <v/>
      </c>
      <c r="F5" s="120" t="str">
        <f>IF(Matrix!F26="","",Matrix!F26)</f>
        <v/>
      </c>
      <c r="G5" s="120" t="str">
        <f>IF(Matrix!G26="","",Matrix!G26)</f>
        <v/>
      </c>
      <c r="H5" s="120" t="str">
        <f>IF(Matrix!H26="","",Matrix!H26)</f>
        <v/>
      </c>
      <c r="I5" s="120" t="str">
        <f>IF(Matrix!I26="","",Matrix!I26)</f>
        <v/>
      </c>
      <c r="J5" s="120" t="str">
        <f>IF(Matrix!J26="","",Matrix!J26)</f>
        <v/>
      </c>
      <c r="K5" s="120" t="str">
        <f>IF(Matrix!K26="","",Matrix!K26)</f>
        <v/>
      </c>
      <c r="L5" s="120" t="str">
        <f>IF(Matrix!L26="","",Matrix!L26)</f>
        <v/>
      </c>
      <c r="M5" s="120" t="str">
        <f>IF(Matrix!M26="","",Matrix!M26)</f>
        <v/>
      </c>
      <c r="N5" s="120" t="str">
        <f>IF(Matrix!O26="","",Matrix!O26)</f>
        <v/>
      </c>
      <c r="O5" s="120" t="str">
        <f>IF(Matrix!P26="","",Matrix!P26)</f>
        <v/>
      </c>
      <c r="P5" s="120" t="str">
        <f>IF(Matrix!Q26="","",Matrix!Q26)</f>
        <v/>
      </c>
      <c r="Q5" s="120" t="str">
        <f>IF(Matrix!R26="","",Matrix!R26)</f>
        <v/>
      </c>
      <c r="R5" s="97" t="str">
        <f>IF(Matrix!S26="","",Matrix!S26*100)</f>
        <v/>
      </c>
      <c r="S5" s="120" t="str">
        <f>IF(Matrix!U26="","",Matrix!U26)</f>
        <v/>
      </c>
      <c r="T5" s="97" t="str">
        <f>IF(Matrix!V26="","",Matrix!V26*100)</f>
        <v/>
      </c>
      <c r="U5" s="120" t="str">
        <f>IF(Matrix!W26="","",Matrix!W26)</f>
        <v/>
      </c>
      <c r="V5" s="120" t="str">
        <f>IF(Matrix!X26="","",Matrix!X26)</f>
        <v/>
      </c>
      <c r="W5" s="120" t="str">
        <f>IF(Matrix!Y26="","",Matrix!Y26)</f>
        <v/>
      </c>
      <c r="X5" s="120" t="str">
        <f>IF(Matrix!Z26="","",Matrix!Z26)</f>
        <v/>
      </c>
      <c r="Y5" s="120" t="str">
        <f>IF(Matrix!AA26="","",Matrix!AA26)</f>
        <v/>
      </c>
      <c r="Z5" s="120" t="str">
        <f>IF(Matrix!AB26="","",Matrix!AB26)</f>
        <v/>
      </c>
      <c r="AA5" s="102" t="str">
        <f>IF(Matrix!AC26="","",Matrix!AC26)</f>
        <v/>
      </c>
      <c r="AB5" s="119" t="str">
        <f>IF(Matrix!AE26="","",Matrix!AE26*100)</f>
        <v/>
      </c>
      <c r="AC5" s="97" t="str">
        <f>IF(Matrix!AF26="","",Matrix!AF26*100)</f>
        <v/>
      </c>
      <c r="AD5" s="97" t="str">
        <f>IF(Matrix!AG26="","",Matrix!AG26*100)</f>
        <v/>
      </c>
    </row>
    <row r="6" spans="1:30" x14ac:dyDescent="0.2">
      <c r="A6" s="117" t="str">
        <f>Matrix!A27</f>
        <v>nicht relevant</v>
      </c>
      <c r="B6" s="101">
        <f>Matrix!B27</f>
        <v>2017</v>
      </c>
      <c r="C6" s="120">
        <f>IF(Matrix!C27="","",Matrix!C27)</f>
        <v>0</v>
      </c>
      <c r="D6" s="120" t="str">
        <f>IF(Matrix!D27="","",Matrix!D27)</f>
        <v/>
      </c>
      <c r="E6" s="120" t="str">
        <f>IF(Matrix!E27="","",Matrix!E27)</f>
        <v/>
      </c>
      <c r="F6" s="120" t="str">
        <f>IF(Matrix!F27="","",Matrix!F27)</f>
        <v/>
      </c>
      <c r="G6" s="120" t="str">
        <f>IF(Matrix!G27="","",Matrix!G27)</f>
        <v/>
      </c>
      <c r="H6" s="120" t="str">
        <f>IF(Matrix!H27="","",Matrix!H27)</f>
        <v/>
      </c>
      <c r="I6" s="120" t="str">
        <f>IF(Matrix!I27="","",Matrix!I27)</f>
        <v/>
      </c>
      <c r="J6" s="120" t="str">
        <f>IF(Matrix!J27="","",Matrix!J27)</f>
        <v/>
      </c>
      <c r="K6" s="120" t="str">
        <f>IF(Matrix!K27="","",Matrix!K27)</f>
        <v/>
      </c>
      <c r="L6" s="120" t="str">
        <f>IF(Matrix!L27="","",Matrix!L27)</f>
        <v/>
      </c>
      <c r="M6" s="120" t="str">
        <f>IF(Matrix!M27="","",Matrix!M27)</f>
        <v/>
      </c>
      <c r="N6" s="120" t="str">
        <f>IF(Matrix!O27="","",Matrix!O27)</f>
        <v/>
      </c>
      <c r="O6" s="120" t="str">
        <f>IF(Matrix!P27="","",Matrix!P27)</f>
        <v/>
      </c>
      <c r="P6" s="120" t="str">
        <f>IF(Matrix!Q27="","",Matrix!Q27)</f>
        <v/>
      </c>
      <c r="Q6" s="120" t="str">
        <f>IF(Matrix!R27="","",Matrix!R27)</f>
        <v/>
      </c>
      <c r="R6" s="97" t="str">
        <f>IF(Matrix!S27="","",Matrix!S27*100)</f>
        <v/>
      </c>
      <c r="S6" s="120" t="str">
        <f>IF(Matrix!U27="","",Matrix!U27)</f>
        <v/>
      </c>
      <c r="T6" s="97" t="str">
        <f>IF(Matrix!V27="","",Matrix!V27*100)</f>
        <v/>
      </c>
      <c r="U6" s="120" t="str">
        <f>IF(Matrix!W27="","",Matrix!W27)</f>
        <v/>
      </c>
      <c r="V6" s="120" t="str">
        <f>IF(Matrix!X27="","",Matrix!X27)</f>
        <v/>
      </c>
      <c r="W6" s="120" t="str">
        <f>IF(Matrix!Y27="","",Matrix!Y27)</f>
        <v/>
      </c>
      <c r="X6" s="120" t="str">
        <f>IF(Matrix!Z27="","",Matrix!Z27)</f>
        <v/>
      </c>
      <c r="Y6" s="120" t="str">
        <f>IF(Matrix!AA27="","",Matrix!AA27)</f>
        <v/>
      </c>
      <c r="Z6" s="120" t="str">
        <f>IF(Matrix!AB27="","",Matrix!AB27)</f>
        <v/>
      </c>
      <c r="AA6" s="102" t="str">
        <f>IF(Matrix!AC27="","",Matrix!AC27)</f>
        <v/>
      </c>
      <c r="AB6" s="119" t="str">
        <f>IF(Matrix!AE27="","",Matrix!AE27*100)</f>
        <v/>
      </c>
      <c r="AC6" s="97" t="str">
        <f>IF(Matrix!AF27="","",Matrix!AF27*100)</f>
        <v/>
      </c>
      <c r="AD6" s="97" t="str">
        <f>IF(Matrix!AG27="","",Matrix!AG27*100)</f>
        <v/>
      </c>
    </row>
    <row r="7" spans="1:30" x14ac:dyDescent="0.2">
      <c r="A7" s="117" t="str">
        <f>Matrix!A28</f>
        <v>nicht relevant</v>
      </c>
      <c r="B7" s="101" t="str">
        <f>LEFT(Matrix!B28,4)</f>
        <v>2018</v>
      </c>
      <c r="C7" s="120">
        <f>IF(Matrix!C28="","",Matrix!C28)</f>
        <v>0</v>
      </c>
      <c r="D7" s="120" t="str">
        <f>IF(Matrix!D28="","",Matrix!D28)</f>
        <v/>
      </c>
      <c r="E7" s="120" t="str">
        <f>IF(Matrix!E28="","",Matrix!E28)</f>
        <v/>
      </c>
      <c r="F7" s="120" t="str">
        <f>IF(Matrix!F28="","",Matrix!F28)</f>
        <v/>
      </c>
      <c r="G7" s="120" t="str">
        <f>IF(Matrix!G28="","",Matrix!G28)</f>
        <v/>
      </c>
      <c r="H7" s="120" t="str">
        <f>IF(Matrix!H28="","",Matrix!H28)</f>
        <v/>
      </c>
      <c r="I7" s="120" t="str">
        <f>IF(Matrix!I28="","",Matrix!I28)</f>
        <v/>
      </c>
      <c r="J7" s="120" t="str">
        <f>IF(Matrix!J28="","",Matrix!J28)</f>
        <v/>
      </c>
      <c r="K7" s="120" t="str">
        <f>IF(Matrix!K28="","",Matrix!K28)</f>
        <v/>
      </c>
      <c r="L7" s="120" t="str">
        <f>IF(Matrix!L28="","",Matrix!L28)</f>
        <v/>
      </c>
      <c r="M7" s="120" t="str">
        <f>IF(Matrix!M28="","",Matrix!M28)</f>
        <v/>
      </c>
      <c r="N7" s="120" t="str">
        <f>IF(Matrix!O28="","",Matrix!O28)</f>
        <v/>
      </c>
      <c r="O7" s="120" t="str">
        <f>IF(Matrix!P28="","",Matrix!P28)</f>
        <v/>
      </c>
      <c r="P7" s="120" t="str">
        <f>IF(Matrix!Q28="","",Matrix!Q28)</f>
        <v/>
      </c>
      <c r="Q7" s="120" t="str">
        <f>IF(Matrix!R28="","",Matrix!R28)</f>
        <v/>
      </c>
      <c r="R7" s="97" t="str">
        <f>IF(Matrix!S28="","",Matrix!S28*100)</f>
        <v/>
      </c>
      <c r="S7" s="120" t="str">
        <f>IF(Matrix!U28="","",Matrix!U28)</f>
        <v/>
      </c>
      <c r="T7" s="97" t="str">
        <f>IF(Matrix!V28="","",Matrix!V28*100)</f>
        <v/>
      </c>
      <c r="U7" s="120" t="str">
        <f>IF(Matrix!W28="","",Matrix!W28)</f>
        <v/>
      </c>
      <c r="V7" s="120" t="str">
        <f>IF(Matrix!X28="","",Matrix!X28)</f>
        <v/>
      </c>
      <c r="W7" s="120" t="str">
        <f>IF(Matrix!Y28="","",Matrix!Y28)</f>
        <v/>
      </c>
      <c r="X7" s="120" t="str">
        <f>IF(Matrix!Z28="","",Matrix!Z28)</f>
        <v/>
      </c>
      <c r="Y7" s="120" t="str">
        <f>IF(Matrix!AA28="","",Matrix!AA28)</f>
        <v/>
      </c>
      <c r="Z7" s="120" t="str">
        <f>IF(Matrix!AB28="","",Matrix!AB28)</f>
        <v/>
      </c>
      <c r="AA7" s="102" t="str">
        <f>IF(Matrix!AC28="","",Matrix!AC28)</f>
        <v/>
      </c>
      <c r="AB7" s="119" t="str">
        <f>IF(Matrix!AE28="","",Matrix!AE28*100)</f>
        <v/>
      </c>
      <c r="AC7" s="97" t="str">
        <f>IF(Matrix!AF28="","",Matrix!AF28*100)</f>
        <v/>
      </c>
      <c r="AD7" s="97" t="str">
        <f>IF(Matrix!AG28="","",Matrix!AG28*100)</f>
        <v/>
      </c>
    </row>
    <row r="8" spans="1:30" x14ac:dyDescent="0.2">
      <c r="A8" s="117" t="str">
        <f>Matrix!A29</f>
        <v>nicht relevant</v>
      </c>
      <c r="B8" s="101" t="str">
        <f>LEFT(Matrix!B29,4)</f>
        <v>2019</v>
      </c>
      <c r="C8" s="120">
        <f>IF(Matrix!C29="","",Matrix!C29)</f>
        <v>0</v>
      </c>
      <c r="D8" s="120" t="str">
        <f>IF(Matrix!D29="","",Matrix!D29)</f>
        <v/>
      </c>
      <c r="E8" s="120" t="str">
        <f>IF(Matrix!E29="","",Matrix!E29)</f>
        <v/>
      </c>
      <c r="F8" s="120" t="str">
        <f>IF(Matrix!F29="","",Matrix!F29)</f>
        <v/>
      </c>
      <c r="G8" s="120" t="str">
        <f>IF(Matrix!G29="","",Matrix!G29)</f>
        <v/>
      </c>
      <c r="H8" s="120" t="str">
        <f>IF(Matrix!H29="","",Matrix!H29)</f>
        <v/>
      </c>
      <c r="I8" s="120" t="str">
        <f>IF(Matrix!I29="","",Matrix!I29)</f>
        <v/>
      </c>
      <c r="J8" s="120" t="str">
        <f>IF(Matrix!J29="","",Matrix!J29)</f>
        <v/>
      </c>
      <c r="K8" s="120" t="str">
        <f>IF(Matrix!K29="","",Matrix!K29)</f>
        <v/>
      </c>
      <c r="L8" s="120" t="str">
        <f>IF(Matrix!L29="","",Matrix!L29)</f>
        <v/>
      </c>
      <c r="M8" s="120" t="str">
        <f>IF(Matrix!M29="","",Matrix!M29)</f>
        <v/>
      </c>
      <c r="N8" s="120" t="str">
        <f>IF(Matrix!O29="","",Matrix!O29)</f>
        <v/>
      </c>
      <c r="O8" s="120" t="str">
        <f>IF(Matrix!P29="","",Matrix!P29)</f>
        <v/>
      </c>
      <c r="P8" s="120" t="str">
        <f>IF(Matrix!Q29="","",Matrix!Q29)</f>
        <v/>
      </c>
      <c r="Q8" s="120" t="str">
        <f>IF(Matrix!R29="","",Matrix!R29)</f>
        <v/>
      </c>
      <c r="R8" s="97" t="str">
        <f>IF(Matrix!S29="","",Matrix!S29*100)</f>
        <v/>
      </c>
      <c r="S8" s="120" t="str">
        <f>IF(Matrix!U29="","",Matrix!U29)</f>
        <v/>
      </c>
      <c r="T8" s="97" t="str">
        <f>IF(Matrix!V29="","",Matrix!V29*100)</f>
        <v/>
      </c>
      <c r="U8" s="120" t="str">
        <f>IF(Matrix!W29="","",Matrix!W29)</f>
        <v/>
      </c>
      <c r="V8" s="120" t="str">
        <f>IF(Matrix!X29="","",Matrix!X29)</f>
        <v/>
      </c>
      <c r="W8" s="120" t="str">
        <f>IF(Matrix!Y29="","",Matrix!Y29)</f>
        <v/>
      </c>
      <c r="X8" s="120" t="str">
        <f>IF(Matrix!Z29="","",Matrix!Z29)</f>
        <v/>
      </c>
      <c r="Y8" s="120" t="str">
        <f>IF(Matrix!AA29="","",Matrix!AA29)</f>
        <v/>
      </c>
      <c r="Z8" s="120" t="str">
        <f>IF(Matrix!AB29="","",Matrix!AB29)</f>
        <v/>
      </c>
      <c r="AA8" s="102" t="str">
        <f>IF(Matrix!AC29="","",Matrix!AC29)</f>
        <v/>
      </c>
      <c r="AB8" s="119" t="str">
        <f>IF(Matrix!AE29="","",Matrix!AE29*100)</f>
        <v/>
      </c>
      <c r="AC8" s="97" t="str">
        <f>IF(Matrix!AF29="","",Matrix!AF29*100)</f>
        <v/>
      </c>
      <c r="AD8" s="97" t="str">
        <f>IF(Matrix!AG29="","",Matrix!AG29*100)</f>
        <v/>
      </c>
    </row>
  </sheetData>
  <phoneticPr fontId="35" type="noConversion"/>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D51"/>
  <sheetViews>
    <sheetView workbookViewId="0">
      <selection activeCell="D5" sqref="D5"/>
    </sheetView>
  </sheetViews>
  <sheetFormatPr defaultColWidth="11.42578125" defaultRowHeight="15" x14ac:dyDescent="0.25"/>
  <cols>
    <col min="1" max="1" width="23" style="121" customWidth="1"/>
    <col min="2" max="2" width="19.42578125" style="121" customWidth="1"/>
    <col min="3" max="3" width="54.5703125" style="108" customWidth="1"/>
    <col min="4" max="4" width="58.7109375" style="108" customWidth="1"/>
    <col min="5" max="16384" width="11.42578125" style="107"/>
  </cols>
  <sheetData>
    <row r="1" spans="1:4" ht="24" x14ac:dyDescent="0.25">
      <c r="A1" s="106" t="s">
        <v>228</v>
      </c>
      <c r="B1" s="109" t="s">
        <v>365</v>
      </c>
      <c r="C1" s="109" t="s">
        <v>128</v>
      </c>
      <c r="D1" s="106" t="s">
        <v>336</v>
      </c>
    </row>
    <row r="2" spans="1:4" x14ac:dyDescent="0.25">
      <c r="A2" s="121" t="str">
        <f ca="1">Berechnung3!L2</f>
        <v/>
      </c>
      <c r="B2" s="121" t="str">
        <f ca="1">Berechnung3!N2</f>
        <v/>
      </c>
      <c r="C2" s="108" t="str">
        <f ca="1">Berechnung3!O2</f>
        <v/>
      </c>
      <c r="D2" s="108" t="str">
        <f ca="1">Berechnung3!P2</f>
        <v/>
      </c>
    </row>
    <row r="3" spans="1:4" x14ac:dyDescent="0.25">
      <c r="A3" s="121" t="str">
        <f ca="1">Berechnung3!L3</f>
        <v/>
      </c>
      <c r="B3" s="121" t="str">
        <f ca="1">Berechnung3!N3</f>
        <v/>
      </c>
      <c r="C3" s="108" t="str">
        <f ca="1">Berechnung3!O3</f>
        <v/>
      </c>
      <c r="D3" s="108" t="str">
        <f ca="1">Berechnung3!P3</f>
        <v/>
      </c>
    </row>
    <row r="4" spans="1:4" x14ac:dyDescent="0.25">
      <c r="A4" s="121" t="str">
        <f ca="1">Berechnung3!L4</f>
        <v/>
      </c>
      <c r="B4" s="121" t="str">
        <f ca="1">Berechnung3!N4</f>
        <v/>
      </c>
      <c r="C4" s="108" t="str">
        <f ca="1">Berechnung3!O4</f>
        <v/>
      </c>
      <c r="D4" s="108" t="str">
        <f ca="1">Berechnung3!P4</f>
        <v/>
      </c>
    </row>
    <row r="5" spans="1:4" x14ac:dyDescent="0.25">
      <c r="A5" s="121" t="str">
        <f ca="1">Berechnung3!L5</f>
        <v/>
      </c>
      <c r="B5" s="121" t="str">
        <f ca="1">Berechnung3!N5</f>
        <v/>
      </c>
      <c r="C5" s="108" t="str">
        <f ca="1">Berechnung3!O5</f>
        <v/>
      </c>
      <c r="D5" s="108" t="str">
        <f ca="1">Berechnung3!P5</f>
        <v/>
      </c>
    </row>
    <row r="6" spans="1:4" x14ac:dyDescent="0.25">
      <c r="A6" s="121" t="str">
        <f ca="1">Berechnung3!L6</f>
        <v/>
      </c>
      <c r="B6" s="121" t="str">
        <f ca="1">Berechnung3!N6</f>
        <v/>
      </c>
      <c r="C6" s="108" t="str">
        <f ca="1">Berechnung3!O6</f>
        <v/>
      </c>
      <c r="D6" s="108" t="str">
        <f ca="1">Berechnung3!P6</f>
        <v/>
      </c>
    </row>
    <row r="7" spans="1:4" x14ac:dyDescent="0.25">
      <c r="A7" s="121" t="str">
        <f ca="1">Berechnung3!L7</f>
        <v/>
      </c>
      <c r="B7" s="121" t="str">
        <f ca="1">Berechnung3!N7</f>
        <v/>
      </c>
      <c r="C7" s="108" t="str">
        <f ca="1">Berechnung3!O7</f>
        <v/>
      </c>
      <c r="D7" s="108" t="str">
        <f ca="1">Berechnung3!P7</f>
        <v/>
      </c>
    </row>
    <row r="8" spans="1:4" x14ac:dyDescent="0.25">
      <c r="A8" s="121" t="str">
        <f ca="1">Berechnung3!L8</f>
        <v/>
      </c>
      <c r="B8" s="121" t="str">
        <f ca="1">Berechnung3!N8</f>
        <v/>
      </c>
      <c r="C8" s="108" t="str">
        <f ca="1">Berechnung3!O8</f>
        <v/>
      </c>
      <c r="D8" s="108" t="str">
        <f ca="1">Berechnung3!P8</f>
        <v/>
      </c>
    </row>
    <row r="9" spans="1:4" x14ac:dyDescent="0.25">
      <c r="A9" s="121" t="str">
        <f ca="1">Berechnung3!L9</f>
        <v/>
      </c>
      <c r="B9" s="121" t="str">
        <f ca="1">Berechnung3!N9</f>
        <v/>
      </c>
      <c r="C9" s="108" t="str">
        <f ca="1">Berechnung3!O9</f>
        <v/>
      </c>
      <c r="D9" s="108" t="str">
        <f ca="1">Berechnung3!P9</f>
        <v/>
      </c>
    </row>
    <row r="10" spans="1:4" x14ac:dyDescent="0.25">
      <c r="A10" s="121" t="str">
        <f ca="1">Berechnung3!L10</f>
        <v/>
      </c>
      <c r="B10" s="121" t="str">
        <f ca="1">Berechnung3!N10</f>
        <v/>
      </c>
      <c r="C10" s="108" t="str">
        <f ca="1">Berechnung3!O10</f>
        <v/>
      </c>
      <c r="D10" s="108" t="str">
        <f ca="1">Berechnung3!P10</f>
        <v/>
      </c>
    </row>
    <row r="11" spans="1:4" x14ac:dyDescent="0.25">
      <c r="A11" s="121" t="str">
        <f ca="1">Berechnung3!L11</f>
        <v/>
      </c>
      <c r="B11" s="121" t="str">
        <f ca="1">Berechnung3!N11</f>
        <v/>
      </c>
      <c r="C11" s="108" t="str">
        <f ca="1">Berechnung3!O11</f>
        <v/>
      </c>
      <c r="D11" s="108" t="str">
        <f ca="1">Berechnung3!P11</f>
        <v/>
      </c>
    </row>
    <row r="12" spans="1:4" x14ac:dyDescent="0.25">
      <c r="A12" s="121" t="str">
        <f ca="1">Berechnung3!L12</f>
        <v/>
      </c>
      <c r="B12" s="121" t="str">
        <f ca="1">Berechnung3!N12</f>
        <v/>
      </c>
      <c r="C12" s="108" t="str">
        <f ca="1">Berechnung3!O12</f>
        <v/>
      </c>
      <c r="D12" s="108" t="str">
        <f ca="1">Berechnung3!P12</f>
        <v/>
      </c>
    </row>
    <row r="13" spans="1:4" x14ac:dyDescent="0.25">
      <c r="A13" s="121" t="str">
        <f ca="1">Berechnung3!L13</f>
        <v/>
      </c>
      <c r="B13" s="121" t="str">
        <f ca="1">Berechnung3!N13</f>
        <v/>
      </c>
      <c r="C13" s="108" t="str">
        <f ca="1">Berechnung3!O13</f>
        <v/>
      </c>
      <c r="D13" s="108" t="str">
        <f ca="1">Berechnung3!P13</f>
        <v/>
      </c>
    </row>
    <row r="14" spans="1:4" x14ac:dyDescent="0.25">
      <c r="A14" s="121" t="str">
        <f ca="1">Berechnung3!L14</f>
        <v/>
      </c>
      <c r="B14" s="121" t="str">
        <f ca="1">Berechnung3!N14</f>
        <v/>
      </c>
      <c r="C14" s="108" t="str">
        <f ca="1">Berechnung3!O14</f>
        <v/>
      </c>
      <c r="D14" s="108" t="str">
        <f ca="1">Berechnung3!P14</f>
        <v/>
      </c>
    </row>
    <row r="15" spans="1:4" x14ac:dyDescent="0.25">
      <c r="A15" s="121" t="str">
        <f ca="1">Berechnung3!L15</f>
        <v/>
      </c>
      <c r="B15" s="121" t="str">
        <f ca="1">Berechnung3!N15</f>
        <v/>
      </c>
      <c r="C15" s="108" t="str">
        <f ca="1">Berechnung3!O15</f>
        <v/>
      </c>
      <c r="D15" s="108" t="str">
        <f ca="1">Berechnung3!P15</f>
        <v/>
      </c>
    </row>
    <row r="16" spans="1:4" x14ac:dyDescent="0.25">
      <c r="A16" s="121" t="str">
        <f ca="1">Berechnung3!L16</f>
        <v/>
      </c>
      <c r="B16" s="121" t="str">
        <f ca="1">Berechnung3!N16</f>
        <v/>
      </c>
      <c r="C16" s="108" t="str">
        <f ca="1">Berechnung3!O16</f>
        <v/>
      </c>
      <c r="D16" s="108" t="str">
        <f ca="1">Berechnung3!P16</f>
        <v/>
      </c>
    </row>
    <row r="17" spans="1:4" x14ac:dyDescent="0.25">
      <c r="A17" s="121" t="str">
        <f ca="1">Berechnung3!L17</f>
        <v/>
      </c>
      <c r="B17" s="121" t="str">
        <f ca="1">Berechnung3!N17</f>
        <v/>
      </c>
      <c r="C17" s="108" t="str">
        <f ca="1">Berechnung3!O17</f>
        <v/>
      </c>
      <c r="D17" s="108" t="str">
        <f ca="1">Berechnung3!P17</f>
        <v/>
      </c>
    </row>
    <row r="18" spans="1:4" x14ac:dyDescent="0.25">
      <c r="A18" s="121" t="str">
        <f ca="1">Berechnung3!L18</f>
        <v/>
      </c>
      <c r="B18" s="121" t="str">
        <f ca="1">Berechnung3!N18</f>
        <v/>
      </c>
      <c r="C18" s="108" t="str">
        <f ca="1">Berechnung3!O18</f>
        <v/>
      </c>
      <c r="D18" s="108" t="str">
        <f ca="1">Berechnung3!P18</f>
        <v/>
      </c>
    </row>
    <row r="19" spans="1:4" x14ac:dyDescent="0.25">
      <c r="A19" s="121" t="str">
        <f ca="1">Berechnung3!L19</f>
        <v/>
      </c>
      <c r="B19" s="121" t="str">
        <f ca="1">Berechnung3!N19</f>
        <v/>
      </c>
      <c r="C19" s="108" t="str">
        <f ca="1">Berechnung3!O19</f>
        <v/>
      </c>
      <c r="D19" s="108" t="str">
        <f ca="1">Berechnung3!P19</f>
        <v/>
      </c>
    </row>
    <row r="20" spans="1:4" x14ac:dyDescent="0.25">
      <c r="A20" s="121" t="str">
        <f ca="1">Berechnung3!L20</f>
        <v/>
      </c>
      <c r="B20" s="121" t="str">
        <f ca="1">Berechnung3!N20</f>
        <v/>
      </c>
      <c r="C20" s="108" t="str">
        <f ca="1">Berechnung3!O20</f>
        <v/>
      </c>
      <c r="D20" s="108" t="str">
        <f ca="1">Berechnung3!P20</f>
        <v/>
      </c>
    </row>
    <row r="21" spans="1:4" x14ac:dyDescent="0.25">
      <c r="A21" s="121" t="str">
        <f ca="1">Berechnung3!L21</f>
        <v/>
      </c>
      <c r="B21" s="121" t="str">
        <f ca="1">Berechnung3!N21</f>
        <v/>
      </c>
      <c r="C21" s="108" t="str">
        <f ca="1">Berechnung3!O21</f>
        <v/>
      </c>
      <c r="D21" s="108" t="str">
        <f ca="1">Berechnung3!P21</f>
        <v/>
      </c>
    </row>
    <row r="22" spans="1:4" x14ac:dyDescent="0.25">
      <c r="A22" s="121" t="str">
        <f ca="1">Berechnung3!L22</f>
        <v/>
      </c>
      <c r="B22" s="121" t="str">
        <f ca="1">Berechnung3!N22</f>
        <v/>
      </c>
      <c r="C22" s="108" t="str">
        <f ca="1">Berechnung3!O22</f>
        <v/>
      </c>
      <c r="D22" s="108" t="str">
        <f ca="1">Berechnung3!P22</f>
        <v/>
      </c>
    </row>
    <row r="23" spans="1:4" x14ac:dyDescent="0.25">
      <c r="A23" s="121" t="str">
        <f ca="1">Berechnung3!L23</f>
        <v/>
      </c>
      <c r="B23" s="121" t="str">
        <f ca="1">Berechnung3!N23</f>
        <v/>
      </c>
      <c r="C23" s="108" t="str">
        <f ca="1">Berechnung3!O23</f>
        <v/>
      </c>
      <c r="D23" s="108" t="str">
        <f ca="1">Berechnung3!P23</f>
        <v/>
      </c>
    </row>
    <row r="24" spans="1:4" x14ac:dyDescent="0.25">
      <c r="A24" s="121" t="str">
        <f ca="1">Berechnung3!L24</f>
        <v/>
      </c>
      <c r="B24" s="121" t="str">
        <f ca="1">Berechnung3!N24</f>
        <v/>
      </c>
      <c r="C24" s="108" t="str">
        <f ca="1">Berechnung3!O24</f>
        <v/>
      </c>
      <c r="D24" s="108" t="str">
        <f ca="1">Berechnung3!P24</f>
        <v/>
      </c>
    </row>
    <row r="25" spans="1:4" x14ac:dyDescent="0.25">
      <c r="A25" s="121" t="str">
        <f ca="1">Berechnung3!L25</f>
        <v/>
      </c>
      <c r="B25" s="121" t="str">
        <f ca="1">Berechnung3!N25</f>
        <v/>
      </c>
      <c r="C25" s="108" t="str">
        <f ca="1">Berechnung3!O25</f>
        <v/>
      </c>
      <c r="D25" s="108" t="str">
        <f ca="1">Berechnung3!P25</f>
        <v/>
      </c>
    </row>
    <row r="26" spans="1:4" x14ac:dyDescent="0.25">
      <c r="A26" s="121" t="str">
        <f ca="1">Berechnung3!L26</f>
        <v/>
      </c>
      <c r="B26" s="121" t="str">
        <f ca="1">Berechnung3!N26</f>
        <v/>
      </c>
      <c r="C26" s="108" t="str">
        <f ca="1">Berechnung3!O26</f>
        <v/>
      </c>
      <c r="D26" s="108" t="str">
        <f ca="1">Berechnung3!P26</f>
        <v/>
      </c>
    </row>
    <row r="27" spans="1:4" x14ac:dyDescent="0.25">
      <c r="A27" s="121" t="str">
        <f ca="1">Berechnung3!L27</f>
        <v/>
      </c>
      <c r="B27" s="121" t="str">
        <f ca="1">Berechnung3!N27</f>
        <v/>
      </c>
      <c r="C27" s="108" t="str">
        <f ca="1">Berechnung3!O27</f>
        <v/>
      </c>
      <c r="D27" s="108" t="str">
        <f ca="1">Berechnung3!P27</f>
        <v/>
      </c>
    </row>
    <row r="28" spans="1:4" x14ac:dyDescent="0.25">
      <c r="A28" s="121" t="str">
        <f ca="1">Berechnung3!L28</f>
        <v/>
      </c>
      <c r="B28" s="121" t="str">
        <f ca="1">Berechnung3!N28</f>
        <v/>
      </c>
      <c r="C28" s="108" t="str">
        <f ca="1">Berechnung3!O28</f>
        <v/>
      </c>
      <c r="D28" s="108" t="str">
        <f ca="1">Berechnung3!P28</f>
        <v/>
      </c>
    </row>
    <row r="29" spans="1:4" x14ac:dyDescent="0.25">
      <c r="A29" s="121" t="str">
        <f ca="1">Berechnung3!L29</f>
        <v/>
      </c>
      <c r="B29" s="121" t="str">
        <f ca="1">Berechnung3!N29</f>
        <v/>
      </c>
      <c r="C29" s="108" t="str">
        <f ca="1">Berechnung3!O29</f>
        <v/>
      </c>
      <c r="D29" s="108" t="str">
        <f ca="1">Berechnung3!P29</f>
        <v/>
      </c>
    </row>
    <row r="30" spans="1:4" x14ac:dyDescent="0.25">
      <c r="A30" s="121" t="str">
        <f ca="1">Berechnung3!L30</f>
        <v/>
      </c>
      <c r="B30" s="121" t="str">
        <f ca="1">Berechnung3!N30</f>
        <v/>
      </c>
      <c r="C30" s="108" t="str">
        <f ca="1">Berechnung3!O30</f>
        <v/>
      </c>
      <c r="D30" s="108" t="str">
        <f ca="1">Berechnung3!P30</f>
        <v/>
      </c>
    </row>
    <row r="31" spans="1:4" x14ac:dyDescent="0.25">
      <c r="A31" s="121" t="str">
        <f ca="1">Berechnung3!L31</f>
        <v/>
      </c>
      <c r="B31" s="121" t="str">
        <f ca="1">Berechnung3!N31</f>
        <v/>
      </c>
      <c r="C31" s="108" t="str">
        <f ca="1">Berechnung3!O31</f>
        <v/>
      </c>
      <c r="D31" s="108" t="str">
        <f ca="1">Berechnung3!P31</f>
        <v/>
      </c>
    </row>
    <row r="32" spans="1:4" x14ac:dyDescent="0.25">
      <c r="A32" s="121" t="str">
        <f ca="1">Berechnung3!L32</f>
        <v/>
      </c>
      <c r="B32" s="121" t="str">
        <f ca="1">Berechnung3!N32</f>
        <v/>
      </c>
      <c r="C32" s="108" t="str">
        <f ca="1">Berechnung3!O32</f>
        <v/>
      </c>
      <c r="D32" s="108" t="str">
        <f ca="1">Berechnung3!P32</f>
        <v/>
      </c>
    </row>
    <row r="33" spans="1:4" x14ac:dyDescent="0.25">
      <c r="A33" s="121" t="str">
        <f ca="1">Berechnung3!L33</f>
        <v/>
      </c>
      <c r="B33" s="121" t="str">
        <f ca="1">Berechnung3!N33</f>
        <v/>
      </c>
      <c r="C33" s="108" t="str">
        <f ca="1">Berechnung3!O33</f>
        <v/>
      </c>
      <c r="D33" s="108" t="str">
        <f ca="1">Berechnung3!P33</f>
        <v/>
      </c>
    </row>
    <row r="34" spans="1:4" x14ac:dyDescent="0.25">
      <c r="A34" s="121" t="str">
        <f ca="1">Berechnung3!L34</f>
        <v/>
      </c>
      <c r="B34" s="121" t="str">
        <f ca="1">Berechnung3!N34</f>
        <v/>
      </c>
      <c r="C34" s="108" t="str">
        <f ca="1">Berechnung3!O34</f>
        <v/>
      </c>
      <c r="D34" s="108" t="str">
        <f ca="1">Berechnung3!P34</f>
        <v/>
      </c>
    </row>
    <row r="35" spans="1:4" x14ac:dyDescent="0.25">
      <c r="A35" s="121" t="str">
        <f ca="1">Berechnung3!L35</f>
        <v/>
      </c>
      <c r="B35" s="121" t="str">
        <f ca="1">Berechnung3!N35</f>
        <v/>
      </c>
      <c r="C35" s="108" t="str">
        <f ca="1">Berechnung3!O35</f>
        <v/>
      </c>
      <c r="D35" s="108" t="str">
        <f ca="1">Berechnung3!P35</f>
        <v/>
      </c>
    </row>
    <row r="36" spans="1:4" x14ac:dyDescent="0.25">
      <c r="A36" s="121" t="str">
        <f ca="1">Berechnung3!L36</f>
        <v/>
      </c>
      <c r="B36" s="121" t="str">
        <f ca="1">Berechnung3!N36</f>
        <v/>
      </c>
      <c r="C36" s="108" t="str">
        <f ca="1">Berechnung3!O36</f>
        <v/>
      </c>
      <c r="D36" s="108" t="str">
        <f ca="1">Berechnung3!P36</f>
        <v/>
      </c>
    </row>
    <row r="37" spans="1:4" x14ac:dyDescent="0.25">
      <c r="A37" s="121" t="str">
        <f ca="1">Berechnung3!L37</f>
        <v/>
      </c>
      <c r="B37" s="121" t="str">
        <f ca="1">Berechnung3!N37</f>
        <v/>
      </c>
      <c r="C37" s="108" t="str">
        <f ca="1">Berechnung3!O37</f>
        <v/>
      </c>
      <c r="D37" s="108" t="str">
        <f ca="1">Berechnung3!P37</f>
        <v/>
      </c>
    </row>
    <row r="38" spans="1:4" x14ac:dyDescent="0.25">
      <c r="A38" s="121" t="str">
        <f ca="1">Berechnung3!L38</f>
        <v/>
      </c>
      <c r="B38" s="121" t="str">
        <f ca="1">Berechnung3!N38</f>
        <v/>
      </c>
      <c r="C38" s="108" t="str">
        <f ca="1">Berechnung3!O38</f>
        <v/>
      </c>
      <c r="D38" s="108" t="str">
        <f ca="1">Berechnung3!P38</f>
        <v/>
      </c>
    </row>
    <row r="39" spans="1:4" x14ac:dyDescent="0.25">
      <c r="A39" s="121" t="str">
        <f ca="1">Berechnung3!L39</f>
        <v/>
      </c>
      <c r="B39" s="121" t="str">
        <f ca="1">Berechnung3!N39</f>
        <v/>
      </c>
      <c r="C39" s="108" t="str">
        <f ca="1">Berechnung3!O39</f>
        <v/>
      </c>
      <c r="D39" s="108" t="str">
        <f ca="1">Berechnung3!P39</f>
        <v/>
      </c>
    </row>
    <row r="40" spans="1:4" x14ac:dyDescent="0.25">
      <c r="A40" s="121" t="str">
        <f ca="1">Berechnung3!L40</f>
        <v/>
      </c>
      <c r="B40" s="121" t="str">
        <f ca="1">Berechnung3!N40</f>
        <v/>
      </c>
      <c r="C40" s="108" t="str">
        <f ca="1">Berechnung3!O40</f>
        <v/>
      </c>
      <c r="D40" s="108" t="str">
        <f ca="1">Berechnung3!P40</f>
        <v/>
      </c>
    </row>
    <row r="41" spans="1:4" x14ac:dyDescent="0.25">
      <c r="A41" s="121" t="str">
        <f ca="1">Berechnung3!L41</f>
        <v/>
      </c>
      <c r="B41" s="121" t="str">
        <f ca="1">Berechnung3!N41</f>
        <v/>
      </c>
      <c r="C41" s="108" t="str">
        <f ca="1">Berechnung3!O41</f>
        <v/>
      </c>
      <c r="D41" s="108" t="str">
        <f ca="1">Berechnung3!P41</f>
        <v/>
      </c>
    </row>
    <row r="42" spans="1:4" x14ac:dyDescent="0.25">
      <c r="A42" s="121" t="str">
        <f ca="1">Berechnung3!L42</f>
        <v/>
      </c>
      <c r="B42" s="121" t="str">
        <f ca="1">Berechnung3!N42</f>
        <v/>
      </c>
      <c r="C42" s="108" t="str">
        <f ca="1">Berechnung3!O42</f>
        <v/>
      </c>
      <c r="D42" s="108" t="str">
        <f ca="1">Berechnung3!P42</f>
        <v/>
      </c>
    </row>
    <row r="43" spans="1:4" x14ac:dyDescent="0.25">
      <c r="A43" s="121" t="str">
        <f ca="1">Berechnung3!L43</f>
        <v/>
      </c>
      <c r="B43" s="121" t="str">
        <f ca="1">Berechnung3!N43</f>
        <v/>
      </c>
      <c r="C43" s="108" t="str">
        <f ca="1">Berechnung3!O43</f>
        <v/>
      </c>
      <c r="D43" s="108" t="str">
        <f ca="1">Berechnung3!P43</f>
        <v/>
      </c>
    </row>
    <row r="44" spans="1:4" x14ac:dyDescent="0.25">
      <c r="A44" s="121" t="str">
        <f ca="1">Berechnung3!L44</f>
        <v/>
      </c>
      <c r="B44" s="121" t="str">
        <f ca="1">Berechnung3!N44</f>
        <v/>
      </c>
      <c r="C44" s="108" t="str">
        <f ca="1">Berechnung3!O44</f>
        <v/>
      </c>
      <c r="D44" s="108" t="str">
        <f ca="1">Berechnung3!P44</f>
        <v/>
      </c>
    </row>
    <row r="45" spans="1:4" x14ac:dyDescent="0.25">
      <c r="A45" s="121" t="str">
        <f ca="1">Berechnung3!L45</f>
        <v/>
      </c>
      <c r="B45" s="121" t="str">
        <f ca="1">Berechnung3!N45</f>
        <v/>
      </c>
      <c r="C45" s="108" t="str">
        <f ca="1">Berechnung3!O45</f>
        <v/>
      </c>
      <c r="D45" s="108" t="str">
        <f ca="1">Berechnung3!P45</f>
        <v/>
      </c>
    </row>
    <row r="46" spans="1:4" x14ac:dyDescent="0.25">
      <c r="A46" s="121" t="str">
        <f ca="1">Berechnung3!L46</f>
        <v/>
      </c>
      <c r="B46" s="121" t="str">
        <f ca="1">Berechnung3!N46</f>
        <v/>
      </c>
      <c r="C46" s="108" t="str">
        <f ca="1">Berechnung3!O46</f>
        <v/>
      </c>
      <c r="D46" s="108" t="str">
        <f ca="1">Berechnung3!P46</f>
        <v/>
      </c>
    </row>
    <row r="47" spans="1:4" x14ac:dyDescent="0.25">
      <c r="A47" s="121" t="str">
        <f ca="1">Berechnung3!L47</f>
        <v/>
      </c>
      <c r="B47" s="121" t="str">
        <f ca="1">Berechnung3!N47</f>
        <v/>
      </c>
      <c r="C47" s="108" t="str">
        <f ca="1">Berechnung3!O47</f>
        <v/>
      </c>
      <c r="D47" s="108" t="str">
        <f ca="1">Berechnung3!P47</f>
        <v/>
      </c>
    </row>
    <row r="48" spans="1:4" x14ac:dyDescent="0.25">
      <c r="A48" s="121" t="str">
        <f ca="1">Berechnung3!L48</f>
        <v/>
      </c>
      <c r="B48" s="121" t="str">
        <f ca="1">Berechnung3!N48</f>
        <v/>
      </c>
      <c r="C48" s="108" t="str">
        <f ca="1">Berechnung3!O48</f>
        <v/>
      </c>
      <c r="D48" s="108" t="str">
        <f ca="1">Berechnung3!P48</f>
        <v/>
      </c>
    </row>
    <row r="49" spans="1:4" x14ac:dyDescent="0.25">
      <c r="A49" s="121" t="str">
        <f ca="1">Berechnung3!L49</f>
        <v/>
      </c>
      <c r="B49" s="121" t="str">
        <f ca="1">Berechnung3!N49</f>
        <v/>
      </c>
      <c r="C49" s="108" t="str">
        <f ca="1">Berechnung3!O49</f>
        <v/>
      </c>
      <c r="D49" s="108" t="str">
        <f ca="1">Berechnung3!P49</f>
        <v/>
      </c>
    </row>
    <row r="50" spans="1:4" x14ac:dyDescent="0.25">
      <c r="A50" s="121" t="str">
        <f ca="1">Berechnung3!L50</f>
        <v/>
      </c>
      <c r="B50" s="121" t="str">
        <f ca="1">Berechnung3!N50</f>
        <v/>
      </c>
      <c r="C50" s="108" t="str">
        <f ca="1">Berechnung3!O50</f>
        <v/>
      </c>
      <c r="D50" s="108" t="str">
        <f ca="1">Berechnung3!P50</f>
        <v/>
      </c>
    </row>
    <row r="51" spans="1:4" x14ac:dyDescent="0.25">
      <c r="A51" s="121" t="str">
        <f ca="1">Berechnung3!L52</f>
        <v/>
      </c>
      <c r="B51" s="121" t="str">
        <f ca="1">Berechnung3!N52</f>
        <v/>
      </c>
      <c r="C51" s="108" t="str">
        <f ca="1">Berechnung3!O52</f>
        <v/>
      </c>
      <c r="D51" s="108" t="str">
        <f ca="1">Berechnung3!P52</f>
        <v/>
      </c>
    </row>
  </sheetData>
  <phoneticPr fontId="35"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A1:IU334"/>
  <sheetViews>
    <sheetView zoomScaleNormal="100" workbookViewId="0">
      <selection activeCell="A2" sqref="A2"/>
    </sheetView>
  </sheetViews>
  <sheetFormatPr defaultColWidth="11.42578125" defaultRowHeight="11.25" x14ac:dyDescent="0.2"/>
  <cols>
    <col min="1" max="1" width="25.5703125" style="59" customWidth="1"/>
    <col min="2" max="2" width="64" style="59" customWidth="1"/>
    <col min="3" max="3" width="58.42578125" style="59" customWidth="1"/>
    <col min="4" max="4" width="15.85546875" style="59" customWidth="1"/>
    <col min="5" max="5" width="19.42578125" style="59" customWidth="1"/>
    <col min="6" max="6" width="14.85546875" style="59" customWidth="1"/>
    <col min="7" max="7" width="13.7109375" style="59" customWidth="1"/>
    <col min="8" max="8" width="24.85546875" style="59" customWidth="1"/>
    <col min="9" max="27" width="40.7109375" style="59" customWidth="1"/>
    <col min="28" max="32" width="9.140625" style="59" customWidth="1"/>
    <col min="33" max="33" width="13.5703125" style="59" customWidth="1"/>
    <col min="34" max="105" width="9.140625" style="59" customWidth="1"/>
    <col min="106" max="107" width="16.5703125" style="59" customWidth="1"/>
    <col min="108" max="108" width="15.5703125" style="59" customWidth="1"/>
    <col min="109" max="109" width="19" style="59" customWidth="1"/>
    <col min="110" max="16384" width="11.42578125" style="59"/>
  </cols>
  <sheetData>
    <row r="1" spans="1:255" ht="12" x14ac:dyDescent="0.2">
      <c r="A1" s="124" t="s">
        <v>63</v>
      </c>
      <c r="B1" s="453" t="s">
        <v>945</v>
      </c>
      <c r="C1" s="4"/>
      <c r="D1" s="236"/>
      <c r="E1" s="4"/>
      <c r="F1" s="71" t="s">
        <v>270</v>
      </c>
      <c r="G1" s="125"/>
      <c r="H1" s="59" t="str">
        <f>IF('Basic Data'!L14="---",G1,'Basic Data'!L14)</f>
        <v/>
      </c>
      <c r="J1" s="4"/>
      <c r="K1" s="4"/>
      <c r="M1" s="4"/>
      <c r="N1" s="4"/>
      <c r="O1" s="4"/>
      <c r="P1" s="4"/>
      <c r="Q1" s="4"/>
      <c r="S1" s="4"/>
      <c r="T1" s="4"/>
      <c r="V1" s="4"/>
      <c r="W1" s="4"/>
      <c r="Y1" s="4"/>
      <c r="Z1" s="4"/>
      <c r="AB1" s="4"/>
      <c r="AC1" s="4"/>
      <c r="AE1" s="4"/>
      <c r="AF1" s="4"/>
      <c r="AG1" s="4"/>
      <c r="AI1" s="4"/>
      <c r="AJ1" s="4"/>
      <c r="AL1" s="4"/>
      <c r="AM1" s="4"/>
      <c r="AO1" s="4"/>
      <c r="AP1" s="4"/>
      <c r="AR1" s="4"/>
      <c r="AS1" s="4"/>
      <c r="AU1" s="4"/>
      <c r="AV1" s="4"/>
      <c r="AX1" s="4"/>
      <c r="AY1" s="4"/>
      <c r="BA1" s="4"/>
      <c r="BB1" s="4"/>
      <c r="BD1" s="4"/>
      <c r="BE1" s="4"/>
      <c r="BG1" s="4"/>
      <c r="BH1" s="4"/>
      <c r="BJ1" s="4"/>
      <c r="BK1" s="4"/>
      <c r="BM1" s="4"/>
      <c r="BN1" s="4"/>
      <c r="BP1" s="4"/>
      <c r="BQ1" s="4"/>
      <c r="BS1" s="4"/>
      <c r="BT1" s="4"/>
      <c r="BV1" s="4"/>
      <c r="BW1" s="4"/>
      <c r="BY1" s="4"/>
      <c r="BZ1" s="4"/>
      <c r="CB1" s="4"/>
      <c r="CC1" s="4"/>
      <c r="CE1" s="4"/>
      <c r="CF1" s="4"/>
      <c r="CH1" s="4"/>
      <c r="CI1" s="4"/>
      <c r="CK1" s="4"/>
      <c r="CL1" s="4"/>
      <c r="CN1" s="4"/>
      <c r="CO1" s="4"/>
      <c r="CQ1" s="4"/>
      <c r="CR1" s="4"/>
      <c r="CT1" s="4"/>
      <c r="CU1" s="4"/>
      <c r="CW1" s="4"/>
      <c r="CX1" s="4"/>
      <c r="CZ1" s="4"/>
      <c r="DA1" s="4"/>
      <c r="DC1" s="4"/>
      <c r="DD1" s="4"/>
      <c r="DF1" s="4"/>
      <c r="DG1" s="4"/>
      <c r="DI1" s="4"/>
      <c r="DJ1" s="4"/>
      <c r="DL1" s="4"/>
      <c r="DM1" s="4"/>
      <c r="DO1" s="4"/>
      <c r="DP1" s="4"/>
      <c r="DR1" s="4"/>
      <c r="DS1" s="4"/>
      <c r="DU1" s="4"/>
      <c r="DV1" s="4"/>
      <c r="DX1" s="4"/>
      <c r="DY1" s="4"/>
      <c r="EA1" s="4"/>
      <c r="EB1" s="4"/>
      <c r="ED1" s="4"/>
      <c r="EE1" s="4"/>
      <c r="EG1" s="4"/>
      <c r="EH1" s="4"/>
      <c r="EJ1" s="4"/>
      <c r="EK1" s="4"/>
      <c r="EM1" s="4"/>
      <c r="EN1" s="4"/>
      <c r="EP1" s="4"/>
      <c r="EQ1" s="4"/>
      <c r="ES1" s="4"/>
      <c r="ET1" s="4"/>
      <c r="EV1" s="4"/>
      <c r="EW1" s="4"/>
      <c r="EY1" s="4"/>
      <c r="EZ1" s="4"/>
      <c r="FB1" s="4"/>
      <c r="FC1" s="4"/>
      <c r="FE1" s="4"/>
      <c r="FF1" s="4"/>
      <c r="FH1" s="4"/>
      <c r="FI1" s="4"/>
      <c r="FK1" s="4"/>
      <c r="FL1" s="4"/>
      <c r="FN1" s="4"/>
      <c r="FO1" s="4"/>
      <c r="FQ1" s="4"/>
      <c r="FR1" s="4"/>
      <c r="FT1" s="4"/>
      <c r="FU1" s="4"/>
      <c r="FW1" s="4"/>
      <c r="FX1" s="4"/>
      <c r="FZ1" s="4"/>
      <c r="GA1" s="4"/>
      <c r="GC1" s="4"/>
      <c r="GD1" s="4"/>
      <c r="GF1" s="4"/>
      <c r="GG1" s="4"/>
      <c r="GI1" s="4"/>
      <c r="GJ1" s="4"/>
      <c r="GL1" s="4"/>
      <c r="GM1" s="4"/>
      <c r="GO1" s="4"/>
      <c r="GP1" s="4"/>
      <c r="GR1" s="4"/>
      <c r="GS1" s="4"/>
      <c r="GU1" s="4"/>
      <c r="GV1" s="4"/>
      <c r="GX1" s="4"/>
      <c r="GY1" s="4"/>
      <c r="HA1" s="4"/>
      <c r="HB1" s="4"/>
      <c r="HD1" s="4"/>
      <c r="HE1" s="4"/>
      <c r="HG1" s="4"/>
      <c r="HH1" s="4"/>
      <c r="HJ1" s="4"/>
      <c r="HK1" s="4"/>
      <c r="HM1" s="4"/>
      <c r="HN1" s="4"/>
      <c r="HP1" s="4"/>
      <c r="HQ1" s="4"/>
      <c r="HS1" s="4"/>
      <c r="HT1" s="4"/>
      <c r="HV1" s="4"/>
      <c r="HW1" s="4"/>
      <c r="HY1" s="4"/>
      <c r="HZ1" s="4"/>
      <c r="IB1" s="4"/>
      <c r="IC1" s="4"/>
      <c r="IE1" s="4"/>
      <c r="IF1" s="4"/>
      <c r="IH1" s="4"/>
      <c r="II1" s="4"/>
      <c r="IK1" s="4"/>
      <c r="IL1" s="4"/>
      <c r="IN1" s="4"/>
      <c r="IO1" s="4"/>
      <c r="IQ1" s="4"/>
      <c r="IR1" s="4"/>
      <c r="IT1" s="4"/>
      <c r="IU1" s="4"/>
    </row>
    <row r="2" spans="1:255" ht="12" x14ac:dyDescent="0.2">
      <c r="A2" s="454" t="s">
        <v>964</v>
      </c>
      <c r="B2" s="453" t="s">
        <v>339</v>
      </c>
      <c r="C2" s="4"/>
      <c r="D2" s="236"/>
      <c r="E2" s="4"/>
      <c r="F2" s="70"/>
      <c r="G2" s="8" t="s">
        <v>126</v>
      </c>
      <c r="H2" s="8"/>
      <c r="J2" s="4"/>
      <c r="K2" s="4"/>
      <c r="M2" s="4"/>
      <c r="N2" s="4"/>
      <c r="O2" s="4"/>
      <c r="P2" s="4"/>
      <c r="Q2" s="4"/>
      <c r="S2" s="4"/>
      <c r="T2" s="4"/>
      <c r="V2" s="4"/>
      <c r="W2" s="4"/>
      <c r="Y2" s="4"/>
      <c r="Z2" s="4"/>
      <c r="AB2" s="4"/>
      <c r="AC2" s="4"/>
      <c r="AE2" s="4"/>
      <c r="AF2" s="4"/>
      <c r="AG2" s="4"/>
      <c r="AI2" s="4"/>
      <c r="AJ2" s="4"/>
      <c r="AL2" s="4"/>
      <c r="AM2" s="4"/>
      <c r="AO2" s="4"/>
      <c r="AP2" s="4"/>
      <c r="AR2" s="4"/>
      <c r="AS2" s="4"/>
      <c r="AU2" s="4"/>
      <c r="AV2" s="4"/>
      <c r="AX2" s="4"/>
      <c r="AY2" s="4"/>
      <c r="BA2" s="4"/>
      <c r="BB2" s="4"/>
      <c r="BD2" s="4"/>
      <c r="BE2" s="4"/>
      <c r="BG2" s="4"/>
      <c r="BH2" s="4"/>
      <c r="BJ2" s="4"/>
      <c r="BK2" s="4"/>
      <c r="BM2" s="4"/>
      <c r="BN2" s="4"/>
      <c r="BP2" s="4"/>
      <c r="BQ2" s="4"/>
      <c r="BS2" s="4"/>
      <c r="BT2" s="4"/>
      <c r="BV2" s="4"/>
      <c r="BW2" s="4"/>
      <c r="BY2" s="4"/>
      <c r="BZ2" s="4"/>
      <c r="CB2" s="4"/>
      <c r="CC2" s="4"/>
      <c r="CE2" s="4"/>
      <c r="CF2" s="4"/>
      <c r="CH2" s="4"/>
      <c r="CI2" s="4"/>
      <c r="CK2" s="4"/>
      <c r="CL2" s="4"/>
      <c r="CN2" s="4"/>
      <c r="CO2" s="4"/>
      <c r="CQ2" s="4"/>
      <c r="CR2" s="4"/>
      <c r="CT2" s="4"/>
      <c r="CU2" s="4"/>
      <c r="CW2" s="4"/>
      <c r="CX2" s="4"/>
      <c r="CZ2" s="4"/>
      <c r="DA2" s="4"/>
      <c r="DC2" s="4"/>
      <c r="DD2" s="4"/>
      <c r="DF2" s="4"/>
      <c r="DG2" s="4"/>
      <c r="DI2" s="4"/>
      <c r="DJ2" s="4"/>
      <c r="DL2" s="4"/>
      <c r="DM2" s="4"/>
      <c r="DO2" s="4"/>
      <c r="DP2" s="4"/>
      <c r="DR2" s="4"/>
      <c r="DS2" s="4"/>
      <c r="DU2" s="4"/>
      <c r="DV2" s="4"/>
      <c r="DX2" s="4"/>
      <c r="DY2" s="4"/>
      <c r="EA2" s="4"/>
      <c r="EB2" s="4"/>
      <c r="ED2" s="4"/>
      <c r="EE2" s="4"/>
      <c r="EG2" s="4"/>
      <c r="EH2" s="4"/>
      <c r="EJ2" s="4"/>
      <c r="EK2" s="4"/>
      <c r="EM2" s="4"/>
      <c r="EN2" s="4"/>
      <c r="EP2" s="4"/>
      <c r="EQ2" s="4"/>
      <c r="ES2" s="4"/>
      <c r="ET2" s="4"/>
      <c r="EV2" s="4"/>
      <c r="EW2" s="4"/>
      <c r="EY2" s="4"/>
      <c r="EZ2" s="4"/>
      <c r="FB2" s="4"/>
      <c r="FC2" s="4"/>
      <c r="FE2" s="4"/>
      <c r="FF2" s="4"/>
      <c r="FH2" s="4"/>
      <c r="FI2" s="4"/>
      <c r="FK2" s="4"/>
      <c r="FL2" s="4"/>
      <c r="FN2" s="4"/>
      <c r="FO2" s="4"/>
      <c r="FQ2" s="4"/>
      <c r="FR2" s="4"/>
      <c r="FT2" s="4"/>
      <c r="FU2" s="4"/>
      <c r="FW2" s="4"/>
      <c r="FX2" s="4"/>
      <c r="FZ2" s="4"/>
      <c r="GA2" s="4"/>
      <c r="GC2" s="4"/>
      <c r="GD2" s="4"/>
      <c r="GF2" s="4"/>
      <c r="GG2" s="4"/>
      <c r="GI2" s="4"/>
      <c r="GJ2" s="4"/>
      <c r="GL2" s="4"/>
      <c r="GM2" s="4"/>
      <c r="GO2" s="4"/>
      <c r="GP2" s="4"/>
      <c r="GR2" s="4"/>
      <c r="GS2" s="4"/>
      <c r="GU2" s="4"/>
      <c r="GV2" s="4"/>
      <c r="GX2" s="4"/>
      <c r="GY2" s="4"/>
      <c r="HA2" s="4"/>
      <c r="HB2" s="4"/>
      <c r="HD2" s="4"/>
      <c r="HE2" s="4"/>
      <c r="HG2" s="4"/>
      <c r="HH2" s="4"/>
      <c r="HJ2" s="4"/>
      <c r="HK2" s="4"/>
      <c r="HM2" s="4"/>
      <c r="HN2" s="4"/>
      <c r="HP2" s="4"/>
      <c r="HQ2" s="4"/>
      <c r="HS2" s="4"/>
      <c r="HT2" s="4"/>
      <c r="HV2" s="4"/>
      <c r="HW2" s="4"/>
      <c r="HY2" s="4"/>
      <c r="HZ2" s="4"/>
      <c r="IB2" s="4"/>
      <c r="IC2" s="4"/>
      <c r="IE2" s="4"/>
      <c r="IF2" s="4"/>
      <c r="IH2" s="4"/>
      <c r="II2" s="4"/>
      <c r="IK2" s="4"/>
      <c r="IL2" s="4"/>
      <c r="IN2" s="4"/>
      <c r="IO2" s="4"/>
      <c r="IQ2" s="4"/>
      <c r="IR2" s="4"/>
      <c r="IT2" s="4"/>
      <c r="IU2" s="4"/>
    </row>
    <row r="3" spans="1:255" ht="12" x14ac:dyDescent="0.2">
      <c r="A3" s="4"/>
      <c r="B3" s="453" t="s">
        <v>314</v>
      </c>
      <c r="C3" s="4"/>
      <c r="D3" s="236"/>
      <c r="E3" s="4"/>
      <c r="F3" s="70"/>
      <c r="G3" s="10" t="str">
        <f>IF('Basic Data'!L14="","",'Basic Data'!L14)</f>
        <v/>
      </c>
      <c r="H3" s="11">
        <f>IF(G3&gt;G4,0,DATEDIF(G3,G4,"y"))</f>
        <v>0</v>
      </c>
      <c r="J3" s="4"/>
      <c r="K3" s="4"/>
      <c r="M3" s="4"/>
      <c r="N3" s="4"/>
      <c r="O3" s="4"/>
      <c r="P3" s="4"/>
      <c r="Q3" s="4"/>
      <c r="S3" s="4"/>
      <c r="T3" s="4"/>
      <c r="V3" s="4"/>
      <c r="W3" s="4"/>
      <c r="Y3" s="4"/>
      <c r="Z3" s="4"/>
      <c r="AB3" s="4"/>
      <c r="AC3" s="4"/>
      <c r="AE3" s="4"/>
      <c r="AF3" s="4"/>
      <c r="AG3" s="4"/>
      <c r="AI3" s="4"/>
      <c r="AJ3" s="4"/>
      <c r="AL3" s="4"/>
      <c r="AM3" s="4"/>
      <c r="AO3" s="4"/>
      <c r="AP3" s="4"/>
      <c r="AR3" s="4"/>
      <c r="AS3" s="4"/>
      <c r="AU3" s="4"/>
      <c r="AV3" s="4"/>
      <c r="AX3" s="4"/>
      <c r="AY3" s="4"/>
      <c r="BA3" s="4"/>
      <c r="BB3" s="4"/>
      <c r="BD3" s="4"/>
      <c r="BE3" s="4"/>
      <c r="BG3" s="4"/>
      <c r="BH3" s="4"/>
      <c r="BJ3" s="4"/>
      <c r="BK3" s="4"/>
      <c r="BM3" s="4"/>
      <c r="BN3" s="4"/>
      <c r="BP3" s="4"/>
      <c r="BQ3" s="4"/>
      <c r="BS3" s="4"/>
      <c r="BT3" s="4"/>
      <c r="BV3" s="4"/>
      <c r="BW3" s="4"/>
      <c r="BY3" s="4"/>
      <c r="BZ3" s="4"/>
      <c r="CB3" s="4"/>
      <c r="CC3" s="4"/>
      <c r="CE3" s="4"/>
      <c r="CF3" s="4"/>
      <c r="CH3" s="4"/>
      <c r="CI3" s="4"/>
      <c r="CK3" s="4"/>
      <c r="CL3" s="4"/>
      <c r="CN3" s="4"/>
      <c r="CO3" s="4"/>
      <c r="CQ3" s="4"/>
      <c r="CR3" s="4"/>
      <c r="CT3" s="4"/>
      <c r="CU3" s="4"/>
      <c r="CW3" s="4"/>
      <c r="CX3" s="4"/>
      <c r="CZ3" s="4"/>
      <c r="DA3" s="4"/>
      <c r="DC3" s="4"/>
      <c r="DD3" s="4"/>
      <c r="DF3" s="4"/>
      <c r="DG3" s="4"/>
      <c r="DI3" s="4"/>
      <c r="DJ3" s="4"/>
      <c r="DL3" s="4"/>
      <c r="DM3" s="4"/>
      <c r="DO3" s="4"/>
      <c r="DP3" s="4"/>
      <c r="DR3" s="4"/>
      <c r="DS3" s="4"/>
      <c r="DU3" s="4"/>
      <c r="DV3" s="4"/>
      <c r="DX3" s="4"/>
      <c r="DY3" s="4"/>
      <c r="EA3" s="4"/>
      <c r="EB3" s="4"/>
      <c r="ED3" s="4"/>
      <c r="EE3" s="4"/>
      <c r="EG3" s="4"/>
      <c r="EH3" s="4"/>
      <c r="EJ3" s="4"/>
      <c r="EK3" s="4"/>
      <c r="EM3" s="4"/>
      <c r="EN3" s="4"/>
      <c r="EP3" s="4"/>
      <c r="EQ3" s="4"/>
      <c r="ES3" s="4"/>
      <c r="ET3" s="4"/>
      <c r="EV3" s="4"/>
      <c r="EW3" s="4"/>
      <c r="EY3" s="4"/>
      <c r="EZ3" s="4"/>
      <c r="FB3" s="4"/>
      <c r="FC3" s="4"/>
      <c r="FE3" s="4"/>
      <c r="FF3" s="4"/>
      <c r="FH3" s="4"/>
      <c r="FI3" s="4"/>
      <c r="FK3" s="4"/>
      <c r="FL3" s="4"/>
      <c r="FN3" s="4"/>
      <c r="FO3" s="4"/>
      <c r="FQ3" s="4"/>
      <c r="FR3" s="4"/>
      <c r="FT3" s="4"/>
      <c r="FU3" s="4"/>
      <c r="FW3" s="4"/>
      <c r="FX3" s="4"/>
      <c r="FZ3" s="4"/>
      <c r="GA3" s="4"/>
      <c r="GC3" s="4"/>
      <c r="GD3" s="4"/>
      <c r="GF3" s="4"/>
      <c r="GG3" s="4"/>
      <c r="GI3" s="4"/>
      <c r="GJ3" s="4"/>
      <c r="GL3" s="4"/>
      <c r="GM3" s="4"/>
      <c r="GO3" s="4"/>
      <c r="GP3" s="4"/>
      <c r="GR3" s="4"/>
      <c r="GS3" s="4"/>
      <c r="GU3" s="4"/>
      <c r="GV3" s="4"/>
      <c r="GX3" s="4"/>
      <c r="GY3" s="4"/>
      <c r="HA3" s="4"/>
      <c r="HB3" s="4"/>
      <c r="HD3" s="4"/>
      <c r="HE3" s="4"/>
      <c r="HG3" s="4"/>
      <c r="HH3" s="4"/>
      <c r="HJ3" s="4"/>
      <c r="HK3" s="4"/>
      <c r="HM3" s="4"/>
      <c r="HN3" s="4"/>
      <c r="HP3" s="4"/>
      <c r="HQ3" s="4"/>
      <c r="HS3" s="4"/>
      <c r="HT3" s="4"/>
      <c r="HV3" s="4"/>
      <c r="HW3" s="4"/>
      <c r="HY3" s="4"/>
      <c r="HZ3" s="4"/>
      <c r="IB3" s="4"/>
      <c r="IC3" s="4"/>
      <c r="IE3" s="4"/>
      <c r="IF3" s="4"/>
      <c r="IH3" s="4"/>
      <c r="II3" s="4"/>
      <c r="IK3" s="4"/>
      <c r="IL3" s="4"/>
      <c r="IN3" s="4"/>
      <c r="IO3" s="4"/>
      <c r="IQ3" s="4"/>
      <c r="IR3" s="4"/>
      <c r="IT3" s="4"/>
      <c r="IU3" s="4"/>
    </row>
    <row r="4" spans="1:255" ht="12" x14ac:dyDescent="0.2">
      <c r="A4" s="4"/>
      <c r="B4" s="453" t="s">
        <v>460</v>
      </c>
      <c r="C4" s="4"/>
      <c r="D4" s="236"/>
      <c r="E4" s="4"/>
      <c r="F4" s="70"/>
      <c r="G4" s="368">
        <v>46387</v>
      </c>
      <c r="H4" s="11"/>
      <c r="I4" s="3"/>
      <c r="J4" s="4"/>
      <c r="K4" s="4"/>
      <c r="M4" s="4"/>
      <c r="N4" s="4"/>
      <c r="O4" s="4"/>
      <c r="P4" s="4"/>
      <c r="Q4" s="4"/>
      <c r="S4" s="4"/>
      <c r="T4" s="4"/>
      <c r="V4" s="4"/>
      <c r="W4" s="4"/>
      <c r="Y4" s="4"/>
      <c r="Z4" s="4"/>
      <c r="AB4" s="4"/>
      <c r="AC4" s="4"/>
      <c r="AE4" s="4"/>
      <c r="AF4" s="4"/>
      <c r="AG4" s="4"/>
      <c r="AI4" s="4"/>
      <c r="AJ4" s="4"/>
      <c r="AL4" s="4"/>
      <c r="AM4" s="4"/>
      <c r="AO4" s="4"/>
      <c r="AP4" s="4"/>
      <c r="AR4" s="4"/>
      <c r="AS4" s="4"/>
      <c r="AU4" s="4"/>
      <c r="AV4" s="4"/>
      <c r="AX4" s="4"/>
      <c r="AY4" s="4"/>
      <c r="BA4" s="4"/>
      <c r="BB4" s="4"/>
      <c r="BD4" s="4"/>
      <c r="BE4" s="4"/>
      <c r="BG4" s="4"/>
      <c r="BH4" s="4"/>
      <c r="BJ4" s="4"/>
      <c r="BK4" s="4"/>
      <c r="BM4" s="4"/>
      <c r="BN4" s="4"/>
      <c r="BP4" s="4"/>
      <c r="BQ4" s="4"/>
      <c r="BS4" s="4"/>
      <c r="BT4" s="4"/>
      <c r="BV4" s="4"/>
      <c r="BW4" s="4"/>
      <c r="BY4" s="4"/>
      <c r="BZ4" s="4"/>
      <c r="CB4" s="4"/>
      <c r="CC4" s="4"/>
      <c r="CE4" s="4"/>
      <c r="CF4" s="4"/>
      <c r="CH4" s="4"/>
      <c r="CI4" s="4"/>
      <c r="CK4" s="4"/>
      <c r="CL4" s="4"/>
      <c r="CN4" s="4"/>
      <c r="CO4" s="4"/>
      <c r="CQ4" s="4"/>
      <c r="CR4" s="4"/>
      <c r="CT4" s="4"/>
      <c r="CU4" s="4"/>
      <c r="CW4" s="4"/>
      <c r="CX4" s="4"/>
      <c r="CZ4" s="4"/>
      <c r="DA4" s="4"/>
      <c r="DC4" s="4"/>
      <c r="DD4" s="4"/>
      <c r="DF4" s="4"/>
      <c r="DG4" s="4"/>
      <c r="DI4" s="4"/>
      <c r="DJ4" s="4"/>
      <c r="DL4" s="4"/>
      <c r="DM4" s="4"/>
      <c r="DO4" s="4"/>
      <c r="DP4" s="4"/>
      <c r="DR4" s="4"/>
      <c r="DS4" s="4"/>
      <c r="DU4" s="4"/>
      <c r="DV4" s="4"/>
      <c r="DX4" s="4"/>
      <c r="DY4" s="4"/>
      <c r="EA4" s="4"/>
      <c r="EB4" s="4"/>
      <c r="ED4" s="4"/>
      <c r="EE4" s="4"/>
      <c r="EG4" s="4"/>
      <c r="EH4" s="4"/>
      <c r="EJ4" s="4"/>
      <c r="EK4" s="4"/>
      <c r="EM4" s="4"/>
      <c r="EN4" s="4"/>
      <c r="EP4" s="4"/>
      <c r="EQ4" s="4"/>
      <c r="ES4" s="4"/>
      <c r="ET4" s="4"/>
      <c r="EV4" s="4"/>
      <c r="EW4" s="4"/>
      <c r="EY4" s="4"/>
      <c r="EZ4" s="4"/>
      <c r="FB4" s="4"/>
      <c r="FC4" s="4"/>
      <c r="FE4" s="4"/>
      <c r="FF4" s="4"/>
      <c r="FH4" s="4"/>
      <c r="FI4" s="4"/>
      <c r="FK4" s="4"/>
      <c r="FL4" s="4"/>
      <c r="FN4" s="4"/>
      <c r="FO4" s="4"/>
      <c r="FQ4" s="4"/>
      <c r="FR4" s="4"/>
      <c r="FT4" s="4"/>
      <c r="FU4" s="4"/>
      <c r="FW4" s="4"/>
      <c r="FX4" s="4"/>
      <c r="FZ4" s="4"/>
      <c r="GA4" s="4"/>
      <c r="GC4" s="4"/>
      <c r="GD4" s="4"/>
      <c r="GF4" s="4"/>
      <c r="GG4" s="4"/>
      <c r="GI4" s="4"/>
      <c r="GJ4" s="4"/>
      <c r="GL4" s="4"/>
      <c r="GM4" s="4"/>
      <c r="GO4" s="4"/>
      <c r="GP4" s="4"/>
      <c r="GR4" s="4"/>
      <c r="GS4" s="4"/>
      <c r="GU4" s="4"/>
      <c r="GV4" s="4"/>
      <c r="GX4" s="4"/>
      <c r="GY4" s="4"/>
      <c r="HA4" s="4"/>
      <c r="HB4" s="4"/>
      <c r="HD4" s="4"/>
      <c r="HE4" s="4"/>
      <c r="HG4" s="4"/>
      <c r="HH4" s="4"/>
      <c r="HJ4" s="4"/>
      <c r="HK4" s="4"/>
      <c r="HM4" s="4"/>
      <c r="HN4" s="4"/>
      <c r="HP4" s="4"/>
      <c r="HQ4" s="4"/>
      <c r="HS4" s="4"/>
      <c r="HT4" s="4"/>
      <c r="HV4" s="4"/>
      <c r="HW4" s="4"/>
      <c r="HY4" s="4"/>
      <c r="HZ4" s="4"/>
      <c r="IB4" s="4"/>
      <c r="IC4" s="4"/>
      <c r="IE4" s="4"/>
      <c r="IF4" s="4"/>
      <c r="IH4" s="4"/>
      <c r="II4" s="4"/>
      <c r="IK4" s="4"/>
      <c r="IL4" s="4"/>
      <c r="IN4" s="4"/>
      <c r="IO4" s="4"/>
      <c r="IQ4" s="4"/>
      <c r="IR4" s="4"/>
      <c r="IT4" s="4"/>
      <c r="IU4" s="4"/>
    </row>
    <row r="5" spans="1:255" ht="12" x14ac:dyDescent="0.2">
      <c r="A5" s="4"/>
      <c r="B5" s="453" t="s">
        <v>378</v>
      </c>
      <c r="C5" s="4"/>
      <c r="D5" s="236"/>
      <c r="E5" s="4"/>
      <c r="G5" s="3"/>
      <c r="J5" s="4"/>
      <c r="K5" s="4"/>
      <c r="M5" s="4"/>
      <c r="N5" s="4"/>
      <c r="O5" s="4"/>
      <c r="P5" s="4"/>
      <c r="Q5" s="4"/>
      <c r="S5" s="4"/>
      <c r="T5" s="4"/>
      <c r="V5" s="4"/>
      <c r="W5" s="4"/>
      <c r="Y5" s="4"/>
      <c r="Z5" s="4"/>
      <c r="AB5" s="4"/>
      <c r="AC5" s="4"/>
      <c r="AE5" s="4"/>
      <c r="AF5" s="4"/>
      <c r="AG5" s="4"/>
      <c r="AI5" s="4"/>
      <c r="AJ5" s="4"/>
      <c r="AL5" s="4"/>
      <c r="AM5" s="4"/>
      <c r="AO5" s="4"/>
      <c r="AP5" s="4"/>
      <c r="AR5" s="4"/>
      <c r="AS5" s="4"/>
      <c r="AU5" s="4"/>
      <c r="AV5" s="4"/>
      <c r="AX5" s="4"/>
      <c r="AY5" s="4"/>
      <c r="BA5" s="4"/>
      <c r="BB5" s="4"/>
      <c r="BD5" s="4"/>
      <c r="BE5" s="4"/>
      <c r="BG5" s="4"/>
      <c r="BH5" s="4"/>
      <c r="BJ5" s="4"/>
      <c r="BK5" s="4"/>
      <c r="BM5" s="4"/>
      <c r="BN5" s="4"/>
      <c r="BP5" s="4"/>
      <c r="BQ5" s="4"/>
      <c r="BS5" s="4"/>
      <c r="BT5" s="4"/>
      <c r="BV5" s="4"/>
      <c r="BW5" s="4"/>
      <c r="BY5" s="4"/>
      <c r="BZ5" s="4"/>
      <c r="CB5" s="4"/>
      <c r="CC5" s="4"/>
      <c r="CE5" s="4"/>
      <c r="CF5" s="4"/>
      <c r="CH5" s="4"/>
      <c r="CI5" s="4"/>
      <c r="CK5" s="4"/>
      <c r="CL5" s="4"/>
      <c r="CN5" s="4"/>
      <c r="CO5" s="4"/>
      <c r="CQ5" s="4"/>
      <c r="CR5" s="4"/>
      <c r="CT5" s="4"/>
      <c r="CU5" s="4"/>
      <c r="CW5" s="4"/>
      <c r="CX5" s="4"/>
      <c r="CZ5" s="4"/>
      <c r="DA5" s="4"/>
      <c r="DC5" s="4"/>
      <c r="DD5" s="4"/>
      <c r="DF5" s="4"/>
      <c r="DG5" s="4"/>
      <c r="DI5" s="4"/>
      <c r="DJ5" s="4"/>
      <c r="DL5" s="4"/>
      <c r="DM5" s="4"/>
      <c r="DO5" s="4"/>
      <c r="DP5" s="4"/>
      <c r="DR5" s="4"/>
      <c r="DS5" s="4"/>
      <c r="DU5" s="4"/>
      <c r="DV5" s="4"/>
      <c r="DX5" s="4"/>
      <c r="DY5" s="4"/>
      <c r="EA5" s="4"/>
      <c r="EB5" s="4"/>
      <c r="ED5" s="4"/>
      <c r="EE5" s="4"/>
      <c r="EG5" s="4"/>
      <c r="EH5" s="4"/>
      <c r="EJ5" s="4"/>
      <c r="EK5" s="4"/>
      <c r="EM5" s="4"/>
      <c r="EN5" s="4"/>
      <c r="EP5" s="4"/>
      <c r="EQ5" s="4"/>
      <c r="ES5" s="4"/>
      <c r="ET5" s="4"/>
      <c r="EV5" s="4"/>
      <c r="EW5" s="4"/>
      <c r="EY5" s="4"/>
      <c r="EZ5" s="4"/>
      <c r="FB5" s="4"/>
      <c r="FC5" s="4"/>
      <c r="FE5" s="4"/>
      <c r="FF5" s="4"/>
      <c r="FH5" s="4"/>
      <c r="FI5" s="4"/>
      <c r="FK5" s="4"/>
      <c r="FL5" s="4"/>
      <c r="FN5" s="4"/>
      <c r="FO5" s="4"/>
      <c r="FQ5" s="4"/>
      <c r="FR5" s="4"/>
      <c r="FT5" s="4"/>
      <c r="FU5" s="4"/>
      <c r="FW5" s="4"/>
      <c r="FX5" s="4"/>
      <c r="FZ5" s="4"/>
      <c r="GA5" s="4"/>
      <c r="GC5" s="4"/>
      <c r="GD5" s="4"/>
      <c r="GF5" s="4"/>
      <c r="GG5" s="4"/>
      <c r="GI5" s="4"/>
      <c r="GJ5" s="4"/>
      <c r="GL5" s="4"/>
      <c r="GM5" s="4"/>
      <c r="GO5" s="4"/>
      <c r="GP5" s="4"/>
      <c r="GR5" s="4"/>
      <c r="GS5" s="4"/>
      <c r="GU5" s="4"/>
      <c r="GV5" s="4"/>
      <c r="GX5" s="4"/>
      <c r="GY5" s="4"/>
      <c r="HA5" s="4"/>
      <c r="HB5" s="4"/>
      <c r="HD5" s="4"/>
      <c r="HE5" s="4"/>
      <c r="HG5" s="4"/>
      <c r="HH5" s="4"/>
      <c r="HJ5" s="4"/>
      <c r="HK5" s="4"/>
      <c r="HM5" s="4"/>
      <c r="HN5" s="4"/>
      <c r="HP5" s="4"/>
      <c r="HQ5" s="4"/>
      <c r="HS5" s="4"/>
      <c r="HT5" s="4"/>
      <c r="HV5" s="4"/>
      <c r="HW5" s="4"/>
      <c r="HY5" s="4"/>
      <c r="HZ5" s="4"/>
      <c r="IB5" s="4"/>
      <c r="IC5" s="4"/>
      <c r="IE5" s="4"/>
      <c r="IF5" s="4"/>
      <c r="IH5" s="4"/>
      <c r="II5" s="4"/>
      <c r="IK5" s="4"/>
      <c r="IL5" s="4"/>
      <c r="IN5" s="4"/>
      <c r="IO5" s="4"/>
      <c r="IQ5" s="4"/>
      <c r="IR5" s="4"/>
      <c r="IT5" s="4"/>
      <c r="IU5" s="4"/>
    </row>
    <row r="6" spans="1:255" ht="12" x14ac:dyDescent="0.2">
      <c r="A6" s="8"/>
      <c r="B6" s="453" t="s">
        <v>340</v>
      </c>
      <c r="C6" s="4"/>
      <c r="D6" s="236"/>
      <c r="E6" s="4"/>
      <c r="G6" s="3"/>
      <c r="J6" s="4"/>
      <c r="K6" s="4"/>
      <c r="M6" s="4"/>
      <c r="N6" s="4"/>
      <c r="O6" s="4"/>
      <c r="P6" s="4"/>
      <c r="Q6" s="4"/>
      <c r="S6" s="4"/>
      <c r="T6" s="4"/>
      <c r="V6" s="4"/>
      <c r="W6" s="4"/>
      <c r="Y6" s="4"/>
      <c r="Z6" s="4"/>
      <c r="AB6" s="4"/>
      <c r="AC6" s="4"/>
      <c r="AE6" s="4"/>
      <c r="AF6" s="4"/>
      <c r="AG6" s="4"/>
      <c r="AI6" s="4"/>
      <c r="AJ6" s="4"/>
      <c r="AL6" s="4"/>
      <c r="AM6" s="4"/>
      <c r="AO6" s="4"/>
      <c r="AP6" s="4"/>
      <c r="AR6" s="4"/>
      <c r="AS6" s="4"/>
      <c r="AU6" s="4"/>
      <c r="AV6" s="4"/>
      <c r="AX6" s="4"/>
      <c r="AY6" s="4"/>
      <c r="BA6" s="4"/>
      <c r="BB6" s="4"/>
      <c r="BD6" s="4"/>
      <c r="BE6" s="4"/>
      <c r="BG6" s="4"/>
      <c r="BH6" s="4"/>
      <c r="BJ6" s="4"/>
      <c r="BK6" s="4"/>
      <c r="BM6" s="4"/>
      <c r="BN6" s="4"/>
      <c r="BP6" s="4"/>
      <c r="BQ6" s="4"/>
      <c r="BS6" s="4"/>
      <c r="BT6" s="4"/>
      <c r="BV6" s="4"/>
      <c r="BW6" s="4"/>
      <c r="BY6" s="4"/>
      <c r="BZ6" s="4"/>
      <c r="CB6" s="4"/>
      <c r="CC6" s="4"/>
      <c r="CE6" s="4"/>
      <c r="CF6" s="4"/>
      <c r="CH6" s="4"/>
      <c r="CI6" s="4"/>
      <c r="CK6" s="4"/>
      <c r="CL6" s="4"/>
      <c r="CN6" s="4"/>
      <c r="CO6" s="4"/>
      <c r="CQ6" s="4"/>
      <c r="CR6" s="4"/>
      <c r="CT6" s="4"/>
      <c r="CU6" s="4"/>
      <c r="CW6" s="4"/>
      <c r="CX6" s="4"/>
      <c r="CZ6" s="4"/>
      <c r="DA6" s="4"/>
      <c r="DC6" s="4"/>
      <c r="DD6" s="4"/>
      <c r="DF6" s="4"/>
      <c r="DG6" s="4"/>
      <c r="DI6" s="4"/>
      <c r="DJ6" s="4"/>
      <c r="DL6" s="4"/>
      <c r="DM6" s="4"/>
      <c r="DO6" s="4"/>
      <c r="DP6" s="4"/>
      <c r="DR6" s="4"/>
      <c r="DS6" s="4"/>
      <c r="DU6" s="4"/>
      <c r="DV6" s="4"/>
      <c r="DX6" s="4"/>
      <c r="DY6" s="4"/>
      <c r="EA6" s="4"/>
      <c r="EB6" s="4"/>
      <c r="ED6" s="4"/>
      <c r="EE6" s="4"/>
      <c r="EG6" s="4"/>
      <c r="EH6" s="4"/>
      <c r="EJ6" s="4"/>
      <c r="EK6" s="4"/>
      <c r="EM6" s="4"/>
      <c r="EN6" s="4"/>
      <c r="EP6" s="4"/>
      <c r="EQ6" s="4"/>
      <c r="ES6" s="4"/>
      <c r="ET6" s="4"/>
      <c r="EV6" s="4"/>
      <c r="EW6" s="4"/>
      <c r="EY6" s="4"/>
      <c r="EZ6" s="4"/>
      <c r="FB6" s="4"/>
      <c r="FC6" s="4"/>
      <c r="FE6" s="4"/>
      <c r="FF6" s="4"/>
      <c r="FH6" s="4"/>
      <c r="FI6" s="4"/>
      <c r="FK6" s="4"/>
      <c r="FL6" s="4"/>
      <c r="FN6" s="4"/>
      <c r="FO6" s="4"/>
      <c r="FQ6" s="4"/>
      <c r="FR6" s="4"/>
      <c r="FT6" s="4"/>
      <c r="FU6" s="4"/>
      <c r="FW6" s="4"/>
      <c r="FX6" s="4"/>
      <c r="FZ6" s="4"/>
      <c r="GA6" s="4"/>
      <c r="GC6" s="4"/>
      <c r="GD6" s="4"/>
      <c r="GF6" s="4"/>
      <c r="GG6" s="4"/>
      <c r="GI6" s="4"/>
      <c r="GJ6" s="4"/>
      <c r="GL6" s="4"/>
      <c r="GM6" s="4"/>
      <c r="GO6" s="4"/>
      <c r="GP6" s="4"/>
      <c r="GR6" s="4"/>
      <c r="GS6" s="4"/>
      <c r="GU6" s="4"/>
      <c r="GV6" s="4"/>
      <c r="GX6" s="4"/>
      <c r="GY6" s="4"/>
      <c r="HA6" s="4"/>
      <c r="HB6" s="4"/>
      <c r="HD6" s="4"/>
      <c r="HE6" s="4"/>
      <c r="HG6" s="4"/>
      <c r="HH6" s="4"/>
      <c r="HJ6" s="4"/>
      <c r="HK6" s="4"/>
      <c r="HM6" s="4"/>
      <c r="HN6" s="4"/>
      <c r="HP6" s="4"/>
      <c r="HQ6" s="4"/>
      <c r="HS6" s="4"/>
      <c r="HT6" s="4"/>
      <c r="HV6" s="4"/>
      <c r="HW6" s="4"/>
      <c r="HY6" s="4"/>
      <c r="HZ6" s="4"/>
      <c r="IB6" s="4"/>
      <c r="IC6" s="4"/>
      <c r="IE6" s="4"/>
      <c r="IF6" s="4"/>
      <c r="IH6" s="4"/>
      <c r="II6" s="4"/>
      <c r="IK6" s="4"/>
      <c r="IL6" s="4"/>
      <c r="IN6" s="4"/>
      <c r="IO6" s="4"/>
      <c r="IQ6" s="4"/>
      <c r="IR6" s="4"/>
      <c r="IT6" s="4"/>
      <c r="IU6" s="4"/>
    </row>
    <row r="7" spans="1:255" ht="12" x14ac:dyDescent="0.2">
      <c r="A7" s="8"/>
      <c r="B7" s="453" t="s">
        <v>461</v>
      </c>
      <c r="C7" s="4"/>
      <c r="D7" s="236"/>
      <c r="G7" s="3"/>
    </row>
    <row r="8" spans="1:255" ht="12" x14ac:dyDescent="0.2">
      <c r="A8" s="4"/>
      <c r="B8" s="453" t="s">
        <v>311</v>
      </c>
      <c r="C8" s="4"/>
      <c r="D8" s="236"/>
      <c r="G8" s="3"/>
    </row>
    <row r="9" spans="1:255" ht="12" x14ac:dyDescent="0.2">
      <c r="A9" s="4"/>
      <c r="B9" s="453" t="s">
        <v>462</v>
      </c>
      <c r="C9" s="4"/>
      <c r="D9" s="236"/>
      <c r="E9" s="4"/>
    </row>
    <row r="10" spans="1:255" ht="12" x14ac:dyDescent="0.2">
      <c r="A10" s="4"/>
      <c r="B10" s="453" t="s">
        <v>64</v>
      </c>
      <c r="C10" s="4"/>
      <c r="D10" s="236"/>
      <c r="E10" s="4"/>
    </row>
    <row r="11" spans="1:255" ht="12" x14ac:dyDescent="0.2">
      <c r="A11" s="4"/>
      <c r="B11" s="453" t="s">
        <v>963</v>
      </c>
      <c r="C11" s="4"/>
      <c r="D11" s="236"/>
      <c r="E11" s="4"/>
    </row>
    <row r="12" spans="1:255" ht="12" x14ac:dyDescent="0.2">
      <c r="A12" s="4"/>
      <c r="B12" s="453" t="s">
        <v>465</v>
      </c>
      <c r="C12" s="4"/>
      <c r="D12" s="236"/>
      <c r="E12" s="4"/>
    </row>
    <row r="13" spans="1:255" ht="12" x14ac:dyDescent="0.2">
      <c r="A13" s="4"/>
      <c r="B13" s="453" t="s">
        <v>379</v>
      </c>
      <c r="C13" s="4"/>
      <c r="D13" s="236"/>
      <c r="E13" s="4"/>
    </row>
    <row r="14" spans="1:255" ht="12" x14ac:dyDescent="0.2">
      <c r="A14" s="4"/>
      <c r="B14" s="453" t="s">
        <v>380</v>
      </c>
      <c r="C14" s="4"/>
      <c r="D14" s="236"/>
      <c r="E14" s="4"/>
    </row>
    <row r="15" spans="1:255" ht="12" x14ac:dyDescent="0.2">
      <c r="A15" s="4"/>
      <c r="B15" s="453" t="s">
        <v>61</v>
      </c>
      <c r="C15" s="4"/>
      <c r="D15" s="236"/>
      <c r="E15" s="4"/>
    </row>
    <row r="16" spans="1:255" ht="12" x14ac:dyDescent="0.2">
      <c r="A16" s="4"/>
      <c r="B16" s="453" t="s">
        <v>312</v>
      </c>
      <c r="C16" s="4"/>
      <c r="D16" s="236"/>
      <c r="E16" s="4"/>
    </row>
    <row r="17" spans="1:5" ht="12" x14ac:dyDescent="0.2">
      <c r="A17" s="4"/>
      <c r="B17" s="453" t="s">
        <v>376</v>
      </c>
      <c r="C17" s="4"/>
      <c r="D17" s="236"/>
      <c r="E17" s="4"/>
    </row>
    <row r="18" spans="1:5" ht="12" x14ac:dyDescent="0.2">
      <c r="A18" s="4"/>
      <c r="B18" s="453" t="s">
        <v>178</v>
      </c>
      <c r="C18" s="4"/>
      <c r="D18" s="236"/>
      <c r="E18" s="4"/>
    </row>
    <row r="19" spans="1:5" ht="12" x14ac:dyDescent="0.2">
      <c r="A19" s="4"/>
      <c r="B19" s="453" t="s">
        <v>4</v>
      </c>
      <c r="C19" s="4"/>
      <c r="D19" s="236"/>
      <c r="E19" s="4"/>
    </row>
    <row r="20" spans="1:5" ht="12" x14ac:dyDescent="0.2">
      <c r="A20" s="4"/>
      <c r="B20" s="453" t="s">
        <v>65</v>
      </c>
      <c r="C20" s="4"/>
      <c r="D20" s="236"/>
      <c r="E20" s="4"/>
    </row>
    <row r="21" spans="1:5" ht="12" x14ac:dyDescent="0.2">
      <c r="A21" s="4"/>
      <c r="B21" s="453" t="s">
        <v>341</v>
      </c>
      <c r="C21" s="4"/>
      <c r="D21" s="236"/>
      <c r="E21" s="4"/>
    </row>
    <row r="22" spans="1:5" ht="12" x14ac:dyDescent="0.2">
      <c r="A22" s="4"/>
      <c r="B22" s="453" t="s">
        <v>423</v>
      </c>
      <c r="C22" s="4"/>
      <c r="D22" s="236"/>
      <c r="E22" s="4"/>
    </row>
    <row r="23" spans="1:5" ht="12" x14ac:dyDescent="0.2">
      <c r="A23" s="4"/>
      <c r="B23" s="453" t="s">
        <v>389</v>
      </c>
      <c r="C23" s="4"/>
      <c r="D23" s="236"/>
      <c r="E23" s="4"/>
    </row>
    <row r="24" spans="1:5" ht="12" x14ac:dyDescent="0.2">
      <c r="A24" s="4"/>
      <c r="B24" s="453" t="s">
        <v>179</v>
      </c>
      <c r="C24" s="4"/>
      <c r="D24" s="236"/>
      <c r="E24" s="4"/>
    </row>
    <row r="25" spans="1:5" ht="12" x14ac:dyDescent="0.2">
      <c r="A25" s="4"/>
      <c r="B25" s="453" t="s">
        <v>424</v>
      </c>
      <c r="C25" s="4"/>
      <c r="D25" s="236"/>
      <c r="E25" s="4"/>
    </row>
    <row r="26" spans="1:5" ht="12" x14ac:dyDescent="0.2">
      <c r="A26" s="4"/>
      <c r="B26" s="455" t="s">
        <v>455</v>
      </c>
      <c r="C26" s="4"/>
      <c r="D26" s="236"/>
      <c r="E26" s="4"/>
    </row>
    <row r="27" spans="1:5" ht="12" x14ac:dyDescent="0.2">
      <c r="A27" s="4"/>
      <c r="B27" s="453" t="s">
        <v>909</v>
      </c>
      <c r="C27" s="4"/>
      <c r="D27" s="236"/>
      <c r="E27" s="4"/>
    </row>
    <row r="28" spans="1:5" ht="12" x14ac:dyDescent="0.2">
      <c r="A28" s="4"/>
      <c r="B28" s="453" t="s">
        <v>313</v>
      </c>
      <c r="C28" s="4"/>
      <c r="D28" s="236"/>
      <c r="E28" s="4"/>
    </row>
    <row r="29" spans="1:5" ht="12" x14ac:dyDescent="0.2">
      <c r="A29" s="4"/>
      <c r="B29" s="453" t="s">
        <v>381</v>
      </c>
      <c r="C29" s="4"/>
      <c r="D29" s="236"/>
      <c r="E29" s="4"/>
    </row>
    <row r="30" spans="1:5" ht="12" x14ac:dyDescent="0.2">
      <c r="A30" s="4"/>
      <c r="B30" s="453" t="s">
        <v>342</v>
      </c>
      <c r="C30" s="4"/>
      <c r="D30" s="236"/>
      <c r="E30" s="4"/>
    </row>
    <row r="31" spans="1:5" ht="12" x14ac:dyDescent="0.2">
      <c r="A31" s="2"/>
      <c r="B31" s="453" t="s">
        <v>343</v>
      </c>
      <c r="C31" s="4"/>
      <c r="D31" s="236"/>
      <c r="E31" s="4"/>
    </row>
    <row r="32" spans="1:5" ht="12" x14ac:dyDescent="0.2">
      <c r="A32" s="4"/>
      <c r="B32" s="453" t="s">
        <v>463</v>
      </c>
      <c r="C32" s="4"/>
      <c r="D32" s="236"/>
      <c r="E32" s="2"/>
    </row>
    <row r="33" spans="1:5" ht="12" x14ac:dyDescent="0.2">
      <c r="A33" s="4"/>
      <c r="B33" s="453" t="s">
        <v>141</v>
      </c>
      <c r="C33" s="4"/>
      <c r="D33" s="236"/>
      <c r="E33" s="4"/>
    </row>
    <row r="34" spans="1:5" ht="12" x14ac:dyDescent="0.2">
      <c r="A34" s="4"/>
      <c r="B34" s="453" t="s">
        <v>384</v>
      </c>
      <c r="C34" s="4"/>
      <c r="D34" s="236"/>
      <c r="E34" s="4"/>
    </row>
    <row r="35" spans="1:5" ht="12" x14ac:dyDescent="0.2">
      <c r="A35" s="4"/>
      <c r="B35" s="453" t="s">
        <v>344</v>
      </c>
      <c r="C35" s="4"/>
      <c r="D35" s="236"/>
    </row>
    <row r="36" spans="1:5" ht="12" x14ac:dyDescent="0.2">
      <c r="A36" s="4"/>
      <c r="B36" s="453" t="s">
        <v>180</v>
      </c>
      <c r="C36" s="4"/>
      <c r="D36" s="236"/>
    </row>
    <row r="37" spans="1:5" ht="12" x14ac:dyDescent="0.2">
      <c r="A37" s="4"/>
      <c r="B37" s="453" t="s">
        <v>181</v>
      </c>
      <c r="C37" s="4"/>
      <c r="D37" s="236"/>
    </row>
    <row r="38" spans="1:5" ht="12" x14ac:dyDescent="0.2">
      <c r="A38" s="4"/>
      <c r="B38" s="453" t="s">
        <v>345</v>
      </c>
      <c r="C38" s="4"/>
      <c r="D38" s="236"/>
    </row>
    <row r="39" spans="1:5" ht="12" x14ac:dyDescent="0.2">
      <c r="A39" s="4"/>
      <c r="B39" s="453" t="s">
        <v>383</v>
      </c>
      <c r="C39" s="4"/>
      <c r="D39" s="236"/>
    </row>
    <row r="40" spans="1:5" ht="12" x14ac:dyDescent="0.2">
      <c r="A40" s="4"/>
      <c r="B40" s="453" t="s">
        <v>346</v>
      </c>
      <c r="C40" s="4"/>
      <c r="D40" s="236"/>
    </row>
    <row r="41" spans="1:5" ht="12" x14ac:dyDescent="0.2">
      <c r="A41" s="4"/>
      <c r="B41" s="456" t="s">
        <v>382</v>
      </c>
      <c r="C41" s="4"/>
      <c r="D41" s="236"/>
    </row>
    <row r="42" spans="1:5" ht="12" x14ac:dyDescent="0.2">
      <c r="A42" s="4"/>
      <c r="B42" s="456" t="s">
        <v>377</v>
      </c>
      <c r="C42" s="4"/>
      <c r="D42" s="236"/>
    </row>
    <row r="43" spans="1:5" ht="12" x14ac:dyDescent="0.2">
      <c r="A43" s="4"/>
      <c r="B43" s="456" t="s">
        <v>385</v>
      </c>
      <c r="C43" s="4"/>
      <c r="D43" s="236"/>
    </row>
    <row r="44" spans="1:5" ht="12" x14ac:dyDescent="0.2">
      <c r="A44" s="4"/>
      <c r="B44" s="453" t="s">
        <v>466</v>
      </c>
      <c r="C44" s="4"/>
      <c r="D44" s="236"/>
    </row>
    <row r="45" spans="1:5" ht="12" x14ac:dyDescent="0.2">
      <c r="A45" s="4"/>
      <c r="B45" s="453" t="s">
        <v>386</v>
      </c>
      <c r="C45" s="4"/>
      <c r="D45" s="236"/>
    </row>
    <row r="46" spans="1:5" ht="12" x14ac:dyDescent="0.2">
      <c r="A46" s="4"/>
      <c r="B46" s="455" t="s">
        <v>387</v>
      </c>
      <c r="C46" s="4"/>
      <c r="D46" s="236"/>
    </row>
    <row r="47" spans="1:5" ht="12" x14ac:dyDescent="0.2">
      <c r="A47" s="4"/>
      <c r="B47" s="455" t="s">
        <v>347</v>
      </c>
      <c r="C47" s="4"/>
      <c r="D47" s="236"/>
    </row>
    <row r="48" spans="1:5" ht="12" x14ac:dyDescent="0.2">
      <c r="A48" s="4"/>
      <c r="B48" s="455" t="s">
        <v>388</v>
      </c>
      <c r="C48" s="4"/>
      <c r="D48" s="236"/>
    </row>
    <row r="49" spans="1:4" ht="12" x14ac:dyDescent="0.2">
      <c r="A49" s="4"/>
      <c r="B49" s="455" t="s">
        <v>464</v>
      </c>
      <c r="C49" s="4"/>
      <c r="D49" s="236"/>
    </row>
    <row r="50" spans="1:4" ht="12" x14ac:dyDescent="0.2">
      <c r="A50" s="4"/>
      <c r="B50" s="455" t="s">
        <v>425</v>
      </c>
      <c r="C50" s="4"/>
      <c r="D50" s="236"/>
    </row>
    <row r="51" spans="1:4" ht="12" x14ac:dyDescent="0.2">
      <c r="A51" s="4"/>
      <c r="B51" s="455" t="s">
        <v>348</v>
      </c>
      <c r="C51" s="4"/>
      <c r="D51" s="236"/>
    </row>
    <row r="52" spans="1:4" ht="12" x14ac:dyDescent="0.2">
      <c r="A52" s="4"/>
      <c r="B52" s="455" t="s">
        <v>944</v>
      </c>
      <c r="C52" s="4"/>
      <c r="D52" s="236"/>
    </row>
    <row r="53" spans="1:4" ht="12" x14ac:dyDescent="0.2">
      <c r="A53" s="4"/>
      <c r="B53" s="455" t="s">
        <v>946</v>
      </c>
      <c r="C53" s="4"/>
      <c r="D53" s="236"/>
    </row>
    <row r="54" spans="1:4" x14ac:dyDescent="0.2">
      <c r="A54" s="4"/>
      <c r="B54" s="8"/>
      <c r="C54" s="4"/>
      <c r="D54" s="236"/>
    </row>
    <row r="55" spans="1:4" x14ac:dyDescent="0.2">
      <c r="A55" s="4"/>
      <c r="B55" s="8"/>
      <c r="C55" s="4"/>
      <c r="D55" s="236"/>
    </row>
    <row r="56" spans="1:4" x14ac:dyDescent="0.2">
      <c r="A56" s="4"/>
      <c r="B56" s="8"/>
      <c r="C56" s="4"/>
      <c r="D56" s="236"/>
    </row>
    <row r="57" spans="1:4" x14ac:dyDescent="0.2">
      <c r="A57" s="4"/>
      <c r="B57" s="8"/>
      <c r="C57" s="4"/>
      <c r="D57" s="236"/>
    </row>
    <row r="58" spans="1:4" x14ac:dyDescent="0.2">
      <c r="A58" s="4"/>
      <c r="B58" s="8"/>
      <c r="C58" s="4"/>
      <c r="D58" s="236"/>
    </row>
    <row r="59" spans="1:4" x14ac:dyDescent="0.2">
      <c r="A59" s="4"/>
      <c r="B59" s="8"/>
      <c r="C59" s="4"/>
      <c r="D59" s="236"/>
    </row>
    <row r="60" spans="1:4" x14ac:dyDescent="0.2">
      <c r="A60" s="4"/>
      <c r="B60" s="8"/>
      <c r="C60" s="4"/>
      <c r="D60" s="236"/>
    </row>
    <row r="61" spans="1:4" x14ac:dyDescent="0.2">
      <c r="A61" s="4"/>
      <c r="B61" s="8"/>
      <c r="C61" s="4"/>
      <c r="D61" s="236"/>
    </row>
    <row r="62" spans="1:4" x14ac:dyDescent="0.2">
      <c r="A62" s="4"/>
      <c r="B62" s="8"/>
      <c r="C62" s="4"/>
      <c r="D62" s="236"/>
    </row>
    <row r="63" spans="1:4" x14ac:dyDescent="0.2">
      <c r="A63" s="4"/>
      <c r="B63" s="8"/>
      <c r="C63" s="4"/>
      <c r="D63" s="236"/>
    </row>
    <row r="64" spans="1:4" x14ac:dyDescent="0.2">
      <c r="A64" s="4"/>
      <c r="B64" s="87"/>
      <c r="C64" s="4"/>
      <c r="D64" s="236"/>
    </row>
    <row r="65" spans="1:27" x14ac:dyDescent="0.2">
      <c r="A65" s="4"/>
      <c r="B65" s="87"/>
      <c r="C65" s="4"/>
      <c r="D65" s="70"/>
    </row>
    <row r="66" spans="1:27" ht="26.25" customHeight="1" x14ac:dyDescent="0.2">
      <c r="A66" s="4"/>
      <c r="B66" s="4"/>
      <c r="D66" s="70"/>
    </row>
    <row r="67" spans="1:27" x14ac:dyDescent="0.2">
      <c r="A67" s="126" t="s">
        <v>109</v>
      </c>
      <c r="B67" s="127" t="s">
        <v>110</v>
      </c>
      <c r="C67" s="127" t="s">
        <v>111</v>
      </c>
      <c r="D67" s="127" t="s">
        <v>112</v>
      </c>
      <c r="E67" s="127" t="s">
        <v>113</v>
      </c>
      <c r="F67" s="127" t="s">
        <v>114</v>
      </c>
      <c r="G67" s="127" t="s">
        <v>115</v>
      </c>
      <c r="H67" s="127" t="s">
        <v>116</v>
      </c>
      <c r="I67" s="127" t="s">
        <v>117</v>
      </c>
      <c r="J67" s="127" t="s">
        <v>118</v>
      </c>
      <c r="K67" s="127" t="s">
        <v>119</v>
      </c>
      <c r="L67" s="127" t="s">
        <v>120</v>
      </c>
      <c r="M67" s="127" t="s">
        <v>121</v>
      </c>
      <c r="N67" s="127" t="s">
        <v>122</v>
      </c>
      <c r="O67" s="127" t="s">
        <v>123</v>
      </c>
      <c r="P67" s="127" t="s">
        <v>60</v>
      </c>
      <c r="Q67" s="127" t="s">
        <v>124</v>
      </c>
      <c r="R67" s="127" t="s">
        <v>19</v>
      </c>
      <c r="S67" s="128" t="s">
        <v>174</v>
      </c>
      <c r="T67" s="1"/>
      <c r="U67" s="1"/>
      <c r="V67" s="1"/>
      <c r="W67" s="1"/>
      <c r="X67" s="1"/>
      <c r="Y67" s="1"/>
      <c r="Z67" s="1"/>
      <c r="AA67" s="1"/>
    </row>
    <row r="68" spans="1:27" x14ac:dyDescent="0.2">
      <c r="A68" s="129" t="s">
        <v>66</v>
      </c>
      <c r="B68" s="130" t="s">
        <v>145</v>
      </c>
      <c r="C68" s="130" t="s">
        <v>147</v>
      </c>
      <c r="D68" s="130" t="s">
        <v>152</v>
      </c>
      <c r="E68" s="130" t="s">
        <v>154</v>
      </c>
      <c r="F68" s="130" t="s">
        <v>155</v>
      </c>
      <c r="G68" s="130" t="s">
        <v>156</v>
      </c>
      <c r="H68" s="130" t="s">
        <v>158</v>
      </c>
      <c r="I68" s="130" t="s">
        <v>160</v>
      </c>
      <c r="J68" s="130" t="s">
        <v>162</v>
      </c>
      <c r="K68" s="130" t="s">
        <v>166</v>
      </c>
      <c r="L68" s="130" t="s">
        <v>167</v>
      </c>
      <c r="M68" s="130" t="s">
        <v>168</v>
      </c>
      <c r="N68" s="130" t="s">
        <v>86</v>
      </c>
      <c r="O68" s="130" t="s">
        <v>171</v>
      </c>
      <c r="P68" s="130" t="s">
        <v>173</v>
      </c>
      <c r="Q68" s="219" t="s">
        <v>415</v>
      </c>
      <c r="R68" s="130" t="s">
        <v>416</v>
      </c>
      <c r="S68" s="222" t="s">
        <v>422</v>
      </c>
      <c r="T68" s="2"/>
      <c r="U68" s="2"/>
      <c r="V68" s="2"/>
      <c r="W68" s="2"/>
      <c r="X68" s="2"/>
      <c r="Y68" s="2"/>
      <c r="Z68" s="2"/>
      <c r="AA68" s="2"/>
    </row>
    <row r="69" spans="1:27" x14ac:dyDescent="0.2">
      <c r="A69" s="129" t="s">
        <v>68</v>
      </c>
      <c r="B69" s="130" t="s">
        <v>87</v>
      </c>
      <c r="C69" s="130" t="s">
        <v>152</v>
      </c>
      <c r="D69" s="130" t="s">
        <v>153</v>
      </c>
      <c r="E69" s="130" t="s">
        <v>267</v>
      </c>
      <c r="F69" s="130" t="s">
        <v>267</v>
      </c>
      <c r="G69" s="130" t="s">
        <v>157</v>
      </c>
      <c r="H69" s="130" t="s">
        <v>104</v>
      </c>
      <c r="I69" s="130" t="s">
        <v>70</v>
      </c>
      <c r="J69" s="130" t="s">
        <v>67</v>
      </c>
      <c r="K69" s="130" t="s">
        <v>97</v>
      </c>
      <c r="L69" s="130" t="s">
        <v>93</v>
      </c>
      <c r="M69" s="130" t="s">
        <v>169</v>
      </c>
      <c r="N69" s="130" t="s">
        <v>91</v>
      </c>
      <c r="O69" s="130" t="s">
        <v>172</v>
      </c>
      <c r="P69" s="130" t="s">
        <v>62</v>
      </c>
      <c r="Q69" s="130" t="s">
        <v>269</v>
      </c>
      <c r="R69" s="117" t="s">
        <v>269</v>
      </c>
      <c r="S69" s="131" t="s">
        <v>269</v>
      </c>
      <c r="T69" s="2"/>
      <c r="U69" s="2"/>
      <c r="V69" s="2"/>
      <c r="W69" s="2"/>
      <c r="X69" s="2"/>
    </row>
    <row r="70" spans="1:27" x14ac:dyDescent="0.2">
      <c r="A70" s="129" t="s">
        <v>69</v>
      </c>
      <c r="B70" s="130" t="s">
        <v>88</v>
      </c>
      <c r="C70" s="130" t="s">
        <v>148</v>
      </c>
      <c r="D70" s="130" t="s">
        <v>142</v>
      </c>
      <c r="E70" s="130" t="s">
        <v>269</v>
      </c>
      <c r="F70" s="130" t="s">
        <v>269</v>
      </c>
      <c r="G70" s="130" t="s">
        <v>85</v>
      </c>
      <c r="H70" s="130" t="s">
        <v>105</v>
      </c>
      <c r="I70" s="130" t="s">
        <v>161</v>
      </c>
      <c r="J70" s="130" t="s">
        <v>163</v>
      </c>
      <c r="K70" s="130" t="s">
        <v>103</v>
      </c>
      <c r="L70" s="130" t="s">
        <v>267</v>
      </c>
      <c r="M70" s="130" t="s">
        <v>98</v>
      </c>
      <c r="N70" s="130" t="s">
        <v>99</v>
      </c>
      <c r="O70" s="130" t="s">
        <v>96</v>
      </c>
      <c r="P70" s="130" t="s">
        <v>89</v>
      </c>
      <c r="Q70" s="117"/>
      <c r="R70" s="117"/>
      <c r="S70" s="132"/>
      <c r="T70" s="2"/>
      <c r="U70" s="2"/>
      <c r="V70" s="2"/>
      <c r="W70" s="2"/>
      <c r="X70" s="2"/>
    </row>
    <row r="71" spans="1:27" x14ac:dyDescent="0.2">
      <c r="A71" s="129" t="s">
        <v>143</v>
      </c>
      <c r="B71" s="130" t="s">
        <v>101</v>
      </c>
      <c r="C71" s="130" t="s">
        <v>149</v>
      </c>
      <c r="D71" s="130" t="s">
        <v>267</v>
      </c>
      <c r="E71" s="130" t="s">
        <v>268</v>
      </c>
      <c r="F71" s="130" t="s">
        <v>268</v>
      </c>
      <c r="G71" s="130" t="s">
        <v>95</v>
      </c>
      <c r="H71" s="130" t="s">
        <v>159</v>
      </c>
      <c r="I71" s="130" t="s">
        <v>90</v>
      </c>
      <c r="J71" s="130" t="s">
        <v>164</v>
      </c>
      <c r="K71" s="130" t="s">
        <v>267</v>
      </c>
      <c r="L71" s="130" t="s">
        <v>269</v>
      </c>
      <c r="M71" s="130" t="s">
        <v>349</v>
      </c>
      <c r="N71" s="130" t="s">
        <v>142</v>
      </c>
      <c r="O71" s="130" t="s">
        <v>267</v>
      </c>
      <c r="P71" s="130" t="s">
        <v>94</v>
      </c>
      <c r="Q71" s="117"/>
      <c r="R71" s="117"/>
      <c r="S71" s="132"/>
      <c r="T71" s="2"/>
      <c r="U71" s="2"/>
      <c r="V71" s="2"/>
      <c r="W71" s="2"/>
      <c r="X71" s="2"/>
    </row>
    <row r="72" spans="1:27" x14ac:dyDescent="0.2">
      <c r="A72" s="129" t="s">
        <v>144</v>
      </c>
      <c r="B72" s="130" t="s">
        <v>146</v>
      </c>
      <c r="C72" s="130" t="s">
        <v>150</v>
      </c>
      <c r="D72" s="130" t="s">
        <v>269</v>
      </c>
      <c r="E72" s="130"/>
      <c r="F72" s="130"/>
      <c r="G72" s="130" t="s">
        <v>100</v>
      </c>
      <c r="H72" s="130" t="s">
        <v>142</v>
      </c>
      <c r="I72" s="130" t="s">
        <v>92</v>
      </c>
      <c r="J72" s="130" t="s">
        <v>165</v>
      </c>
      <c r="K72" s="130" t="s">
        <v>269</v>
      </c>
      <c r="L72" s="130" t="s">
        <v>268</v>
      </c>
      <c r="M72" s="130" t="s">
        <v>170</v>
      </c>
      <c r="N72" s="117" t="s">
        <v>267</v>
      </c>
      <c r="O72" s="130" t="s">
        <v>269</v>
      </c>
      <c r="P72" s="130" t="s">
        <v>107</v>
      </c>
      <c r="Q72" s="117"/>
      <c r="R72" s="117"/>
      <c r="S72" s="132"/>
      <c r="T72" s="2"/>
      <c r="U72" s="2"/>
      <c r="V72" s="2"/>
      <c r="W72" s="2"/>
      <c r="X72" s="2"/>
    </row>
    <row r="73" spans="1:27" x14ac:dyDescent="0.2">
      <c r="A73" s="129" t="s">
        <v>71</v>
      </c>
      <c r="B73" s="130" t="s">
        <v>102</v>
      </c>
      <c r="C73" s="130" t="s">
        <v>151</v>
      </c>
      <c r="D73" s="130" t="s">
        <v>268</v>
      </c>
      <c r="E73" s="117"/>
      <c r="F73" s="117"/>
      <c r="G73" s="130" t="s">
        <v>267</v>
      </c>
      <c r="H73" s="130" t="s">
        <v>267</v>
      </c>
      <c r="I73" s="130" t="s">
        <v>350</v>
      </c>
      <c r="J73" s="130" t="s">
        <v>76</v>
      </c>
      <c r="K73" s="130" t="s">
        <v>268</v>
      </c>
      <c r="L73" s="130"/>
      <c r="M73" s="130" t="s">
        <v>142</v>
      </c>
      <c r="N73" s="117" t="s">
        <v>269</v>
      </c>
      <c r="O73" s="130" t="s">
        <v>268</v>
      </c>
      <c r="P73" s="130" t="s">
        <v>106</v>
      </c>
      <c r="Q73" s="117"/>
      <c r="R73" s="117"/>
      <c r="S73" s="132"/>
      <c r="T73" s="2"/>
      <c r="U73" s="2"/>
      <c r="V73" s="2"/>
      <c r="W73" s="2"/>
      <c r="X73" s="2"/>
    </row>
    <row r="74" spans="1:27" x14ac:dyDescent="0.2">
      <c r="A74" s="129" t="s">
        <v>72</v>
      </c>
      <c r="B74" s="130" t="s">
        <v>108</v>
      </c>
      <c r="C74" s="130" t="s">
        <v>142</v>
      </c>
      <c r="D74" s="117"/>
      <c r="E74" s="117"/>
      <c r="F74" s="117"/>
      <c r="G74" s="130" t="s">
        <v>269</v>
      </c>
      <c r="H74" s="130" t="s">
        <v>269</v>
      </c>
      <c r="I74" s="130" t="s">
        <v>267</v>
      </c>
      <c r="J74" s="130" t="s">
        <v>267</v>
      </c>
      <c r="K74" s="130"/>
      <c r="L74" s="117"/>
      <c r="M74" s="130" t="s">
        <v>267</v>
      </c>
      <c r="N74" s="117" t="s">
        <v>268</v>
      </c>
      <c r="O74" s="130"/>
      <c r="P74" s="130" t="s">
        <v>142</v>
      </c>
      <c r="Q74" s="117"/>
      <c r="R74" s="117"/>
      <c r="S74" s="132"/>
      <c r="U74" s="2"/>
      <c r="V74" s="2"/>
      <c r="W74" s="2"/>
      <c r="X74" s="2"/>
    </row>
    <row r="75" spans="1:27" x14ac:dyDescent="0.2">
      <c r="A75" s="129" t="s">
        <v>73</v>
      </c>
      <c r="B75" s="130" t="s">
        <v>267</v>
      </c>
      <c r="C75" s="130" t="s">
        <v>267</v>
      </c>
      <c r="D75" s="117"/>
      <c r="E75" s="117"/>
      <c r="F75" s="117"/>
      <c r="G75" s="130" t="s">
        <v>268</v>
      </c>
      <c r="H75" s="130" t="s">
        <v>268</v>
      </c>
      <c r="I75" s="130" t="s">
        <v>269</v>
      </c>
      <c r="J75" s="130" t="s">
        <v>269</v>
      </c>
      <c r="K75" s="117"/>
      <c r="L75" s="117"/>
      <c r="M75" s="130" t="s">
        <v>269</v>
      </c>
      <c r="N75" s="117"/>
      <c r="O75" s="117"/>
      <c r="P75" s="130" t="s">
        <v>267</v>
      </c>
      <c r="Q75" s="117"/>
      <c r="R75" s="117"/>
      <c r="S75" s="132"/>
      <c r="U75" s="2"/>
      <c r="V75" s="2"/>
      <c r="X75" s="2"/>
    </row>
    <row r="76" spans="1:27" x14ac:dyDescent="0.2">
      <c r="A76" s="129" t="s">
        <v>74</v>
      </c>
      <c r="B76" s="130" t="s">
        <v>269</v>
      </c>
      <c r="C76" s="130" t="s">
        <v>269</v>
      </c>
      <c r="D76" s="117"/>
      <c r="E76" s="117"/>
      <c r="F76" s="117"/>
      <c r="G76" s="130"/>
      <c r="H76" s="117"/>
      <c r="I76" s="130" t="s">
        <v>268</v>
      </c>
      <c r="J76" s="130" t="s">
        <v>268</v>
      </c>
      <c r="K76" s="117"/>
      <c r="L76" s="117"/>
      <c r="M76" s="117" t="s">
        <v>268</v>
      </c>
      <c r="N76" s="130"/>
      <c r="O76" s="130"/>
      <c r="P76" s="130" t="s">
        <v>269</v>
      </c>
      <c r="Q76" s="117"/>
      <c r="R76" s="117"/>
      <c r="S76" s="132"/>
      <c r="V76" s="2"/>
      <c r="W76" s="2"/>
      <c r="X76" s="2"/>
    </row>
    <row r="77" spans="1:27" x14ac:dyDescent="0.2">
      <c r="A77" s="129" t="s">
        <v>75</v>
      </c>
      <c r="B77" s="130" t="s">
        <v>268</v>
      </c>
      <c r="C77" s="130" t="s">
        <v>268</v>
      </c>
      <c r="D77" s="117"/>
      <c r="E77" s="117"/>
      <c r="F77" s="117"/>
      <c r="G77" s="117"/>
      <c r="H77" s="117"/>
      <c r="I77" s="117"/>
      <c r="J77" s="130"/>
      <c r="K77" s="117"/>
      <c r="L77" s="117"/>
      <c r="M77" s="117"/>
      <c r="N77" s="117"/>
      <c r="O77" s="117"/>
      <c r="P77" s="130" t="s">
        <v>268</v>
      </c>
      <c r="Q77" s="117"/>
      <c r="R77" s="117"/>
      <c r="S77" s="132"/>
    </row>
    <row r="78" spans="1:27" x14ac:dyDescent="0.2">
      <c r="A78" s="129" t="s">
        <v>77</v>
      </c>
      <c r="B78" s="130"/>
      <c r="C78" s="117"/>
      <c r="D78" s="117"/>
      <c r="E78" s="117"/>
      <c r="F78" s="117"/>
      <c r="G78" s="117"/>
      <c r="H78" s="117"/>
      <c r="I78" s="117"/>
      <c r="J78" s="117"/>
      <c r="K78" s="117"/>
      <c r="L78" s="117"/>
      <c r="M78" s="117"/>
      <c r="N78" s="117"/>
      <c r="O78" s="117"/>
      <c r="P78" s="117"/>
      <c r="Q78" s="117"/>
      <c r="R78" s="117"/>
      <c r="S78" s="132"/>
    </row>
    <row r="79" spans="1:27" x14ac:dyDescent="0.2">
      <c r="A79" s="129" t="s">
        <v>78</v>
      </c>
      <c r="B79" s="117"/>
      <c r="C79" s="117"/>
      <c r="D79" s="117"/>
      <c r="E79" s="117"/>
      <c r="F79" s="117"/>
      <c r="G79" s="117"/>
      <c r="H79" s="117"/>
      <c r="I79" s="117"/>
      <c r="J79" s="117"/>
      <c r="K79" s="117"/>
      <c r="L79" s="117"/>
      <c r="M79" s="117"/>
      <c r="N79" s="117"/>
      <c r="O79" s="117"/>
      <c r="P79" s="117"/>
      <c r="Q79" s="117"/>
      <c r="R79" s="117"/>
      <c r="S79" s="132"/>
    </row>
    <row r="80" spans="1:27" x14ac:dyDescent="0.2">
      <c r="A80" s="129" t="s">
        <v>79</v>
      </c>
      <c r="B80" s="117"/>
      <c r="C80" s="117"/>
      <c r="D80" s="117"/>
      <c r="E80" s="117"/>
      <c r="F80" s="117"/>
      <c r="G80" s="117"/>
      <c r="H80" s="117"/>
      <c r="I80" s="117"/>
      <c r="J80" s="117"/>
      <c r="K80" s="117"/>
      <c r="L80" s="117"/>
      <c r="M80" s="117"/>
      <c r="N80" s="117"/>
      <c r="O80" s="117"/>
      <c r="P80" s="117"/>
      <c r="Q80" s="117"/>
      <c r="R80" s="117"/>
      <c r="S80" s="132"/>
    </row>
    <row r="81" spans="1:19" x14ac:dyDescent="0.2">
      <c r="A81" s="129" t="s">
        <v>80</v>
      </c>
      <c r="B81" s="117"/>
      <c r="C81" s="117"/>
      <c r="D81" s="117"/>
      <c r="E81" s="117"/>
      <c r="F81" s="117"/>
      <c r="G81" s="117"/>
      <c r="H81" s="117"/>
      <c r="I81" s="117"/>
      <c r="J81" s="117"/>
      <c r="K81" s="117"/>
      <c r="L81" s="117"/>
      <c r="M81" s="117"/>
      <c r="N81" s="117"/>
      <c r="O81" s="117"/>
      <c r="P81" s="117"/>
      <c r="Q81" s="117"/>
      <c r="R81" s="117"/>
      <c r="S81" s="132"/>
    </row>
    <row r="82" spans="1:19" x14ac:dyDescent="0.2">
      <c r="A82" s="129" t="s">
        <v>81</v>
      </c>
      <c r="B82" s="117"/>
      <c r="C82" s="117"/>
      <c r="D82" s="117"/>
      <c r="E82" s="117"/>
      <c r="F82" s="117"/>
      <c r="G82" s="117"/>
      <c r="H82" s="117"/>
      <c r="I82" s="117"/>
      <c r="J82" s="117"/>
      <c r="K82" s="117"/>
      <c r="L82" s="117"/>
      <c r="M82" s="117"/>
      <c r="N82" s="117"/>
      <c r="O82" s="117"/>
      <c r="P82" s="117"/>
      <c r="Q82" s="117"/>
      <c r="R82" s="117"/>
      <c r="S82" s="132"/>
    </row>
    <row r="83" spans="1:19" x14ac:dyDescent="0.2">
      <c r="A83" s="129" t="s">
        <v>82</v>
      </c>
      <c r="B83" s="117"/>
      <c r="C83" s="117"/>
      <c r="D83" s="117"/>
      <c r="E83" s="117"/>
      <c r="F83" s="117"/>
      <c r="G83" s="117"/>
      <c r="H83" s="117"/>
      <c r="I83" s="117"/>
      <c r="J83" s="117"/>
      <c r="K83" s="117"/>
      <c r="L83" s="117"/>
      <c r="M83" s="117"/>
      <c r="N83" s="117"/>
      <c r="O83" s="117"/>
      <c r="P83" s="117"/>
      <c r="Q83" s="117"/>
      <c r="R83" s="117"/>
      <c r="S83" s="132"/>
    </row>
    <row r="84" spans="1:19" x14ac:dyDescent="0.2">
      <c r="A84" s="129" t="s">
        <v>83</v>
      </c>
      <c r="B84" s="117"/>
      <c r="C84" s="117"/>
      <c r="D84" s="117"/>
      <c r="E84" s="117"/>
      <c r="F84" s="117"/>
      <c r="G84" s="117"/>
      <c r="H84" s="117"/>
      <c r="I84" s="117"/>
      <c r="J84" s="117"/>
      <c r="K84" s="117"/>
      <c r="L84" s="117"/>
      <c r="M84" s="117"/>
      <c r="N84" s="117"/>
      <c r="O84" s="117"/>
      <c r="P84" s="117"/>
      <c r="Q84" s="117"/>
      <c r="R84" s="117"/>
      <c r="S84" s="132"/>
    </row>
    <row r="85" spans="1:19" x14ac:dyDescent="0.2">
      <c r="A85" s="129" t="s">
        <v>84</v>
      </c>
      <c r="B85" s="117"/>
      <c r="C85" s="117"/>
      <c r="D85" s="117"/>
      <c r="E85" s="117"/>
      <c r="F85" s="117"/>
      <c r="G85" s="117"/>
      <c r="H85" s="117"/>
      <c r="I85" s="117"/>
      <c r="J85" s="117"/>
      <c r="K85" s="117"/>
      <c r="L85" s="117"/>
      <c r="M85" s="117"/>
      <c r="N85" s="117"/>
      <c r="O85" s="117"/>
      <c r="P85" s="117"/>
      <c r="Q85" s="117"/>
      <c r="R85" s="117"/>
      <c r="S85" s="132"/>
    </row>
    <row r="86" spans="1:19" x14ac:dyDescent="0.2">
      <c r="A86" s="129" t="s">
        <v>267</v>
      </c>
      <c r="B86" s="117"/>
      <c r="C86" s="117"/>
      <c r="D86" s="117"/>
      <c r="E86" s="117"/>
      <c r="F86" s="117"/>
      <c r="G86" s="117"/>
      <c r="H86" s="117"/>
      <c r="I86" s="117"/>
      <c r="J86" s="117"/>
      <c r="K86" s="117"/>
      <c r="L86" s="117"/>
      <c r="M86" s="117"/>
      <c r="N86" s="117"/>
      <c r="O86" s="117"/>
      <c r="P86" s="117"/>
      <c r="Q86" s="117"/>
      <c r="R86" s="117"/>
      <c r="S86" s="132"/>
    </row>
    <row r="87" spans="1:19" x14ac:dyDescent="0.2">
      <c r="A87" s="129" t="s">
        <v>269</v>
      </c>
      <c r="B87" s="117"/>
      <c r="C87" s="117"/>
      <c r="D87" s="117"/>
      <c r="E87" s="117"/>
      <c r="F87" s="117"/>
      <c r="G87" s="117"/>
      <c r="H87" s="117"/>
      <c r="I87" s="117"/>
      <c r="J87" s="117"/>
      <c r="K87" s="117"/>
      <c r="L87" s="117"/>
      <c r="M87" s="117"/>
      <c r="N87" s="117"/>
      <c r="O87" s="117"/>
      <c r="P87" s="117"/>
      <c r="Q87" s="117"/>
      <c r="R87" s="117"/>
      <c r="S87" s="132"/>
    </row>
    <row r="88" spans="1:19" x14ac:dyDescent="0.2">
      <c r="A88" s="133" t="s">
        <v>268</v>
      </c>
      <c r="B88" s="134"/>
      <c r="C88" s="134"/>
      <c r="D88" s="134"/>
      <c r="E88" s="134"/>
      <c r="F88" s="134"/>
      <c r="G88" s="134"/>
      <c r="H88" s="134"/>
      <c r="I88" s="134"/>
      <c r="J88" s="134"/>
      <c r="K88" s="134"/>
      <c r="L88" s="134"/>
      <c r="M88" s="134"/>
      <c r="N88" s="134"/>
      <c r="O88" s="134"/>
      <c r="P88" s="134"/>
      <c r="Q88" s="134"/>
      <c r="R88" s="134"/>
      <c r="S88" s="135"/>
    </row>
    <row r="89" spans="1:19" x14ac:dyDescent="0.2">
      <c r="A89" s="4"/>
      <c r="B89" s="2"/>
      <c r="C89" s="2"/>
      <c r="D89" s="70"/>
      <c r="E89" s="2"/>
      <c r="F89" s="2"/>
      <c r="I89" s="8"/>
      <c r="J89" s="8"/>
      <c r="K89" s="8"/>
      <c r="L89" s="8"/>
      <c r="M89" s="8"/>
      <c r="N89" s="8"/>
      <c r="O89" s="8"/>
      <c r="P89" s="8"/>
      <c r="Q89" s="8"/>
    </row>
    <row r="90" spans="1:19" x14ac:dyDescent="0.2">
      <c r="A90" s="4"/>
      <c r="B90" s="2"/>
      <c r="C90" s="2"/>
      <c r="D90" s="70"/>
      <c r="E90" s="2"/>
      <c r="F90" s="2"/>
      <c r="I90" s="2"/>
      <c r="J90" s="8"/>
      <c r="K90" s="8"/>
      <c r="L90" s="8"/>
      <c r="M90" s="8"/>
      <c r="N90" s="8"/>
      <c r="O90" s="8"/>
      <c r="P90" s="8"/>
      <c r="Q90" s="8"/>
    </row>
    <row r="91" spans="1:19" ht="12" x14ac:dyDescent="0.2">
      <c r="A91" s="247" t="s">
        <v>140</v>
      </c>
      <c r="B91" s="246" t="s">
        <v>437</v>
      </c>
      <c r="D91" s="70"/>
    </row>
    <row r="92" spans="1:19" ht="12" x14ac:dyDescent="0.2">
      <c r="B92" s="246" t="s">
        <v>271</v>
      </c>
      <c r="D92" s="70"/>
    </row>
    <row r="93" spans="1:19" ht="12" x14ac:dyDescent="0.2">
      <c r="B93" s="246" t="s">
        <v>272</v>
      </c>
      <c r="D93" s="70"/>
    </row>
    <row r="94" spans="1:19" ht="12" x14ac:dyDescent="0.2">
      <c r="B94" s="246" t="s">
        <v>273</v>
      </c>
      <c r="D94" s="70"/>
    </row>
    <row r="95" spans="1:19" ht="12" x14ac:dyDescent="0.2">
      <c r="B95" s="246" t="s">
        <v>17</v>
      </c>
      <c r="D95" s="70"/>
    </row>
    <row r="96" spans="1:19" ht="12" customHeight="1" x14ac:dyDescent="0.2">
      <c r="D96" s="70"/>
      <c r="E96" s="8" t="s">
        <v>375</v>
      </c>
      <c r="F96" s="460">
        <v>45644</v>
      </c>
    </row>
    <row r="97" spans="1:11" x14ac:dyDescent="0.2">
      <c r="A97" s="72" t="s">
        <v>58</v>
      </c>
      <c r="B97" s="72" t="s">
        <v>246</v>
      </c>
      <c r="C97" s="72" t="s">
        <v>253</v>
      </c>
      <c r="D97" s="72" t="s">
        <v>254</v>
      </c>
      <c r="E97" s="72" t="s">
        <v>59</v>
      </c>
      <c r="F97" s="72" t="s">
        <v>187</v>
      </c>
      <c r="H97" s="72"/>
      <c r="I97" s="72"/>
      <c r="J97" s="72"/>
      <c r="K97" s="72"/>
    </row>
    <row r="98" spans="1:11" x14ac:dyDescent="0.2">
      <c r="A98" s="36" t="str">
        <f>IF('Basic Data'!C6="","",'Basic Data'!C6)</f>
        <v/>
      </c>
      <c r="B98" s="8" t="str">
        <f>IF($A$98="","",VLOOKUP($A$98,$A$101:$J$101,2,FALSE))</f>
        <v/>
      </c>
      <c r="C98" s="8" t="str">
        <f>IF($A$98="","",VLOOKUP($A$98,$A$101:$J$101,3,FALSE))</f>
        <v/>
      </c>
      <c r="D98" s="8" t="str">
        <f>IF($A$98="","",VLOOKUP($A$98,$A$101:$J$101,4,FALSE))</f>
        <v/>
      </c>
      <c r="E98" s="59" t="str">
        <f>IF($A$98="","",VLOOKUP($A$98,$A$101:$J$101,5,FALSE))</f>
        <v/>
      </c>
      <c r="F98" s="73" t="str">
        <f>IF($A$98="","",VLOOKUP($A$98,$A$101:$J$101,6,FALSE))</f>
        <v/>
      </c>
      <c r="J98" s="73"/>
      <c r="K98" s="73"/>
    </row>
    <row r="100" spans="1:11" x14ac:dyDescent="0.2">
      <c r="A100" s="457" t="s">
        <v>58</v>
      </c>
      <c r="B100" s="457" t="s">
        <v>246</v>
      </c>
      <c r="C100" s="457" t="s">
        <v>253</v>
      </c>
      <c r="D100" s="457" t="s">
        <v>254</v>
      </c>
      <c r="E100" s="457" t="s">
        <v>59</v>
      </c>
      <c r="F100" s="457" t="s">
        <v>187</v>
      </c>
    </row>
    <row r="101" spans="1:11" x14ac:dyDescent="0.2">
      <c r="A101" s="214" t="s">
        <v>944</v>
      </c>
      <c r="B101" s="459" t="s">
        <v>270</v>
      </c>
      <c r="C101" s="459" t="s">
        <v>270</v>
      </c>
      <c r="D101" s="459" t="s">
        <v>270</v>
      </c>
      <c r="E101" s="459" t="s">
        <v>270</v>
      </c>
      <c r="F101" s="458" t="s">
        <v>270</v>
      </c>
    </row>
    <row r="102" spans="1:11" x14ac:dyDescent="0.2">
      <c r="A102" s="8"/>
      <c r="B102" s="461"/>
      <c r="C102" s="461"/>
      <c r="D102" s="461"/>
      <c r="E102" s="461"/>
      <c r="F102" s="462"/>
    </row>
    <row r="103" spans="1:11" x14ac:dyDescent="0.2">
      <c r="A103" s="8"/>
      <c r="B103" s="461"/>
      <c r="C103" s="461"/>
      <c r="D103" s="461"/>
      <c r="E103" s="461"/>
      <c r="F103" s="462"/>
    </row>
    <row r="104" spans="1:11" ht="12" x14ac:dyDescent="0.2">
      <c r="A104" s="463" t="s">
        <v>569</v>
      </c>
      <c r="B104" s="461"/>
      <c r="C104" s="461"/>
      <c r="D104" s="461"/>
      <c r="E104" s="461"/>
      <c r="F104" s="462"/>
    </row>
    <row r="105" spans="1:11" ht="12" x14ac:dyDescent="0.2">
      <c r="A105" s="404" t="s">
        <v>570</v>
      </c>
      <c r="B105" s="461"/>
      <c r="C105" s="461"/>
      <c r="D105" s="461"/>
      <c r="E105" s="461"/>
      <c r="F105" s="462"/>
    </row>
    <row r="106" spans="1:11" ht="12" x14ac:dyDescent="0.2">
      <c r="A106" s="404" t="s">
        <v>571</v>
      </c>
      <c r="B106" s="461"/>
      <c r="C106" s="461"/>
      <c r="D106" s="461"/>
      <c r="E106" s="461"/>
      <c r="F106" s="462"/>
    </row>
    <row r="107" spans="1:11" ht="12" x14ac:dyDescent="0.2">
      <c r="A107" s="404" t="s">
        <v>572</v>
      </c>
      <c r="B107" s="461"/>
      <c r="C107" s="461"/>
      <c r="D107" s="461"/>
      <c r="E107" s="461"/>
      <c r="F107" s="462"/>
    </row>
    <row r="108" spans="1:11" ht="12" x14ac:dyDescent="0.2">
      <c r="A108" s="404" t="s">
        <v>573</v>
      </c>
      <c r="B108" s="461"/>
      <c r="C108" s="461"/>
      <c r="D108" s="461"/>
      <c r="E108" s="461"/>
      <c r="F108" s="462"/>
    </row>
    <row r="109" spans="1:11" ht="12" x14ac:dyDescent="0.2">
      <c r="A109" s="404" t="s">
        <v>574</v>
      </c>
      <c r="B109" s="461"/>
      <c r="C109" s="461"/>
      <c r="D109" s="461"/>
      <c r="E109" s="461"/>
      <c r="F109" s="462"/>
    </row>
    <row r="110" spans="1:11" ht="12" x14ac:dyDescent="0.2">
      <c r="A110" s="404" t="s">
        <v>575</v>
      </c>
      <c r="B110" s="461"/>
      <c r="C110" s="461"/>
      <c r="D110" s="461"/>
      <c r="E110" s="461"/>
      <c r="F110" s="462"/>
    </row>
    <row r="111" spans="1:11" ht="12" x14ac:dyDescent="0.2">
      <c r="A111" s="404" t="s">
        <v>576</v>
      </c>
      <c r="B111" s="461"/>
      <c r="C111" s="461"/>
      <c r="D111" s="461"/>
      <c r="E111" s="461"/>
      <c r="F111" s="462"/>
    </row>
    <row r="112" spans="1:11" ht="12" x14ac:dyDescent="0.2">
      <c r="A112" s="404" t="s">
        <v>577</v>
      </c>
      <c r="B112" s="461"/>
      <c r="C112" s="461"/>
      <c r="D112" s="461"/>
      <c r="E112" s="461"/>
      <c r="F112" s="462"/>
    </row>
    <row r="113" spans="1:6" ht="12" x14ac:dyDescent="0.2">
      <c r="A113" s="404" t="s">
        <v>578</v>
      </c>
      <c r="B113" s="461"/>
      <c r="C113" s="461"/>
      <c r="D113" s="461"/>
      <c r="E113" s="461"/>
      <c r="F113" s="462"/>
    </row>
    <row r="114" spans="1:6" ht="12" x14ac:dyDescent="0.2">
      <c r="A114" s="404" t="s">
        <v>579</v>
      </c>
      <c r="B114" s="461"/>
      <c r="C114" s="461"/>
      <c r="D114" s="461"/>
      <c r="E114" s="461"/>
      <c r="F114" s="462"/>
    </row>
    <row r="115" spans="1:6" ht="12" x14ac:dyDescent="0.2">
      <c r="A115" s="404" t="s">
        <v>580</v>
      </c>
      <c r="B115" s="461"/>
      <c r="C115" s="461"/>
      <c r="D115" s="461"/>
      <c r="E115" s="461"/>
      <c r="F115" s="462"/>
    </row>
    <row r="116" spans="1:6" ht="12" x14ac:dyDescent="0.2">
      <c r="A116" s="404" t="s">
        <v>581</v>
      </c>
      <c r="B116" s="461"/>
      <c r="C116" s="461"/>
      <c r="D116" s="461"/>
      <c r="E116" s="461"/>
      <c r="F116" s="462"/>
    </row>
    <row r="117" spans="1:6" ht="12" x14ac:dyDescent="0.2">
      <c r="A117" s="404" t="s">
        <v>582</v>
      </c>
      <c r="B117" s="461"/>
      <c r="C117" s="461"/>
      <c r="D117" s="461"/>
      <c r="E117" s="461"/>
      <c r="F117" s="462"/>
    </row>
    <row r="118" spans="1:6" ht="12" x14ac:dyDescent="0.2">
      <c r="A118" s="404" t="s">
        <v>583</v>
      </c>
      <c r="B118" s="461"/>
      <c r="C118" s="461"/>
      <c r="D118" s="461"/>
      <c r="E118" s="461"/>
      <c r="F118" s="462"/>
    </row>
    <row r="119" spans="1:6" ht="12" x14ac:dyDescent="0.2">
      <c r="A119" s="404" t="s">
        <v>584</v>
      </c>
      <c r="B119" s="461"/>
      <c r="C119" s="461"/>
      <c r="D119" s="461"/>
      <c r="E119" s="461"/>
      <c r="F119" s="462"/>
    </row>
    <row r="120" spans="1:6" ht="12" x14ac:dyDescent="0.2">
      <c r="A120" s="404" t="s">
        <v>585</v>
      </c>
      <c r="B120" s="461"/>
      <c r="C120" s="461"/>
      <c r="D120" s="461"/>
      <c r="E120" s="461"/>
      <c r="F120" s="462"/>
    </row>
    <row r="121" spans="1:6" ht="12" x14ac:dyDescent="0.2">
      <c r="A121" s="404" t="s">
        <v>586</v>
      </c>
      <c r="B121" s="461"/>
      <c r="C121" s="461"/>
      <c r="D121" s="461"/>
      <c r="E121" s="461"/>
      <c r="F121" s="462"/>
    </row>
    <row r="122" spans="1:6" ht="12" x14ac:dyDescent="0.2">
      <c r="A122" s="404" t="s">
        <v>587</v>
      </c>
      <c r="B122" s="461"/>
      <c r="C122" s="461"/>
      <c r="D122" s="461"/>
      <c r="E122" s="461"/>
      <c r="F122" s="462"/>
    </row>
    <row r="123" spans="1:6" ht="12" x14ac:dyDescent="0.2">
      <c r="A123" s="404" t="s">
        <v>588</v>
      </c>
      <c r="B123" s="461"/>
      <c r="C123" s="461"/>
      <c r="D123" s="461"/>
      <c r="E123" s="461"/>
      <c r="F123" s="462"/>
    </row>
    <row r="124" spans="1:6" ht="12" x14ac:dyDescent="0.2">
      <c r="A124" s="404" t="s">
        <v>589</v>
      </c>
      <c r="B124" s="461"/>
      <c r="C124" s="461"/>
      <c r="D124" s="461"/>
      <c r="E124" s="461"/>
      <c r="F124" s="462"/>
    </row>
    <row r="125" spans="1:6" ht="12" x14ac:dyDescent="0.2">
      <c r="A125" s="404" t="s">
        <v>590</v>
      </c>
      <c r="B125" s="461"/>
      <c r="C125" s="461"/>
      <c r="D125" s="461"/>
      <c r="E125" s="461"/>
      <c r="F125" s="462"/>
    </row>
    <row r="126" spans="1:6" ht="12" x14ac:dyDescent="0.2">
      <c r="A126" s="404" t="s">
        <v>591</v>
      </c>
      <c r="B126" s="461"/>
      <c r="C126" s="461"/>
      <c r="D126" s="461"/>
      <c r="E126" s="461"/>
      <c r="F126" s="462"/>
    </row>
    <row r="127" spans="1:6" ht="12" x14ac:dyDescent="0.2">
      <c r="A127" s="404" t="s">
        <v>592</v>
      </c>
      <c r="B127" s="461"/>
      <c r="C127" s="461"/>
      <c r="D127" s="461"/>
      <c r="E127" s="461"/>
      <c r="F127" s="462"/>
    </row>
    <row r="128" spans="1:6" ht="12" x14ac:dyDescent="0.2">
      <c r="A128" s="404" t="s">
        <v>593</v>
      </c>
      <c r="B128" s="461"/>
      <c r="C128" s="461"/>
      <c r="D128" s="461"/>
      <c r="E128" s="461"/>
      <c r="F128" s="462"/>
    </row>
    <row r="129" spans="1:6" ht="12" x14ac:dyDescent="0.2">
      <c r="A129" s="404" t="s">
        <v>594</v>
      </c>
      <c r="B129" s="461"/>
      <c r="C129" s="461"/>
      <c r="D129" s="461"/>
      <c r="E129" s="461"/>
      <c r="F129" s="462"/>
    </row>
    <row r="130" spans="1:6" ht="12" x14ac:dyDescent="0.2">
      <c r="A130" s="404" t="s">
        <v>595</v>
      </c>
      <c r="B130" s="461"/>
      <c r="C130" s="461"/>
      <c r="D130" s="461"/>
      <c r="E130" s="461"/>
      <c r="F130" s="462"/>
    </row>
    <row r="131" spans="1:6" ht="12" x14ac:dyDescent="0.2">
      <c r="A131" s="404" t="s">
        <v>596</v>
      </c>
      <c r="B131" s="461"/>
      <c r="C131" s="461"/>
      <c r="D131" s="461"/>
      <c r="E131" s="461"/>
      <c r="F131" s="462"/>
    </row>
    <row r="132" spans="1:6" ht="12" x14ac:dyDescent="0.2">
      <c r="A132" s="404" t="s">
        <v>597</v>
      </c>
      <c r="B132" s="461"/>
      <c r="C132" s="461"/>
      <c r="D132" s="461"/>
      <c r="E132" s="461"/>
      <c r="F132" s="462"/>
    </row>
    <row r="133" spans="1:6" ht="12" x14ac:dyDescent="0.2">
      <c r="A133" s="404" t="s">
        <v>598</v>
      </c>
      <c r="B133" s="461"/>
      <c r="C133" s="461"/>
      <c r="D133" s="461"/>
      <c r="E133" s="461"/>
      <c r="F133" s="462"/>
    </row>
    <row r="134" spans="1:6" ht="12" x14ac:dyDescent="0.2">
      <c r="A134" s="404" t="s">
        <v>599</v>
      </c>
      <c r="B134" s="461"/>
      <c r="C134" s="461"/>
      <c r="D134" s="461"/>
      <c r="E134" s="461"/>
      <c r="F134" s="462"/>
    </row>
    <row r="135" spans="1:6" ht="12" x14ac:dyDescent="0.2">
      <c r="A135" s="404" t="s">
        <v>600</v>
      </c>
      <c r="B135" s="461"/>
      <c r="C135" s="461"/>
      <c r="D135" s="461"/>
      <c r="E135" s="461"/>
      <c r="F135" s="462"/>
    </row>
    <row r="136" spans="1:6" ht="12" x14ac:dyDescent="0.2">
      <c r="A136" s="404" t="s">
        <v>601</v>
      </c>
      <c r="B136" s="461"/>
      <c r="C136" s="461"/>
      <c r="D136" s="461"/>
      <c r="E136" s="461"/>
      <c r="F136" s="462"/>
    </row>
    <row r="137" spans="1:6" ht="12" x14ac:dyDescent="0.2">
      <c r="A137" s="404" t="s">
        <v>602</v>
      </c>
      <c r="B137" s="461"/>
      <c r="C137" s="461"/>
      <c r="D137" s="461"/>
      <c r="E137" s="461"/>
      <c r="F137" s="462"/>
    </row>
    <row r="138" spans="1:6" ht="12" x14ac:dyDescent="0.2">
      <c r="A138" s="404" t="s">
        <v>603</v>
      </c>
      <c r="B138" s="461"/>
      <c r="C138" s="461"/>
      <c r="D138" s="461"/>
      <c r="E138" s="461"/>
      <c r="F138" s="462"/>
    </row>
    <row r="139" spans="1:6" ht="12" x14ac:dyDescent="0.2">
      <c r="A139" s="404" t="s">
        <v>604</v>
      </c>
      <c r="B139" s="461"/>
      <c r="C139" s="461"/>
      <c r="D139" s="461"/>
      <c r="E139" s="461"/>
      <c r="F139" s="462"/>
    </row>
    <row r="140" spans="1:6" ht="12" x14ac:dyDescent="0.2">
      <c r="A140" s="404" t="s">
        <v>605</v>
      </c>
      <c r="B140" s="461"/>
      <c r="C140" s="461"/>
      <c r="D140" s="461"/>
      <c r="E140" s="461"/>
      <c r="F140" s="462"/>
    </row>
    <row r="141" spans="1:6" ht="12" x14ac:dyDescent="0.2">
      <c r="A141" s="404" t="s">
        <v>606</v>
      </c>
      <c r="B141" s="461"/>
      <c r="C141" s="461"/>
      <c r="D141" s="461"/>
      <c r="E141" s="461"/>
      <c r="F141" s="462"/>
    </row>
    <row r="142" spans="1:6" ht="12" x14ac:dyDescent="0.2">
      <c r="A142" s="404" t="s">
        <v>607</v>
      </c>
      <c r="B142" s="461"/>
      <c r="C142" s="461"/>
      <c r="D142" s="461"/>
      <c r="E142" s="461"/>
      <c r="F142" s="462"/>
    </row>
    <row r="143" spans="1:6" ht="24" x14ac:dyDescent="0.2">
      <c r="A143" s="404" t="s">
        <v>608</v>
      </c>
      <c r="B143" s="461"/>
      <c r="C143" s="461"/>
      <c r="D143" s="461"/>
      <c r="E143" s="461"/>
      <c r="F143" s="462"/>
    </row>
    <row r="144" spans="1:6" ht="12" x14ac:dyDescent="0.2">
      <c r="A144" s="404" t="s">
        <v>609</v>
      </c>
      <c r="B144" s="461"/>
      <c r="C144" s="461"/>
      <c r="D144" s="461"/>
      <c r="E144" s="461"/>
      <c r="F144" s="462"/>
    </row>
    <row r="145" spans="1:6" ht="12" x14ac:dyDescent="0.2">
      <c r="A145" s="404" t="s">
        <v>610</v>
      </c>
      <c r="B145" s="461"/>
      <c r="C145" s="461"/>
      <c r="D145" s="461"/>
      <c r="E145" s="461"/>
      <c r="F145" s="462"/>
    </row>
    <row r="146" spans="1:6" ht="12" x14ac:dyDescent="0.2">
      <c r="A146" s="404" t="s">
        <v>611</v>
      </c>
      <c r="B146" s="461"/>
      <c r="C146" s="461"/>
      <c r="D146" s="461"/>
      <c r="E146" s="461"/>
      <c r="F146" s="462"/>
    </row>
    <row r="147" spans="1:6" ht="12" x14ac:dyDescent="0.2">
      <c r="A147" s="404" t="s">
        <v>612</v>
      </c>
      <c r="B147" s="461"/>
      <c r="C147" s="461"/>
      <c r="D147" s="461"/>
      <c r="E147" s="461"/>
      <c r="F147" s="462"/>
    </row>
    <row r="148" spans="1:6" ht="12" x14ac:dyDescent="0.2">
      <c r="A148" s="404" t="s">
        <v>613</v>
      </c>
      <c r="B148" s="461"/>
      <c r="C148" s="461"/>
      <c r="D148" s="461"/>
      <c r="E148" s="461"/>
      <c r="F148" s="462"/>
    </row>
    <row r="149" spans="1:6" ht="12" x14ac:dyDescent="0.2">
      <c r="A149" s="404" t="s">
        <v>614</v>
      </c>
    </row>
    <row r="150" spans="1:6" ht="12" x14ac:dyDescent="0.2">
      <c r="A150" s="404" t="s">
        <v>615</v>
      </c>
    </row>
    <row r="151" spans="1:6" ht="12" x14ac:dyDescent="0.2">
      <c r="A151" s="404" t="s">
        <v>616</v>
      </c>
    </row>
    <row r="152" spans="1:6" ht="12" x14ac:dyDescent="0.2">
      <c r="A152" s="404" t="s">
        <v>617</v>
      </c>
    </row>
    <row r="153" spans="1:6" ht="12" x14ac:dyDescent="0.2">
      <c r="A153" s="404" t="s">
        <v>618</v>
      </c>
    </row>
    <row r="154" spans="1:6" ht="12" x14ac:dyDescent="0.2">
      <c r="A154" s="404" t="s">
        <v>619</v>
      </c>
    </row>
    <row r="155" spans="1:6" ht="12" x14ac:dyDescent="0.2">
      <c r="A155" s="404" t="s">
        <v>620</v>
      </c>
    </row>
    <row r="156" spans="1:6" ht="12" x14ac:dyDescent="0.2">
      <c r="A156" s="404" t="s">
        <v>621</v>
      </c>
    </row>
    <row r="157" spans="1:6" ht="12" x14ac:dyDescent="0.2">
      <c r="A157" s="404" t="s">
        <v>622</v>
      </c>
    </row>
    <row r="158" spans="1:6" ht="12" x14ac:dyDescent="0.2">
      <c r="A158" s="404" t="s">
        <v>623</v>
      </c>
    </row>
    <row r="159" spans="1:6" ht="12" x14ac:dyDescent="0.2">
      <c r="A159" s="404" t="s">
        <v>624</v>
      </c>
    </row>
    <row r="160" spans="1:6" ht="12" x14ac:dyDescent="0.2">
      <c r="A160" s="404" t="s">
        <v>625</v>
      </c>
    </row>
    <row r="161" spans="1:1" ht="12" x14ac:dyDescent="0.2">
      <c r="A161" s="404" t="s">
        <v>626</v>
      </c>
    </row>
    <row r="162" spans="1:1" ht="12" x14ac:dyDescent="0.2">
      <c r="A162" s="404" t="s">
        <v>627</v>
      </c>
    </row>
    <row r="163" spans="1:1" ht="12" x14ac:dyDescent="0.2">
      <c r="A163" s="404" t="s">
        <v>628</v>
      </c>
    </row>
    <row r="164" spans="1:1" ht="12" x14ac:dyDescent="0.2">
      <c r="A164" s="404" t="s">
        <v>629</v>
      </c>
    </row>
    <row r="165" spans="1:1" ht="12" x14ac:dyDescent="0.2">
      <c r="A165" s="404" t="s">
        <v>630</v>
      </c>
    </row>
    <row r="166" spans="1:1" ht="12" x14ac:dyDescent="0.2">
      <c r="A166" s="404" t="s">
        <v>631</v>
      </c>
    </row>
    <row r="167" spans="1:1" ht="12" x14ac:dyDescent="0.2">
      <c r="A167" s="404" t="s">
        <v>632</v>
      </c>
    </row>
    <row r="168" spans="1:1" ht="12" x14ac:dyDescent="0.2">
      <c r="A168" s="404" t="s">
        <v>633</v>
      </c>
    </row>
    <row r="169" spans="1:1" ht="12" x14ac:dyDescent="0.2">
      <c r="A169" s="404" t="s">
        <v>634</v>
      </c>
    </row>
    <row r="170" spans="1:1" ht="12" x14ac:dyDescent="0.2">
      <c r="A170" s="404" t="s">
        <v>635</v>
      </c>
    </row>
    <row r="171" spans="1:1" ht="12" x14ac:dyDescent="0.2">
      <c r="A171" s="404" t="s">
        <v>636</v>
      </c>
    </row>
    <row r="172" spans="1:1" ht="12" x14ac:dyDescent="0.2">
      <c r="A172" s="404" t="s">
        <v>637</v>
      </c>
    </row>
    <row r="173" spans="1:1" ht="12" x14ac:dyDescent="0.2">
      <c r="A173" s="404" t="s">
        <v>638</v>
      </c>
    </row>
    <row r="174" spans="1:1" ht="12" x14ac:dyDescent="0.2">
      <c r="A174" s="404" t="s">
        <v>639</v>
      </c>
    </row>
    <row r="175" spans="1:1" ht="12" x14ac:dyDescent="0.2">
      <c r="A175" s="404" t="s">
        <v>640</v>
      </c>
    </row>
    <row r="176" spans="1:1" ht="12" x14ac:dyDescent="0.2">
      <c r="A176" s="404" t="s">
        <v>641</v>
      </c>
    </row>
    <row r="177" spans="1:1" ht="12" x14ac:dyDescent="0.2">
      <c r="A177" s="404" t="s">
        <v>642</v>
      </c>
    </row>
    <row r="178" spans="1:1" ht="12" x14ac:dyDescent="0.2">
      <c r="A178" s="404" t="s">
        <v>643</v>
      </c>
    </row>
    <row r="179" spans="1:1" ht="12" x14ac:dyDescent="0.2">
      <c r="A179" s="404" t="s">
        <v>644</v>
      </c>
    </row>
    <row r="180" spans="1:1" ht="12" x14ac:dyDescent="0.2">
      <c r="A180" s="404" t="s">
        <v>645</v>
      </c>
    </row>
    <row r="181" spans="1:1" ht="12" x14ac:dyDescent="0.2">
      <c r="A181" s="404" t="s">
        <v>646</v>
      </c>
    </row>
    <row r="182" spans="1:1" ht="12" x14ac:dyDescent="0.2">
      <c r="A182" s="404" t="s">
        <v>647</v>
      </c>
    </row>
    <row r="183" spans="1:1" ht="12" x14ac:dyDescent="0.2">
      <c r="A183" s="404" t="s">
        <v>648</v>
      </c>
    </row>
    <row r="184" spans="1:1" ht="12" x14ac:dyDescent="0.2">
      <c r="A184" s="404" t="s">
        <v>649</v>
      </c>
    </row>
    <row r="185" spans="1:1" ht="12" x14ac:dyDescent="0.2">
      <c r="A185" s="404" t="s">
        <v>650</v>
      </c>
    </row>
    <row r="186" spans="1:1" ht="12" x14ac:dyDescent="0.2">
      <c r="A186" s="404" t="s">
        <v>651</v>
      </c>
    </row>
    <row r="187" spans="1:1" ht="12" x14ac:dyDescent="0.2">
      <c r="A187" s="404" t="s">
        <v>652</v>
      </c>
    </row>
    <row r="188" spans="1:1" ht="12" x14ac:dyDescent="0.2">
      <c r="A188" s="404" t="s">
        <v>653</v>
      </c>
    </row>
    <row r="189" spans="1:1" ht="12" x14ac:dyDescent="0.2">
      <c r="A189" s="404" t="s">
        <v>654</v>
      </c>
    </row>
    <row r="190" spans="1:1" ht="12" x14ac:dyDescent="0.2">
      <c r="A190" s="404" t="s">
        <v>655</v>
      </c>
    </row>
    <row r="191" spans="1:1" ht="12" x14ac:dyDescent="0.2">
      <c r="A191" s="404" t="s">
        <v>656</v>
      </c>
    </row>
    <row r="192" spans="1:1" ht="12" x14ac:dyDescent="0.2">
      <c r="A192" s="404" t="s">
        <v>657</v>
      </c>
    </row>
    <row r="193" spans="1:1" ht="12" x14ac:dyDescent="0.2">
      <c r="A193" s="404" t="s">
        <v>658</v>
      </c>
    </row>
    <row r="194" spans="1:1" ht="12" x14ac:dyDescent="0.2">
      <c r="A194" s="404" t="s">
        <v>659</v>
      </c>
    </row>
    <row r="195" spans="1:1" ht="12" x14ac:dyDescent="0.2">
      <c r="A195" s="404" t="s">
        <v>660</v>
      </c>
    </row>
    <row r="196" spans="1:1" ht="12" x14ac:dyDescent="0.2">
      <c r="A196" s="404" t="s">
        <v>661</v>
      </c>
    </row>
    <row r="197" spans="1:1" ht="12" x14ac:dyDescent="0.2">
      <c r="A197" s="404" t="s">
        <v>662</v>
      </c>
    </row>
    <row r="198" spans="1:1" ht="12" x14ac:dyDescent="0.2">
      <c r="A198" s="404" t="s">
        <v>663</v>
      </c>
    </row>
    <row r="199" spans="1:1" ht="12" x14ac:dyDescent="0.2">
      <c r="A199" s="404" t="s">
        <v>664</v>
      </c>
    </row>
    <row r="200" spans="1:1" ht="12" x14ac:dyDescent="0.2">
      <c r="A200" s="404" t="s">
        <v>665</v>
      </c>
    </row>
    <row r="201" spans="1:1" ht="12" x14ac:dyDescent="0.2">
      <c r="A201" s="404" t="s">
        <v>666</v>
      </c>
    </row>
    <row r="202" spans="1:1" ht="12" x14ac:dyDescent="0.2">
      <c r="A202" s="404" t="s">
        <v>667</v>
      </c>
    </row>
    <row r="203" spans="1:1" ht="12" x14ac:dyDescent="0.2">
      <c r="A203" s="404" t="s">
        <v>668</v>
      </c>
    </row>
    <row r="204" spans="1:1" ht="12" x14ac:dyDescent="0.2">
      <c r="A204" s="404" t="s">
        <v>669</v>
      </c>
    </row>
    <row r="205" spans="1:1" ht="12" x14ac:dyDescent="0.2">
      <c r="A205" s="404" t="s">
        <v>670</v>
      </c>
    </row>
    <row r="206" spans="1:1" ht="12" x14ac:dyDescent="0.2">
      <c r="A206" s="404" t="s">
        <v>671</v>
      </c>
    </row>
    <row r="207" spans="1:1" ht="12" x14ac:dyDescent="0.2">
      <c r="A207" s="404" t="s">
        <v>672</v>
      </c>
    </row>
    <row r="208" spans="1:1" ht="12" x14ac:dyDescent="0.2">
      <c r="A208" s="404" t="s">
        <v>673</v>
      </c>
    </row>
    <row r="209" spans="1:1" ht="12" x14ac:dyDescent="0.2">
      <c r="A209" s="404" t="s">
        <v>674</v>
      </c>
    </row>
    <row r="210" spans="1:1" ht="12" x14ac:dyDescent="0.2">
      <c r="A210" s="404" t="s">
        <v>675</v>
      </c>
    </row>
    <row r="211" spans="1:1" ht="12" x14ac:dyDescent="0.2">
      <c r="A211" s="404" t="s">
        <v>676</v>
      </c>
    </row>
    <row r="212" spans="1:1" ht="12" x14ac:dyDescent="0.2">
      <c r="A212" s="404" t="s">
        <v>677</v>
      </c>
    </row>
    <row r="213" spans="1:1" ht="12" x14ac:dyDescent="0.2">
      <c r="A213" s="404" t="s">
        <v>678</v>
      </c>
    </row>
    <row r="214" spans="1:1" ht="12" x14ac:dyDescent="0.2">
      <c r="A214" s="404" t="s">
        <v>679</v>
      </c>
    </row>
    <row r="215" spans="1:1" ht="12" x14ac:dyDescent="0.2">
      <c r="A215" s="404" t="s">
        <v>680</v>
      </c>
    </row>
    <row r="216" spans="1:1" ht="12" x14ac:dyDescent="0.2">
      <c r="A216" s="404" t="s">
        <v>681</v>
      </c>
    </row>
    <row r="217" spans="1:1" ht="12" x14ac:dyDescent="0.2">
      <c r="A217" s="404" t="s">
        <v>682</v>
      </c>
    </row>
    <row r="218" spans="1:1" ht="12" x14ac:dyDescent="0.2">
      <c r="A218" s="404" t="s">
        <v>683</v>
      </c>
    </row>
    <row r="219" spans="1:1" ht="12" x14ac:dyDescent="0.2">
      <c r="A219" s="404" t="s">
        <v>684</v>
      </c>
    </row>
    <row r="220" spans="1:1" ht="12" x14ac:dyDescent="0.2">
      <c r="A220" s="404" t="s">
        <v>685</v>
      </c>
    </row>
    <row r="221" spans="1:1" ht="12" x14ac:dyDescent="0.2">
      <c r="A221" s="404" t="s">
        <v>686</v>
      </c>
    </row>
    <row r="222" spans="1:1" ht="12" x14ac:dyDescent="0.2">
      <c r="A222" s="404" t="s">
        <v>687</v>
      </c>
    </row>
    <row r="223" spans="1:1" ht="12" x14ac:dyDescent="0.2">
      <c r="A223" s="404" t="s">
        <v>688</v>
      </c>
    </row>
    <row r="224" spans="1:1" ht="12" x14ac:dyDescent="0.2">
      <c r="A224" s="404" t="s">
        <v>689</v>
      </c>
    </row>
    <row r="225" spans="1:1" ht="12" x14ac:dyDescent="0.2">
      <c r="A225" s="404" t="s">
        <v>690</v>
      </c>
    </row>
    <row r="226" spans="1:1" ht="12" x14ac:dyDescent="0.2">
      <c r="A226" s="404" t="s">
        <v>691</v>
      </c>
    </row>
    <row r="227" spans="1:1" ht="12" x14ac:dyDescent="0.2">
      <c r="A227" s="404" t="s">
        <v>692</v>
      </c>
    </row>
    <row r="228" spans="1:1" ht="12" x14ac:dyDescent="0.2">
      <c r="A228" s="404" t="s">
        <v>693</v>
      </c>
    </row>
    <row r="229" spans="1:1" ht="12" x14ac:dyDescent="0.2">
      <c r="A229" s="404" t="s">
        <v>694</v>
      </c>
    </row>
    <row r="230" spans="1:1" ht="12" x14ac:dyDescent="0.2">
      <c r="A230" s="404" t="s">
        <v>695</v>
      </c>
    </row>
    <row r="231" spans="1:1" ht="12" x14ac:dyDescent="0.2">
      <c r="A231" s="404" t="s">
        <v>696</v>
      </c>
    </row>
    <row r="232" spans="1:1" ht="12" x14ac:dyDescent="0.2">
      <c r="A232" s="404" t="s">
        <v>697</v>
      </c>
    </row>
    <row r="233" spans="1:1" ht="12" x14ac:dyDescent="0.2">
      <c r="A233" s="404" t="s">
        <v>698</v>
      </c>
    </row>
    <row r="234" spans="1:1" ht="12" x14ac:dyDescent="0.2">
      <c r="A234" s="404" t="s">
        <v>699</v>
      </c>
    </row>
    <row r="235" spans="1:1" ht="12" x14ac:dyDescent="0.2">
      <c r="A235" s="404" t="s">
        <v>700</v>
      </c>
    </row>
    <row r="236" spans="1:1" ht="12" x14ac:dyDescent="0.2">
      <c r="A236" s="404" t="s">
        <v>701</v>
      </c>
    </row>
    <row r="237" spans="1:1" ht="12" x14ac:dyDescent="0.2">
      <c r="A237" s="404" t="s">
        <v>702</v>
      </c>
    </row>
    <row r="238" spans="1:1" ht="12" x14ac:dyDescent="0.2">
      <c r="A238" s="404" t="s">
        <v>703</v>
      </c>
    </row>
    <row r="239" spans="1:1" ht="12" x14ac:dyDescent="0.2">
      <c r="A239" s="404" t="s">
        <v>704</v>
      </c>
    </row>
    <row r="240" spans="1:1" ht="12" x14ac:dyDescent="0.2">
      <c r="A240" s="404" t="s">
        <v>705</v>
      </c>
    </row>
    <row r="241" spans="1:1" ht="12" x14ac:dyDescent="0.2">
      <c r="A241" s="404" t="s">
        <v>706</v>
      </c>
    </row>
    <row r="242" spans="1:1" ht="12" x14ac:dyDescent="0.2">
      <c r="A242" s="404" t="s">
        <v>707</v>
      </c>
    </row>
    <row r="243" spans="1:1" ht="12" x14ac:dyDescent="0.2">
      <c r="A243" s="404" t="s">
        <v>708</v>
      </c>
    </row>
    <row r="244" spans="1:1" ht="12" x14ac:dyDescent="0.2">
      <c r="A244" s="404" t="s">
        <v>709</v>
      </c>
    </row>
    <row r="245" spans="1:1" ht="12" x14ac:dyDescent="0.2">
      <c r="A245" s="404" t="s">
        <v>710</v>
      </c>
    </row>
    <row r="246" spans="1:1" ht="12" x14ac:dyDescent="0.2">
      <c r="A246" s="404" t="s">
        <v>711</v>
      </c>
    </row>
    <row r="247" spans="1:1" ht="12" x14ac:dyDescent="0.2">
      <c r="A247" s="404" t="s">
        <v>712</v>
      </c>
    </row>
    <row r="248" spans="1:1" ht="12" x14ac:dyDescent="0.2">
      <c r="A248" s="404" t="s">
        <v>713</v>
      </c>
    </row>
    <row r="249" spans="1:1" ht="12" x14ac:dyDescent="0.2">
      <c r="A249" s="404" t="s">
        <v>714</v>
      </c>
    </row>
    <row r="250" spans="1:1" ht="24" x14ac:dyDescent="0.2">
      <c r="A250" s="404" t="s">
        <v>715</v>
      </c>
    </row>
    <row r="251" spans="1:1" ht="12" x14ac:dyDescent="0.2">
      <c r="A251" s="404" t="s">
        <v>716</v>
      </c>
    </row>
    <row r="252" spans="1:1" ht="12" x14ac:dyDescent="0.2">
      <c r="A252" s="404" t="s">
        <v>717</v>
      </c>
    </row>
    <row r="253" spans="1:1" ht="12" x14ac:dyDescent="0.2">
      <c r="A253" s="404" t="s">
        <v>718</v>
      </c>
    </row>
    <row r="254" spans="1:1" ht="12" x14ac:dyDescent="0.2">
      <c r="A254" s="404" t="s">
        <v>719</v>
      </c>
    </row>
    <row r="255" spans="1:1" ht="12" x14ac:dyDescent="0.2">
      <c r="A255" s="404" t="s">
        <v>720</v>
      </c>
    </row>
    <row r="256" spans="1:1" ht="12" x14ac:dyDescent="0.2">
      <c r="A256" s="404" t="s">
        <v>721</v>
      </c>
    </row>
    <row r="257" spans="1:1" ht="12" x14ac:dyDescent="0.2">
      <c r="A257" s="404" t="s">
        <v>722</v>
      </c>
    </row>
    <row r="258" spans="1:1" ht="12" x14ac:dyDescent="0.2">
      <c r="A258" s="404" t="s">
        <v>723</v>
      </c>
    </row>
    <row r="259" spans="1:1" ht="12" x14ac:dyDescent="0.2">
      <c r="A259" s="404" t="s">
        <v>724</v>
      </c>
    </row>
    <row r="260" spans="1:1" ht="12" x14ac:dyDescent="0.2">
      <c r="A260" s="404" t="s">
        <v>725</v>
      </c>
    </row>
    <row r="261" spans="1:1" ht="12" x14ac:dyDescent="0.2">
      <c r="A261" s="404" t="s">
        <v>726</v>
      </c>
    </row>
    <row r="262" spans="1:1" ht="12" x14ac:dyDescent="0.2">
      <c r="A262" s="404" t="s">
        <v>727</v>
      </c>
    </row>
    <row r="263" spans="1:1" ht="12" x14ac:dyDescent="0.2">
      <c r="A263" s="404" t="s">
        <v>728</v>
      </c>
    </row>
    <row r="264" spans="1:1" ht="12" x14ac:dyDescent="0.2">
      <c r="A264" s="404" t="s">
        <v>729</v>
      </c>
    </row>
    <row r="265" spans="1:1" ht="12" x14ac:dyDescent="0.2">
      <c r="A265" s="404" t="s">
        <v>730</v>
      </c>
    </row>
    <row r="266" spans="1:1" ht="12" x14ac:dyDescent="0.2">
      <c r="A266" s="404" t="s">
        <v>731</v>
      </c>
    </row>
    <row r="267" spans="1:1" ht="12" x14ac:dyDescent="0.2">
      <c r="A267" s="404" t="s">
        <v>732</v>
      </c>
    </row>
    <row r="268" spans="1:1" ht="12" x14ac:dyDescent="0.2">
      <c r="A268" s="404" t="s">
        <v>733</v>
      </c>
    </row>
    <row r="269" spans="1:1" ht="12" x14ac:dyDescent="0.2">
      <c r="A269" s="404" t="s">
        <v>734</v>
      </c>
    </row>
    <row r="270" spans="1:1" ht="12" x14ac:dyDescent="0.2">
      <c r="A270" s="404" t="s">
        <v>735</v>
      </c>
    </row>
    <row r="271" spans="1:1" ht="12" x14ac:dyDescent="0.2">
      <c r="A271" s="404" t="s">
        <v>736</v>
      </c>
    </row>
    <row r="272" spans="1:1" ht="12" x14ac:dyDescent="0.2">
      <c r="A272" s="404" t="s">
        <v>737</v>
      </c>
    </row>
    <row r="273" spans="1:1" ht="12" x14ac:dyDescent="0.2">
      <c r="A273" s="404" t="s">
        <v>738</v>
      </c>
    </row>
    <row r="274" spans="1:1" ht="12" x14ac:dyDescent="0.2">
      <c r="A274" s="404" t="s">
        <v>739</v>
      </c>
    </row>
    <row r="275" spans="1:1" ht="12" x14ac:dyDescent="0.2">
      <c r="A275" s="404" t="s">
        <v>740</v>
      </c>
    </row>
    <row r="276" spans="1:1" ht="12" x14ac:dyDescent="0.2">
      <c r="A276" s="404" t="s">
        <v>741</v>
      </c>
    </row>
    <row r="277" spans="1:1" ht="12" x14ac:dyDescent="0.2">
      <c r="A277" s="404" t="s">
        <v>742</v>
      </c>
    </row>
    <row r="278" spans="1:1" ht="12" x14ac:dyDescent="0.2">
      <c r="A278" s="404" t="s">
        <v>743</v>
      </c>
    </row>
    <row r="279" spans="1:1" ht="12" x14ac:dyDescent="0.2">
      <c r="A279" s="404" t="s">
        <v>744</v>
      </c>
    </row>
    <row r="280" spans="1:1" ht="12" x14ac:dyDescent="0.2">
      <c r="A280" s="404" t="s">
        <v>745</v>
      </c>
    </row>
    <row r="281" spans="1:1" ht="12" x14ac:dyDescent="0.2">
      <c r="A281" s="404" t="s">
        <v>746</v>
      </c>
    </row>
    <row r="282" spans="1:1" ht="12" x14ac:dyDescent="0.2">
      <c r="A282" s="404" t="s">
        <v>747</v>
      </c>
    </row>
    <row r="283" spans="1:1" ht="12" x14ac:dyDescent="0.2">
      <c r="A283" s="404" t="s">
        <v>748</v>
      </c>
    </row>
    <row r="284" spans="1:1" ht="12" x14ac:dyDescent="0.2">
      <c r="A284" s="404" t="s">
        <v>749</v>
      </c>
    </row>
    <row r="285" spans="1:1" ht="12" x14ac:dyDescent="0.2">
      <c r="A285" s="404" t="s">
        <v>750</v>
      </c>
    </row>
    <row r="286" spans="1:1" ht="12" x14ac:dyDescent="0.2">
      <c r="A286" s="404" t="s">
        <v>751</v>
      </c>
    </row>
    <row r="287" spans="1:1" ht="12" x14ac:dyDescent="0.2">
      <c r="A287" s="404" t="s">
        <v>752</v>
      </c>
    </row>
    <row r="288" spans="1:1" ht="12" x14ac:dyDescent="0.2">
      <c r="A288" s="404" t="s">
        <v>753</v>
      </c>
    </row>
    <row r="289" spans="1:1" ht="12" x14ac:dyDescent="0.2">
      <c r="A289" s="404" t="s">
        <v>754</v>
      </c>
    </row>
    <row r="290" spans="1:1" ht="12" x14ac:dyDescent="0.2">
      <c r="A290" s="404" t="s">
        <v>755</v>
      </c>
    </row>
    <row r="291" spans="1:1" ht="24" x14ac:dyDescent="0.2">
      <c r="A291" s="404" t="s">
        <v>756</v>
      </c>
    </row>
    <row r="292" spans="1:1" ht="12" x14ac:dyDescent="0.2">
      <c r="A292" s="404" t="s">
        <v>757</v>
      </c>
    </row>
    <row r="293" spans="1:1" ht="12" x14ac:dyDescent="0.2">
      <c r="A293" s="404" t="s">
        <v>758</v>
      </c>
    </row>
    <row r="294" spans="1:1" ht="12" x14ac:dyDescent="0.2">
      <c r="A294" s="404" t="s">
        <v>759</v>
      </c>
    </row>
    <row r="295" spans="1:1" ht="12" x14ac:dyDescent="0.2">
      <c r="A295" s="404" t="s">
        <v>760</v>
      </c>
    </row>
    <row r="296" spans="1:1" ht="12" x14ac:dyDescent="0.2">
      <c r="A296" s="404" t="s">
        <v>761</v>
      </c>
    </row>
    <row r="297" spans="1:1" ht="12" x14ac:dyDescent="0.2">
      <c r="A297" s="404" t="s">
        <v>762</v>
      </c>
    </row>
    <row r="298" spans="1:1" ht="12" x14ac:dyDescent="0.2">
      <c r="A298" s="404" t="s">
        <v>763</v>
      </c>
    </row>
    <row r="299" spans="1:1" ht="12" x14ac:dyDescent="0.2">
      <c r="A299" s="404" t="s">
        <v>940</v>
      </c>
    </row>
    <row r="300" spans="1:1" ht="12" x14ac:dyDescent="0.2">
      <c r="A300" s="404" t="s">
        <v>941</v>
      </c>
    </row>
    <row r="301" spans="1:1" ht="12" x14ac:dyDescent="0.2">
      <c r="A301" s="404"/>
    </row>
    <row r="302" spans="1:1" ht="12" x14ac:dyDescent="0.2">
      <c r="A302" s="404"/>
    </row>
    <row r="303" spans="1:1" ht="12" x14ac:dyDescent="0.2">
      <c r="A303" s="404"/>
    </row>
    <row r="304" spans="1:1" ht="12" x14ac:dyDescent="0.2">
      <c r="A304" s="404"/>
    </row>
    <row r="305" spans="1:1" ht="12" x14ac:dyDescent="0.2">
      <c r="A305" s="404"/>
    </row>
    <row r="306" spans="1:1" ht="12" x14ac:dyDescent="0.2">
      <c r="A306" s="404"/>
    </row>
    <row r="307" spans="1:1" ht="12" x14ac:dyDescent="0.2">
      <c r="A307" s="404"/>
    </row>
    <row r="308" spans="1:1" ht="12" x14ac:dyDescent="0.2">
      <c r="A308" s="404"/>
    </row>
    <row r="309" spans="1:1" ht="12" x14ac:dyDescent="0.2">
      <c r="A309" s="404"/>
    </row>
    <row r="310" spans="1:1" ht="12" x14ac:dyDescent="0.2">
      <c r="A310" s="404"/>
    </row>
    <row r="311" spans="1:1" ht="12" x14ac:dyDescent="0.2">
      <c r="A311" s="404"/>
    </row>
    <row r="312" spans="1:1" ht="12" x14ac:dyDescent="0.2">
      <c r="A312" s="404"/>
    </row>
    <row r="313" spans="1:1" ht="12" x14ac:dyDescent="0.2">
      <c r="A313" s="404"/>
    </row>
    <row r="314" spans="1:1" ht="12" x14ac:dyDescent="0.2">
      <c r="A314" s="404"/>
    </row>
    <row r="315" spans="1:1" ht="12" x14ac:dyDescent="0.2">
      <c r="A315" s="404"/>
    </row>
    <row r="316" spans="1:1" ht="12" x14ac:dyDescent="0.2">
      <c r="A316" s="404"/>
    </row>
    <row r="317" spans="1:1" ht="12" x14ac:dyDescent="0.2">
      <c r="A317" s="404"/>
    </row>
    <row r="318" spans="1:1" ht="12" x14ac:dyDescent="0.2">
      <c r="A318" s="404"/>
    </row>
    <row r="319" spans="1:1" ht="12" x14ac:dyDescent="0.2">
      <c r="A319" s="404"/>
    </row>
    <row r="320" spans="1:1" ht="12" x14ac:dyDescent="0.2">
      <c r="A320" s="404"/>
    </row>
    <row r="321" spans="1:1" ht="12" x14ac:dyDescent="0.2">
      <c r="A321" s="404"/>
    </row>
    <row r="322" spans="1:1" ht="12" x14ac:dyDescent="0.2">
      <c r="A322" s="404"/>
    </row>
    <row r="323" spans="1:1" ht="12" x14ac:dyDescent="0.2">
      <c r="A323" s="404"/>
    </row>
    <row r="324" spans="1:1" ht="12" x14ac:dyDescent="0.2">
      <c r="A324" s="404"/>
    </row>
    <row r="325" spans="1:1" ht="12" x14ac:dyDescent="0.2">
      <c r="A325" s="404"/>
    </row>
    <row r="326" spans="1:1" ht="12" x14ac:dyDescent="0.2">
      <c r="A326" s="404"/>
    </row>
    <row r="327" spans="1:1" ht="12" x14ac:dyDescent="0.2">
      <c r="A327" s="404"/>
    </row>
    <row r="328" spans="1:1" ht="12" x14ac:dyDescent="0.2">
      <c r="A328" s="404"/>
    </row>
    <row r="329" spans="1:1" ht="12" x14ac:dyDescent="0.2">
      <c r="A329" s="404"/>
    </row>
    <row r="330" spans="1:1" ht="12" x14ac:dyDescent="0.2">
      <c r="A330" s="404"/>
    </row>
    <row r="331" spans="1:1" ht="12" x14ac:dyDescent="0.2">
      <c r="A331" s="404"/>
    </row>
    <row r="332" spans="1:1" ht="12" x14ac:dyDescent="0.2">
      <c r="A332" s="404"/>
    </row>
    <row r="333" spans="1:1" ht="12" x14ac:dyDescent="0.2">
      <c r="A333" s="404"/>
    </row>
    <row r="334" spans="1:1" ht="12" x14ac:dyDescent="0.2">
      <c r="A334" s="404"/>
    </row>
  </sheetData>
  <phoneticPr fontId="35" type="noConversion"/>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6"/>
  <sheetViews>
    <sheetView workbookViewId="0">
      <selection activeCell="B12" sqref="B12"/>
    </sheetView>
  </sheetViews>
  <sheetFormatPr defaultColWidth="11.42578125" defaultRowHeight="14.25" x14ac:dyDescent="0.25"/>
  <cols>
    <col min="1" max="1" width="23" style="105" customWidth="1"/>
    <col min="2" max="2" width="33.5703125" style="105" customWidth="1"/>
    <col min="3" max="3" width="42" style="105" customWidth="1"/>
    <col min="4" max="4" width="39.42578125" style="105" customWidth="1"/>
    <col min="5" max="5" width="41.140625" style="105" customWidth="1"/>
    <col min="6" max="6" width="46.7109375" style="105" customWidth="1"/>
    <col min="7" max="7" width="38.28515625" style="105" customWidth="1"/>
    <col min="8" max="8" width="42.85546875" style="105" customWidth="1"/>
    <col min="9" max="9" width="43.7109375" style="105" customWidth="1"/>
    <col min="10" max="10" width="36" style="105" customWidth="1"/>
    <col min="11" max="11" width="16.5703125" style="105" customWidth="1"/>
    <col min="12" max="12" width="24.140625" style="105" customWidth="1"/>
    <col min="13" max="13" width="35" style="105" customWidth="1"/>
    <col min="14" max="14" width="28.140625" style="105" customWidth="1"/>
    <col min="15" max="15" width="27.7109375" style="105" customWidth="1"/>
    <col min="16" max="16" width="30.140625" style="105" customWidth="1"/>
    <col min="17" max="17" width="28.140625" style="105" customWidth="1"/>
    <col min="18" max="18" width="29.7109375" style="105" customWidth="1"/>
    <col min="19" max="19" width="15.28515625" style="105" customWidth="1"/>
    <col min="20" max="20" width="17.28515625" style="105" customWidth="1"/>
    <col min="21" max="16384" width="11.42578125" style="105"/>
  </cols>
  <sheetData>
    <row r="1" spans="1:6" x14ac:dyDescent="0.25">
      <c r="A1" s="111" t="s">
        <v>337</v>
      </c>
      <c r="B1" s="112" t="str">
        <f>IF('Basic Data'!C16=0,"",'Basic Data'!C16)</f>
        <v/>
      </c>
    </row>
    <row r="2" spans="1:6" x14ac:dyDescent="0.25">
      <c r="A2" s="111" t="s">
        <v>184</v>
      </c>
      <c r="B2" s="113" t="str">
        <f>IF('Basic Data'!L12=0,"",'Basic Data'!L12)</f>
        <v/>
      </c>
    </row>
    <row r="3" spans="1:6" x14ac:dyDescent="0.25">
      <c r="A3" s="111" t="s">
        <v>236</v>
      </c>
      <c r="B3" s="113" t="str">
        <f>IF('Basic Data'!L14=0,"",'Basic Data'!L14)</f>
        <v/>
      </c>
    </row>
    <row r="5" spans="1:6" x14ac:dyDescent="0.25">
      <c r="A5" s="252" t="s">
        <v>59</v>
      </c>
      <c r="B5" s="252" t="s">
        <v>63</v>
      </c>
      <c r="C5" s="252" t="s">
        <v>442</v>
      </c>
      <c r="D5" s="252" t="s">
        <v>440</v>
      </c>
      <c r="E5" s="252" t="s">
        <v>910</v>
      </c>
      <c r="F5" s="252" t="s">
        <v>911</v>
      </c>
    </row>
    <row r="6" spans="1:6" s="95" customFormat="1" ht="12.75" x14ac:dyDescent="0.25">
      <c r="A6" s="96" t="str">
        <f>IF('Basic Data'!A19=0,"",'Basic Data'!A19)</f>
        <v/>
      </c>
      <c r="B6" s="96" t="str">
        <f>IF('Basic Data'!A22=0,"",'Basic Data'!A22)</f>
        <v/>
      </c>
      <c r="C6" s="484" t="str">
        <f>IF('Basic Data'!I19=0,"",'Basic Data'!I19)</f>
        <v/>
      </c>
      <c r="D6" s="96" t="str">
        <f>'Basic Data'!H22</f>
        <v>Not yet available</v>
      </c>
      <c r="E6" s="483">
        <f>'Basic Data'!C12</f>
        <v>0</v>
      </c>
      <c r="F6" s="483">
        <f>'Basic Data'!C14</f>
        <v>0</v>
      </c>
    </row>
  </sheetData>
  <phoneticPr fontId="35"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dimension ref="A1:N30"/>
  <sheetViews>
    <sheetView topLeftCell="A2" workbookViewId="0">
      <selection activeCell="C5" sqref="C5"/>
    </sheetView>
  </sheetViews>
  <sheetFormatPr defaultColWidth="11.42578125" defaultRowHeight="12.75" x14ac:dyDescent="0.25"/>
  <cols>
    <col min="1" max="2" width="31" style="238" customWidth="1"/>
    <col min="3" max="4" width="16" style="238" customWidth="1"/>
    <col min="5" max="5" width="22" style="238" customWidth="1"/>
    <col min="6" max="7" width="22.28515625" style="238" customWidth="1"/>
    <col min="8" max="9" width="16" style="238" customWidth="1"/>
    <col min="10" max="10" width="17.28515625" style="238" customWidth="1"/>
    <col min="11" max="12" width="16" style="238" customWidth="1"/>
    <col min="13" max="16384" width="11.42578125" style="95"/>
  </cols>
  <sheetData>
    <row r="1" spans="1:14" ht="13.5" thickBot="1" x14ac:dyDescent="0.3">
      <c r="A1" s="237"/>
      <c r="B1" s="237"/>
    </row>
    <row r="2" spans="1:14" ht="63.75" x14ac:dyDescent="0.25">
      <c r="A2" s="384" t="s">
        <v>790</v>
      </c>
      <c r="B2" s="409" t="s">
        <v>901</v>
      </c>
      <c r="C2" s="442" t="s">
        <v>791</v>
      </c>
      <c r="D2" s="407" t="s">
        <v>792</v>
      </c>
      <c r="E2" s="407" t="s">
        <v>793</v>
      </c>
      <c r="F2" s="407" t="s">
        <v>794</v>
      </c>
      <c r="G2" s="407" t="s">
        <v>795</v>
      </c>
      <c r="H2" s="408" t="s">
        <v>796</v>
      </c>
      <c r="I2" s="409" t="s">
        <v>797</v>
      </c>
      <c r="J2" s="410" t="s">
        <v>798</v>
      </c>
      <c r="K2" s="409" t="s">
        <v>799</v>
      </c>
      <c r="L2" s="410" t="s">
        <v>800</v>
      </c>
    </row>
    <row r="3" spans="1:14" ht="15" customHeight="1" x14ac:dyDescent="0.25">
      <c r="A3" s="405" t="s">
        <v>764</v>
      </c>
      <c r="B3" s="445" t="str">
        <f>IF('Basic Data'!D28="","",'Basic Data'!D28)</f>
        <v/>
      </c>
      <c r="C3" s="443" t="str">
        <f>IF('Basic Data'!E28="","",'Basic Data'!E28)</f>
        <v/>
      </c>
      <c r="D3" s="239" t="str">
        <f>IF('Basic Data'!F28="","",'Basic Data'!F28)</f>
        <v/>
      </c>
      <c r="E3" s="239" t="str">
        <f>IF('Basic Data'!G28="","",'Basic Data'!G28)</f>
        <v/>
      </c>
      <c r="F3" s="240"/>
      <c r="G3" s="240"/>
      <c r="H3" s="242" t="str">
        <f>IF('Basic Data'!J28="","",'Basic Data'!J28)</f>
        <v/>
      </c>
      <c r="I3" s="243"/>
      <c r="J3" s="244"/>
      <c r="K3" s="243"/>
      <c r="L3" s="244"/>
    </row>
    <row r="4" spans="1:14" ht="15" customHeight="1" x14ac:dyDescent="0.25">
      <c r="A4" s="405" t="s">
        <v>765</v>
      </c>
      <c r="B4" s="445" t="str">
        <f>IF('Basic Data'!D29="","",'Basic Data'!D29)</f>
        <v/>
      </c>
      <c r="C4" s="443" t="str">
        <f>IF('Basic Data'!E29="","",'Basic Data'!E29)</f>
        <v/>
      </c>
      <c r="D4" s="239" t="str">
        <f>IF('Basic Data'!F29="","",'Basic Data'!F29)</f>
        <v/>
      </c>
      <c r="E4" s="239" t="str">
        <f>IF('Basic Data'!G29="","",'Basic Data'!G29)</f>
        <v/>
      </c>
      <c r="F4" s="240"/>
      <c r="G4" s="240"/>
      <c r="H4" s="242" t="str">
        <f>IF('Basic Data'!J29="","",'Basic Data'!J29)</f>
        <v/>
      </c>
      <c r="I4" s="243"/>
      <c r="J4" s="244"/>
      <c r="K4" s="243"/>
      <c r="L4" s="244"/>
    </row>
    <row r="5" spans="1:14" ht="15" customHeight="1" x14ac:dyDescent="0.25">
      <c r="A5" s="405" t="s">
        <v>766</v>
      </c>
      <c r="B5" s="445" t="str">
        <f>IF('Basic Data'!D30="","",'Basic Data'!D30)</f>
        <v/>
      </c>
      <c r="C5" s="443" t="str">
        <f>IF('Basic Data'!E30="","",'Basic Data'!E30)</f>
        <v/>
      </c>
      <c r="D5" s="239" t="str">
        <f>IF('Basic Data'!F30="","",'Basic Data'!F30)</f>
        <v/>
      </c>
      <c r="E5" s="239" t="str">
        <f>IF('Basic Data'!G30="","",'Basic Data'!G30)</f>
        <v/>
      </c>
      <c r="F5" s="240"/>
      <c r="G5" s="240"/>
      <c r="H5" s="242" t="str">
        <f>IF('Basic Data'!J30="","",'Basic Data'!J30)</f>
        <v/>
      </c>
      <c r="I5" s="243"/>
      <c r="J5" s="244"/>
      <c r="K5" s="243"/>
      <c r="L5" s="244"/>
    </row>
    <row r="6" spans="1:14" ht="15" customHeight="1" x14ac:dyDescent="0.25">
      <c r="A6" s="405" t="s">
        <v>767</v>
      </c>
      <c r="B6" s="445" t="str">
        <f>IF('Basic Data'!D31="","",'Basic Data'!D31)</f>
        <v/>
      </c>
      <c r="C6" s="443" t="str">
        <f>IF('Basic Data'!E31="","",'Basic Data'!E31)</f>
        <v/>
      </c>
      <c r="D6" s="239" t="str">
        <f>IF('Basic Data'!F31="","",'Basic Data'!F31)</f>
        <v/>
      </c>
      <c r="E6" s="239" t="str">
        <f>IF('Basic Data'!G31="","",'Basic Data'!G31)</f>
        <v/>
      </c>
      <c r="F6" s="240"/>
      <c r="G6" s="240"/>
      <c r="H6" s="242" t="str">
        <f>IF('Basic Data'!J31="","",'Basic Data'!J31)</f>
        <v/>
      </c>
      <c r="I6" s="243"/>
      <c r="J6" s="244"/>
      <c r="K6" s="243"/>
      <c r="L6" s="244"/>
    </row>
    <row r="7" spans="1:14" ht="15" customHeight="1" x14ac:dyDescent="0.25">
      <c r="A7" s="405" t="s">
        <v>768</v>
      </c>
      <c r="B7" s="445" t="str">
        <f>IF('Basic Data'!D32="","",'Basic Data'!D32)</f>
        <v/>
      </c>
      <c r="C7" s="443" t="str">
        <f>IF('Basic Data'!E32="","",'Basic Data'!E32)</f>
        <v/>
      </c>
      <c r="D7" s="239" t="str">
        <f>IF('Basic Data'!F32="","",'Basic Data'!F32)</f>
        <v/>
      </c>
      <c r="E7" s="239" t="str">
        <f>IF('Basic Data'!G32="","",'Basic Data'!G32)</f>
        <v/>
      </c>
      <c r="F7" s="240"/>
      <c r="G7" s="240"/>
      <c r="H7" s="242" t="str">
        <f>IF('Basic Data'!J32="","",'Basic Data'!J32)</f>
        <v/>
      </c>
      <c r="I7" s="243"/>
      <c r="J7" s="244"/>
      <c r="K7" s="243"/>
      <c r="L7" s="244"/>
    </row>
    <row r="8" spans="1:14" ht="15" customHeight="1" x14ac:dyDescent="0.25">
      <c r="A8" s="405" t="s">
        <v>769</v>
      </c>
      <c r="B8" s="445" t="str">
        <f>IF('Basic Data'!D33="","",'Basic Data'!D33)</f>
        <v/>
      </c>
      <c r="C8" s="443" t="str">
        <f>IF('Basic Data'!E33="","",'Basic Data'!E33)</f>
        <v/>
      </c>
      <c r="D8" s="239" t="str">
        <f>IF('Basic Data'!F33="","",'Basic Data'!F33)</f>
        <v/>
      </c>
      <c r="E8" s="239" t="str">
        <f>IF('Basic Data'!G33="","",'Basic Data'!G33)</f>
        <v/>
      </c>
      <c r="F8" s="240"/>
      <c r="G8" s="240"/>
      <c r="H8" s="242" t="str">
        <f>IF('Basic Data'!J33="","",'Basic Data'!J33)</f>
        <v/>
      </c>
      <c r="I8" s="243"/>
      <c r="J8" s="244"/>
      <c r="K8" s="243"/>
      <c r="L8" s="244"/>
    </row>
    <row r="9" spans="1:14" ht="15" customHeight="1" x14ac:dyDescent="0.25">
      <c r="A9" s="405" t="s">
        <v>770</v>
      </c>
      <c r="B9" s="445" t="str">
        <f>IF('Basic Data'!D34="","",'Basic Data'!D34)</f>
        <v/>
      </c>
      <c r="C9" s="443" t="str">
        <f>IF('Basic Data'!E34="","",'Basic Data'!E34)</f>
        <v/>
      </c>
      <c r="D9" s="239" t="str">
        <f>IF('Basic Data'!F34="","",'Basic Data'!F34)</f>
        <v/>
      </c>
      <c r="E9" s="239" t="str">
        <f>IF('Basic Data'!G34="","",'Basic Data'!G34)</f>
        <v/>
      </c>
      <c r="F9" s="240"/>
      <c r="G9" s="240"/>
      <c r="H9" s="242" t="str">
        <f>IF('Basic Data'!J34="","",'Basic Data'!J34)</f>
        <v/>
      </c>
      <c r="I9" s="243"/>
      <c r="J9" s="244"/>
      <c r="K9" s="243"/>
      <c r="L9" s="244"/>
    </row>
    <row r="10" spans="1:14" ht="15" customHeight="1" x14ac:dyDescent="0.25">
      <c r="A10" s="405" t="s">
        <v>771</v>
      </c>
      <c r="B10" s="445" t="str">
        <f>IF('Basic Data'!D35="","",'Basic Data'!D35)</f>
        <v/>
      </c>
      <c r="C10" s="443" t="str">
        <f>IF('Basic Data'!E35="","",'Basic Data'!E35)</f>
        <v/>
      </c>
      <c r="D10" s="239" t="str">
        <f>IF('Basic Data'!F35="","",'Basic Data'!F35)</f>
        <v/>
      </c>
      <c r="E10" s="239" t="str">
        <f>IF('Basic Data'!G35="","",'Basic Data'!G35)</f>
        <v/>
      </c>
      <c r="F10" s="240"/>
      <c r="G10" s="240"/>
      <c r="H10" s="242" t="str">
        <f>IF('Basic Data'!J35="","",'Basic Data'!J35)</f>
        <v/>
      </c>
      <c r="I10" s="243"/>
      <c r="J10" s="244"/>
      <c r="K10" s="243"/>
      <c r="L10" s="244"/>
    </row>
    <row r="11" spans="1:14" ht="15" customHeight="1" x14ac:dyDescent="0.25">
      <c r="A11" s="405" t="s">
        <v>772</v>
      </c>
      <c r="B11" s="445" t="str">
        <f>IF('Basic Data'!D36="","",'Basic Data'!D36)</f>
        <v/>
      </c>
      <c r="C11" s="443" t="str">
        <f>IF('Basic Data'!E36="","",'Basic Data'!E36)</f>
        <v/>
      </c>
      <c r="D11" s="239" t="str">
        <f>IF('Basic Data'!F36="","",'Basic Data'!F36)</f>
        <v/>
      </c>
      <c r="E11" s="239" t="str">
        <f>IF('Basic Data'!G36="","",'Basic Data'!G36)</f>
        <v/>
      </c>
      <c r="F11" s="240"/>
      <c r="G11" s="240"/>
      <c r="H11" s="242" t="str">
        <f>IF('Basic Data'!J36="","",'Basic Data'!J36)</f>
        <v/>
      </c>
      <c r="I11" s="243"/>
      <c r="J11" s="244"/>
      <c r="K11" s="243"/>
      <c r="L11" s="244"/>
      <c r="N11" s="248"/>
    </row>
    <row r="12" spans="1:14" ht="15" customHeight="1" x14ac:dyDescent="0.25">
      <c r="A12" s="405" t="s">
        <v>773</v>
      </c>
      <c r="B12" s="445" t="str">
        <f>IF('Basic Data'!D38="","",'Basic Data'!D38)</f>
        <v/>
      </c>
      <c r="C12" s="443" t="str">
        <f>IF('Basic Data'!E38="","",'Basic Data'!E38)</f>
        <v/>
      </c>
      <c r="D12" s="239" t="str">
        <f>IF('Basic Data'!F38="","",'Basic Data'!F38)</f>
        <v/>
      </c>
      <c r="E12" s="239" t="str">
        <f>IF('Basic Data'!G38="","",'Basic Data'!G38)</f>
        <v/>
      </c>
      <c r="F12" s="240"/>
      <c r="G12" s="240"/>
      <c r="H12" s="242" t="str">
        <f>IF('Basic Data'!J38="","",'Basic Data'!J38)</f>
        <v/>
      </c>
      <c r="I12" s="241" t="str">
        <f>IF('Basic Data'!K28="","",'Basic Data'!K28)</f>
        <v/>
      </c>
      <c r="J12" s="242" t="str">
        <f>IF('Basic Data'!L28="","",'Basic Data'!L28)</f>
        <v/>
      </c>
      <c r="K12" s="241" t="str">
        <f>IF('Basic Data'!M28="","",'Basic Data'!M28)</f>
        <v/>
      </c>
      <c r="L12" s="242" t="str">
        <f>IF('Basic Data'!N28="","",'Basic Data'!N28)</f>
        <v/>
      </c>
    </row>
    <row r="13" spans="1:14" x14ac:dyDescent="0.25">
      <c r="A13" s="405" t="s">
        <v>774</v>
      </c>
      <c r="B13" s="445" t="str">
        <f>IF('Basic Data'!D39="","",'Basic Data'!D39)</f>
        <v/>
      </c>
      <c r="C13" s="443" t="str">
        <f>IF('Basic Data'!E39="","",'Basic Data'!E39)</f>
        <v/>
      </c>
      <c r="D13" s="239" t="str">
        <f>IF('Basic Data'!F39="","",'Basic Data'!F39)</f>
        <v/>
      </c>
      <c r="E13" s="240"/>
      <c r="F13" s="240"/>
      <c r="G13" s="240"/>
      <c r="H13" s="242" t="str">
        <f>IF('Basic Data'!J39="","",'Basic Data'!J39)</f>
        <v/>
      </c>
      <c r="I13" s="241" t="str">
        <f>IF('Basic Data'!K39="","",'Basic Data'!K39)</f>
        <v/>
      </c>
      <c r="J13" s="242" t="str">
        <f>IF('Basic Data'!L39="","",'Basic Data'!L39)</f>
        <v/>
      </c>
      <c r="K13" s="241" t="str">
        <f>IF('Basic Data'!M39="","",'Basic Data'!M39)</f>
        <v/>
      </c>
      <c r="L13" s="242" t="str">
        <f>IF('Basic Data'!N39="","",'Basic Data'!N39)</f>
        <v/>
      </c>
    </row>
    <row r="14" spans="1:14" x14ac:dyDescent="0.25">
      <c r="A14" s="405" t="s">
        <v>775</v>
      </c>
      <c r="B14" s="445" t="str">
        <f>IF('Basic Data'!D40="","",'Basic Data'!D40)</f>
        <v/>
      </c>
      <c r="C14" s="444"/>
      <c r="D14" s="240"/>
      <c r="E14" s="240"/>
      <c r="F14" s="239" t="str">
        <f>IF('Basic Data'!H40="","",'Basic Data'!H40)</f>
        <v/>
      </c>
      <c r="G14" s="239" t="str">
        <f>IF('Basic Data'!I40="","",'Basic Data'!I40)</f>
        <v/>
      </c>
      <c r="H14" s="242" t="str">
        <f>IF('Basic Data'!J40="","",'Basic Data'!J40)</f>
        <v/>
      </c>
      <c r="I14" s="243"/>
      <c r="J14" s="244"/>
      <c r="K14" s="243"/>
      <c r="L14" s="244"/>
    </row>
    <row r="15" spans="1:14" x14ac:dyDescent="0.25">
      <c r="A15" s="405" t="s">
        <v>776</v>
      </c>
      <c r="B15" s="445" t="str">
        <f>IF('Basic Data'!D41="","",'Basic Data'!D41)</f>
        <v/>
      </c>
      <c r="C15" s="444"/>
      <c r="D15" s="240"/>
      <c r="E15" s="240"/>
      <c r="F15" s="239" t="str">
        <f>IF('Basic Data'!H41="","",'Basic Data'!H41)</f>
        <v/>
      </c>
      <c r="G15" s="239" t="str">
        <f>IF('Basic Data'!I41="","",'Basic Data'!I41)</f>
        <v/>
      </c>
      <c r="H15" s="242" t="str">
        <f>IF('Basic Data'!J41="","",'Basic Data'!J41)</f>
        <v/>
      </c>
      <c r="I15" s="243"/>
      <c r="J15" s="244"/>
      <c r="K15" s="243"/>
      <c r="L15" s="244"/>
    </row>
    <row r="16" spans="1:14" x14ac:dyDescent="0.25">
      <c r="A16" s="405" t="s">
        <v>777</v>
      </c>
      <c r="B16" s="445" t="str">
        <f>IF('Basic Data'!D42="","",'Basic Data'!D42)</f>
        <v/>
      </c>
      <c r="C16" s="444"/>
      <c r="D16" s="240"/>
      <c r="E16" s="240"/>
      <c r="F16" s="239" t="str">
        <f>IF('Basic Data'!H42="","",'Basic Data'!H42)</f>
        <v/>
      </c>
      <c r="G16" s="239" t="str">
        <f>IF('Basic Data'!I42="","",'Basic Data'!I42)</f>
        <v/>
      </c>
      <c r="H16" s="242" t="str">
        <f>IF('Basic Data'!J42="","",'Basic Data'!J42)</f>
        <v/>
      </c>
      <c r="I16" s="243"/>
      <c r="J16" s="244"/>
      <c r="K16" s="243"/>
      <c r="L16" s="244"/>
    </row>
    <row r="17" spans="1:12" x14ac:dyDescent="0.25">
      <c r="A17" s="405" t="s">
        <v>778</v>
      </c>
      <c r="B17" s="445" t="str">
        <f>IF('Basic Data'!D43="","",'Basic Data'!D43)</f>
        <v/>
      </c>
      <c r="C17" s="444"/>
      <c r="D17" s="240"/>
      <c r="E17" s="240"/>
      <c r="F17" s="239" t="str">
        <f>IF('Basic Data'!H43="","",'Basic Data'!H43)</f>
        <v/>
      </c>
      <c r="G17" s="239" t="str">
        <f>IF('Basic Data'!I43="","",'Basic Data'!I43)</f>
        <v/>
      </c>
      <c r="H17" s="242" t="str">
        <f>IF('Basic Data'!J43="","",'Basic Data'!J43)</f>
        <v/>
      </c>
      <c r="I17" s="243"/>
      <c r="J17" s="244"/>
      <c r="K17" s="243"/>
      <c r="L17" s="244"/>
    </row>
    <row r="18" spans="1:12" x14ac:dyDescent="0.25">
      <c r="A18" s="405" t="s">
        <v>779</v>
      </c>
      <c r="B18" s="445" t="str">
        <f>IF('Basic Data'!D44="","",'Basic Data'!D44)</f>
        <v/>
      </c>
      <c r="C18" s="444"/>
      <c r="D18" s="240"/>
      <c r="E18" s="240"/>
      <c r="F18" s="239" t="str">
        <f>IF('Basic Data'!H44="","",'Basic Data'!H44)</f>
        <v/>
      </c>
      <c r="G18" s="239" t="str">
        <f>IF('Basic Data'!I44="","",'Basic Data'!I44)</f>
        <v/>
      </c>
      <c r="H18" s="242" t="str">
        <f>IF('Basic Data'!J44="","",'Basic Data'!J44)</f>
        <v/>
      </c>
      <c r="I18" s="243"/>
      <c r="J18" s="244"/>
      <c r="K18" s="243"/>
      <c r="L18" s="244"/>
    </row>
    <row r="19" spans="1:12" x14ac:dyDescent="0.25">
      <c r="A19" s="405" t="s">
        <v>780</v>
      </c>
      <c r="B19" s="445" t="str">
        <f>IF('Basic Data'!D45="","",'Basic Data'!D45)</f>
        <v/>
      </c>
      <c r="C19" s="444"/>
      <c r="D19" s="240"/>
      <c r="E19" s="240"/>
      <c r="F19" s="239" t="str">
        <f>IF('Basic Data'!H45="","",'Basic Data'!H45)</f>
        <v/>
      </c>
      <c r="G19" s="239" t="str">
        <f>IF('Basic Data'!I45="","",'Basic Data'!I45)</f>
        <v/>
      </c>
      <c r="H19" s="242" t="str">
        <f>IF('Basic Data'!J45="","",'Basic Data'!J45)</f>
        <v/>
      </c>
      <c r="I19" s="243"/>
      <c r="J19" s="244"/>
      <c r="K19" s="243"/>
      <c r="L19" s="244"/>
    </row>
    <row r="20" spans="1:12" x14ac:dyDescent="0.25">
      <c r="A20" s="405" t="s">
        <v>781</v>
      </c>
      <c r="B20" s="445" t="str">
        <f>IF('Basic Data'!D46="","",'Basic Data'!D46)</f>
        <v/>
      </c>
      <c r="C20" s="444"/>
      <c r="D20" s="240"/>
      <c r="E20" s="240"/>
      <c r="F20" s="239" t="str">
        <f>IF('Basic Data'!H46="","",'Basic Data'!H46)</f>
        <v/>
      </c>
      <c r="G20" s="239" t="str">
        <f>IF('Basic Data'!I46="","",'Basic Data'!I46)</f>
        <v/>
      </c>
      <c r="H20" s="242" t="str">
        <f>IF('Basic Data'!J46="","",'Basic Data'!J46)</f>
        <v/>
      </c>
      <c r="I20" s="243"/>
      <c r="J20" s="244"/>
      <c r="K20" s="243"/>
      <c r="L20" s="244"/>
    </row>
    <row r="21" spans="1:12" x14ac:dyDescent="0.25">
      <c r="A21" s="405" t="s">
        <v>782</v>
      </c>
      <c r="B21" s="445" t="str">
        <f>IF('Basic Data'!D47="","",'Basic Data'!D47)</f>
        <v/>
      </c>
      <c r="C21" s="444"/>
      <c r="D21" s="240"/>
      <c r="E21" s="240"/>
      <c r="F21" s="239" t="str">
        <f>IF('Basic Data'!H47="","",'Basic Data'!H47)</f>
        <v/>
      </c>
      <c r="G21" s="239" t="str">
        <f>IF('Basic Data'!I47="","",'Basic Data'!I47)</f>
        <v/>
      </c>
      <c r="H21" s="242" t="str">
        <f>IF('Basic Data'!J47="","",'Basic Data'!J47)</f>
        <v/>
      </c>
      <c r="I21" s="243"/>
      <c r="J21" s="244"/>
      <c r="K21" s="243"/>
      <c r="L21" s="244"/>
    </row>
    <row r="22" spans="1:12" x14ac:dyDescent="0.25">
      <c r="A22" s="405" t="s">
        <v>783</v>
      </c>
      <c r="B22" s="445" t="str">
        <f>IF('Basic Data'!D48="","",'Basic Data'!D48)</f>
        <v/>
      </c>
      <c r="C22" s="444"/>
      <c r="D22" s="240"/>
      <c r="E22" s="240"/>
      <c r="F22" s="239" t="str">
        <f>IF('Basic Data'!H48="","",'Basic Data'!H48)</f>
        <v/>
      </c>
      <c r="G22" s="239" t="str">
        <f>IF('Basic Data'!I48="","",'Basic Data'!I48)</f>
        <v/>
      </c>
      <c r="H22" s="242" t="str">
        <f>IF('Basic Data'!J48="","",'Basic Data'!J48)</f>
        <v/>
      </c>
      <c r="I22" s="243"/>
      <c r="J22" s="244"/>
      <c r="K22" s="243"/>
      <c r="L22" s="244"/>
    </row>
    <row r="23" spans="1:12" x14ac:dyDescent="0.25">
      <c r="A23" s="405" t="s">
        <v>784</v>
      </c>
      <c r="B23" s="445" t="str">
        <f>IF('Basic Data'!D49="","",'Basic Data'!D49)</f>
        <v/>
      </c>
      <c r="C23" s="444"/>
      <c r="D23" s="240"/>
      <c r="E23" s="240"/>
      <c r="F23" s="239" t="str">
        <f>IF('Basic Data'!H49="","",'Basic Data'!H49)</f>
        <v/>
      </c>
      <c r="G23" s="239" t="str">
        <f>IF('Basic Data'!I49="","",'Basic Data'!I49)</f>
        <v/>
      </c>
      <c r="H23" s="242" t="str">
        <f>IF('Basic Data'!J49="","",'Basic Data'!J49)</f>
        <v/>
      </c>
      <c r="I23" s="243"/>
      <c r="J23" s="244"/>
      <c r="K23" s="243"/>
      <c r="L23" s="244"/>
    </row>
    <row r="24" spans="1:12" x14ac:dyDescent="0.25">
      <c r="A24" s="405" t="s">
        <v>785</v>
      </c>
      <c r="B24" s="445" t="str">
        <f>IF('Basic Data'!D50="","",'Basic Data'!D50)</f>
        <v/>
      </c>
      <c r="C24" s="444"/>
      <c r="D24" s="240"/>
      <c r="E24" s="240"/>
      <c r="F24" s="239" t="str">
        <f>IF('Basic Data'!H50="","",'Basic Data'!H50)</f>
        <v/>
      </c>
      <c r="G24" s="239" t="str">
        <f>IF('Basic Data'!I50="","",'Basic Data'!I50)</f>
        <v/>
      </c>
      <c r="H24" s="242" t="str">
        <f>IF('Basic Data'!J50="","",'Basic Data'!J50)</f>
        <v/>
      </c>
      <c r="I24" s="241" t="str">
        <f>IF('Basic Data'!K40="","",'Basic Data'!K40)</f>
        <v/>
      </c>
      <c r="J24" s="242" t="str">
        <f>IF('Basic Data'!L40="","",'Basic Data'!L40)</f>
        <v/>
      </c>
      <c r="K24" s="241" t="str">
        <f>IF('Basic Data'!M40="","",'Basic Data'!M40)</f>
        <v/>
      </c>
      <c r="L24" s="242" t="str">
        <f>IF('Basic Data'!N40="","",'Basic Data'!N40)</f>
        <v/>
      </c>
    </row>
    <row r="25" spans="1:12" ht="15" customHeight="1" x14ac:dyDescent="0.25">
      <c r="A25" s="405" t="s">
        <v>786</v>
      </c>
      <c r="B25" s="445" t="str">
        <f>IF('Basic Data'!D51="","",'Basic Data'!D51)</f>
        <v/>
      </c>
      <c r="C25" s="444"/>
      <c r="D25" s="240"/>
      <c r="E25" s="240"/>
      <c r="F25" s="239" t="str">
        <f>IF('Basic Data'!H51="","",'Basic Data'!H51)</f>
        <v/>
      </c>
      <c r="G25" s="239" t="str">
        <f>IF('Basic Data'!I51="","",'Basic Data'!I51)</f>
        <v/>
      </c>
      <c r="H25" s="242" t="str">
        <f>IF('Basic Data'!J51="","",'Basic Data'!J51)</f>
        <v/>
      </c>
      <c r="I25" s="241" t="str">
        <f>IF('Basic Data'!K51="","",'Basic Data'!K51)</f>
        <v/>
      </c>
      <c r="J25" s="242" t="str">
        <f>IF('Basic Data'!L51="","",'Basic Data'!L51)</f>
        <v/>
      </c>
      <c r="K25" s="241" t="str">
        <f>IF('Basic Data'!M51="","",'Basic Data'!M51)</f>
        <v/>
      </c>
      <c r="L25" s="242" t="str">
        <f>IF('Basic Data'!N51="","",'Basic Data'!N51)</f>
        <v/>
      </c>
    </row>
    <row r="26" spans="1:12" x14ac:dyDescent="0.25">
      <c r="A26" s="405" t="s">
        <v>787</v>
      </c>
      <c r="B26" s="445" t="str">
        <f>IF('Basic Data'!D52="","",'Basic Data'!D52)</f>
        <v/>
      </c>
      <c r="C26" s="444"/>
      <c r="D26" s="240"/>
      <c r="E26" s="240"/>
      <c r="F26" s="239" t="str">
        <f>IF('Basic Data'!H52="","",'Basic Data'!H52)</f>
        <v/>
      </c>
      <c r="G26" s="239" t="str">
        <f>IF('Basic Data'!I52="","",'Basic Data'!I52)</f>
        <v/>
      </c>
      <c r="H26" s="242" t="str">
        <f>IF('Basic Data'!J52="","",'Basic Data'!J52)</f>
        <v/>
      </c>
      <c r="I26" s="241" t="str">
        <f>IF('Basic Data'!K52="","",'Basic Data'!K52)</f>
        <v/>
      </c>
      <c r="J26" s="242" t="str">
        <f>IF('Basic Data'!L52="","",'Basic Data'!L52)</f>
        <v/>
      </c>
      <c r="K26" s="241" t="str">
        <f>IF('Basic Data'!M52="","",'Basic Data'!M52)</f>
        <v/>
      </c>
      <c r="L26" s="242" t="str">
        <f>IF('Basic Data'!N52="","",'Basic Data'!N52)</f>
        <v/>
      </c>
    </row>
    <row r="27" spans="1:12" x14ac:dyDescent="0.25">
      <c r="A27" s="405" t="s">
        <v>788</v>
      </c>
      <c r="B27" s="445" t="str">
        <f>IF('Basic Data'!D53="","",'Basic Data'!D53)</f>
        <v/>
      </c>
      <c r="C27" s="444"/>
      <c r="D27" s="240"/>
      <c r="E27" s="240"/>
      <c r="F27" s="239" t="str">
        <f>IF('Basic Data'!H53="","",'Basic Data'!H53)</f>
        <v/>
      </c>
      <c r="G27" s="239" t="str">
        <f>IF('Basic Data'!I53="","",'Basic Data'!I53)</f>
        <v/>
      </c>
      <c r="H27" s="242" t="str">
        <f>IF('Basic Data'!J53="","",'Basic Data'!J53)</f>
        <v/>
      </c>
      <c r="I27" s="241" t="str">
        <f>IF('Basic Data'!K53="","",'Basic Data'!K53)</f>
        <v/>
      </c>
      <c r="J27" s="242" t="str">
        <f>IF('Basic Data'!L53="","",'Basic Data'!L53)</f>
        <v/>
      </c>
      <c r="K27" s="241" t="str">
        <f>IF('Basic Data'!M53="","",'Basic Data'!M53)</f>
        <v/>
      </c>
      <c r="L27" s="242" t="str">
        <f>IF('Basic Data'!N53="","",'Basic Data'!N53)</f>
        <v/>
      </c>
    </row>
    <row r="28" spans="1:12" ht="15" customHeight="1" x14ac:dyDescent="0.25">
      <c r="A28" s="405" t="s">
        <v>789</v>
      </c>
      <c r="B28" s="445" t="str">
        <f>IF('Basic Data'!D54="","",'Basic Data'!D54)</f>
        <v/>
      </c>
      <c r="C28" s="444"/>
      <c r="D28" s="240"/>
      <c r="E28" s="240"/>
      <c r="F28" s="239" t="str">
        <f>IF('Basic Data'!H54="","",'Basic Data'!H54)</f>
        <v/>
      </c>
      <c r="G28" s="239" t="str">
        <f>IF('Basic Data'!I54="","",'Basic Data'!I54)</f>
        <v/>
      </c>
      <c r="H28" s="242" t="str">
        <f>IF('Basic Data'!J54="","",'Basic Data'!J54)</f>
        <v/>
      </c>
      <c r="I28" s="241" t="str">
        <f>IF('Basic Data'!K54="","",'Basic Data'!K54)</f>
        <v/>
      </c>
      <c r="J28" s="242" t="str">
        <f>IF('Basic Data'!L54="","",'Basic Data'!L54)</f>
        <v/>
      </c>
      <c r="K28" s="241" t="str">
        <f>IF('Basic Data'!M54="","",'Basic Data'!M54)</f>
        <v/>
      </c>
      <c r="L28" s="242" t="str">
        <f>IF('Basic Data'!N54="","",'Basic Data'!N54)</f>
        <v/>
      </c>
    </row>
    <row r="29" spans="1:12" x14ac:dyDescent="0.25">
      <c r="A29" s="405" t="s">
        <v>374</v>
      </c>
      <c r="B29" s="445" t="str">
        <f>IF('Basic Data'!D55="","",'Basic Data'!D55)</f>
        <v/>
      </c>
      <c r="C29" s="443" t="str">
        <f>IF('Basic Data'!E55="","",'Basic Data'!E55)</f>
        <v/>
      </c>
      <c r="D29" s="239" t="str">
        <f>IF('Basic Data'!F55="","",'Basic Data'!F55)</f>
        <v/>
      </c>
      <c r="E29" s="239" t="str">
        <f>IF('Basic Data'!G55="","",'Basic Data'!G55)</f>
        <v/>
      </c>
      <c r="F29" s="239" t="str">
        <f>IF('Basic Data'!H55="","",'Basic Data'!H55)</f>
        <v/>
      </c>
      <c r="G29" s="239" t="str">
        <f>IF('Basic Data'!I55="","",'Basic Data'!I55)</f>
        <v/>
      </c>
      <c r="H29" s="242" t="str">
        <f>IF('Basic Data'!J55="","",'Basic Data'!J55)</f>
        <v/>
      </c>
      <c r="I29" s="241" t="str">
        <f>IF('Basic Data'!K55="","",'Basic Data'!K55)</f>
        <v/>
      </c>
      <c r="J29" s="242" t="str">
        <f>IF('Basic Data'!L55="","",'Basic Data'!L55)</f>
        <v/>
      </c>
      <c r="K29" s="241" t="str">
        <f>IF('Basic Data'!M55="","",'Basic Data'!M55)</f>
        <v/>
      </c>
      <c r="L29" s="242" t="str">
        <f>IF('Basic Data'!N55="","",'Basic Data'!N55)</f>
        <v/>
      </c>
    </row>
    <row r="30" spans="1:12" ht="15.75" customHeight="1" thickBot="1" x14ac:dyDescent="0.3">
      <c r="A30" s="406"/>
      <c r="B30" s="656" t="str">
        <f>IF('Basic Data'!D56="","",'Basic Data'!D56)</f>
        <v/>
      </c>
      <c r="C30" s="658"/>
      <c r="D30" s="658"/>
      <c r="E30" s="658"/>
      <c r="F30" s="658"/>
      <c r="G30" s="658"/>
      <c r="H30" s="657"/>
      <c r="I30" s="656" t="str">
        <f>IF('Basic Data'!K56="","",'Basic Data'!K56)</f>
        <v/>
      </c>
      <c r="J30" s="657"/>
      <c r="K30" s="656" t="str">
        <f>IF('Basic Data'!M56="","",'Basic Data'!M56)</f>
        <v/>
      </c>
      <c r="L30" s="657"/>
    </row>
  </sheetData>
  <mergeCells count="3">
    <mergeCell ref="K30:L30"/>
    <mergeCell ref="I30:J30"/>
    <mergeCell ref="B30:H30"/>
  </mergeCells>
  <phoneticPr fontId="35" type="noConversion"/>
  <dataValidations count="1">
    <dataValidation allowBlank="1" showInputMessage="1" showErrorMessage="1" errorTitle="Eingabefehler" error="1) Ganze Zahl eingeben." sqref="J25:J29 J3:K24 L3:L29 I3:I30 K25:K30 B30 C3:H29" xr:uid="{00000000-0002-0000-0300-000000000000}"/>
  </dataValidation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9E41D-6FDC-475F-89D1-019847B36F62}">
  <sheetPr>
    <pageSetUpPr fitToPage="1"/>
  </sheetPr>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45.7109375" customWidth="1"/>
    <col min="3" max="5" width="21.28515625" customWidth="1"/>
    <col min="9" max="11" width="9.140625" style="464" hidden="1" customWidth="1"/>
  </cols>
  <sheetData>
    <row r="1" spans="1:11" ht="7.5" customHeight="1" x14ac:dyDescent="0.25"/>
    <row r="2" spans="1:11" x14ac:dyDescent="0.25">
      <c r="A2" s="465" t="str">
        <f>'Basic Data'!A2</f>
        <v>Annex CR Version K1.1 (Audit year 2026 / Indicator year 2025)</v>
      </c>
    </row>
    <row r="3" spans="1:11" ht="15.75" x14ac:dyDescent="0.25">
      <c r="A3" s="466" t="s">
        <v>942</v>
      </c>
    </row>
    <row r="4" spans="1:11" ht="15.95" customHeight="1" thickBot="1" x14ac:dyDescent="0.3"/>
    <row r="5" spans="1:11" ht="18" customHeight="1" thickBot="1" x14ac:dyDescent="0.3">
      <c r="D5" s="467" t="s">
        <v>943</v>
      </c>
      <c r="E5" s="468">
        <f>SUM(K11:K60)</f>
        <v>0</v>
      </c>
    </row>
    <row r="7" spans="1:11" ht="35.25" customHeight="1" x14ac:dyDescent="0.25">
      <c r="A7" s="659" t="s">
        <v>916</v>
      </c>
      <c r="B7" s="660"/>
      <c r="C7" s="660"/>
      <c r="D7" s="660"/>
      <c r="E7" s="660"/>
    </row>
    <row r="8" spans="1:11" ht="8.25" customHeight="1" thickBot="1" x14ac:dyDescent="0.3"/>
    <row r="9" spans="1:11" ht="18.75" customHeight="1" x14ac:dyDescent="0.25">
      <c r="A9" s="661" t="s">
        <v>917</v>
      </c>
      <c r="B9" s="663" t="s">
        <v>918</v>
      </c>
      <c r="C9" s="663" t="s">
        <v>919</v>
      </c>
      <c r="D9" s="663"/>
      <c r="E9" s="665"/>
    </row>
    <row r="10" spans="1:11" ht="51.75" customHeight="1" thickBot="1" x14ac:dyDescent="0.3">
      <c r="A10" s="662"/>
      <c r="B10" s="664"/>
      <c r="C10" s="469" t="s">
        <v>920</v>
      </c>
      <c r="D10" s="469" t="s">
        <v>947</v>
      </c>
      <c r="E10" s="470" t="s">
        <v>921</v>
      </c>
    </row>
    <row r="11" spans="1:11" ht="26.1" customHeight="1" x14ac:dyDescent="0.25">
      <c r="A11" s="471"/>
      <c r="B11" s="472"/>
      <c r="C11" s="473"/>
      <c r="D11" s="473"/>
      <c r="E11" s="474"/>
      <c r="I11" s="464">
        <f>IF(A11&lt;&gt;"",1,0)</f>
        <v>0</v>
      </c>
      <c r="J11" s="464">
        <f>IF(B11&lt;&gt;"",1,0)</f>
        <v>0</v>
      </c>
      <c r="K11" s="464" t="str">
        <f>IF(AND(SUM($C$11:$C$60)&gt;=1,SUM(I11:J11)=2),SUM(C11:E11),"")</f>
        <v/>
      </c>
    </row>
    <row r="12" spans="1:11" ht="26.1" customHeight="1" x14ac:dyDescent="0.25">
      <c r="A12" s="471"/>
      <c r="B12" s="472"/>
      <c r="C12" s="473"/>
      <c r="D12" s="473"/>
      <c r="E12" s="474"/>
      <c r="I12" s="464">
        <f t="shared" ref="I12:I60" si="0">IF(A12&lt;&gt;"",1,0)</f>
        <v>0</v>
      </c>
      <c r="J12" s="464">
        <f t="shared" ref="J12:J60" si="1">IF(B12&lt;&gt;"",1,0)</f>
        <v>0</v>
      </c>
      <c r="K12" s="464" t="str">
        <f t="shared" ref="K12:K60" si="2">IF(AND(SUM($C$11:$C$60)&gt;=1,SUM(I12:J12)=2),SUM(C12:E12),"")</f>
        <v/>
      </c>
    </row>
    <row r="13" spans="1:11" ht="26.1" customHeight="1" x14ac:dyDescent="0.25">
      <c r="A13" s="471"/>
      <c r="B13" s="472"/>
      <c r="C13" s="473"/>
      <c r="D13" s="473"/>
      <c r="E13" s="474"/>
      <c r="I13" s="464">
        <f t="shared" si="0"/>
        <v>0</v>
      </c>
      <c r="J13" s="464">
        <f t="shared" si="1"/>
        <v>0</v>
      </c>
      <c r="K13" s="464" t="str">
        <f t="shared" si="2"/>
        <v/>
      </c>
    </row>
    <row r="14" spans="1:11" ht="26.1" customHeight="1" x14ac:dyDescent="0.25">
      <c r="A14" s="471"/>
      <c r="B14" s="472"/>
      <c r="C14" s="473"/>
      <c r="D14" s="473"/>
      <c r="E14" s="474"/>
      <c r="I14" s="464">
        <f t="shared" si="0"/>
        <v>0</v>
      </c>
      <c r="J14" s="464">
        <f t="shared" si="1"/>
        <v>0</v>
      </c>
      <c r="K14" s="464" t="str">
        <f t="shared" si="2"/>
        <v/>
      </c>
    </row>
    <row r="15" spans="1:11" ht="26.1" customHeight="1" x14ac:dyDescent="0.25">
      <c r="A15" s="471"/>
      <c r="B15" s="472"/>
      <c r="C15" s="473"/>
      <c r="D15" s="473"/>
      <c r="E15" s="474"/>
      <c r="I15" s="464">
        <f t="shared" si="0"/>
        <v>0</v>
      </c>
      <c r="J15" s="464">
        <f t="shared" si="1"/>
        <v>0</v>
      </c>
      <c r="K15" s="464" t="str">
        <f t="shared" si="2"/>
        <v/>
      </c>
    </row>
    <row r="16" spans="1:11" ht="26.1" customHeight="1" x14ac:dyDescent="0.25">
      <c r="A16" s="471"/>
      <c r="B16" s="472"/>
      <c r="C16" s="473"/>
      <c r="D16" s="473"/>
      <c r="E16" s="474"/>
      <c r="I16" s="464">
        <f t="shared" si="0"/>
        <v>0</v>
      </c>
      <c r="J16" s="464">
        <f t="shared" si="1"/>
        <v>0</v>
      </c>
      <c r="K16" s="464" t="str">
        <f t="shared" si="2"/>
        <v/>
      </c>
    </row>
    <row r="17" spans="1:11" ht="26.1" customHeight="1" x14ac:dyDescent="0.25">
      <c r="A17" s="471"/>
      <c r="B17" s="472"/>
      <c r="C17" s="473"/>
      <c r="D17" s="473"/>
      <c r="E17" s="474"/>
      <c r="I17" s="464">
        <f t="shared" si="0"/>
        <v>0</v>
      </c>
      <c r="J17" s="464">
        <f t="shared" si="1"/>
        <v>0</v>
      </c>
      <c r="K17" s="464" t="str">
        <f t="shared" si="2"/>
        <v/>
      </c>
    </row>
    <row r="18" spans="1:11" ht="26.1" customHeight="1" x14ac:dyDescent="0.25">
      <c r="A18" s="471"/>
      <c r="B18" s="472"/>
      <c r="C18" s="473"/>
      <c r="D18" s="473"/>
      <c r="E18" s="474"/>
      <c r="I18" s="464">
        <f t="shared" si="0"/>
        <v>0</v>
      </c>
      <c r="J18" s="464">
        <f t="shared" si="1"/>
        <v>0</v>
      </c>
      <c r="K18" s="464" t="str">
        <f t="shared" si="2"/>
        <v/>
      </c>
    </row>
    <row r="19" spans="1:11" ht="26.1" customHeight="1" x14ac:dyDescent="0.25">
      <c r="A19" s="471"/>
      <c r="B19" s="472"/>
      <c r="C19" s="473"/>
      <c r="D19" s="473"/>
      <c r="E19" s="474"/>
      <c r="I19" s="464">
        <f t="shared" si="0"/>
        <v>0</v>
      </c>
      <c r="J19" s="464">
        <f t="shared" si="1"/>
        <v>0</v>
      </c>
      <c r="K19" s="464" t="str">
        <f t="shared" si="2"/>
        <v/>
      </c>
    </row>
    <row r="20" spans="1:11" ht="26.1" customHeight="1" x14ac:dyDescent="0.25">
      <c r="A20" s="471"/>
      <c r="B20" s="472"/>
      <c r="C20" s="473"/>
      <c r="D20" s="473"/>
      <c r="E20" s="474"/>
      <c r="I20" s="464">
        <f t="shared" si="0"/>
        <v>0</v>
      </c>
      <c r="J20" s="464">
        <f t="shared" si="1"/>
        <v>0</v>
      </c>
      <c r="K20" s="464" t="str">
        <f t="shared" si="2"/>
        <v/>
      </c>
    </row>
    <row r="21" spans="1:11" ht="26.1" customHeight="1" x14ac:dyDescent="0.25">
      <c r="A21" s="471"/>
      <c r="B21" s="472"/>
      <c r="C21" s="473"/>
      <c r="D21" s="473"/>
      <c r="E21" s="474"/>
      <c r="I21" s="464">
        <f t="shared" si="0"/>
        <v>0</v>
      </c>
      <c r="J21" s="464">
        <f t="shared" si="1"/>
        <v>0</v>
      </c>
      <c r="K21" s="464" t="str">
        <f t="shared" si="2"/>
        <v/>
      </c>
    </row>
    <row r="22" spans="1:11" ht="26.1" customHeight="1" x14ac:dyDescent="0.25">
      <c r="A22" s="471"/>
      <c r="B22" s="472"/>
      <c r="C22" s="473"/>
      <c r="D22" s="473"/>
      <c r="E22" s="474"/>
      <c r="I22" s="464">
        <f t="shared" si="0"/>
        <v>0</v>
      </c>
      <c r="J22" s="464">
        <f t="shared" si="1"/>
        <v>0</v>
      </c>
      <c r="K22" s="464" t="str">
        <f t="shared" si="2"/>
        <v/>
      </c>
    </row>
    <row r="23" spans="1:11" ht="26.1" customHeight="1" x14ac:dyDescent="0.25">
      <c r="A23" s="471"/>
      <c r="B23" s="472"/>
      <c r="C23" s="473"/>
      <c r="D23" s="473"/>
      <c r="E23" s="474"/>
      <c r="I23" s="464">
        <f t="shared" si="0"/>
        <v>0</v>
      </c>
      <c r="J23" s="464">
        <f t="shared" si="1"/>
        <v>0</v>
      </c>
      <c r="K23" s="464" t="str">
        <f t="shared" si="2"/>
        <v/>
      </c>
    </row>
    <row r="24" spans="1:11" ht="26.1" customHeight="1" x14ac:dyDescent="0.25">
      <c r="A24" s="471"/>
      <c r="B24" s="472"/>
      <c r="C24" s="473"/>
      <c r="D24" s="473"/>
      <c r="E24" s="474"/>
      <c r="I24" s="464">
        <f t="shared" si="0"/>
        <v>0</v>
      </c>
      <c r="J24" s="464">
        <f t="shared" si="1"/>
        <v>0</v>
      </c>
      <c r="K24" s="464" t="str">
        <f t="shared" si="2"/>
        <v/>
      </c>
    </row>
    <row r="25" spans="1:11" ht="26.1" customHeight="1" x14ac:dyDescent="0.25">
      <c r="A25" s="471"/>
      <c r="B25" s="472"/>
      <c r="C25" s="473"/>
      <c r="D25" s="473"/>
      <c r="E25" s="474"/>
      <c r="I25" s="464">
        <f t="shared" si="0"/>
        <v>0</v>
      </c>
      <c r="J25" s="464">
        <f t="shared" si="1"/>
        <v>0</v>
      </c>
      <c r="K25" s="464" t="str">
        <f t="shared" si="2"/>
        <v/>
      </c>
    </row>
    <row r="26" spans="1:11" ht="26.1" customHeight="1" x14ac:dyDescent="0.25">
      <c r="A26" s="471"/>
      <c r="B26" s="472"/>
      <c r="C26" s="473"/>
      <c r="D26" s="473"/>
      <c r="E26" s="474"/>
      <c r="I26" s="464">
        <f t="shared" si="0"/>
        <v>0</v>
      </c>
      <c r="J26" s="464">
        <f t="shared" si="1"/>
        <v>0</v>
      </c>
      <c r="K26" s="464" t="str">
        <f t="shared" si="2"/>
        <v/>
      </c>
    </row>
    <row r="27" spans="1:11" ht="26.1" customHeight="1" x14ac:dyDescent="0.25">
      <c r="A27" s="471"/>
      <c r="B27" s="472"/>
      <c r="C27" s="473"/>
      <c r="D27" s="473"/>
      <c r="E27" s="474"/>
      <c r="I27" s="464">
        <f t="shared" si="0"/>
        <v>0</v>
      </c>
      <c r="J27" s="464">
        <f t="shared" si="1"/>
        <v>0</v>
      </c>
      <c r="K27" s="464" t="str">
        <f t="shared" si="2"/>
        <v/>
      </c>
    </row>
    <row r="28" spans="1:11" ht="26.1" customHeight="1" x14ac:dyDescent="0.25">
      <c r="A28" s="471"/>
      <c r="B28" s="472"/>
      <c r="C28" s="473"/>
      <c r="D28" s="473"/>
      <c r="E28" s="474"/>
      <c r="I28" s="464">
        <f t="shared" si="0"/>
        <v>0</v>
      </c>
      <c r="J28" s="464">
        <f t="shared" si="1"/>
        <v>0</v>
      </c>
      <c r="K28" s="464" t="str">
        <f t="shared" si="2"/>
        <v/>
      </c>
    </row>
    <row r="29" spans="1:11" ht="26.1" customHeight="1" x14ac:dyDescent="0.25">
      <c r="A29" s="471"/>
      <c r="B29" s="472"/>
      <c r="C29" s="473"/>
      <c r="D29" s="473"/>
      <c r="E29" s="474"/>
      <c r="I29" s="464">
        <f t="shared" si="0"/>
        <v>0</v>
      </c>
      <c r="J29" s="464">
        <f t="shared" si="1"/>
        <v>0</v>
      </c>
      <c r="K29" s="464" t="str">
        <f t="shared" si="2"/>
        <v/>
      </c>
    </row>
    <row r="30" spans="1:11" ht="26.1" customHeight="1" x14ac:dyDescent="0.25">
      <c r="A30" s="471"/>
      <c r="B30" s="472"/>
      <c r="C30" s="473"/>
      <c r="D30" s="473"/>
      <c r="E30" s="474"/>
      <c r="I30" s="464">
        <f t="shared" si="0"/>
        <v>0</v>
      </c>
      <c r="J30" s="464">
        <f t="shared" si="1"/>
        <v>0</v>
      </c>
      <c r="K30" s="464" t="str">
        <f t="shared" si="2"/>
        <v/>
      </c>
    </row>
    <row r="31" spans="1:11" ht="26.1" customHeight="1" x14ac:dyDescent="0.25">
      <c r="A31" s="471"/>
      <c r="B31" s="472"/>
      <c r="C31" s="473"/>
      <c r="D31" s="473"/>
      <c r="E31" s="474"/>
      <c r="I31" s="464">
        <f t="shared" si="0"/>
        <v>0</v>
      </c>
      <c r="J31" s="464">
        <f t="shared" si="1"/>
        <v>0</v>
      </c>
      <c r="K31" s="464" t="str">
        <f t="shared" si="2"/>
        <v/>
      </c>
    </row>
    <row r="32" spans="1:11" ht="26.1" customHeight="1" x14ac:dyDescent="0.25">
      <c r="A32" s="471"/>
      <c r="B32" s="472"/>
      <c r="C32" s="473"/>
      <c r="D32" s="473"/>
      <c r="E32" s="474"/>
      <c r="I32" s="464">
        <f t="shared" si="0"/>
        <v>0</v>
      </c>
      <c r="J32" s="464">
        <f t="shared" si="1"/>
        <v>0</v>
      </c>
      <c r="K32" s="464" t="str">
        <f t="shared" si="2"/>
        <v/>
      </c>
    </row>
    <row r="33" spans="1:11" ht="26.1" customHeight="1" x14ac:dyDescent="0.25">
      <c r="A33" s="471"/>
      <c r="B33" s="472"/>
      <c r="C33" s="473"/>
      <c r="D33" s="473"/>
      <c r="E33" s="474"/>
      <c r="I33" s="464">
        <f t="shared" si="0"/>
        <v>0</v>
      </c>
      <c r="J33" s="464">
        <f t="shared" si="1"/>
        <v>0</v>
      </c>
      <c r="K33" s="464" t="str">
        <f t="shared" si="2"/>
        <v/>
      </c>
    </row>
    <row r="34" spans="1:11" ht="26.1" customHeight="1" x14ac:dyDescent="0.25">
      <c r="A34" s="471"/>
      <c r="B34" s="472"/>
      <c r="C34" s="473"/>
      <c r="D34" s="473"/>
      <c r="E34" s="474"/>
      <c r="I34" s="464">
        <f t="shared" si="0"/>
        <v>0</v>
      </c>
      <c r="J34" s="464">
        <f t="shared" si="1"/>
        <v>0</v>
      </c>
      <c r="K34" s="464" t="str">
        <f t="shared" si="2"/>
        <v/>
      </c>
    </row>
    <row r="35" spans="1:11" ht="26.1" customHeight="1" x14ac:dyDescent="0.25">
      <c r="A35" s="471"/>
      <c r="B35" s="472"/>
      <c r="C35" s="473"/>
      <c r="D35" s="473"/>
      <c r="E35" s="474"/>
      <c r="I35" s="464">
        <f t="shared" si="0"/>
        <v>0</v>
      </c>
      <c r="J35" s="464">
        <f t="shared" si="1"/>
        <v>0</v>
      </c>
      <c r="K35" s="464" t="str">
        <f t="shared" si="2"/>
        <v/>
      </c>
    </row>
    <row r="36" spans="1:11" ht="26.1" customHeight="1" x14ac:dyDescent="0.25">
      <c r="A36" s="471"/>
      <c r="B36" s="472"/>
      <c r="C36" s="473"/>
      <c r="D36" s="473"/>
      <c r="E36" s="474"/>
      <c r="I36" s="464">
        <f t="shared" si="0"/>
        <v>0</v>
      </c>
      <c r="J36" s="464">
        <f t="shared" si="1"/>
        <v>0</v>
      </c>
      <c r="K36" s="464" t="str">
        <f t="shared" si="2"/>
        <v/>
      </c>
    </row>
    <row r="37" spans="1:11" ht="26.1" customHeight="1" x14ac:dyDescent="0.25">
      <c r="A37" s="471"/>
      <c r="B37" s="472"/>
      <c r="C37" s="473"/>
      <c r="D37" s="473"/>
      <c r="E37" s="474"/>
      <c r="I37" s="464">
        <f t="shared" si="0"/>
        <v>0</v>
      </c>
      <c r="J37" s="464">
        <f t="shared" si="1"/>
        <v>0</v>
      </c>
      <c r="K37" s="464" t="str">
        <f t="shared" si="2"/>
        <v/>
      </c>
    </row>
    <row r="38" spans="1:11" ht="26.1" customHeight="1" x14ac:dyDescent="0.25">
      <c r="A38" s="471"/>
      <c r="B38" s="472"/>
      <c r="C38" s="473"/>
      <c r="D38" s="473"/>
      <c r="E38" s="474"/>
      <c r="I38" s="464">
        <f t="shared" si="0"/>
        <v>0</v>
      </c>
      <c r="J38" s="464">
        <f t="shared" si="1"/>
        <v>0</v>
      </c>
      <c r="K38" s="464" t="str">
        <f t="shared" si="2"/>
        <v/>
      </c>
    </row>
    <row r="39" spans="1:11" ht="26.1" customHeight="1" x14ac:dyDescent="0.25">
      <c r="A39" s="471"/>
      <c r="B39" s="472"/>
      <c r="C39" s="473"/>
      <c r="D39" s="473"/>
      <c r="E39" s="474"/>
      <c r="I39" s="464">
        <f t="shared" si="0"/>
        <v>0</v>
      </c>
      <c r="J39" s="464">
        <f t="shared" si="1"/>
        <v>0</v>
      </c>
      <c r="K39" s="464" t="str">
        <f t="shared" si="2"/>
        <v/>
      </c>
    </row>
    <row r="40" spans="1:11" ht="26.1" customHeight="1" x14ac:dyDescent="0.25">
      <c r="A40" s="471"/>
      <c r="B40" s="472"/>
      <c r="C40" s="473"/>
      <c r="D40" s="473"/>
      <c r="E40" s="474"/>
      <c r="I40" s="464">
        <f t="shared" si="0"/>
        <v>0</v>
      </c>
      <c r="J40" s="464">
        <f t="shared" si="1"/>
        <v>0</v>
      </c>
      <c r="K40" s="464" t="str">
        <f t="shared" si="2"/>
        <v/>
      </c>
    </row>
    <row r="41" spans="1:11" ht="26.1" customHeight="1" x14ac:dyDescent="0.25">
      <c r="A41" s="471"/>
      <c r="B41" s="472"/>
      <c r="C41" s="473"/>
      <c r="D41" s="473"/>
      <c r="E41" s="474"/>
      <c r="I41" s="464">
        <f t="shared" si="0"/>
        <v>0</v>
      </c>
      <c r="J41" s="464">
        <f t="shared" si="1"/>
        <v>0</v>
      </c>
      <c r="K41" s="464" t="str">
        <f t="shared" si="2"/>
        <v/>
      </c>
    </row>
    <row r="42" spans="1:11" ht="26.1" customHeight="1" x14ac:dyDescent="0.25">
      <c r="A42" s="471"/>
      <c r="B42" s="472"/>
      <c r="C42" s="473"/>
      <c r="D42" s="473"/>
      <c r="E42" s="474"/>
      <c r="I42" s="464">
        <f t="shared" si="0"/>
        <v>0</v>
      </c>
      <c r="J42" s="464">
        <f t="shared" si="1"/>
        <v>0</v>
      </c>
      <c r="K42" s="464" t="str">
        <f t="shared" si="2"/>
        <v/>
      </c>
    </row>
    <row r="43" spans="1:11" ht="26.1" customHeight="1" x14ac:dyDescent="0.25">
      <c r="A43" s="471"/>
      <c r="B43" s="472"/>
      <c r="C43" s="473"/>
      <c r="D43" s="473"/>
      <c r="E43" s="474"/>
      <c r="I43" s="464">
        <f t="shared" si="0"/>
        <v>0</v>
      </c>
      <c r="J43" s="464">
        <f t="shared" si="1"/>
        <v>0</v>
      </c>
      <c r="K43" s="464" t="str">
        <f t="shared" si="2"/>
        <v/>
      </c>
    </row>
    <row r="44" spans="1:11" ht="26.1" customHeight="1" x14ac:dyDescent="0.25">
      <c r="A44" s="471"/>
      <c r="B44" s="472"/>
      <c r="C44" s="473"/>
      <c r="D44" s="473"/>
      <c r="E44" s="474"/>
      <c r="I44" s="464">
        <f t="shared" si="0"/>
        <v>0</v>
      </c>
      <c r="J44" s="464">
        <f t="shared" si="1"/>
        <v>0</v>
      </c>
      <c r="K44" s="464" t="str">
        <f t="shared" si="2"/>
        <v/>
      </c>
    </row>
    <row r="45" spans="1:11" ht="26.1" customHeight="1" x14ac:dyDescent="0.25">
      <c r="A45" s="471"/>
      <c r="B45" s="472"/>
      <c r="C45" s="473"/>
      <c r="D45" s="473"/>
      <c r="E45" s="474"/>
      <c r="I45" s="464">
        <f t="shared" si="0"/>
        <v>0</v>
      </c>
      <c r="J45" s="464">
        <f t="shared" si="1"/>
        <v>0</v>
      </c>
      <c r="K45" s="464" t="str">
        <f t="shared" si="2"/>
        <v/>
      </c>
    </row>
    <row r="46" spans="1:11" ht="26.1" customHeight="1" x14ac:dyDescent="0.25">
      <c r="A46" s="471"/>
      <c r="B46" s="472"/>
      <c r="C46" s="473"/>
      <c r="D46" s="473"/>
      <c r="E46" s="474"/>
      <c r="I46" s="464">
        <f t="shared" si="0"/>
        <v>0</v>
      </c>
      <c r="J46" s="464">
        <f t="shared" si="1"/>
        <v>0</v>
      </c>
      <c r="K46" s="464" t="str">
        <f t="shared" si="2"/>
        <v/>
      </c>
    </row>
    <row r="47" spans="1:11" ht="26.1" customHeight="1" x14ac:dyDescent="0.25">
      <c r="A47" s="471"/>
      <c r="B47" s="472"/>
      <c r="C47" s="473"/>
      <c r="D47" s="473"/>
      <c r="E47" s="474"/>
      <c r="I47" s="464">
        <f t="shared" si="0"/>
        <v>0</v>
      </c>
      <c r="J47" s="464">
        <f t="shared" si="1"/>
        <v>0</v>
      </c>
      <c r="K47" s="464" t="str">
        <f t="shared" si="2"/>
        <v/>
      </c>
    </row>
    <row r="48" spans="1:11" ht="26.1" customHeight="1" x14ac:dyDescent="0.25">
      <c r="A48" s="471"/>
      <c r="B48" s="472"/>
      <c r="C48" s="473"/>
      <c r="D48" s="473"/>
      <c r="E48" s="474"/>
      <c r="I48" s="464">
        <f t="shared" si="0"/>
        <v>0</v>
      </c>
      <c r="J48" s="464">
        <f t="shared" si="1"/>
        <v>0</v>
      </c>
      <c r="K48" s="464" t="str">
        <f t="shared" si="2"/>
        <v/>
      </c>
    </row>
    <row r="49" spans="1:11" ht="26.1" customHeight="1" x14ac:dyDescent="0.25">
      <c r="A49" s="471"/>
      <c r="B49" s="472"/>
      <c r="C49" s="473"/>
      <c r="D49" s="473"/>
      <c r="E49" s="474"/>
      <c r="I49" s="464">
        <f t="shared" si="0"/>
        <v>0</v>
      </c>
      <c r="J49" s="464">
        <f t="shared" si="1"/>
        <v>0</v>
      </c>
      <c r="K49" s="464" t="str">
        <f t="shared" si="2"/>
        <v/>
      </c>
    </row>
    <row r="50" spans="1:11" ht="26.1" customHeight="1" x14ac:dyDescent="0.25">
      <c r="A50" s="471"/>
      <c r="B50" s="472"/>
      <c r="C50" s="473"/>
      <c r="D50" s="473"/>
      <c r="E50" s="474"/>
      <c r="I50" s="464">
        <f t="shared" si="0"/>
        <v>0</v>
      </c>
      <c r="J50" s="464">
        <f t="shared" si="1"/>
        <v>0</v>
      </c>
      <c r="K50" s="464" t="str">
        <f t="shared" si="2"/>
        <v/>
      </c>
    </row>
    <row r="51" spans="1:11" ht="26.1" customHeight="1" x14ac:dyDescent="0.25">
      <c r="A51" s="471"/>
      <c r="B51" s="472"/>
      <c r="C51" s="473"/>
      <c r="D51" s="473"/>
      <c r="E51" s="474"/>
      <c r="I51" s="464">
        <f t="shared" si="0"/>
        <v>0</v>
      </c>
      <c r="J51" s="464">
        <f t="shared" si="1"/>
        <v>0</v>
      </c>
      <c r="K51" s="464" t="str">
        <f t="shared" si="2"/>
        <v/>
      </c>
    </row>
    <row r="52" spans="1:11" ht="26.1" customHeight="1" x14ac:dyDescent="0.25">
      <c r="A52" s="471"/>
      <c r="B52" s="472"/>
      <c r="C52" s="473"/>
      <c r="D52" s="473"/>
      <c r="E52" s="474"/>
      <c r="I52" s="464">
        <f t="shared" si="0"/>
        <v>0</v>
      </c>
      <c r="J52" s="464">
        <f t="shared" si="1"/>
        <v>0</v>
      </c>
      <c r="K52" s="464" t="str">
        <f t="shared" si="2"/>
        <v/>
      </c>
    </row>
    <row r="53" spans="1:11" ht="26.1" customHeight="1" x14ac:dyDescent="0.25">
      <c r="A53" s="471"/>
      <c r="B53" s="472"/>
      <c r="C53" s="473"/>
      <c r="D53" s="473"/>
      <c r="E53" s="474"/>
      <c r="I53" s="464">
        <f t="shared" si="0"/>
        <v>0</v>
      </c>
      <c r="J53" s="464">
        <f t="shared" si="1"/>
        <v>0</v>
      </c>
      <c r="K53" s="464" t="str">
        <f t="shared" si="2"/>
        <v/>
      </c>
    </row>
    <row r="54" spans="1:11" ht="26.1" customHeight="1" x14ac:dyDescent="0.25">
      <c r="A54" s="471"/>
      <c r="B54" s="472"/>
      <c r="C54" s="473"/>
      <c r="D54" s="473"/>
      <c r="E54" s="474"/>
      <c r="I54" s="464">
        <f t="shared" si="0"/>
        <v>0</v>
      </c>
      <c r="J54" s="464">
        <f t="shared" si="1"/>
        <v>0</v>
      </c>
      <c r="K54" s="464" t="str">
        <f t="shared" si="2"/>
        <v/>
      </c>
    </row>
    <row r="55" spans="1:11" ht="26.1" customHeight="1" x14ac:dyDescent="0.25">
      <c r="A55" s="471"/>
      <c r="B55" s="472"/>
      <c r="C55" s="473"/>
      <c r="D55" s="473"/>
      <c r="E55" s="474"/>
      <c r="I55" s="464">
        <f t="shared" si="0"/>
        <v>0</v>
      </c>
      <c r="J55" s="464">
        <f t="shared" si="1"/>
        <v>0</v>
      </c>
      <c r="K55" s="464" t="str">
        <f t="shared" si="2"/>
        <v/>
      </c>
    </row>
    <row r="56" spans="1:11" ht="26.1" customHeight="1" x14ac:dyDescent="0.25">
      <c r="A56" s="471"/>
      <c r="B56" s="472"/>
      <c r="C56" s="473"/>
      <c r="D56" s="473"/>
      <c r="E56" s="474"/>
      <c r="I56" s="464">
        <f t="shared" si="0"/>
        <v>0</v>
      </c>
      <c r="J56" s="464">
        <f t="shared" si="1"/>
        <v>0</v>
      </c>
      <c r="K56" s="464" t="str">
        <f t="shared" si="2"/>
        <v/>
      </c>
    </row>
    <row r="57" spans="1:11" ht="26.1" customHeight="1" x14ac:dyDescent="0.25">
      <c r="A57" s="471"/>
      <c r="B57" s="472"/>
      <c r="C57" s="473"/>
      <c r="D57" s="473"/>
      <c r="E57" s="474"/>
      <c r="I57" s="464">
        <f t="shared" si="0"/>
        <v>0</v>
      </c>
      <c r="J57" s="464">
        <f t="shared" si="1"/>
        <v>0</v>
      </c>
      <c r="K57" s="464" t="str">
        <f t="shared" si="2"/>
        <v/>
      </c>
    </row>
    <row r="58" spans="1:11" ht="26.1" customHeight="1" x14ac:dyDescent="0.25">
      <c r="A58" s="471"/>
      <c r="B58" s="472"/>
      <c r="C58" s="473"/>
      <c r="D58" s="473"/>
      <c r="E58" s="474"/>
      <c r="I58" s="464">
        <f t="shared" si="0"/>
        <v>0</v>
      </c>
      <c r="J58" s="464">
        <f t="shared" si="1"/>
        <v>0</v>
      </c>
      <c r="K58" s="464" t="str">
        <f t="shared" si="2"/>
        <v/>
      </c>
    </row>
    <row r="59" spans="1:11" ht="26.1" customHeight="1" x14ac:dyDescent="0.25">
      <c r="A59" s="471"/>
      <c r="B59" s="472"/>
      <c r="C59" s="473"/>
      <c r="D59" s="473"/>
      <c r="E59" s="474"/>
      <c r="I59" s="464">
        <f t="shared" si="0"/>
        <v>0</v>
      </c>
      <c r="J59" s="464">
        <f t="shared" si="1"/>
        <v>0</v>
      </c>
      <c r="K59" s="464" t="str">
        <f t="shared" si="2"/>
        <v/>
      </c>
    </row>
    <row r="60" spans="1:11" ht="26.1" customHeight="1" thickBot="1" x14ac:dyDescent="0.3">
      <c r="A60" s="475"/>
      <c r="B60" s="476"/>
      <c r="C60" s="477"/>
      <c r="D60" s="477"/>
      <c r="E60" s="478"/>
      <c r="I60" s="464">
        <f t="shared" si="0"/>
        <v>0</v>
      </c>
      <c r="J60" s="464">
        <f t="shared" si="1"/>
        <v>0</v>
      </c>
      <c r="K60" s="464" t="str">
        <f t="shared" si="2"/>
        <v/>
      </c>
    </row>
  </sheetData>
  <sheetProtection algorithmName="SHA-512" hashValue="5U2uRPPvmJWegzB24JC7ZmXL6pHjDdl2MXI5scn+K48uLoRBDRYbjAYGwBAx4ZMF9aeisIKFVtDh+pCoowQTrg==" saltValue="g8WqN669RXRL+6wV7ZGiIg==" spinCount="100000" sheet="1" objects="1" scenarios="1" selectLockedCells="1"/>
  <mergeCells count="4">
    <mergeCell ref="A7:E7"/>
    <mergeCell ref="A9:A10"/>
    <mergeCell ref="B9:B10"/>
    <mergeCell ref="C9:E9"/>
  </mergeCells>
  <phoneticPr fontId="151" type="noConversion"/>
  <conditionalFormatting sqref="A11:E60">
    <cfRule type="expression" dxfId="89" priority="2" stopIfTrue="1">
      <formula>LEN(TRIM(A11))=0</formula>
    </cfRule>
  </conditionalFormatting>
  <conditionalFormatting sqref="B11:B60">
    <cfRule type="duplicateValues" dxfId="88" priority="1"/>
  </conditionalFormatting>
  <dataValidations count="4">
    <dataValidation type="textLength" showInputMessage="1" showErrorMessage="1" errorTitle="Character length" error="Only text input up to 200 characters possible." sqref="A11:B60" xr:uid="{525C3B53-E0E3-49F0-86C6-F051FEACD812}">
      <formula1>2</formula1>
      <formula2>200</formula2>
    </dataValidation>
    <dataValidation type="whole" showInputMessage="1" showErrorMessage="1" errorTitle="Input data error" error="Whole number between 0 and 5000." sqref="C60:E60" xr:uid="{FD0AFDAC-A354-467A-935C-80C8376A028C}">
      <formula1>0</formula1>
      <formula2>5000</formula2>
    </dataValidation>
    <dataValidation type="whole" allowBlank="1" showInputMessage="1" showErrorMessage="1" errorTitle="Input data error" error="Whole number between 0 and 5000._x000a_" sqref="C11:C59" xr:uid="{2397CF5B-EB05-4650-9125-99C0A67DD709}">
      <formula1>0</formula1>
      <formula2>5000</formula2>
    </dataValidation>
    <dataValidation type="whole" showInputMessage="1" showErrorMessage="1" errorTitle="Input data error" error="Whole number between 0 and 5000._x000a_" sqref="D11:E59" xr:uid="{F68FE357-8E07-4853-AC1C-14E7B227AAD7}">
      <formula1>0</formula1>
      <formula2>5000</formula2>
    </dataValidation>
  </dataValidations>
  <pageMargins left="0.70866141732283472" right="0.70866141732283472" top="0.74803149606299213" bottom="0.74803149606299213" header="0.31496062992125984" footer="0.31496062992125984"/>
  <pageSetup scale="57" fitToHeight="0" orientation="portrait" r:id="rId1"/>
  <headerFooter>
    <oddFooter>&amp;L&amp;"Arial,Regular"&amp;8&amp;F&amp;R&amp;"Arial,Regular"&amp;8&amp;P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3AC16-3C55-4C41-A4A5-2BB2D3690A2A}">
  <dimension ref="A1:M51"/>
  <sheetViews>
    <sheetView workbookViewId="0">
      <selection activeCell="A65" sqref="A65"/>
    </sheetView>
  </sheetViews>
  <sheetFormatPr defaultColWidth="9.140625" defaultRowHeight="15" x14ac:dyDescent="0.25"/>
  <cols>
    <col min="1" max="5" width="37.7109375" customWidth="1"/>
    <col min="6" max="13" width="10.42578125" customWidth="1"/>
  </cols>
  <sheetData>
    <row r="1" spans="1:13" ht="41.25" customHeight="1" x14ac:dyDescent="0.25">
      <c r="A1" s="479" t="s">
        <v>922</v>
      </c>
      <c r="B1" s="479" t="s">
        <v>912</v>
      </c>
      <c r="C1" s="480" t="s">
        <v>913</v>
      </c>
      <c r="D1" s="480" t="s">
        <v>914</v>
      </c>
      <c r="E1" s="480" t="s">
        <v>915</v>
      </c>
      <c r="F1" s="480" t="s">
        <v>923</v>
      </c>
      <c r="G1" s="480" t="s">
        <v>924</v>
      </c>
      <c r="H1" s="480" t="s">
        <v>925</v>
      </c>
      <c r="I1" s="480" t="s">
        <v>926</v>
      </c>
      <c r="J1" s="480" t="s">
        <v>927</v>
      </c>
      <c r="K1" s="480" t="s">
        <v>928</v>
      </c>
      <c r="L1" s="480" t="s">
        <v>929</v>
      </c>
      <c r="M1" s="480" t="s">
        <v>930</v>
      </c>
    </row>
    <row r="2" spans="1:13" x14ac:dyDescent="0.25">
      <c r="A2" s="481" t="str">
        <f>IF(AND(SUM(Studies!I11:J11)=2,Studies!K11&lt;&gt;0),Studies!A11,"")</f>
        <v/>
      </c>
      <c r="B2" s="481" t="str">
        <f>IF(AND(SUM(Studies!I11:J11)=2,Studies!K11&lt;&gt;0),Studies!B11,"")</f>
        <v/>
      </c>
      <c r="C2" s="481" t="str">
        <f>IF(AND(SUM(Studies!I11:J11)=2,Studies!K11&lt;&gt;0),Studies!C11,"")</f>
        <v/>
      </c>
      <c r="D2" s="481" t="str">
        <f>IF(AND(SUM(Studies!I11:J11)=2,Studies!K11&lt;&gt;0),Studies!D11,"")</f>
        <v/>
      </c>
      <c r="E2" s="481" t="str">
        <f>IF(AND(SUM(Studies!I11:J11)=2,Studies!K11&lt;&gt;0),Studies!E11,"")</f>
        <v/>
      </c>
      <c r="F2" s="482"/>
      <c r="G2" s="482"/>
      <c r="H2" s="482"/>
      <c r="I2" s="482"/>
      <c r="J2" s="482"/>
      <c r="K2" s="482"/>
      <c r="L2" s="482"/>
      <c r="M2" s="482"/>
    </row>
    <row r="3" spans="1:13" x14ac:dyDescent="0.25">
      <c r="A3" s="481" t="str">
        <f>IF(AND(SUM(Studies!I12:J12)=2,Studies!K12&lt;&gt;0),Studies!A12,"")</f>
        <v/>
      </c>
      <c r="B3" s="481" t="str">
        <f>IF(AND(SUM(Studies!I12:J12)=2,Studies!K12&lt;&gt;0),Studies!B12,"")</f>
        <v/>
      </c>
      <c r="C3" s="481" t="str">
        <f>IF(AND(SUM(Studies!I12:J12)=2,Studies!K12&lt;&gt;0),Studies!C12,"")</f>
        <v/>
      </c>
      <c r="D3" s="481" t="str">
        <f>IF(AND(SUM(Studies!I12:J12)=2,Studies!K12&lt;&gt;0),Studies!D12,"")</f>
        <v/>
      </c>
      <c r="E3" s="481" t="str">
        <f>IF(AND(SUM(Studies!I12:J12)=2,Studies!K12&lt;&gt;0),Studies!E12,"")</f>
        <v/>
      </c>
      <c r="F3" s="482"/>
      <c r="G3" s="482"/>
      <c r="H3" s="482"/>
      <c r="I3" s="482"/>
      <c r="J3" s="482"/>
      <c r="K3" s="482"/>
      <c r="L3" s="482"/>
      <c r="M3" s="482"/>
    </row>
    <row r="4" spans="1:13" x14ac:dyDescent="0.25">
      <c r="A4" s="481" t="str">
        <f>IF(AND(SUM(Studies!I13:J13)=2,Studies!K13&lt;&gt;0),Studies!A13,"")</f>
        <v/>
      </c>
      <c r="B4" s="481" t="str">
        <f>IF(AND(SUM(Studies!I13:J13)=2,Studies!K13&lt;&gt;0),Studies!B13,"")</f>
        <v/>
      </c>
      <c r="C4" s="481" t="str">
        <f>IF(AND(SUM(Studies!I13:J13)=2,Studies!K13&lt;&gt;0),Studies!C13,"")</f>
        <v/>
      </c>
      <c r="D4" s="481" t="str">
        <f>IF(AND(SUM(Studies!I13:J13)=2,Studies!K13&lt;&gt;0),Studies!D13,"")</f>
        <v/>
      </c>
      <c r="E4" s="481" t="str">
        <f>IF(AND(SUM(Studies!I13:J13)=2,Studies!K13&lt;&gt;0),Studies!E13,"")</f>
        <v/>
      </c>
      <c r="F4" s="482"/>
      <c r="G4" s="482"/>
      <c r="H4" s="482"/>
      <c r="I4" s="482"/>
      <c r="J4" s="482"/>
      <c r="K4" s="482"/>
      <c r="L4" s="482"/>
      <c r="M4" s="482"/>
    </row>
    <row r="5" spans="1:13" x14ac:dyDescent="0.25">
      <c r="A5" s="481" t="str">
        <f>IF(AND(SUM(Studies!I14:J14)=2,Studies!K14&lt;&gt;0),Studies!A14,"")</f>
        <v/>
      </c>
      <c r="B5" s="481" t="str">
        <f>IF(AND(SUM(Studies!I14:J14)=2,Studies!K14&lt;&gt;0),Studies!B14,"")</f>
        <v/>
      </c>
      <c r="C5" s="481" t="str">
        <f>IF(AND(SUM(Studies!I14:J14)=2,Studies!K14&lt;&gt;0),Studies!C14,"")</f>
        <v/>
      </c>
      <c r="D5" s="481" t="str">
        <f>IF(AND(SUM(Studies!I14:J14)=2,Studies!K14&lt;&gt;0),Studies!D14,"")</f>
        <v/>
      </c>
      <c r="E5" s="481" t="str">
        <f>IF(AND(SUM(Studies!I14:J14)=2,Studies!K14&lt;&gt;0),Studies!E14,"")</f>
        <v/>
      </c>
      <c r="F5" s="482"/>
      <c r="G5" s="482"/>
      <c r="H5" s="482"/>
      <c r="I5" s="482"/>
      <c r="J5" s="482"/>
      <c r="K5" s="482"/>
      <c r="L5" s="482"/>
      <c r="M5" s="482"/>
    </row>
    <row r="6" spans="1:13" x14ac:dyDescent="0.25">
      <c r="A6" s="481" t="str">
        <f>IF(AND(SUM(Studies!I15:J15)=2,Studies!K15&lt;&gt;0),Studies!A15,"")</f>
        <v/>
      </c>
      <c r="B6" s="481" t="str">
        <f>IF(AND(SUM(Studies!I15:J15)=2,Studies!K15&lt;&gt;0),Studies!B15,"")</f>
        <v/>
      </c>
      <c r="C6" s="481" t="str">
        <f>IF(AND(SUM(Studies!I15:J15)=2,Studies!K15&lt;&gt;0),Studies!C15,"")</f>
        <v/>
      </c>
      <c r="D6" s="481" t="str">
        <f>IF(AND(SUM(Studies!I15:J15)=2,Studies!K15&lt;&gt;0),Studies!D15,"")</f>
        <v/>
      </c>
      <c r="E6" s="481" t="str">
        <f>IF(AND(SUM(Studies!I15:J15)=2,Studies!K15&lt;&gt;0),Studies!E15,"")</f>
        <v/>
      </c>
      <c r="F6" s="482"/>
      <c r="G6" s="482"/>
      <c r="H6" s="482"/>
      <c r="I6" s="482"/>
      <c r="J6" s="482"/>
      <c r="K6" s="482"/>
      <c r="L6" s="482"/>
      <c r="M6" s="482"/>
    </row>
    <row r="7" spans="1:13" x14ac:dyDescent="0.25">
      <c r="A7" s="481" t="str">
        <f>IF(AND(SUM(Studies!I16:J16)=2,Studies!K16&lt;&gt;0),Studies!A16,"")</f>
        <v/>
      </c>
      <c r="B7" s="481" t="str">
        <f>IF(AND(SUM(Studies!I16:J16)=2,Studies!K16&lt;&gt;0),Studies!B16,"")</f>
        <v/>
      </c>
      <c r="C7" s="481" t="str">
        <f>IF(AND(SUM(Studies!I16:J16)=2,Studies!K16&lt;&gt;0),Studies!C16,"")</f>
        <v/>
      </c>
      <c r="D7" s="481" t="str">
        <f>IF(AND(SUM(Studies!I16:J16)=2,Studies!K16&lt;&gt;0),Studies!D16,"")</f>
        <v/>
      </c>
      <c r="E7" s="481" t="str">
        <f>IF(AND(SUM(Studies!I16:J16)=2,Studies!K16&lt;&gt;0),Studies!E16,"")</f>
        <v/>
      </c>
      <c r="F7" s="482"/>
      <c r="G7" s="482"/>
      <c r="H7" s="482"/>
      <c r="I7" s="482"/>
      <c r="J7" s="482"/>
      <c r="K7" s="482"/>
      <c r="L7" s="482"/>
      <c r="M7" s="482"/>
    </row>
    <row r="8" spans="1:13" x14ac:dyDescent="0.25">
      <c r="A8" s="481" t="str">
        <f>IF(AND(SUM(Studies!I17:J17)=2,Studies!K17&lt;&gt;0),Studies!A17,"")</f>
        <v/>
      </c>
      <c r="B8" s="481" t="str">
        <f>IF(AND(SUM(Studies!I17:J17)=2,Studies!K17&lt;&gt;0),Studies!B17,"")</f>
        <v/>
      </c>
      <c r="C8" s="481" t="str">
        <f>IF(AND(SUM(Studies!I17:J17)=2,Studies!K17&lt;&gt;0),Studies!C17,"")</f>
        <v/>
      </c>
      <c r="D8" s="481" t="str">
        <f>IF(AND(SUM(Studies!I17:J17)=2,Studies!K17&lt;&gt;0),Studies!D17,"")</f>
        <v/>
      </c>
      <c r="E8" s="481" t="str">
        <f>IF(AND(SUM(Studies!I17:J17)=2,Studies!K17&lt;&gt;0),Studies!E17,"")</f>
        <v/>
      </c>
      <c r="F8" s="482"/>
      <c r="G8" s="482"/>
      <c r="H8" s="482"/>
      <c r="I8" s="482"/>
      <c r="J8" s="482"/>
      <c r="K8" s="482"/>
      <c r="L8" s="482"/>
      <c r="M8" s="482"/>
    </row>
    <row r="9" spans="1:13" x14ac:dyDescent="0.25">
      <c r="A9" s="481" t="str">
        <f>IF(AND(SUM(Studies!I18:J18)=2,Studies!K18&lt;&gt;0),Studies!A18,"")</f>
        <v/>
      </c>
      <c r="B9" s="481" t="str">
        <f>IF(AND(SUM(Studies!I18:J18)=2,Studies!K18&lt;&gt;0),Studies!B18,"")</f>
        <v/>
      </c>
      <c r="C9" s="481" t="str">
        <f>IF(AND(SUM(Studies!I18:J18)=2,Studies!K18&lt;&gt;0),Studies!C18,"")</f>
        <v/>
      </c>
      <c r="D9" s="481" t="str">
        <f>IF(AND(SUM(Studies!I18:J18)=2,Studies!K18&lt;&gt;0),Studies!D18,"")</f>
        <v/>
      </c>
      <c r="E9" s="481" t="str">
        <f>IF(AND(SUM(Studies!I18:J18)=2,Studies!K18&lt;&gt;0),Studies!E18,"")</f>
        <v/>
      </c>
      <c r="F9" s="482"/>
      <c r="G9" s="482"/>
      <c r="H9" s="482"/>
      <c r="I9" s="482"/>
      <c r="J9" s="482"/>
      <c r="K9" s="482"/>
      <c r="L9" s="482"/>
      <c r="M9" s="482"/>
    </row>
    <row r="10" spans="1:13" x14ac:dyDescent="0.25">
      <c r="A10" s="481" t="str">
        <f>IF(AND(SUM(Studies!I19:J19)=2,Studies!K19&lt;&gt;0),Studies!A19,"")</f>
        <v/>
      </c>
      <c r="B10" s="481" t="str">
        <f>IF(AND(SUM(Studies!I19:J19)=2,Studies!K19&lt;&gt;0),Studies!B19,"")</f>
        <v/>
      </c>
      <c r="C10" s="481" t="str">
        <f>IF(AND(SUM(Studies!I19:J19)=2,Studies!K19&lt;&gt;0),Studies!C19,"")</f>
        <v/>
      </c>
      <c r="D10" s="481" t="str">
        <f>IF(AND(SUM(Studies!I19:J19)=2,Studies!K19&lt;&gt;0),Studies!D19,"")</f>
        <v/>
      </c>
      <c r="E10" s="481" t="str">
        <f>IF(AND(SUM(Studies!I19:J19)=2,Studies!K19&lt;&gt;0),Studies!E19,"")</f>
        <v/>
      </c>
      <c r="F10" s="482"/>
      <c r="G10" s="482"/>
      <c r="H10" s="482"/>
      <c r="I10" s="482"/>
      <c r="J10" s="482"/>
      <c r="K10" s="482"/>
      <c r="L10" s="482"/>
      <c r="M10" s="482"/>
    </row>
    <row r="11" spans="1:13" x14ac:dyDescent="0.25">
      <c r="A11" s="481" t="str">
        <f>IF(AND(SUM(Studies!I20:J20)=2,Studies!K20&lt;&gt;0),Studies!A20,"")</f>
        <v/>
      </c>
      <c r="B11" s="481" t="str">
        <f>IF(AND(SUM(Studies!I20:J20)=2,Studies!K20&lt;&gt;0),Studies!B20,"")</f>
        <v/>
      </c>
      <c r="C11" s="481" t="str">
        <f>IF(AND(SUM(Studies!I20:J20)=2,Studies!K20&lt;&gt;0),Studies!C20,"")</f>
        <v/>
      </c>
      <c r="D11" s="481" t="str">
        <f>IF(AND(SUM(Studies!I20:J20)=2,Studies!K20&lt;&gt;0),Studies!D20,"")</f>
        <v/>
      </c>
      <c r="E11" s="481" t="str">
        <f>IF(AND(SUM(Studies!I20:J20)=2,Studies!K20&lt;&gt;0),Studies!E20,"")</f>
        <v/>
      </c>
      <c r="F11" s="482"/>
      <c r="G11" s="482"/>
      <c r="H11" s="482"/>
      <c r="I11" s="482"/>
      <c r="J11" s="482"/>
      <c r="K11" s="482"/>
      <c r="L11" s="482"/>
      <c r="M11" s="482"/>
    </row>
    <row r="12" spans="1:13" x14ac:dyDescent="0.25">
      <c r="A12" s="481" t="str">
        <f>IF(AND(SUM(Studies!I21:J21)=2,Studies!K21&lt;&gt;0),Studies!A21,"")</f>
        <v/>
      </c>
      <c r="B12" s="481" t="str">
        <f>IF(AND(SUM(Studies!I21:J21)=2,Studies!K21&lt;&gt;0),Studies!B21,"")</f>
        <v/>
      </c>
      <c r="C12" s="481" t="str">
        <f>IF(AND(SUM(Studies!I21:J21)=2,Studies!K21&lt;&gt;0),Studies!C21,"")</f>
        <v/>
      </c>
      <c r="D12" s="481" t="str">
        <f>IF(AND(SUM(Studies!I21:J21)=2,Studies!K21&lt;&gt;0),Studies!D21,"")</f>
        <v/>
      </c>
      <c r="E12" s="481" t="str">
        <f>IF(AND(SUM(Studies!I21:J21)=2,Studies!K21&lt;&gt;0),Studies!E21,"")</f>
        <v/>
      </c>
      <c r="F12" s="482"/>
      <c r="G12" s="482"/>
      <c r="H12" s="482"/>
      <c r="I12" s="482"/>
      <c r="J12" s="482"/>
      <c r="K12" s="482"/>
      <c r="L12" s="482"/>
      <c r="M12" s="482"/>
    </row>
    <row r="13" spans="1:13" x14ac:dyDescent="0.25">
      <c r="A13" s="481" t="str">
        <f>IF(AND(SUM(Studies!I22:J22)=2,Studies!K22&lt;&gt;0),Studies!A22,"")</f>
        <v/>
      </c>
      <c r="B13" s="481" t="str">
        <f>IF(AND(SUM(Studies!I22:J22)=2,Studies!K22&lt;&gt;0),Studies!B22,"")</f>
        <v/>
      </c>
      <c r="C13" s="481" t="str">
        <f>IF(AND(SUM(Studies!I22:J22)=2,Studies!K22&lt;&gt;0),Studies!C22,"")</f>
        <v/>
      </c>
      <c r="D13" s="481" t="str">
        <f>IF(AND(SUM(Studies!I22:J22)=2,Studies!K22&lt;&gt;0),Studies!D22,"")</f>
        <v/>
      </c>
      <c r="E13" s="481" t="str">
        <f>IF(AND(SUM(Studies!I22:J22)=2,Studies!K22&lt;&gt;0),Studies!E22,"")</f>
        <v/>
      </c>
      <c r="F13" s="482"/>
      <c r="G13" s="482"/>
      <c r="H13" s="482"/>
      <c r="I13" s="482"/>
      <c r="J13" s="482"/>
      <c r="K13" s="482"/>
      <c r="L13" s="482"/>
      <c r="M13" s="482"/>
    </row>
    <row r="14" spans="1:13" x14ac:dyDescent="0.25">
      <c r="A14" s="481" t="str">
        <f>IF(AND(SUM(Studies!I23:J23)=2,Studies!K23&lt;&gt;0),Studies!A23,"")</f>
        <v/>
      </c>
      <c r="B14" s="481" t="str">
        <f>IF(AND(SUM(Studies!I23:J23)=2,Studies!K23&lt;&gt;0),Studies!B23,"")</f>
        <v/>
      </c>
      <c r="C14" s="481" t="str">
        <f>IF(AND(SUM(Studies!I23:J23)=2,Studies!K23&lt;&gt;0),Studies!C23,"")</f>
        <v/>
      </c>
      <c r="D14" s="481" t="str">
        <f>IF(AND(SUM(Studies!I23:J23)=2,Studies!K23&lt;&gt;0),Studies!D23,"")</f>
        <v/>
      </c>
      <c r="E14" s="481" t="str">
        <f>IF(AND(SUM(Studies!I23:J23)=2,Studies!K23&lt;&gt;0),Studies!E23,"")</f>
        <v/>
      </c>
      <c r="F14" s="482"/>
      <c r="G14" s="482"/>
      <c r="H14" s="482"/>
      <c r="I14" s="482"/>
      <c r="J14" s="482"/>
      <c r="K14" s="482"/>
      <c r="L14" s="482"/>
      <c r="M14" s="482"/>
    </row>
    <row r="15" spans="1:13" x14ac:dyDescent="0.25">
      <c r="A15" s="481" t="str">
        <f>IF(AND(SUM(Studies!I24:J24)=2,Studies!K24&lt;&gt;0),Studies!A24,"")</f>
        <v/>
      </c>
      <c r="B15" s="481" t="str">
        <f>IF(AND(SUM(Studies!I24:J24)=2,Studies!K24&lt;&gt;0),Studies!B24,"")</f>
        <v/>
      </c>
      <c r="C15" s="481" t="str">
        <f>IF(AND(SUM(Studies!I24:J24)=2,Studies!K24&lt;&gt;0),Studies!C24,"")</f>
        <v/>
      </c>
      <c r="D15" s="481" t="str">
        <f>IF(AND(SUM(Studies!I24:J24)=2,Studies!K24&lt;&gt;0),Studies!D24,"")</f>
        <v/>
      </c>
      <c r="E15" s="481" t="str">
        <f>IF(AND(SUM(Studies!I24:J24)=2,Studies!K24&lt;&gt;0),Studies!E24,"")</f>
        <v/>
      </c>
      <c r="F15" s="482"/>
      <c r="G15" s="482"/>
      <c r="H15" s="482"/>
      <c r="I15" s="482"/>
      <c r="J15" s="482"/>
      <c r="K15" s="482"/>
      <c r="L15" s="482"/>
      <c r="M15" s="482"/>
    </row>
    <row r="16" spans="1:13" x14ac:dyDescent="0.25">
      <c r="A16" s="481" t="str">
        <f>IF(AND(SUM(Studies!I25:J25)=2,Studies!K25&lt;&gt;0),Studies!A25,"")</f>
        <v/>
      </c>
      <c r="B16" s="481" t="str">
        <f>IF(AND(SUM(Studies!I25:J25)=2,Studies!K25&lt;&gt;0),Studies!B25,"")</f>
        <v/>
      </c>
      <c r="C16" s="481" t="str">
        <f>IF(AND(SUM(Studies!I25:J25)=2,Studies!K25&lt;&gt;0),Studies!C25,"")</f>
        <v/>
      </c>
      <c r="D16" s="481" t="str">
        <f>IF(AND(SUM(Studies!I25:J25)=2,Studies!K25&lt;&gt;0),Studies!D25,"")</f>
        <v/>
      </c>
      <c r="E16" s="481" t="str">
        <f>IF(AND(SUM(Studies!I25:J25)=2,Studies!K25&lt;&gt;0),Studies!E25,"")</f>
        <v/>
      </c>
      <c r="F16" s="482"/>
      <c r="G16" s="482"/>
      <c r="H16" s="482"/>
      <c r="I16" s="482"/>
      <c r="J16" s="482"/>
      <c r="K16" s="482"/>
      <c r="L16" s="482"/>
      <c r="M16" s="482"/>
    </row>
    <row r="17" spans="1:13" x14ac:dyDescent="0.25">
      <c r="A17" s="481" t="str">
        <f>IF(AND(SUM(Studies!I26:J26)=2,Studies!K26&lt;&gt;0),Studies!A26,"")</f>
        <v/>
      </c>
      <c r="B17" s="481" t="str">
        <f>IF(AND(SUM(Studies!I26:J26)=2,Studies!K26&lt;&gt;0),Studies!B26,"")</f>
        <v/>
      </c>
      <c r="C17" s="481" t="str">
        <f>IF(AND(SUM(Studies!I26:J26)=2,Studies!K26&lt;&gt;0),Studies!C26,"")</f>
        <v/>
      </c>
      <c r="D17" s="481" t="str">
        <f>IF(AND(SUM(Studies!I26:J26)=2,Studies!K26&lt;&gt;0),Studies!D26,"")</f>
        <v/>
      </c>
      <c r="E17" s="481" t="str">
        <f>IF(AND(SUM(Studies!I26:J26)=2,Studies!K26&lt;&gt;0),Studies!E26,"")</f>
        <v/>
      </c>
      <c r="F17" s="482"/>
      <c r="G17" s="482"/>
      <c r="H17" s="482"/>
      <c r="I17" s="482"/>
      <c r="J17" s="482"/>
      <c r="K17" s="482"/>
      <c r="L17" s="482"/>
      <c r="M17" s="482"/>
    </row>
    <row r="18" spans="1:13" x14ac:dyDescent="0.25">
      <c r="A18" s="481" t="str">
        <f>IF(AND(SUM(Studies!I27:J27)=2,Studies!K27&lt;&gt;0),Studies!A27,"")</f>
        <v/>
      </c>
      <c r="B18" s="481" t="str">
        <f>IF(AND(SUM(Studies!I27:J27)=2,Studies!K27&lt;&gt;0),Studies!B27,"")</f>
        <v/>
      </c>
      <c r="C18" s="481" t="str">
        <f>IF(AND(SUM(Studies!I27:J27)=2,Studies!K27&lt;&gt;0),Studies!C27,"")</f>
        <v/>
      </c>
      <c r="D18" s="481" t="str">
        <f>IF(AND(SUM(Studies!I27:J27)=2,Studies!K27&lt;&gt;0),Studies!D27,"")</f>
        <v/>
      </c>
      <c r="E18" s="481" t="str">
        <f>IF(AND(SUM(Studies!I27:J27)=2,Studies!K27&lt;&gt;0),Studies!E27,"")</f>
        <v/>
      </c>
      <c r="F18" s="482"/>
      <c r="G18" s="482"/>
      <c r="H18" s="482"/>
      <c r="I18" s="482"/>
      <c r="J18" s="482"/>
      <c r="K18" s="482"/>
      <c r="L18" s="482"/>
      <c r="M18" s="482"/>
    </row>
    <row r="19" spans="1:13" x14ac:dyDescent="0.25">
      <c r="A19" s="481" t="str">
        <f>IF(AND(SUM(Studies!I28:J28)=2,Studies!K28&lt;&gt;0),Studies!A28,"")</f>
        <v/>
      </c>
      <c r="B19" s="481" t="str">
        <f>IF(AND(SUM(Studies!I28:J28)=2,Studies!K28&lt;&gt;0),Studies!B28,"")</f>
        <v/>
      </c>
      <c r="C19" s="481" t="str">
        <f>IF(AND(SUM(Studies!I28:J28)=2,Studies!K28&lt;&gt;0),Studies!C28,"")</f>
        <v/>
      </c>
      <c r="D19" s="481" t="str">
        <f>IF(AND(SUM(Studies!I28:J28)=2,Studies!K28&lt;&gt;0),Studies!D28,"")</f>
        <v/>
      </c>
      <c r="E19" s="481" t="str">
        <f>IF(AND(SUM(Studies!I28:J28)=2,Studies!K28&lt;&gt;0),Studies!E28,"")</f>
        <v/>
      </c>
      <c r="F19" s="482"/>
      <c r="G19" s="482"/>
      <c r="H19" s="482"/>
      <c r="I19" s="482"/>
      <c r="J19" s="482"/>
      <c r="K19" s="482"/>
      <c r="L19" s="482"/>
      <c r="M19" s="482"/>
    </row>
    <row r="20" spans="1:13" x14ac:dyDescent="0.25">
      <c r="A20" s="481" t="str">
        <f>IF(AND(SUM(Studies!I29:J29)=2,Studies!K29&lt;&gt;0),Studies!A29,"")</f>
        <v/>
      </c>
      <c r="B20" s="481" t="str">
        <f>IF(AND(SUM(Studies!I29:J29)=2,Studies!K29&lt;&gt;0),Studies!B29,"")</f>
        <v/>
      </c>
      <c r="C20" s="481" t="str">
        <f>IF(AND(SUM(Studies!I29:J29)=2,Studies!K29&lt;&gt;0),Studies!C29,"")</f>
        <v/>
      </c>
      <c r="D20" s="481" t="str">
        <f>IF(AND(SUM(Studies!I29:J29)=2,Studies!K29&lt;&gt;0),Studies!D29,"")</f>
        <v/>
      </c>
      <c r="E20" s="481" t="str">
        <f>IF(AND(SUM(Studies!I29:J29)=2,Studies!K29&lt;&gt;0),Studies!E29,"")</f>
        <v/>
      </c>
      <c r="F20" s="482"/>
      <c r="G20" s="482"/>
      <c r="H20" s="482"/>
      <c r="I20" s="482"/>
      <c r="J20" s="482"/>
      <c r="K20" s="482"/>
      <c r="L20" s="482"/>
      <c r="M20" s="482"/>
    </row>
    <row r="21" spans="1:13" x14ac:dyDescent="0.25">
      <c r="A21" s="481" t="str">
        <f>IF(AND(SUM(Studies!I30:J30)=2,Studies!K30&lt;&gt;0),Studies!A30,"")</f>
        <v/>
      </c>
      <c r="B21" s="481" t="str">
        <f>IF(AND(SUM(Studies!I30:J30)=2,Studies!K30&lt;&gt;0),Studies!B30,"")</f>
        <v/>
      </c>
      <c r="C21" s="481" t="str">
        <f>IF(AND(SUM(Studies!I30:J30)=2,Studies!K30&lt;&gt;0),Studies!C30,"")</f>
        <v/>
      </c>
      <c r="D21" s="481" t="str">
        <f>IF(AND(SUM(Studies!I30:J30)=2,Studies!K30&lt;&gt;0),Studies!D30,"")</f>
        <v/>
      </c>
      <c r="E21" s="481" t="str">
        <f>IF(AND(SUM(Studies!I30:J30)=2,Studies!K30&lt;&gt;0),Studies!E30,"")</f>
        <v/>
      </c>
      <c r="F21" s="482"/>
      <c r="G21" s="482"/>
      <c r="H21" s="482"/>
      <c r="I21" s="482"/>
      <c r="J21" s="482"/>
      <c r="K21" s="482"/>
      <c r="L21" s="482"/>
      <c r="M21" s="482"/>
    </row>
    <row r="22" spans="1:13" x14ac:dyDescent="0.25">
      <c r="A22" s="481" t="str">
        <f>IF(AND(SUM(Studies!I31:J31)=2,Studies!K31&lt;&gt;0),Studies!A31,"")</f>
        <v/>
      </c>
      <c r="B22" s="481" t="str">
        <f>IF(AND(SUM(Studies!I31:J31)=2,Studies!K31&lt;&gt;0),Studies!B31,"")</f>
        <v/>
      </c>
      <c r="C22" s="481" t="str">
        <f>IF(AND(SUM(Studies!I31:J31)=2,Studies!K31&lt;&gt;0),Studies!C31,"")</f>
        <v/>
      </c>
      <c r="D22" s="481" t="str">
        <f>IF(AND(SUM(Studies!I31:J31)=2,Studies!K31&lt;&gt;0),Studies!D31,"")</f>
        <v/>
      </c>
      <c r="E22" s="481" t="str">
        <f>IF(AND(SUM(Studies!I31:J31)=2,Studies!K31&lt;&gt;0),Studies!E31,"")</f>
        <v/>
      </c>
      <c r="F22" s="482"/>
      <c r="G22" s="482"/>
      <c r="H22" s="482"/>
      <c r="I22" s="482"/>
      <c r="J22" s="482"/>
      <c r="K22" s="482"/>
      <c r="L22" s="482"/>
      <c r="M22" s="482"/>
    </row>
    <row r="23" spans="1:13" x14ac:dyDescent="0.25">
      <c r="A23" s="481" t="str">
        <f>IF(AND(SUM(Studies!I32:J32)=2,Studies!K32&lt;&gt;0),Studies!A32,"")</f>
        <v/>
      </c>
      <c r="B23" s="481" t="str">
        <f>IF(AND(SUM(Studies!I32:J32)=2,Studies!K32&lt;&gt;0),Studies!B32,"")</f>
        <v/>
      </c>
      <c r="C23" s="481" t="str">
        <f>IF(AND(SUM(Studies!I32:J32)=2,Studies!K32&lt;&gt;0),Studies!C32,"")</f>
        <v/>
      </c>
      <c r="D23" s="481" t="str">
        <f>IF(AND(SUM(Studies!I32:J32)=2,Studies!K32&lt;&gt;0),Studies!D32,"")</f>
        <v/>
      </c>
      <c r="E23" s="481" t="str">
        <f>IF(AND(SUM(Studies!I32:J32)=2,Studies!K32&lt;&gt;0),Studies!E32,"")</f>
        <v/>
      </c>
      <c r="F23" s="482"/>
      <c r="G23" s="482"/>
      <c r="H23" s="482"/>
      <c r="I23" s="482"/>
      <c r="J23" s="482"/>
      <c r="K23" s="482"/>
      <c r="L23" s="482"/>
      <c r="M23" s="482"/>
    </row>
    <row r="24" spans="1:13" x14ac:dyDescent="0.25">
      <c r="A24" s="481" t="str">
        <f>IF(AND(SUM(Studies!I33:J33)=2,Studies!K33&lt;&gt;0),Studies!A33,"")</f>
        <v/>
      </c>
      <c r="B24" s="481" t="str">
        <f>IF(AND(SUM(Studies!I33:J33)=2,Studies!K33&lt;&gt;0),Studies!B33,"")</f>
        <v/>
      </c>
      <c r="C24" s="481" t="str">
        <f>IF(AND(SUM(Studies!I33:J33)=2,Studies!K33&lt;&gt;0),Studies!C33,"")</f>
        <v/>
      </c>
      <c r="D24" s="481" t="str">
        <f>IF(AND(SUM(Studies!I33:J33)=2,Studies!K33&lt;&gt;0),Studies!D33,"")</f>
        <v/>
      </c>
      <c r="E24" s="481" t="str">
        <f>IF(AND(SUM(Studies!I33:J33)=2,Studies!K33&lt;&gt;0),Studies!E33,"")</f>
        <v/>
      </c>
      <c r="F24" s="482"/>
      <c r="G24" s="482"/>
      <c r="H24" s="482"/>
      <c r="I24" s="482"/>
      <c r="J24" s="482"/>
      <c r="K24" s="482"/>
      <c r="L24" s="482"/>
      <c r="M24" s="482"/>
    </row>
    <row r="25" spans="1:13" x14ac:dyDescent="0.25">
      <c r="A25" s="481" t="str">
        <f>IF(AND(SUM(Studies!I34:J34)=2,Studies!K34&lt;&gt;0),Studies!A34,"")</f>
        <v/>
      </c>
      <c r="B25" s="481" t="str">
        <f>IF(AND(SUM(Studies!I34:J34)=2,Studies!K34&lt;&gt;0),Studies!B34,"")</f>
        <v/>
      </c>
      <c r="C25" s="481" t="str">
        <f>IF(AND(SUM(Studies!I34:J34)=2,Studies!K34&lt;&gt;0),Studies!C34,"")</f>
        <v/>
      </c>
      <c r="D25" s="481" t="str">
        <f>IF(AND(SUM(Studies!I34:J34)=2,Studies!K34&lt;&gt;0),Studies!D34,"")</f>
        <v/>
      </c>
      <c r="E25" s="481" t="str">
        <f>IF(AND(SUM(Studies!I34:J34)=2,Studies!K34&lt;&gt;0),Studies!E34,"")</f>
        <v/>
      </c>
      <c r="F25" s="482"/>
      <c r="G25" s="482"/>
      <c r="H25" s="482"/>
      <c r="I25" s="482"/>
      <c r="J25" s="482"/>
      <c r="K25" s="482"/>
      <c r="L25" s="482"/>
      <c r="M25" s="482"/>
    </row>
    <row r="26" spans="1:13" x14ac:dyDescent="0.25">
      <c r="A26" s="481" t="str">
        <f>IF(AND(SUM(Studies!I35:J35)=2,Studies!K35&lt;&gt;0),Studies!A35,"")</f>
        <v/>
      </c>
      <c r="B26" s="481" t="str">
        <f>IF(AND(SUM(Studies!I35:J35)=2,Studies!K35&lt;&gt;0),Studies!B35,"")</f>
        <v/>
      </c>
      <c r="C26" s="481" t="str">
        <f>IF(AND(SUM(Studies!I35:J35)=2,Studies!K35&lt;&gt;0),Studies!C35,"")</f>
        <v/>
      </c>
      <c r="D26" s="481" t="str">
        <f>IF(AND(SUM(Studies!I35:J35)=2,Studies!K35&lt;&gt;0),Studies!D35,"")</f>
        <v/>
      </c>
      <c r="E26" s="481" t="str">
        <f>IF(AND(SUM(Studies!I35:J35)=2,Studies!K35&lt;&gt;0),Studies!E35,"")</f>
        <v/>
      </c>
      <c r="F26" s="482"/>
      <c r="G26" s="482"/>
      <c r="H26" s="482"/>
      <c r="I26" s="482"/>
      <c r="J26" s="482"/>
      <c r="K26" s="482"/>
      <c r="L26" s="482"/>
      <c r="M26" s="482"/>
    </row>
    <row r="27" spans="1:13" x14ac:dyDescent="0.25">
      <c r="A27" s="481" t="str">
        <f>IF(AND(SUM(Studies!I36:J36)=2,Studies!K36&lt;&gt;0),Studies!A36,"")</f>
        <v/>
      </c>
      <c r="B27" s="481" t="str">
        <f>IF(AND(SUM(Studies!I36:J36)=2,Studies!K36&lt;&gt;0),Studies!B36,"")</f>
        <v/>
      </c>
      <c r="C27" s="481" t="str">
        <f>IF(AND(SUM(Studies!I36:J36)=2,Studies!K36&lt;&gt;0),Studies!C36,"")</f>
        <v/>
      </c>
      <c r="D27" s="481" t="str">
        <f>IF(AND(SUM(Studies!I36:J36)=2,Studies!K36&lt;&gt;0),Studies!D36,"")</f>
        <v/>
      </c>
      <c r="E27" s="481" t="str">
        <f>IF(AND(SUM(Studies!I36:J36)=2,Studies!K36&lt;&gt;0),Studies!E36,"")</f>
        <v/>
      </c>
      <c r="F27" s="482"/>
      <c r="G27" s="482"/>
      <c r="H27" s="482"/>
      <c r="I27" s="482"/>
      <c r="J27" s="482"/>
      <c r="K27" s="482"/>
      <c r="L27" s="482"/>
      <c r="M27" s="482"/>
    </row>
    <row r="28" spans="1:13" x14ac:dyDescent="0.25">
      <c r="A28" s="481" t="str">
        <f>IF(AND(SUM(Studies!I37:J37)=2,Studies!K37&lt;&gt;0),Studies!A37,"")</f>
        <v/>
      </c>
      <c r="B28" s="481" t="str">
        <f>IF(AND(SUM(Studies!I37:J37)=2,Studies!K37&lt;&gt;0),Studies!B37,"")</f>
        <v/>
      </c>
      <c r="C28" s="481" t="str">
        <f>IF(AND(SUM(Studies!I37:J37)=2,Studies!K37&lt;&gt;0),Studies!C37,"")</f>
        <v/>
      </c>
      <c r="D28" s="481" t="str">
        <f>IF(AND(SUM(Studies!I37:J37)=2,Studies!K37&lt;&gt;0),Studies!D37,"")</f>
        <v/>
      </c>
      <c r="E28" s="481" t="str">
        <f>IF(AND(SUM(Studies!I37:J37)=2,Studies!K37&lt;&gt;0),Studies!E37,"")</f>
        <v/>
      </c>
      <c r="F28" s="482"/>
      <c r="G28" s="482"/>
      <c r="H28" s="482"/>
      <c r="I28" s="482"/>
      <c r="J28" s="482"/>
      <c r="K28" s="482"/>
      <c r="L28" s="482"/>
      <c r="M28" s="482"/>
    </row>
    <row r="29" spans="1:13" x14ac:dyDescent="0.25">
      <c r="A29" s="481" t="str">
        <f>IF(AND(SUM(Studies!I38:J38)=2,Studies!K38&lt;&gt;0),Studies!A38,"")</f>
        <v/>
      </c>
      <c r="B29" s="481" t="str">
        <f>IF(AND(SUM(Studies!I38:J38)=2,Studies!K38&lt;&gt;0),Studies!B38,"")</f>
        <v/>
      </c>
      <c r="C29" s="481" t="str">
        <f>IF(AND(SUM(Studies!I38:J38)=2,Studies!K38&lt;&gt;0),Studies!C38,"")</f>
        <v/>
      </c>
      <c r="D29" s="481" t="str">
        <f>IF(AND(SUM(Studies!I38:J38)=2,Studies!K38&lt;&gt;0),Studies!D38,"")</f>
        <v/>
      </c>
      <c r="E29" s="481" t="str">
        <f>IF(AND(SUM(Studies!I38:J38)=2,Studies!K38&lt;&gt;0),Studies!E38,"")</f>
        <v/>
      </c>
      <c r="F29" s="482"/>
      <c r="G29" s="482"/>
      <c r="H29" s="482"/>
      <c r="I29" s="482"/>
      <c r="J29" s="482"/>
      <c r="K29" s="482"/>
      <c r="L29" s="482"/>
      <c r="M29" s="482"/>
    </row>
    <row r="30" spans="1:13" x14ac:dyDescent="0.25">
      <c r="A30" s="481" t="str">
        <f>IF(AND(SUM(Studies!I39:J39)=2,Studies!K39&lt;&gt;0),Studies!A39,"")</f>
        <v/>
      </c>
      <c r="B30" s="481" t="str">
        <f>IF(AND(SUM(Studies!I39:J39)=2,Studies!K39&lt;&gt;0),Studies!B39,"")</f>
        <v/>
      </c>
      <c r="C30" s="481" t="str">
        <f>IF(AND(SUM(Studies!I39:J39)=2,Studies!K39&lt;&gt;0),Studies!C39,"")</f>
        <v/>
      </c>
      <c r="D30" s="481" t="str">
        <f>IF(AND(SUM(Studies!I39:J39)=2,Studies!K39&lt;&gt;0),Studies!D39,"")</f>
        <v/>
      </c>
      <c r="E30" s="481" t="str">
        <f>IF(AND(SUM(Studies!I39:J39)=2,Studies!K39&lt;&gt;0),Studies!E39,"")</f>
        <v/>
      </c>
      <c r="F30" s="482"/>
      <c r="G30" s="482"/>
      <c r="H30" s="482"/>
      <c r="I30" s="482"/>
      <c r="J30" s="482"/>
      <c r="K30" s="482"/>
      <c r="L30" s="482"/>
      <c r="M30" s="482"/>
    </row>
    <row r="31" spans="1:13" x14ac:dyDescent="0.25">
      <c r="A31" s="481" t="str">
        <f>IF(AND(SUM(Studies!I40:J40)=2,Studies!K40&lt;&gt;0),Studies!A40,"")</f>
        <v/>
      </c>
      <c r="B31" s="481" t="str">
        <f>IF(AND(SUM(Studies!I40:J40)=2,Studies!K40&lt;&gt;0),Studies!B40,"")</f>
        <v/>
      </c>
      <c r="C31" s="481" t="str">
        <f>IF(AND(SUM(Studies!I40:J40)=2,Studies!K40&lt;&gt;0),Studies!C40,"")</f>
        <v/>
      </c>
      <c r="D31" s="481" t="str">
        <f>IF(AND(SUM(Studies!I40:J40)=2,Studies!K40&lt;&gt;0),Studies!D40,"")</f>
        <v/>
      </c>
      <c r="E31" s="481" t="str">
        <f>IF(AND(SUM(Studies!I40:J40)=2,Studies!K40&lt;&gt;0),Studies!E40,"")</f>
        <v/>
      </c>
      <c r="F31" s="482"/>
      <c r="G31" s="482"/>
      <c r="H31" s="482"/>
      <c r="I31" s="482"/>
      <c r="J31" s="482"/>
      <c r="K31" s="482"/>
      <c r="L31" s="482"/>
      <c r="M31" s="482"/>
    </row>
    <row r="32" spans="1:13" x14ac:dyDescent="0.25">
      <c r="A32" s="481" t="str">
        <f>IF(AND(SUM(Studies!I41:J41)=2,Studies!K41&lt;&gt;0),Studies!A41,"")</f>
        <v/>
      </c>
      <c r="B32" s="481" t="str">
        <f>IF(AND(SUM(Studies!I41:J41)=2,Studies!K41&lt;&gt;0),Studies!B41,"")</f>
        <v/>
      </c>
      <c r="C32" s="481" t="str">
        <f>IF(AND(SUM(Studies!I41:J41)=2,Studies!K41&lt;&gt;0),Studies!C41,"")</f>
        <v/>
      </c>
      <c r="D32" s="481" t="str">
        <f>IF(AND(SUM(Studies!I41:J41)=2,Studies!K41&lt;&gt;0),Studies!D41,"")</f>
        <v/>
      </c>
      <c r="E32" s="481" t="str">
        <f>IF(AND(SUM(Studies!I41:J41)=2,Studies!K41&lt;&gt;0),Studies!E41,"")</f>
        <v/>
      </c>
      <c r="F32" s="482"/>
      <c r="G32" s="482"/>
      <c r="H32" s="482"/>
      <c r="I32" s="482"/>
      <c r="J32" s="482"/>
      <c r="K32" s="482"/>
      <c r="L32" s="482"/>
      <c r="M32" s="482"/>
    </row>
    <row r="33" spans="1:13" x14ac:dyDescent="0.25">
      <c r="A33" s="481" t="str">
        <f>IF(AND(SUM(Studies!I42:J42)=2,Studies!K42&lt;&gt;0),Studies!A42,"")</f>
        <v/>
      </c>
      <c r="B33" s="481" t="str">
        <f>IF(AND(SUM(Studies!I42:J42)=2,Studies!K42&lt;&gt;0),Studies!B42,"")</f>
        <v/>
      </c>
      <c r="C33" s="481" t="str">
        <f>IF(AND(SUM(Studies!I42:J42)=2,Studies!K42&lt;&gt;0),Studies!C42,"")</f>
        <v/>
      </c>
      <c r="D33" s="481" t="str">
        <f>IF(AND(SUM(Studies!I42:J42)=2,Studies!K42&lt;&gt;0),Studies!D42,"")</f>
        <v/>
      </c>
      <c r="E33" s="481" t="str">
        <f>IF(AND(SUM(Studies!I42:J42)=2,Studies!K42&lt;&gt;0),Studies!E42,"")</f>
        <v/>
      </c>
      <c r="F33" s="482"/>
      <c r="G33" s="482"/>
      <c r="H33" s="482"/>
      <c r="I33" s="482"/>
      <c r="J33" s="482"/>
      <c r="K33" s="482"/>
      <c r="L33" s="482"/>
      <c r="M33" s="482"/>
    </row>
    <row r="34" spans="1:13" x14ac:dyDescent="0.25">
      <c r="A34" s="481" t="str">
        <f>IF(AND(SUM(Studies!I43:J43)=2,Studies!K43&lt;&gt;0),Studies!A43,"")</f>
        <v/>
      </c>
      <c r="B34" s="481" t="str">
        <f>IF(AND(SUM(Studies!I43:J43)=2,Studies!K43&lt;&gt;0),Studies!B43,"")</f>
        <v/>
      </c>
      <c r="C34" s="481" t="str">
        <f>IF(AND(SUM(Studies!I43:J43)=2,Studies!K43&lt;&gt;0),Studies!C43,"")</f>
        <v/>
      </c>
      <c r="D34" s="481" t="str">
        <f>IF(AND(SUM(Studies!I43:J43)=2,Studies!K43&lt;&gt;0),Studies!D43,"")</f>
        <v/>
      </c>
      <c r="E34" s="481" t="str">
        <f>IF(AND(SUM(Studies!I43:J43)=2,Studies!K43&lt;&gt;0),Studies!E43,"")</f>
        <v/>
      </c>
      <c r="F34" s="482"/>
      <c r="G34" s="482"/>
      <c r="H34" s="482"/>
      <c r="I34" s="482"/>
      <c r="J34" s="482"/>
      <c r="K34" s="482"/>
      <c r="L34" s="482"/>
      <c r="M34" s="482"/>
    </row>
    <row r="35" spans="1:13" x14ac:dyDescent="0.25">
      <c r="A35" s="481" t="str">
        <f>IF(AND(SUM(Studies!I44:J44)=2,Studies!K44&lt;&gt;0),Studies!A44,"")</f>
        <v/>
      </c>
      <c r="B35" s="481" t="str">
        <f>IF(AND(SUM(Studies!I44:J44)=2,Studies!K44&lt;&gt;0),Studies!B44,"")</f>
        <v/>
      </c>
      <c r="C35" s="481" t="str">
        <f>IF(AND(SUM(Studies!I44:J44)=2,Studies!K44&lt;&gt;0),Studies!C44,"")</f>
        <v/>
      </c>
      <c r="D35" s="481" t="str">
        <f>IF(AND(SUM(Studies!I44:J44)=2,Studies!K44&lt;&gt;0),Studies!D44,"")</f>
        <v/>
      </c>
      <c r="E35" s="481" t="str">
        <f>IF(AND(SUM(Studies!I44:J44)=2,Studies!K44&lt;&gt;0),Studies!E44,"")</f>
        <v/>
      </c>
      <c r="F35" s="482"/>
      <c r="G35" s="482"/>
      <c r="H35" s="482"/>
      <c r="I35" s="482"/>
      <c r="J35" s="482"/>
      <c r="K35" s="482"/>
      <c r="L35" s="482"/>
      <c r="M35" s="482"/>
    </row>
    <row r="36" spans="1:13" x14ac:dyDescent="0.25">
      <c r="A36" s="481" t="str">
        <f>IF(AND(SUM(Studies!I45:J45)=2,Studies!K45&lt;&gt;0),Studies!A45,"")</f>
        <v/>
      </c>
      <c r="B36" s="481" t="str">
        <f>IF(AND(SUM(Studies!I45:J45)=2,Studies!K45&lt;&gt;0),Studies!B45,"")</f>
        <v/>
      </c>
      <c r="C36" s="481" t="str">
        <f>IF(AND(SUM(Studies!I45:J45)=2,Studies!K45&lt;&gt;0),Studies!C45,"")</f>
        <v/>
      </c>
      <c r="D36" s="481" t="str">
        <f>IF(AND(SUM(Studies!I45:J45)=2,Studies!K45&lt;&gt;0),Studies!D45,"")</f>
        <v/>
      </c>
      <c r="E36" s="481" t="str">
        <f>IF(AND(SUM(Studies!I45:J45)=2,Studies!K45&lt;&gt;0),Studies!E45,"")</f>
        <v/>
      </c>
      <c r="F36" s="482"/>
      <c r="G36" s="482"/>
      <c r="H36" s="482"/>
      <c r="I36" s="482"/>
      <c r="J36" s="482"/>
      <c r="K36" s="482"/>
      <c r="L36" s="482"/>
      <c r="M36" s="482"/>
    </row>
    <row r="37" spans="1:13" x14ac:dyDescent="0.25">
      <c r="A37" s="481" t="str">
        <f>IF(AND(SUM(Studies!I46:J46)=2,Studies!K46&lt;&gt;0),Studies!A46,"")</f>
        <v/>
      </c>
      <c r="B37" s="481" t="str">
        <f>IF(AND(SUM(Studies!I46:J46)=2,Studies!K46&lt;&gt;0),Studies!B46,"")</f>
        <v/>
      </c>
      <c r="C37" s="481" t="str">
        <f>IF(AND(SUM(Studies!I46:J46)=2,Studies!K46&lt;&gt;0),Studies!C46,"")</f>
        <v/>
      </c>
      <c r="D37" s="481" t="str">
        <f>IF(AND(SUM(Studies!I46:J46)=2,Studies!K46&lt;&gt;0),Studies!D46,"")</f>
        <v/>
      </c>
      <c r="E37" s="481" t="str">
        <f>IF(AND(SUM(Studies!I46:J46)=2,Studies!K46&lt;&gt;0),Studies!E46,"")</f>
        <v/>
      </c>
      <c r="F37" s="482"/>
      <c r="G37" s="482"/>
      <c r="H37" s="482"/>
      <c r="I37" s="482"/>
      <c r="J37" s="482"/>
      <c r="K37" s="482"/>
      <c r="L37" s="482"/>
      <c r="M37" s="482"/>
    </row>
    <row r="38" spans="1:13" x14ac:dyDescent="0.25">
      <c r="A38" s="481" t="str">
        <f>IF(AND(SUM(Studies!I47:J47)=2,Studies!K47&lt;&gt;0),Studies!A47,"")</f>
        <v/>
      </c>
      <c r="B38" s="481" t="str">
        <f>IF(AND(SUM(Studies!I47:J47)=2,Studies!K47&lt;&gt;0),Studies!B47,"")</f>
        <v/>
      </c>
      <c r="C38" s="481" t="str">
        <f>IF(AND(SUM(Studies!I47:J47)=2,Studies!K47&lt;&gt;0),Studies!C47,"")</f>
        <v/>
      </c>
      <c r="D38" s="481" t="str">
        <f>IF(AND(SUM(Studies!I47:J47)=2,Studies!K47&lt;&gt;0),Studies!D47,"")</f>
        <v/>
      </c>
      <c r="E38" s="481" t="str">
        <f>IF(AND(SUM(Studies!I47:J47)=2,Studies!K47&lt;&gt;0),Studies!E47,"")</f>
        <v/>
      </c>
      <c r="F38" s="482"/>
      <c r="G38" s="482"/>
      <c r="H38" s="482"/>
      <c r="I38" s="482"/>
      <c r="J38" s="482"/>
      <c r="K38" s="482"/>
      <c r="L38" s="482"/>
      <c r="M38" s="482"/>
    </row>
    <row r="39" spans="1:13" x14ac:dyDescent="0.25">
      <c r="A39" s="481" t="str">
        <f>IF(AND(SUM(Studies!I48:J48)=2,Studies!K48&lt;&gt;0),Studies!A48,"")</f>
        <v/>
      </c>
      <c r="B39" s="481" t="str">
        <f>IF(AND(SUM(Studies!I48:J48)=2,Studies!K48&lt;&gt;0),Studies!B48,"")</f>
        <v/>
      </c>
      <c r="C39" s="481" t="str">
        <f>IF(AND(SUM(Studies!I48:J48)=2,Studies!K48&lt;&gt;0),Studies!C48,"")</f>
        <v/>
      </c>
      <c r="D39" s="481" t="str">
        <f>IF(AND(SUM(Studies!I48:J48)=2,Studies!K48&lt;&gt;0),Studies!D48,"")</f>
        <v/>
      </c>
      <c r="E39" s="481" t="str">
        <f>IF(AND(SUM(Studies!I48:J48)=2,Studies!K48&lt;&gt;0),Studies!E48,"")</f>
        <v/>
      </c>
      <c r="F39" s="482"/>
      <c r="G39" s="482"/>
      <c r="H39" s="482"/>
      <c r="I39" s="482"/>
      <c r="J39" s="482"/>
      <c r="K39" s="482"/>
      <c r="L39" s="482"/>
      <c r="M39" s="482"/>
    </row>
    <row r="40" spans="1:13" x14ac:dyDescent="0.25">
      <c r="A40" s="481" t="str">
        <f>IF(AND(SUM(Studies!I49:J49)=2,Studies!K49&lt;&gt;0),Studies!A49,"")</f>
        <v/>
      </c>
      <c r="B40" s="481" t="str">
        <f>IF(AND(SUM(Studies!I49:J49)=2,Studies!K49&lt;&gt;0),Studies!B49,"")</f>
        <v/>
      </c>
      <c r="C40" s="481" t="str">
        <f>IF(AND(SUM(Studies!I49:J49)=2,Studies!K49&lt;&gt;0),Studies!C49,"")</f>
        <v/>
      </c>
      <c r="D40" s="481" t="str">
        <f>IF(AND(SUM(Studies!I49:J49)=2,Studies!K49&lt;&gt;0),Studies!D49,"")</f>
        <v/>
      </c>
      <c r="E40" s="481" t="str">
        <f>IF(AND(SUM(Studies!I49:J49)=2,Studies!K49&lt;&gt;0),Studies!E49,"")</f>
        <v/>
      </c>
      <c r="F40" s="482"/>
      <c r="G40" s="482"/>
      <c r="H40" s="482"/>
      <c r="I40" s="482"/>
      <c r="J40" s="482"/>
      <c r="K40" s="482"/>
      <c r="L40" s="482"/>
      <c r="M40" s="482"/>
    </row>
    <row r="41" spans="1:13" x14ac:dyDescent="0.25">
      <c r="A41" s="481" t="str">
        <f>IF(AND(SUM(Studies!I50:J50)=2,Studies!K50&lt;&gt;0),Studies!A50,"")</f>
        <v/>
      </c>
      <c r="B41" s="481" t="str">
        <f>IF(AND(SUM(Studies!I50:J50)=2,Studies!K50&lt;&gt;0),Studies!B50,"")</f>
        <v/>
      </c>
      <c r="C41" s="481" t="str">
        <f>IF(AND(SUM(Studies!I50:J50)=2,Studies!K50&lt;&gt;0),Studies!C50,"")</f>
        <v/>
      </c>
      <c r="D41" s="481" t="str">
        <f>IF(AND(SUM(Studies!I50:J50)=2,Studies!K50&lt;&gt;0),Studies!D50,"")</f>
        <v/>
      </c>
      <c r="E41" s="481" t="str">
        <f>IF(AND(SUM(Studies!I50:J50)=2,Studies!K50&lt;&gt;0),Studies!E50,"")</f>
        <v/>
      </c>
      <c r="F41" s="482"/>
      <c r="G41" s="482"/>
      <c r="H41" s="482"/>
      <c r="I41" s="482"/>
      <c r="J41" s="482"/>
      <c r="K41" s="482"/>
      <c r="L41" s="482"/>
      <c r="M41" s="482"/>
    </row>
    <row r="42" spans="1:13" x14ac:dyDescent="0.25">
      <c r="A42" s="481" t="str">
        <f>IF(AND(SUM(Studies!I51:J51)=2,Studies!K51&lt;&gt;0),Studies!A51,"")</f>
        <v/>
      </c>
      <c r="B42" s="481" t="str">
        <f>IF(AND(SUM(Studies!I51:J51)=2,Studies!K51&lt;&gt;0),Studies!B51,"")</f>
        <v/>
      </c>
      <c r="C42" s="481" t="str">
        <f>IF(AND(SUM(Studies!I51:J51)=2,Studies!K51&lt;&gt;0),Studies!C51,"")</f>
        <v/>
      </c>
      <c r="D42" s="481" t="str">
        <f>IF(AND(SUM(Studies!I51:J51)=2,Studies!K51&lt;&gt;0),Studies!D51,"")</f>
        <v/>
      </c>
      <c r="E42" s="481" t="str">
        <f>IF(AND(SUM(Studies!I51:J51)=2,Studies!K51&lt;&gt;0),Studies!E51,"")</f>
        <v/>
      </c>
      <c r="F42" s="482"/>
      <c r="G42" s="482"/>
      <c r="H42" s="482"/>
      <c r="I42" s="482"/>
      <c r="J42" s="482"/>
      <c r="K42" s="482"/>
      <c r="L42" s="482"/>
      <c r="M42" s="482"/>
    </row>
    <row r="43" spans="1:13" x14ac:dyDescent="0.25">
      <c r="A43" s="481" t="str">
        <f>IF(AND(SUM(Studies!I52:J52)=2,Studies!K52&lt;&gt;0),Studies!A52,"")</f>
        <v/>
      </c>
      <c r="B43" s="481" t="str">
        <f>IF(AND(SUM(Studies!I52:J52)=2,Studies!K52&lt;&gt;0),Studies!B52,"")</f>
        <v/>
      </c>
      <c r="C43" s="481" t="str">
        <f>IF(AND(SUM(Studies!I52:J52)=2,Studies!K52&lt;&gt;0),Studies!C52,"")</f>
        <v/>
      </c>
      <c r="D43" s="481" t="str">
        <f>IF(AND(SUM(Studies!I52:J52)=2,Studies!K52&lt;&gt;0),Studies!D52,"")</f>
        <v/>
      </c>
      <c r="E43" s="481" t="str">
        <f>IF(AND(SUM(Studies!I52:J52)=2,Studies!K52&lt;&gt;0),Studies!E52,"")</f>
        <v/>
      </c>
      <c r="F43" s="482"/>
      <c r="G43" s="482"/>
      <c r="H43" s="482"/>
      <c r="I43" s="482"/>
      <c r="J43" s="482"/>
      <c r="K43" s="482"/>
      <c r="L43" s="482"/>
      <c r="M43" s="482"/>
    </row>
    <row r="44" spans="1:13" x14ac:dyDescent="0.25">
      <c r="A44" s="481" t="str">
        <f>IF(AND(SUM(Studies!I53:J53)=2,Studies!K53&lt;&gt;0),Studies!A53,"")</f>
        <v/>
      </c>
      <c r="B44" s="481" t="str">
        <f>IF(AND(SUM(Studies!I53:J53)=2,Studies!K53&lt;&gt;0),Studies!B53,"")</f>
        <v/>
      </c>
      <c r="C44" s="481" t="str">
        <f>IF(AND(SUM(Studies!I53:J53)=2,Studies!K53&lt;&gt;0),Studies!C53,"")</f>
        <v/>
      </c>
      <c r="D44" s="481" t="str">
        <f>IF(AND(SUM(Studies!I53:J53)=2,Studies!K53&lt;&gt;0),Studies!D53,"")</f>
        <v/>
      </c>
      <c r="E44" s="481" t="str">
        <f>IF(AND(SUM(Studies!I53:J53)=2,Studies!K53&lt;&gt;0),Studies!E53,"")</f>
        <v/>
      </c>
      <c r="F44" s="482"/>
      <c r="G44" s="482"/>
      <c r="H44" s="482"/>
      <c r="I44" s="482"/>
      <c r="J44" s="482"/>
      <c r="K44" s="482"/>
      <c r="L44" s="482"/>
      <c r="M44" s="482"/>
    </row>
    <row r="45" spans="1:13" x14ac:dyDescent="0.25">
      <c r="A45" s="481" t="str">
        <f>IF(AND(SUM(Studies!I54:J54)=2,Studies!K54&lt;&gt;0),Studies!A54,"")</f>
        <v/>
      </c>
      <c r="B45" s="481" t="str">
        <f>IF(AND(SUM(Studies!I54:J54)=2,Studies!K54&lt;&gt;0),Studies!B54,"")</f>
        <v/>
      </c>
      <c r="C45" s="481" t="str">
        <f>IF(AND(SUM(Studies!I54:J54)=2,Studies!K54&lt;&gt;0),Studies!C54,"")</f>
        <v/>
      </c>
      <c r="D45" s="481" t="str">
        <f>IF(AND(SUM(Studies!I54:J54)=2,Studies!K54&lt;&gt;0),Studies!D54,"")</f>
        <v/>
      </c>
      <c r="E45" s="481" t="str">
        <f>IF(AND(SUM(Studies!I54:J54)=2,Studies!K54&lt;&gt;0),Studies!E54,"")</f>
        <v/>
      </c>
      <c r="F45" s="482"/>
      <c r="G45" s="482"/>
      <c r="H45" s="482"/>
      <c r="I45" s="482"/>
      <c r="J45" s="482"/>
      <c r="K45" s="482"/>
      <c r="L45" s="482"/>
      <c r="M45" s="482"/>
    </row>
    <row r="46" spans="1:13" x14ac:dyDescent="0.25">
      <c r="A46" s="481" t="str">
        <f>IF(AND(SUM(Studies!I55:J55)=2,Studies!K55&lt;&gt;0),Studies!A55,"")</f>
        <v/>
      </c>
      <c r="B46" s="481" t="str">
        <f>IF(AND(SUM(Studies!I55:J55)=2,Studies!K55&lt;&gt;0),Studies!B55,"")</f>
        <v/>
      </c>
      <c r="C46" s="481" t="str">
        <f>IF(AND(SUM(Studies!I55:J55)=2,Studies!K55&lt;&gt;0),Studies!C55,"")</f>
        <v/>
      </c>
      <c r="D46" s="481" t="str">
        <f>IF(AND(SUM(Studies!I55:J55)=2,Studies!K55&lt;&gt;0),Studies!D55,"")</f>
        <v/>
      </c>
      <c r="E46" s="481" t="str">
        <f>IF(AND(SUM(Studies!I55:J55)=2,Studies!K55&lt;&gt;0),Studies!E55,"")</f>
        <v/>
      </c>
      <c r="F46" s="482"/>
      <c r="G46" s="482"/>
      <c r="H46" s="482"/>
      <c r="I46" s="482"/>
      <c r="J46" s="482"/>
      <c r="K46" s="482"/>
      <c r="L46" s="482"/>
      <c r="M46" s="482"/>
    </row>
    <row r="47" spans="1:13" x14ac:dyDescent="0.25">
      <c r="A47" s="481" t="str">
        <f>IF(AND(SUM(Studies!I56:J56)=2,Studies!K56&lt;&gt;0),Studies!A56,"")</f>
        <v/>
      </c>
      <c r="B47" s="481" t="str">
        <f>IF(AND(SUM(Studies!I56:J56)=2,Studies!K56&lt;&gt;0),Studies!B56,"")</f>
        <v/>
      </c>
      <c r="C47" s="481" t="str">
        <f>IF(AND(SUM(Studies!I56:J56)=2,Studies!K56&lt;&gt;0),Studies!C56,"")</f>
        <v/>
      </c>
      <c r="D47" s="481" t="str">
        <f>IF(AND(SUM(Studies!I56:J56)=2,Studies!K56&lt;&gt;0),Studies!D56,"")</f>
        <v/>
      </c>
      <c r="E47" s="481" t="str">
        <f>IF(AND(SUM(Studies!I56:J56)=2,Studies!K56&lt;&gt;0),Studies!E56,"")</f>
        <v/>
      </c>
      <c r="F47" s="482"/>
      <c r="G47" s="482"/>
      <c r="H47" s="482"/>
      <c r="I47" s="482"/>
      <c r="J47" s="482"/>
      <c r="K47" s="482"/>
      <c r="L47" s="482"/>
      <c r="M47" s="482"/>
    </row>
    <row r="48" spans="1:13" x14ac:dyDescent="0.25">
      <c r="A48" s="481" t="str">
        <f>IF(AND(SUM(Studies!I57:J57)=2,Studies!K57&lt;&gt;0),Studies!A57,"")</f>
        <v/>
      </c>
      <c r="B48" s="481" t="str">
        <f>IF(AND(SUM(Studies!I57:J57)=2,Studies!K57&lt;&gt;0),Studies!B57,"")</f>
        <v/>
      </c>
      <c r="C48" s="481" t="str">
        <f>IF(AND(SUM(Studies!I57:J57)=2,Studies!K57&lt;&gt;0),Studies!C57,"")</f>
        <v/>
      </c>
      <c r="D48" s="481" t="str">
        <f>IF(AND(SUM(Studies!I57:J57)=2,Studies!K57&lt;&gt;0),Studies!D57,"")</f>
        <v/>
      </c>
      <c r="E48" s="481" t="str">
        <f>IF(AND(SUM(Studies!I57:J57)=2,Studies!K57&lt;&gt;0),Studies!E57,"")</f>
        <v/>
      </c>
      <c r="F48" s="482"/>
      <c r="G48" s="482"/>
      <c r="H48" s="482"/>
      <c r="I48" s="482"/>
      <c r="J48" s="482"/>
      <c r="K48" s="482"/>
      <c r="L48" s="482"/>
      <c r="M48" s="482"/>
    </row>
    <row r="49" spans="1:13" x14ac:dyDescent="0.25">
      <c r="A49" s="481" t="str">
        <f>IF(AND(SUM(Studies!I58:J58)=2,Studies!K58&lt;&gt;0),Studies!A58,"")</f>
        <v/>
      </c>
      <c r="B49" s="481" t="str">
        <f>IF(AND(SUM(Studies!I58:J58)=2,Studies!K58&lt;&gt;0),Studies!B58,"")</f>
        <v/>
      </c>
      <c r="C49" s="481" t="str">
        <f>IF(AND(SUM(Studies!I58:J58)=2,Studies!K58&lt;&gt;0),Studies!C58,"")</f>
        <v/>
      </c>
      <c r="D49" s="481" t="str">
        <f>IF(AND(SUM(Studies!I58:J58)=2,Studies!K58&lt;&gt;0),Studies!D58,"")</f>
        <v/>
      </c>
      <c r="E49" s="481" t="str">
        <f>IF(AND(SUM(Studies!I58:J58)=2,Studies!K58&lt;&gt;0),Studies!E58,"")</f>
        <v/>
      </c>
      <c r="F49" s="482"/>
      <c r="G49" s="482"/>
      <c r="H49" s="482"/>
      <c r="I49" s="482"/>
      <c r="J49" s="482"/>
      <c r="K49" s="482"/>
      <c r="L49" s="482"/>
      <c r="M49" s="482"/>
    </row>
    <row r="50" spans="1:13" x14ac:dyDescent="0.25">
      <c r="A50" s="481" t="str">
        <f>IF(AND(SUM(Studies!I59:J59)=2,Studies!K59&lt;&gt;0),Studies!A59,"")</f>
        <v/>
      </c>
      <c r="B50" s="481" t="str">
        <f>IF(AND(SUM(Studies!I59:J59)=2,Studies!K59&lt;&gt;0),Studies!B59,"")</f>
        <v/>
      </c>
      <c r="C50" s="481" t="str">
        <f>IF(AND(SUM(Studies!I59:J59)=2,Studies!K59&lt;&gt;0),Studies!C59,"")</f>
        <v/>
      </c>
      <c r="D50" s="481" t="str">
        <f>IF(AND(SUM(Studies!I59:J59)=2,Studies!K59&lt;&gt;0),Studies!D59,"")</f>
        <v/>
      </c>
      <c r="E50" s="481" t="str">
        <f>IF(AND(SUM(Studies!I59:J59)=2,Studies!K59&lt;&gt;0),Studies!E59,"")</f>
        <v/>
      </c>
      <c r="F50" s="482"/>
      <c r="G50" s="482"/>
      <c r="H50" s="482"/>
      <c r="I50" s="482"/>
      <c r="J50" s="482"/>
      <c r="K50" s="482"/>
      <c r="L50" s="482"/>
      <c r="M50" s="482"/>
    </row>
    <row r="51" spans="1:13" x14ac:dyDescent="0.25">
      <c r="A51" s="481" t="str">
        <f>IF(AND(SUM(Studies!I60:J60)=2,Studies!K60&lt;&gt;0),Studies!A60,"")</f>
        <v/>
      </c>
      <c r="B51" s="481" t="str">
        <f>IF(AND(SUM(Studies!I60:J60)=2,Studies!K60&lt;&gt;0),Studies!B60,"")</f>
        <v/>
      </c>
      <c r="C51" s="481" t="str">
        <f>IF(AND(SUM(Studies!I60:J60)=2,Studies!K60&lt;&gt;0),Studies!C60,"")</f>
        <v/>
      </c>
      <c r="D51" s="481" t="str">
        <f>IF(AND(SUM(Studies!I60:J60)=2,Studies!K60&lt;&gt;0),Studies!D60,"")</f>
        <v/>
      </c>
      <c r="E51" s="481" t="str">
        <f>IF(AND(SUM(Studies!I60:J60)=2,Studies!K60&lt;&gt;0),Studies!E60,"")</f>
        <v/>
      </c>
      <c r="F51" s="482"/>
      <c r="G51" s="482"/>
      <c r="H51" s="482"/>
      <c r="I51" s="482"/>
      <c r="J51" s="482"/>
      <c r="K51" s="482"/>
      <c r="L51" s="482"/>
      <c r="M51" s="48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128"/>
  <sheetViews>
    <sheetView showGridLines="0" showRuler="0" zoomScaleNormal="100" zoomScaleSheetLayoutView="112" workbookViewId="0">
      <selection activeCell="Q8" sqref="Q8:Q10"/>
    </sheetView>
  </sheetViews>
  <sheetFormatPr defaultColWidth="11.42578125" defaultRowHeight="14.25" x14ac:dyDescent="0.2"/>
  <cols>
    <col min="1" max="1" width="6.42578125" style="15" customWidth="1"/>
    <col min="2" max="2" width="5.85546875" style="15" customWidth="1"/>
    <col min="3" max="3" width="17.28515625" style="15" customWidth="1"/>
    <col min="4" max="4" width="13.28515625" style="15" customWidth="1"/>
    <col min="5" max="5" width="11.140625" style="15" customWidth="1"/>
    <col min="6" max="6" width="14.5703125" style="15" customWidth="1"/>
    <col min="7" max="7" width="13.5703125" style="15" customWidth="1"/>
    <col min="8" max="9" width="8.85546875" style="15" customWidth="1"/>
    <col min="10" max="10" width="5.85546875" style="15" customWidth="1"/>
    <col min="11" max="11" width="4.140625" style="15" customWidth="1"/>
    <col min="12" max="12" width="4.5703125" style="15" customWidth="1"/>
    <col min="13" max="13" width="6.28515625" style="15" customWidth="1"/>
    <col min="14" max="14" width="12.28515625" style="15" customWidth="1"/>
    <col min="15" max="15" width="8" style="398" customWidth="1"/>
    <col min="16" max="16" width="9.5703125" style="15" customWidth="1"/>
    <col min="17" max="18" width="70.7109375" style="15" customWidth="1"/>
    <col min="19" max="19" width="9.140625" style="15" customWidth="1"/>
    <col min="20" max="20" width="11.42578125" style="15"/>
    <col min="21" max="21" width="0" style="15" hidden="1" customWidth="1"/>
    <col min="22" max="16384" width="11.42578125" style="15"/>
  </cols>
  <sheetData>
    <row r="1" spans="1:18" ht="6.95" customHeight="1" x14ac:dyDescent="0.2">
      <c r="O1" s="15"/>
    </row>
    <row r="2" spans="1:18" ht="15.95" customHeight="1" x14ac:dyDescent="0.2">
      <c r="A2" s="14" t="str">
        <f>'Basic Data'!A2</f>
        <v>Annex CR Version K1.1 (Audit year 2026 / Indicator year 2025)</v>
      </c>
      <c r="O2" s="15"/>
    </row>
    <row r="3" spans="1:18" ht="21" customHeight="1" x14ac:dyDescent="0.2">
      <c r="A3" s="452" t="s">
        <v>524</v>
      </c>
      <c r="N3" s="392"/>
      <c r="O3" s="15"/>
    </row>
    <row r="4" spans="1:18" ht="15" x14ac:dyDescent="0.25">
      <c r="A4" s="26" t="s">
        <v>525</v>
      </c>
      <c r="C4" s="784" t="str">
        <f>IF('Basic Data'!C6=0,"",'Basic Data'!C6)</f>
        <v/>
      </c>
      <c r="D4" s="785"/>
      <c r="E4" s="450" t="s">
        <v>506</v>
      </c>
      <c r="F4" s="671" t="str">
        <f>IF('Basic Data'!C8=0,"",'Basic Data'!C8)</f>
        <v/>
      </c>
      <c r="G4" s="672"/>
      <c r="H4" s="672"/>
      <c r="I4" s="672"/>
      <c r="J4" s="672"/>
      <c r="K4" s="672"/>
      <c r="L4" s="672"/>
      <c r="M4" s="673"/>
      <c r="N4" s="451"/>
      <c r="O4" s="15"/>
    </row>
    <row r="5" spans="1:18" ht="12" customHeight="1" thickBot="1" x14ac:dyDescent="0.25">
      <c r="D5" s="393"/>
      <c r="E5" s="393"/>
      <c r="F5" s="393"/>
      <c r="G5" s="393"/>
      <c r="H5" s="393"/>
      <c r="I5" s="393"/>
      <c r="J5" s="393"/>
      <c r="K5" s="393"/>
      <c r="L5" s="393"/>
      <c r="M5" s="393"/>
      <c r="N5" s="392"/>
      <c r="O5" s="15"/>
    </row>
    <row r="6" spans="1:18" s="394" customFormat="1" ht="21" customHeight="1" thickBot="1" x14ac:dyDescent="0.3">
      <c r="A6" s="760" t="s">
        <v>532</v>
      </c>
      <c r="B6" s="760" t="s">
        <v>812</v>
      </c>
      <c r="C6" s="760" t="s">
        <v>533</v>
      </c>
      <c r="D6" s="756" t="s">
        <v>534</v>
      </c>
      <c r="E6" s="757"/>
      <c r="F6" s="756" t="s">
        <v>535</v>
      </c>
      <c r="G6" s="757"/>
      <c r="H6" s="786" t="s">
        <v>536</v>
      </c>
      <c r="I6" s="787"/>
      <c r="J6" s="789" t="s">
        <v>537</v>
      </c>
      <c r="K6" s="792" t="s">
        <v>538</v>
      </c>
      <c r="L6" s="792"/>
      <c r="M6" s="789" t="s">
        <v>537</v>
      </c>
      <c r="N6" s="756" t="s">
        <v>539</v>
      </c>
      <c r="O6" s="762"/>
      <c r="P6" s="760" t="s">
        <v>540</v>
      </c>
      <c r="Q6" s="754" t="s">
        <v>541</v>
      </c>
      <c r="R6" s="755"/>
    </row>
    <row r="7" spans="1:18" s="394" customFormat="1" ht="27.75" customHeight="1" thickBot="1" x14ac:dyDescent="0.3">
      <c r="A7" s="768"/>
      <c r="B7" s="768"/>
      <c r="C7" s="768"/>
      <c r="D7" s="758"/>
      <c r="E7" s="759"/>
      <c r="F7" s="758"/>
      <c r="G7" s="759"/>
      <c r="H7" s="788"/>
      <c r="I7" s="787"/>
      <c r="J7" s="790"/>
      <c r="K7" s="792"/>
      <c r="L7" s="792"/>
      <c r="M7" s="790"/>
      <c r="N7" s="763"/>
      <c r="O7" s="764"/>
      <c r="P7" s="761"/>
      <c r="Q7" s="395" t="s">
        <v>542</v>
      </c>
      <c r="R7" s="395" t="s">
        <v>543</v>
      </c>
    </row>
    <row r="8" spans="1:18" s="2" customFormat="1" ht="28.5" customHeight="1" thickBot="1" x14ac:dyDescent="0.25">
      <c r="A8" s="677">
        <v>1</v>
      </c>
      <c r="B8" s="677" t="s">
        <v>264</v>
      </c>
      <c r="C8" s="723" t="s">
        <v>813</v>
      </c>
      <c r="D8" s="717" t="s">
        <v>814</v>
      </c>
      <c r="E8" s="718"/>
      <c r="F8" s="717" t="s">
        <v>815</v>
      </c>
      <c r="G8" s="718"/>
      <c r="H8" s="717" t="s">
        <v>544</v>
      </c>
      <c r="I8" s="718"/>
      <c r="J8" s="677"/>
      <c r="K8" s="695" t="s">
        <v>478</v>
      </c>
      <c r="L8" s="696"/>
      <c r="M8" s="677"/>
      <c r="N8" s="411" t="s">
        <v>535</v>
      </c>
      <c r="O8" s="372"/>
      <c r="P8" s="703" t="str">
        <f>IF(O10=Berechnung1!D27,Berechnung1!$F$5,IF(OR(O10&lt; Berechnung1!E27,O10&gt; Berechnung1!F27),Berechnung1!$G$5,IF(OR(ROUND(O10,4)&lt;Berechnung1!J27,ROUND(O10,4)&gt;Berechnung1!K27),Berechnung1!$D$5,IF(OR(ROUND(O10,4)&lt;Berechnung1!G27,ROUND(O10,4)&gt;Berechnung1!H27),Berechnung1!$E$5,Berechnung1!$C$5))))</f>
        <v>Incomplete</v>
      </c>
      <c r="Q8" s="666"/>
      <c r="R8" s="669"/>
    </row>
    <row r="9" spans="1:18" s="2" customFormat="1" ht="28.5" customHeight="1" thickBot="1" x14ac:dyDescent="0.25">
      <c r="A9" s="752"/>
      <c r="B9" s="752"/>
      <c r="C9" s="724"/>
      <c r="D9" s="719"/>
      <c r="E9" s="720"/>
      <c r="F9" s="719"/>
      <c r="G9" s="720"/>
      <c r="H9" s="719"/>
      <c r="I9" s="720"/>
      <c r="J9" s="752"/>
      <c r="K9" s="697"/>
      <c r="L9" s="698"/>
      <c r="M9" s="752"/>
      <c r="N9" s="411" t="s">
        <v>567</v>
      </c>
      <c r="O9" s="396">
        <f>IF('Basic Data'!M56="",0,'Basic Data'!M56)</f>
        <v>0</v>
      </c>
      <c r="P9" s="703"/>
      <c r="Q9" s="667"/>
      <c r="R9" s="670"/>
    </row>
    <row r="10" spans="1:18" s="2" customFormat="1" ht="28.5" customHeight="1" thickBot="1" x14ac:dyDescent="0.25">
      <c r="A10" s="753"/>
      <c r="B10" s="753"/>
      <c r="C10" s="725"/>
      <c r="D10" s="721"/>
      <c r="E10" s="722"/>
      <c r="F10" s="721"/>
      <c r="G10" s="722"/>
      <c r="H10" s="721"/>
      <c r="I10" s="722"/>
      <c r="J10" s="753"/>
      <c r="K10" s="699"/>
      <c r="L10" s="700"/>
      <c r="M10" s="753"/>
      <c r="N10" s="411" t="s">
        <v>32</v>
      </c>
      <c r="O10" s="397" t="str">
        <f>IF(O8="","n.d.",IF(O9="","n.d.",IF(O9=0,"",O8/O9)))</f>
        <v>n.d.</v>
      </c>
      <c r="P10" s="703"/>
      <c r="Q10" s="668"/>
      <c r="R10" s="670"/>
    </row>
    <row r="11" spans="1:18" s="2" customFormat="1" ht="28.5" customHeight="1" thickBot="1" x14ac:dyDescent="0.25">
      <c r="A11" s="677" t="s">
        <v>931</v>
      </c>
      <c r="B11" s="765"/>
      <c r="C11" s="723" t="s">
        <v>873</v>
      </c>
      <c r="D11" s="717" t="s">
        <v>874</v>
      </c>
      <c r="E11" s="718"/>
      <c r="F11" s="717" t="s">
        <v>875</v>
      </c>
      <c r="G11" s="718"/>
      <c r="H11" s="717" t="s">
        <v>544</v>
      </c>
      <c r="I11" s="718"/>
      <c r="J11" s="677"/>
      <c r="K11" s="695" t="s">
        <v>876</v>
      </c>
      <c r="L11" s="696"/>
      <c r="M11" s="677"/>
      <c r="N11" s="411" t="s">
        <v>535</v>
      </c>
      <c r="O11" s="372"/>
      <c r="P11" s="703" t="str">
        <f>IF(O13=Berechnung1!D30,Berechnung1!$F$5,IF(OR(O13&lt; Berechnung1!E30,O13&gt; Berechnung1!F30),Berechnung1!$G$5,IF(OR(ROUND(O13,4)&lt;Berechnung1!J30,ROUND(O13,4)&gt;Berechnung1!K30),Berechnung1!$D$5,IF(OR(ROUND(O13,4)&lt;Berechnung1!G30,ROUND(O13,4)&gt;Berechnung1!H30),Berechnung1!$E$5,Berechnung1!$C$5))))</f>
        <v>Incomplete</v>
      </c>
      <c r="Q11" s="666"/>
      <c r="R11" s="669"/>
    </row>
    <row r="12" spans="1:18" s="2" customFormat="1" ht="28.5" customHeight="1" thickBot="1" x14ac:dyDescent="0.25">
      <c r="A12" s="752"/>
      <c r="B12" s="766"/>
      <c r="C12" s="724"/>
      <c r="D12" s="719"/>
      <c r="E12" s="720"/>
      <c r="F12" s="719"/>
      <c r="G12" s="720"/>
      <c r="H12" s="719"/>
      <c r="I12" s="720"/>
      <c r="J12" s="752"/>
      <c r="K12" s="697"/>
      <c r="L12" s="698"/>
      <c r="M12" s="752"/>
      <c r="N12" s="411" t="s">
        <v>567</v>
      </c>
      <c r="O12" s="396">
        <f>IF('Basic Data'!M56="",0,'Basic Data'!M56)</f>
        <v>0</v>
      </c>
      <c r="P12" s="703"/>
      <c r="Q12" s="667"/>
      <c r="R12" s="670"/>
    </row>
    <row r="13" spans="1:18" s="2" customFormat="1" ht="28.5" customHeight="1" thickBot="1" x14ac:dyDescent="0.25">
      <c r="A13" s="753"/>
      <c r="B13" s="767"/>
      <c r="C13" s="725"/>
      <c r="D13" s="721"/>
      <c r="E13" s="722"/>
      <c r="F13" s="721"/>
      <c r="G13" s="722"/>
      <c r="H13" s="721"/>
      <c r="I13" s="722"/>
      <c r="J13" s="753"/>
      <c r="K13" s="699"/>
      <c r="L13" s="700"/>
      <c r="M13" s="753"/>
      <c r="N13" s="411" t="s">
        <v>32</v>
      </c>
      <c r="O13" s="397" t="str">
        <f>IF(O11="","n.d.",IF(O12="","n.d.",IF(O12=0,"",O11/O12)))</f>
        <v>n.d.</v>
      </c>
      <c r="P13" s="703"/>
      <c r="Q13" s="668"/>
      <c r="R13" s="670"/>
    </row>
    <row r="14" spans="1:18" s="2" customFormat="1" ht="28.5" customHeight="1" thickBot="1" x14ac:dyDescent="0.25">
      <c r="A14" s="677">
        <v>3</v>
      </c>
      <c r="B14" s="765"/>
      <c r="C14" s="723" t="s">
        <v>878</v>
      </c>
      <c r="D14" s="717" t="s">
        <v>546</v>
      </c>
      <c r="E14" s="718"/>
      <c r="F14" s="717" t="s">
        <v>558</v>
      </c>
      <c r="G14" s="718"/>
      <c r="H14" s="717" t="s">
        <v>544</v>
      </c>
      <c r="I14" s="718"/>
      <c r="J14" s="677" t="s">
        <v>427</v>
      </c>
      <c r="K14" s="695" t="s">
        <v>545</v>
      </c>
      <c r="L14" s="696"/>
      <c r="M14" s="791"/>
      <c r="N14" s="411" t="s">
        <v>535</v>
      </c>
      <c r="O14" s="372"/>
      <c r="P14" s="703" t="str">
        <f>IF(O16=Berechnung1!D33,Berechnung1!$F$5,IF(OR(O16&lt; Berechnung1!E33,O16&gt; Berechnung1!F33),Berechnung1!$G$5,IF(OR(ROUND(O16,4)&lt;Berechnung1!J33,ROUND(O16,4)&gt;Berechnung1!K33),Berechnung1!$D$5,IF(OR(ROUND(O16,4)&lt;Berechnung1!G33,ROUND(O16,4)&gt;Berechnung1!H33),Berechnung1!$E$5,Berechnung1!$C$5))))</f>
        <v>Incomplete</v>
      </c>
      <c r="Q14" s="666"/>
      <c r="R14" s="669"/>
    </row>
    <row r="15" spans="1:18" s="2" customFormat="1" ht="28.5" customHeight="1" thickBot="1" x14ac:dyDescent="0.25">
      <c r="A15" s="752"/>
      <c r="B15" s="766"/>
      <c r="C15" s="724"/>
      <c r="D15" s="719"/>
      <c r="E15" s="720"/>
      <c r="F15" s="719"/>
      <c r="G15" s="720"/>
      <c r="H15" s="719"/>
      <c r="I15" s="720"/>
      <c r="J15" s="752"/>
      <c r="K15" s="697"/>
      <c r="L15" s="698"/>
      <c r="M15" s="752"/>
      <c r="N15" s="411" t="s">
        <v>567</v>
      </c>
      <c r="O15" s="396">
        <f>IF('Basic Data'!M56="",0,'Basic Data'!M56)</f>
        <v>0</v>
      </c>
      <c r="P15" s="703"/>
      <c r="Q15" s="667"/>
      <c r="R15" s="670"/>
    </row>
    <row r="16" spans="1:18" s="2" customFormat="1" ht="28.5" customHeight="1" thickBot="1" x14ac:dyDescent="0.25">
      <c r="A16" s="753"/>
      <c r="B16" s="767"/>
      <c r="C16" s="725"/>
      <c r="D16" s="721"/>
      <c r="E16" s="722"/>
      <c r="F16" s="721"/>
      <c r="G16" s="722"/>
      <c r="H16" s="721"/>
      <c r="I16" s="722"/>
      <c r="J16" s="753"/>
      <c r="K16" s="699"/>
      <c r="L16" s="700"/>
      <c r="M16" s="753"/>
      <c r="N16" s="411" t="s">
        <v>32</v>
      </c>
      <c r="O16" s="397" t="str">
        <f>IF(O14="","n.d.",IF(O15="","n.d.",IF(O15=0,"",O14/O15)))</f>
        <v>n.d.</v>
      </c>
      <c r="P16" s="703"/>
      <c r="Q16" s="668"/>
      <c r="R16" s="670"/>
    </row>
    <row r="17" spans="1:18" s="2" customFormat="1" ht="28.5" customHeight="1" thickBot="1" x14ac:dyDescent="0.25">
      <c r="A17" s="677">
        <v>4</v>
      </c>
      <c r="B17" s="677" t="s">
        <v>265</v>
      </c>
      <c r="C17" s="723" t="s">
        <v>877</v>
      </c>
      <c r="D17" s="717" t="s">
        <v>547</v>
      </c>
      <c r="E17" s="718"/>
      <c r="F17" s="717" t="s">
        <v>548</v>
      </c>
      <c r="G17" s="718"/>
      <c r="H17" s="717" t="s">
        <v>559</v>
      </c>
      <c r="I17" s="718"/>
      <c r="J17" s="677"/>
      <c r="K17" s="695" t="s">
        <v>304</v>
      </c>
      <c r="L17" s="696"/>
      <c r="M17" s="677" t="s">
        <v>315</v>
      </c>
      <c r="N17" s="403" t="s">
        <v>535</v>
      </c>
      <c r="O17" s="396">
        <f>Studies!E5</f>
        <v>0</v>
      </c>
      <c r="P17" s="703" t="str">
        <f>IF(O19=Berechnung1!D36,Berechnung1!$F$5,IF(OR(O19&lt; Berechnung1!E36,O19&gt; Berechnung1!F36),Berechnung1!$G$5,IF(OR(ROUND(O19,4)&lt;Berechnung1!J36,ROUND(O19,4)&gt;Berechnung1!K36),Berechnung1!$D$5,IF(OR(ROUND(O19,4)&lt;Berechnung1!G36,ROUND(O19,4)&gt;Berechnung1!H36),Berechnung1!$E$5,Berechnung1!$C$5))))</f>
        <v>Incomplete</v>
      </c>
      <c r="Q17" s="666"/>
      <c r="R17" s="669"/>
    </row>
    <row r="18" spans="1:18" s="2" customFormat="1" ht="28.5" customHeight="1" thickBot="1" x14ac:dyDescent="0.25">
      <c r="A18" s="752"/>
      <c r="B18" s="752"/>
      <c r="C18" s="724"/>
      <c r="D18" s="719"/>
      <c r="E18" s="720"/>
      <c r="F18" s="719"/>
      <c r="G18" s="720"/>
      <c r="H18" s="719"/>
      <c r="I18" s="720"/>
      <c r="J18" s="752"/>
      <c r="K18" s="697"/>
      <c r="L18" s="698"/>
      <c r="M18" s="752"/>
      <c r="N18" s="411" t="s">
        <v>567</v>
      </c>
      <c r="O18" s="396">
        <f>IF('Basic Data'!D56="",0,'Basic Data'!D56)</f>
        <v>0</v>
      </c>
      <c r="P18" s="703"/>
      <c r="Q18" s="667"/>
      <c r="R18" s="670"/>
    </row>
    <row r="19" spans="1:18" s="2" customFormat="1" ht="28.5" customHeight="1" thickBot="1" x14ac:dyDescent="0.25">
      <c r="A19" s="753"/>
      <c r="B19" s="753"/>
      <c r="C19" s="725"/>
      <c r="D19" s="721"/>
      <c r="E19" s="722"/>
      <c r="F19" s="721"/>
      <c r="G19" s="722"/>
      <c r="H19" s="721"/>
      <c r="I19" s="722"/>
      <c r="J19" s="753"/>
      <c r="K19" s="699"/>
      <c r="L19" s="700"/>
      <c r="M19" s="753"/>
      <c r="N19" s="411" t="s">
        <v>32</v>
      </c>
      <c r="O19" s="397" t="str">
        <f>IF(O17="0","n.d.",IF(O18="0","n.d.",IF(O18=0,"n.d.",O17/O18)))</f>
        <v>n.d.</v>
      </c>
      <c r="P19" s="703"/>
      <c r="Q19" s="668"/>
      <c r="R19" s="670"/>
    </row>
    <row r="20" spans="1:18" s="2" customFormat="1" ht="28.5" customHeight="1" thickBot="1" x14ac:dyDescent="0.25">
      <c r="A20" s="677">
        <v>5</v>
      </c>
      <c r="B20" s="677" t="s">
        <v>275</v>
      </c>
      <c r="C20" s="751" t="s">
        <v>549</v>
      </c>
      <c r="D20" s="717" t="s">
        <v>550</v>
      </c>
      <c r="E20" s="718"/>
      <c r="F20" s="777" t="s">
        <v>549</v>
      </c>
      <c r="G20" s="718"/>
      <c r="H20" s="750" t="s">
        <v>270</v>
      </c>
      <c r="I20" s="718"/>
      <c r="J20" s="677"/>
      <c r="K20" s="695" t="s">
        <v>302</v>
      </c>
      <c r="L20" s="696"/>
      <c r="M20" s="677"/>
      <c r="N20" s="783" t="s">
        <v>568</v>
      </c>
      <c r="O20" s="746">
        <f>IF('Basic Data'!M56="",0,'Basic Data'!M56)</f>
        <v>0</v>
      </c>
      <c r="P20" s="703" t="str">
        <f>IF(O20=0,Berechnung1!$F$5,IF(OR(O20&lt; Berechnung1!E39,O20&gt; Berechnung1!F39),Berechnung1!$G$5,IF(OR(ROUND(O20,4)&lt;Berechnung1!J39,ROUND(O20,4)&gt;Berechnung1!K39),Berechnung1!$D$5,IF(OR(ROUND(O20,4)&lt;Berechnung1!G39,ROUND(O20,4)&gt;Berechnung1!H39),Berechnung1!$E$5,Berechnung1!$C$5))))</f>
        <v>Incomplete</v>
      </c>
      <c r="Q20" s="666"/>
      <c r="R20" s="669"/>
    </row>
    <row r="21" spans="1:18" s="2" customFormat="1" ht="28.5" customHeight="1" thickBot="1" x14ac:dyDescent="0.25">
      <c r="A21" s="752"/>
      <c r="B21" s="752"/>
      <c r="C21" s="724"/>
      <c r="D21" s="719"/>
      <c r="E21" s="720"/>
      <c r="F21" s="719"/>
      <c r="G21" s="720"/>
      <c r="H21" s="719"/>
      <c r="I21" s="720"/>
      <c r="J21" s="752"/>
      <c r="K21" s="697"/>
      <c r="L21" s="698"/>
      <c r="M21" s="752"/>
      <c r="N21" s="783"/>
      <c r="O21" s="747"/>
      <c r="P21" s="703"/>
      <c r="Q21" s="667"/>
      <c r="R21" s="670"/>
    </row>
    <row r="22" spans="1:18" s="2" customFormat="1" ht="28.5" customHeight="1" thickBot="1" x14ac:dyDescent="0.25">
      <c r="A22" s="753"/>
      <c r="B22" s="753"/>
      <c r="C22" s="725"/>
      <c r="D22" s="721"/>
      <c r="E22" s="722"/>
      <c r="F22" s="721"/>
      <c r="G22" s="722"/>
      <c r="H22" s="721"/>
      <c r="I22" s="722"/>
      <c r="J22" s="753"/>
      <c r="K22" s="699"/>
      <c r="L22" s="700"/>
      <c r="M22" s="753"/>
      <c r="N22" s="783"/>
      <c r="O22" s="748"/>
      <c r="P22" s="703"/>
      <c r="Q22" s="668"/>
      <c r="R22" s="670"/>
    </row>
    <row r="23" spans="1:18" s="2" customFormat="1" ht="28.5" customHeight="1" thickBot="1" x14ac:dyDescent="0.25">
      <c r="A23" s="677" t="s">
        <v>816</v>
      </c>
      <c r="B23" s="677" t="s">
        <v>275</v>
      </c>
      <c r="C23" s="751" t="s">
        <v>551</v>
      </c>
      <c r="D23" s="717" t="s">
        <v>550</v>
      </c>
      <c r="E23" s="718"/>
      <c r="F23" s="777" t="s">
        <v>552</v>
      </c>
      <c r="G23" s="718"/>
      <c r="H23" s="750" t="s">
        <v>270</v>
      </c>
      <c r="I23" s="718"/>
      <c r="J23" s="677"/>
      <c r="K23" s="695" t="s">
        <v>276</v>
      </c>
      <c r="L23" s="696"/>
      <c r="M23" s="677"/>
      <c r="N23" s="783" t="s">
        <v>568</v>
      </c>
      <c r="O23" s="746">
        <f>IF('Basic Data'!D56="",0,'Basic Data'!D56)</f>
        <v>0</v>
      </c>
      <c r="P23" s="703" t="str">
        <f>IF(O23=0,Berechnung1!$F$5,IF(OR(O23&lt; Berechnung1!E42,O23&gt; Berechnung1!F42),Berechnung1!$G$5,IF(OR(ROUND(O23,4)&lt;Berechnung1!J42,ROUND(O23,4)&gt;Berechnung1!K42),Berechnung1!$D$5,IF(OR(ROUND(O23,4)&lt;Berechnung1!G42,ROUND(O23,4)&gt;Berechnung1!H42),Berechnung1!$E$5,Berechnung1!$C$5))))</f>
        <v>Incomplete</v>
      </c>
      <c r="Q23" s="666"/>
      <c r="R23" s="669"/>
    </row>
    <row r="24" spans="1:18" s="2" customFormat="1" ht="28.5" customHeight="1" thickBot="1" x14ac:dyDescent="0.25">
      <c r="A24" s="752"/>
      <c r="B24" s="752"/>
      <c r="C24" s="724"/>
      <c r="D24" s="719"/>
      <c r="E24" s="720"/>
      <c r="F24" s="719"/>
      <c r="G24" s="720"/>
      <c r="H24" s="719"/>
      <c r="I24" s="720"/>
      <c r="J24" s="752"/>
      <c r="K24" s="697"/>
      <c r="L24" s="698"/>
      <c r="M24" s="752"/>
      <c r="N24" s="783"/>
      <c r="O24" s="747"/>
      <c r="P24" s="703"/>
      <c r="Q24" s="667"/>
      <c r="R24" s="670"/>
    </row>
    <row r="25" spans="1:18" s="2" customFormat="1" ht="28.5" customHeight="1" thickBot="1" x14ac:dyDescent="0.25">
      <c r="A25" s="753"/>
      <c r="B25" s="753"/>
      <c r="C25" s="725"/>
      <c r="D25" s="721"/>
      <c r="E25" s="722"/>
      <c r="F25" s="721"/>
      <c r="G25" s="722"/>
      <c r="H25" s="721"/>
      <c r="I25" s="722"/>
      <c r="J25" s="753"/>
      <c r="K25" s="699"/>
      <c r="L25" s="700"/>
      <c r="M25" s="753"/>
      <c r="N25" s="783"/>
      <c r="O25" s="748"/>
      <c r="P25" s="703"/>
      <c r="Q25" s="668"/>
      <c r="R25" s="670"/>
    </row>
    <row r="26" spans="1:18" s="2" customFormat="1" ht="28.5" customHeight="1" thickBot="1" x14ac:dyDescent="0.25">
      <c r="A26" s="677" t="s">
        <v>817</v>
      </c>
      <c r="B26" s="774" t="s">
        <v>275</v>
      </c>
      <c r="C26" s="751" t="s">
        <v>514</v>
      </c>
      <c r="D26" s="750" t="s">
        <v>270</v>
      </c>
      <c r="E26" s="718"/>
      <c r="F26" s="777" t="s">
        <v>514</v>
      </c>
      <c r="G26" s="778"/>
      <c r="H26" s="750" t="s">
        <v>270</v>
      </c>
      <c r="I26" s="718"/>
      <c r="J26" s="677"/>
      <c r="K26" s="695" t="s">
        <v>545</v>
      </c>
      <c r="L26" s="696"/>
      <c r="M26" s="677"/>
      <c r="N26" s="723" t="s">
        <v>568</v>
      </c>
      <c r="O26" s="746">
        <f>IF('Basic Data'!K56="",0,'Basic Data'!K56)</f>
        <v>0</v>
      </c>
      <c r="P26" s="703" t="str">
        <f>IF(O26=0,Berechnung1!$F$5,IF(OR(O26&lt; Berechnung1!E45,O26&gt; Berechnung1!F45),Berechnung1!$G$5,IF(OR(ROUND(O26,4)&lt;Berechnung1!J45,ROUND(O26,4)&gt;Berechnung1!K45),Berechnung1!$D$5,IF(OR(ROUND(O26,4)&lt;Berechnung1!G45,ROUND(O26,4)&gt;Berechnung1!H45),Berechnung1!$E$5,Berechnung1!$C$5))))</f>
        <v>Incomplete</v>
      </c>
      <c r="Q26" s="666"/>
      <c r="R26" s="669"/>
    </row>
    <row r="27" spans="1:18" s="2" customFormat="1" ht="28.5" customHeight="1" thickBot="1" x14ac:dyDescent="0.25">
      <c r="A27" s="752"/>
      <c r="B27" s="752"/>
      <c r="C27" s="775"/>
      <c r="D27" s="719"/>
      <c r="E27" s="720"/>
      <c r="F27" s="779"/>
      <c r="G27" s="780"/>
      <c r="H27" s="719"/>
      <c r="I27" s="720"/>
      <c r="J27" s="752"/>
      <c r="K27" s="697"/>
      <c r="L27" s="698"/>
      <c r="M27" s="752"/>
      <c r="N27" s="724"/>
      <c r="O27" s="747"/>
      <c r="P27" s="703"/>
      <c r="Q27" s="667"/>
      <c r="R27" s="670"/>
    </row>
    <row r="28" spans="1:18" s="2" customFormat="1" ht="28.5" customHeight="1" thickBot="1" x14ac:dyDescent="0.25">
      <c r="A28" s="753"/>
      <c r="B28" s="753"/>
      <c r="C28" s="776"/>
      <c r="D28" s="721"/>
      <c r="E28" s="722"/>
      <c r="F28" s="781"/>
      <c r="G28" s="782"/>
      <c r="H28" s="721"/>
      <c r="I28" s="722"/>
      <c r="J28" s="753"/>
      <c r="K28" s="699"/>
      <c r="L28" s="700"/>
      <c r="M28" s="753"/>
      <c r="N28" s="725"/>
      <c r="O28" s="748"/>
      <c r="P28" s="703"/>
      <c r="Q28" s="668"/>
      <c r="R28" s="670"/>
    </row>
    <row r="29" spans="1:18" s="2" customFormat="1" ht="28.5" customHeight="1" thickBot="1" x14ac:dyDescent="0.25">
      <c r="A29" s="677">
        <v>7</v>
      </c>
      <c r="B29" s="769" t="s">
        <v>277</v>
      </c>
      <c r="C29" s="723" t="s">
        <v>553</v>
      </c>
      <c r="D29" s="717" t="s">
        <v>550</v>
      </c>
      <c r="E29" s="718"/>
      <c r="F29" s="717" t="s">
        <v>554</v>
      </c>
      <c r="G29" s="718"/>
      <c r="H29" s="750" t="s">
        <v>270</v>
      </c>
      <c r="I29" s="718"/>
      <c r="J29" s="677"/>
      <c r="K29" s="695" t="s">
        <v>278</v>
      </c>
      <c r="L29" s="696"/>
      <c r="M29" s="677"/>
      <c r="N29" s="783" t="s">
        <v>568</v>
      </c>
      <c r="O29" s="746">
        <f>IF('Basic Data'!M55="",0,'Basic Data'!M55)</f>
        <v>0</v>
      </c>
      <c r="P29" s="703" t="str">
        <f>IF(O29=0,Berechnung1!$F$5,IF(OR(O29&lt; Berechnung1!E48,O29&gt; Berechnung1!F48),Berechnung1!$G$5,IF(OR(ROUND(O29,4)&lt;Berechnung1!J48,ROUND(O29,4)&gt;Berechnung1!K48),Berechnung1!$D$5,IF(OR(ROUND(O29,4)&lt;Berechnung1!G48,ROUND(O29,4)&gt;Berechnung1!H48),Berechnung1!$E$5,Berechnung1!$C$5))))</f>
        <v>Incomplete</v>
      </c>
      <c r="Q29" s="666"/>
      <c r="R29" s="669"/>
    </row>
    <row r="30" spans="1:18" s="2" customFormat="1" ht="28.5" customHeight="1" thickBot="1" x14ac:dyDescent="0.25">
      <c r="A30" s="752"/>
      <c r="B30" s="770"/>
      <c r="C30" s="724"/>
      <c r="D30" s="719"/>
      <c r="E30" s="720"/>
      <c r="F30" s="719"/>
      <c r="G30" s="720"/>
      <c r="H30" s="719"/>
      <c r="I30" s="720"/>
      <c r="J30" s="752"/>
      <c r="K30" s="697"/>
      <c r="L30" s="698"/>
      <c r="M30" s="752"/>
      <c r="N30" s="783"/>
      <c r="O30" s="747"/>
      <c r="P30" s="703"/>
      <c r="Q30" s="667"/>
      <c r="R30" s="670"/>
    </row>
    <row r="31" spans="1:18" s="2" customFormat="1" ht="28.5" customHeight="1" thickBot="1" x14ac:dyDescent="0.25">
      <c r="A31" s="753"/>
      <c r="B31" s="771"/>
      <c r="C31" s="725"/>
      <c r="D31" s="721"/>
      <c r="E31" s="722"/>
      <c r="F31" s="721"/>
      <c r="G31" s="722"/>
      <c r="H31" s="721"/>
      <c r="I31" s="722"/>
      <c r="J31" s="753"/>
      <c r="K31" s="699"/>
      <c r="L31" s="700"/>
      <c r="M31" s="753"/>
      <c r="N31" s="783"/>
      <c r="O31" s="748"/>
      <c r="P31" s="703"/>
      <c r="Q31" s="668"/>
      <c r="R31" s="670"/>
    </row>
    <row r="32" spans="1:18" s="87" customFormat="1" ht="28.5" customHeight="1" thickBot="1" x14ac:dyDescent="0.3">
      <c r="A32" s="677">
        <v>8</v>
      </c>
      <c r="B32" s="827" t="s">
        <v>818</v>
      </c>
      <c r="C32" s="723" t="s">
        <v>819</v>
      </c>
      <c r="D32" s="717" t="s">
        <v>820</v>
      </c>
      <c r="E32" s="718"/>
      <c r="F32" s="717" t="s">
        <v>555</v>
      </c>
      <c r="G32" s="718"/>
      <c r="H32" s="717" t="s">
        <v>904</v>
      </c>
      <c r="I32" s="718"/>
      <c r="J32" s="701"/>
      <c r="K32" s="695" t="s">
        <v>879</v>
      </c>
      <c r="L32" s="696"/>
      <c r="M32" s="701"/>
      <c r="N32" s="414" t="s">
        <v>535</v>
      </c>
      <c r="O32" s="372"/>
      <c r="P32" s="702" t="str">
        <f>IF(O34=Berechnung1!D51,Berechnung1!$F$5,IF(OR(O34&lt; Berechnung1!E51,O34&gt; Berechnung1!F51),Berechnung1!$G$5,IF(OR(ROUND(O34,4)&lt;Berechnung1!J51,ROUND(O34,4)&gt;Berechnung1!K51),Berechnung1!$D$5,IF(OR(ROUND(O34,4)&lt;Berechnung1!G51,ROUND(O34,4)&gt;Berechnung1!H51),Berechnung1!$E$5,Berechnung1!$C$5))))</f>
        <v>Incomplete</v>
      </c>
      <c r="Q32" s="666"/>
      <c r="R32" s="669"/>
    </row>
    <row r="33" spans="1:18" s="87" customFormat="1" ht="28.5" customHeight="1" thickBot="1" x14ac:dyDescent="0.3">
      <c r="A33" s="678"/>
      <c r="B33" s="828"/>
      <c r="C33" s="830"/>
      <c r="D33" s="719"/>
      <c r="E33" s="720"/>
      <c r="F33" s="719"/>
      <c r="G33" s="720"/>
      <c r="H33" s="719"/>
      <c r="I33" s="720"/>
      <c r="J33" s="678"/>
      <c r="K33" s="697"/>
      <c r="L33" s="698"/>
      <c r="M33" s="678"/>
      <c r="N33" s="413" t="s">
        <v>567</v>
      </c>
      <c r="O33" s="213">
        <f>D110+E110+F110+J110</f>
        <v>0</v>
      </c>
      <c r="P33" s="703"/>
      <c r="Q33" s="667"/>
      <c r="R33" s="670"/>
    </row>
    <row r="34" spans="1:18" s="87" customFormat="1" ht="28.5" customHeight="1" thickBot="1" x14ac:dyDescent="0.3">
      <c r="A34" s="678"/>
      <c r="B34" s="829"/>
      <c r="C34" s="830"/>
      <c r="D34" s="719"/>
      <c r="E34" s="720"/>
      <c r="F34" s="719"/>
      <c r="G34" s="720"/>
      <c r="H34" s="719"/>
      <c r="I34" s="720"/>
      <c r="J34" s="678"/>
      <c r="K34" s="697"/>
      <c r="L34" s="698"/>
      <c r="M34" s="678"/>
      <c r="N34" s="485" t="s">
        <v>32</v>
      </c>
      <c r="O34" s="486" t="str">
        <f>IF(O32="","n.d.",IF(O33="","n.d.",IF(O33=0,"",O32/O33)))</f>
        <v>n.d.</v>
      </c>
      <c r="P34" s="749"/>
      <c r="Q34" s="668"/>
      <c r="R34" s="670"/>
    </row>
    <row r="35" spans="1:18" s="87" customFormat="1" ht="46.5" customHeight="1" thickBot="1" x14ac:dyDescent="0.3">
      <c r="A35" s="677">
        <v>9</v>
      </c>
      <c r="B35" s="824" t="s">
        <v>818</v>
      </c>
      <c r="C35" s="726" t="s">
        <v>821</v>
      </c>
      <c r="D35" s="726" t="s">
        <v>822</v>
      </c>
      <c r="E35" s="726"/>
      <c r="F35" s="726" t="s">
        <v>560</v>
      </c>
      <c r="G35" s="726"/>
      <c r="H35" s="717" t="s">
        <v>823</v>
      </c>
      <c r="I35" s="718"/>
      <c r="J35" s="735"/>
      <c r="K35" s="695" t="s">
        <v>880</v>
      </c>
      <c r="L35" s="696"/>
      <c r="M35" s="735"/>
      <c r="N35" s="411" t="s">
        <v>535</v>
      </c>
      <c r="O35" s="372"/>
      <c r="P35" s="703" t="str">
        <f>IF(AND(O35&lt;&gt;"",O36&lt;&gt;"",O35=0,O36=0),Berechnung1!$H$5,IF(O37="",Berechnung1!$D$5,IF(O37=Berechnung1!D54,Berechnung1!$F$5,IF(OR(O37&lt; Berechnung1!E54,O37&gt; Berechnung1!F54),Berechnung1!$G$5,IF(OR(ROUND(O37,4)&lt;Berechnung1!J54,ROUND(O37,4)&gt;Berechnung1!K54),Berechnung1!$D$5,IF(OR(ROUND(O37,4)&lt;Berechnung1!G54,ROUND(O37,4)&gt;Berechnung1!H54),Berechnung1!$E$5,Berechnung1!$C$5))))))</f>
        <v>Incomplete</v>
      </c>
      <c r="Q35" s="666"/>
      <c r="R35" s="669"/>
    </row>
    <row r="36" spans="1:18" s="87" customFormat="1" ht="46.5" customHeight="1" thickBot="1" x14ac:dyDescent="0.3">
      <c r="A36" s="752"/>
      <c r="B36" s="824"/>
      <c r="C36" s="726"/>
      <c r="D36" s="726"/>
      <c r="E36" s="726"/>
      <c r="F36" s="726"/>
      <c r="G36" s="726"/>
      <c r="H36" s="719"/>
      <c r="I36" s="720"/>
      <c r="J36" s="734"/>
      <c r="K36" s="697"/>
      <c r="L36" s="698"/>
      <c r="M36" s="734"/>
      <c r="N36" s="411" t="s">
        <v>567</v>
      </c>
      <c r="O36" s="213">
        <f>IF(SUM(E100:F105)="",0,SUM(E100:F105))</f>
        <v>0</v>
      </c>
      <c r="P36" s="703"/>
      <c r="Q36" s="667"/>
      <c r="R36" s="670"/>
    </row>
    <row r="37" spans="1:18" s="87" customFormat="1" ht="46.5" customHeight="1" thickBot="1" x14ac:dyDescent="0.3">
      <c r="A37" s="753"/>
      <c r="B37" s="824"/>
      <c r="C37" s="726"/>
      <c r="D37" s="726"/>
      <c r="E37" s="726"/>
      <c r="F37" s="726"/>
      <c r="G37" s="726"/>
      <c r="H37" s="721"/>
      <c r="I37" s="722"/>
      <c r="J37" s="734"/>
      <c r="K37" s="699"/>
      <c r="L37" s="700"/>
      <c r="M37" s="734"/>
      <c r="N37" s="411" t="s">
        <v>32</v>
      </c>
      <c r="O37" s="371" t="str">
        <f>IF(O35="","n.d.",IF(AND(O35=0,O36=0),"",O35/O36))</f>
        <v>n.d.</v>
      </c>
      <c r="P37" s="703"/>
      <c r="Q37" s="668"/>
      <c r="R37" s="670"/>
    </row>
    <row r="38" spans="1:18" s="87" customFormat="1" ht="36" customHeight="1" thickBot="1" x14ac:dyDescent="0.3">
      <c r="A38" s="824">
        <v>10</v>
      </c>
      <c r="B38" s="753" t="s">
        <v>818</v>
      </c>
      <c r="C38" s="726" t="s">
        <v>824</v>
      </c>
      <c r="D38" s="726" t="s">
        <v>825</v>
      </c>
      <c r="E38" s="726"/>
      <c r="F38" s="726" t="s">
        <v>561</v>
      </c>
      <c r="G38" s="726"/>
      <c r="H38" s="717" t="s">
        <v>960</v>
      </c>
      <c r="I38" s="718"/>
      <c r="J38" s="793"/>
      <c r="K38" s="695" t="s">
        <v>477</v>
      </c>
      <c r="L38" s="696"/>
      <c r="M38" s="735" t="s">
        <v>439</v>
      </c>
      <c r="N38" s="411" t="s">
        <v>535</v>
      </c>
      <c r="O38" s="372"/>
      <c r="P38" s="702" t="str">
        <f>IF(O40=Berechnung1!D57,Berechnung1!$F$5,IF(OR(O40&lt; Berechnung1!E57,O40&gt; Berechnung1!F57),Berechnung1!$G$5,IF(OR(ROUND(O40,4)&lt;Berechnung1!J57,ROUND(O40,4)&gt;Berechnung1!K57),Berechnung1!$D$5,IF(OR(ROUND(O40,4)&lt;Berechnung1!G57,ROUND(O40,4)&gt;Berechnung1!H57),Berechnung1!$E$5,Berechnung1!$C$5))))</f>
        <v>Incomplete</v>
      </c>
      <c r="Q38" s="666"/>
      <c r="R38" s="669"/>
    </row>
    <row r="39" spans="1:18" s="87" customFormat="1" ht="36" customHeight="1" thickBot="1" x14ac:dyDescent="0.3">
      <c r="A39" s="734"/>
      <c r="B39" s="824"/>
      <c r="C39" s="726"/>
      <c r="D39" s="726"/>
      <c r="E39" s="726"/>
      <c r="F39" s="726"/>
      <c r="G39" s="726"/>
      <c r="H39" s="719"/>
      <c r="I39" s="720"/>
      <c r="J39" s="734"/>
      <c r="K39" s="697"/>
      <c r="L39" s="698"/>
      <c r="M39" s="734"/>
      <c r="N39" s="411" t="s">
        <v>567</v>
      </c>
      <c r="O39" s="372"/>
      <c r="P39" s="703"/>
      <c r="Q39" s="667"/>
      <c r="R39" s="670"/>
    </row>
    <row r="40" spans="1:18" s="87" customFormat="1" ht="36" customHeight="1" thickBot="1" x14ac:dyDescent="0.3">
      <c r="A40" s="734"/>
      <c r="B40" s="824"/>
      <c r="C40" s="726"/>
      <c r="D40" s="726"/>
      <c r="E40" s="726"/>
      <c r="F40" s="726"/>
      <c r="G40" s="726"/>
      <c r="H40" s="721"/>
      <c r="I40" s="722"/>
      <c r="J40" s="734"/>
      <c r="K40" s="699"/>
      <c r="L40" s="700"/>
      <c r="M40" s="734"/>
      <c r="N40" s="411" t="s">
        <v>32</v>
      </c>
      <c r="O40" s="371" t="str">
        <f>IF(O38="","n.d.",IF(O39="","n.d.",IF(O39=0,"",O38/O39)))</f>
        <v>n.d.</v>
      </c>
      <c r="P40" s="703"/>
      <c r="Q40" s="668"/>
      <c r="R40" s="670"/>
    </row>
    <row r="41" spans="1:18" s="87" customFormat="1" ht="36.75" customHeight="1" thickBot="1" x14ac:dyDescent="0.3">
      <c r="A41" s="824">
        <v>11</v>
      </c>
      <c r="B41" s="753" t="s">
        <v>818</v>
      </c>
      <c r="C41" s="726" t="s">
        <v>826</v>
      </c>
      <c r="D41" s="717" t="s">
        <v>827</v>
      </c>
      <c r="E41" s="718"/>
      <c r="F41" s="717" t="s">
        <v>828</v>
      </c>
      <c r="G41" s="718"/>
      <c r="H41" s="717" t="s">
        <v>829</v>
      </c>
      <c r="I41" s="718"/>
      <c r="J41" s="734"/>
      <c r="K41" s="695" t="s">
        <v>256</v>
      </c>
      <c r="L41" s="696"/>
      <c r="M41" s="735"/>
      <c r="N41" s="411" t="s">
        <v>535</v>
      </c>
      <c r="O41" s="372"/>
      <c r="P41" s="702" t="str">
        <f>IF(O43=Berechnung1!D60,Berechnung1!$F$5,IF(OR(O43&lt; Berechnung1!E60,O43&gt; Berechnung1!F60),Berechnung1!$G$5,IF(OR(ROUND(O43,4)&lt;Berechnung1!J60,ROUND(O43,4)&gt;Berechnung1!K60),Berechnung1!$D$5,IF(OR(ROUND(O43,4)&lt;Berechnung1!G60,ROUND(O43,4)&gt;Berechnung1!H60),Berechnung1!$E$5,Berechnung1!$C$5))))</f>
        <v>Incomplete</v>
      </c>
      <c r="Q41" s="666"/>
      <c r="R41" s="669"/>
    </row>
    <row r="42" spans="1:18" s="87" customFormat="1" ht="36.75" customHeight="1" thickBot="1" x14ac:dyDescent="0.3">
      <c r="A42" s="734"/>
      <c r="B42" s="824"/>
      <c r="C42" s="726"/>
      <c r="D42" s="719"/>
      <c r="E42" s="720"/>
      <c r="F42" s="719"/>
      <c r="G42" s="720"/>
      <c r="H42" s="719"/>
      <c r="I42" s="720"/>
      <c r="J42" s="734"/>
      <c r="K42" s="697"/>
      <c r="L42" s="698"/>
      <c r="M42" s="734"/>
      <c r="N42" s="411" t="s">
        <v>567</v>
      </c>
      <c r="O42" s="213">
        <f>IF(SUM(F104:F109)=0,0,SUM(F104:F109))</f>
        <v>0</v>
      </c>
      <c r="P42" s="703"/>
      <c r="Q42" s="667"/>
      <c r="R42" s="670"/>
    </row>
    <row r="43" spans="1:18" s="87" customFormat="1" ht="36.75" customHeight="1" thickBot="1" x14ac:dyDescent="0.3">
      <c r="A43" s="734"/>
      <c r="B43" s="824"/>
      <c r="C43" s="726"/>
      <c r="D43" s="721"/>
      <c r="E43" s="722"/>
      <c r="F43" s="721"/>
      <c r="G43" s="722"/>
      <c r="H43" s="721"/>
      <c r="I43" s="722"/>
      <c r="J43" s="734"/>
      <c r="K43" s="699"/>
      <c r="L43" s="700"/>
      <c r="M43" s="734"/>
      <c r="N43" s="411" t="s">
        <v>32</v>
      </c>
      <c r="O43" s="371" t="str">
        <f>IF(O41="","n.d.",IF(O42="","n.d.",IF(O42=0,"",O41/O42)))</f>
        <v>n.d.</v>
      </c>
      <c r="P43" s="703"/>
      <c r="Q43" s="668"/>
      <c r="R43" s="670"/>
    </row>
    <row r="44" spans="1:18" s="87" customFormat="1" ht="28.5" customHeight="1" thickBot="1" x14ac:dyDescent="0.3">
      <c r="A44" s="825">
        <v>12</v>
      </c>
      <c r="B44" s="826" t="s">
        <v>818</v>
      </c>
      <c r="C44" s="742" t="s">
        <v>830</v>
      </c>
      <c r="D44" s="742" t="s">
        <v>831</v>
      </c>
      <c r="E44" s="742"/>
      <c r="F44" s="742" t="s">
        <v>562</v>
      </c>
      <c r="G44" s="742"/>
      <c r="H44" s="736" t="s">
        <v>855</v>
      </c>
      <c r="I44" s="737"/>
      <c r="J44" s="794"/>
      <c r="K44" s="795" t="s">
        <v>256</v>
      </c>
      <c r="L44" s="796"/>
      <c r="M44" s="805"/>
      <c r="N44" s="429" t="s">
        <v>535</v>
      </c>
      <c r="O44" s="430"/>
      <c r="P44" s="772"/>
      <c r="Q44" s="801" t="s">
        <v>867</v>
      </c>
      <c r="R44" s="801"/>
    </row>
    <row r="45" spans="1:18" s="87" customFormat="1" ht="28.5" customHeight="1" thickBot="1" x14ac:dyDescent="0.3">
      <c r="A45" s="794"/>
      <c r="B45" s="825"/>
      <c r="C45" s="742"/>
      <c r="D45" s="742"/>
      <c r="E45" s="742"/>
      <c r="F45" s="742"/>
      <c r="G45" s="742"/>
      <c r="H45" s="738"/>
      <c r="I45" s="739"/>
      <c r="J45" s="794"/>
      <c r="K45" s="797"/>
      <c r="L45" s="798"/>
      <c r="M45" s="794"/>
      <c r="N45" s="429" t="s">
        <v>567</v>
      </c>
      <c r="O45" s="430"/>
      <c r="P45" s="773"/>
      <c r="Q45" s="802"/>
      <c r="R45" s="804"/>
    </row>
    <row r="46" spans="1:18" s="87" customFormat="1" ht="28.5" customHeight="1" thickBot="1" x14ac:dyDescent="0.3">
      <c r="A46" s="794"/>
      <c r="B46" s="825"/>
      <c r="C46" s="742"/>
      <c r="D46" s="742"/>
      <c r="E46" s="742"/>
      <c r="F46" s="742"/>
      <c r="G46" s="742"/>
      <c r="H46" s="740"/>
      <c r="I46" s="741"/>
      <c r="J46" s="794"/>
      <c r="K46" s="799"/>
      <c r="L46" s="800"/>
      <c r="M46" s="794"/>
      <c r="N46" s="429" t="s">
        <v>32</v>
      </c>
      <c r="O46" s="431" t="str">
        <f>IF(O44="","n.d.",IF(O45="","n.d.",IF(O45=0,"",O44/O45)))</f>
        <v>n.d.</v>
      </c>
      <c r="P46" s="773"/>
      <c r="Q46" s="803"/>
      <c r="R46" s="804"/>
    </row>
    <row r="47" spans="1:18" s="87" customFormat="1" ht="28.5" customHeight="1" thickBot="1" x14ac:dyDescent="0.3">
      <c r="A47" s="824">
        <v>13</v>
      </c>
      <c r="B47" s="824" t="s">
        <v>818</v>
      </c>
      <c r="C47" s="726" t="s">
        <v>832</v>
      </c>
      <c r="D47" s="726" t="s">
        <v>856</v>
      </c>
      <c r="E47" s="726"/>
      <c r="F47" s="726" t="s">
        <v>857</v>
      </c>
      <c r="G47" s="726"/>
      <c r="H47" s="717" t="s">
        <v>858</v>
      </c>
      <c r="I47" s="718"/>
      <c r="J47" s="734"/>
      <c r="K47" s="695" t="s">
        <v>859</v>
      </c>
      <c r="L47" s="696"/>
      <c r="M47" s="735"/>
      <c r="N47" s="411" t="s">
        <v>535</v>
      </c>
      <c r="O47" s="372"/>
      <c r="P47" s="702" t="str">
        <f>IF(O49=Berechnung1!D63,Berechnung1!$F$5,IF(OR(O49&lt; Berechnung1!E63,O49&gt; Berechnung1!F63),Berechnung1!$G$5,IF(OR(ROUND(O49,4)&lt;Berechnung1!J63,ROUND(O49,4)&gt;Berechnung1!K63),Berechnung1!$D$5,IF(OR(ROUND(O49,4)&lt;Berechnung1!G63,ROUND(O49,4)&gt;Berechnung1!H63),Berechnung1!$E$5,Berechnung1!$C$5))))</f>
        <v>Incomplete</v>
      </c>
      <c r="Q47" s="666"/>
      <c r="R47" s="669"/>
    </row>
    <row r="48" spans="1:18" s="87" customFormat="1" ht="28.5" customHeight="1" thickBot="1" x14ac:dyDescent="0.3">
      <c r="A48" s="734"/>
      <c r="B48" s="824"/>
      <c r="C48" s="726"/>
      <c r="D48" s="726"/>
      <c r="E48" s="726"/>
      <c r="F48" s="726"/>
      <c r="G48" s="726"/>
      <c r="H48" s="719"/>
      <c r="I48" s="720"/>
      <c r="J48" s="734"/>
      <c r="K48" s="697"/>
      <c r="L48" s="698"/>
      <c r="M48" s="734"/>
      <c r="N48" s="411" t="s">
        <v>567</v>
      </c>
      <c r="O48" s="213">
        <f>SUM(D103:F109,J103:J109)</f>
        <v>0</v>
      </c>
      <c r="P48" s="703"/>
      <c r="Q48" s="667"/>
      <c r="R48" s="670"/>
    </row>
    <row r="49" spans="1:21" s="87" customFormat="1" ht="28.5" customHeight="1" thickBot="1" x14ac:dyDescent="0.3">
      <c r="A49" s="734"/>
      <c r="B49" s="824"/>
      <c r="C49" s="726"/>
      <c r="D49" s="726"/>
      <c r="E49" s="726"/>
      <c r="F49" s="726"/>
      <c r="G49" s="726"/>
      <c r="H49" s="721"/>
      <c r="I49" s="722"/>
      <c r="J49" s="734"/>
      <c r="K49" s="699"/>
      <c r="L49" s="700"/>
      <c r="M49" s="734"/>
      <c r="N49" s="411" t="s">
        <v>32</v>
      </c>
      <c r="O49" s="371" t="str">
        <f>IF(O47="","n.d.",IF(O48="","n.d.",IF(O48=0,"",O47/O48)))</f>
        <v>n.d.</v>
      </c>
      <c r="P49" s="703"/>
      <c r="Q49" s="668"/>
      <c r="R49" s="670"/>
    </row>
    <row r="50" spans="1:21" s="235" customFormat="1" ht="28.5" customHeight="1" thickBot="1" x14ac:dyDescent="0.25">
      <c r="A50" s="743">
        <v>14</v>
      </c>
      <c r="B50" s="743" t="s">
        <v>818</v>
      </c>
      <c r="C50" s="726" t="s">
        <v>833</v>
      </c>
      <c r="D50" s="726" t="s">
        <v>834</v>
      </c>
      <c r="E50" s="726"/>
      <c r="F50" s="726" t="s">
        <v>801</v>
      </c>
      <c r="G50" s="726"/>
      <c r="H50" s="717" t="s">
        <v>905</v>
      </c>
      <c r="I50" s="718"/>
      <c r="J50" s="734"/>
      <c r="K50" s="695" t="s">
        <v>859</v>
      </c>
      <c r="L50" s="696"/>
      <c r="M50" s="735"/>
      <c r="N50" s="411" t="s">
        <v>535</v>
      </c>
      <c r="O50" s="372"/>
      <c r="P50" s="702" t="str">
        <f>IF(AND(O50&lt;&gt;"",O51&lt;&gt;"",O50=0,O51=0),Berechnung1!$H$5,IF(O52="",Berechnung1!$D$5,IF(O52="",Berechnung1!$G$5,IF(O52=Berechnung1!D66,Berechnung1!$F$5,IF(OR(O52&lt;Berechnung1!E66,O52&gt;Berechnung1!F66),Berechnung1!$G$5,IF(OR(ROUND(O52,4)&lt;Berechnung1!J66,ROUND(O52,4)&gt;Berechnung1!K66),Berechnung1!$D$5,IF(OR(ROUND(O52,4)&lt;Berechnung1!G66,ROUND(O52,4)&gt;Berechnung1!H66),Berechnung1!$E$5,Berechnung1!$C$5)))))))</f>
        <v>Incomplete</v>
      </c>
      <c r="Q50" s="666"/>
      <c r="R50" s="669"/>
    </row>
    <row r="51" spans="1:21" s="235" customFormat="1" ht="28.5" customHeight="1" thickBot="1" x14ac:dyDescent="0.25">
      <c r="A51" s="744"/>
      <c r="B51" s="743"/>
      <c r="C51" s="726"/>
      <c r="D51" s="726"/>
      <c r="E51" s="726"/>
      <c r="F51" s="726"/>
      <c r="G51" s="726"/>
      <c r="H51" s="719"/>
      <c r="I51" s="720"/>
      <c r="J51" s="734"/>
      <c r="K51" s="697"/>
      <c r="L51" s="698"/>
      <c r="M51" s="734"/>
      <c r="N51" s="411" t="s">
        <v>567</v>
      </c>
      <c r="O51" s="213">
        <f>SUM(D113:D120,H113:J120)</f>
        <v>0</v>
      </c>
      <c r="P51" s="703"/>
      <c r="Q51" s="667"/>
      <c r="R51" s="670"/>
    </row>
    <row r="52" spans="1:21" s="235" customFormat="1" ht="28.5" customHeight="1" thickBot="1" x14ac:dyDescent="0.25">
      <c r="A52" s="744"/>
      <c r="B52" s="743"/>
      <c r="C52" s="726"/>
      <c r="D52" s="726"/>
      <c r="E52" s="726"/>
      <c r="F52" s="726"/>
      <c r="G52" s="726"/>
      <c r="H52" s="721"/>
      <c r="I52" s="722"/>
      <c r="J52" s="734"/>
      <c r="K52" s="699"/>
      <c r="L52" s="700"/>
      <c r="M52" s="734"/>
      <c r="N52" s="411" t="s">
        <v>32</v>
      </c>
      <c r="O52" s="371" t="str">
        <f>IF(O50="","n.d.",IF(O51="","n.d.",IF(O51=0,"",O50/O51)))</f>
        <v>n.d.</v>
      </c>
      <c r="P52" s="703"/>
      <c r="Q52" s="668"/>
      <c r="R52" s="670"/>
      <c r="U52" s="235" t="str">
        <f>'Basic Data'!D50</f>
        <v/>
      </c>
    </row>
    <row r="53" spans="1:21" s="235" customFormat="1" ht="28.5" customHeight="1" thickBot="1" x14ac:dyDescent="0.25">
      <c r="A53" s="677">
        <v>15</v>
      </c>
      <c r="B53" s="683" t="s">
        <v>818</v>
      </c>
      <c r="C53" s="723" t="s">
        <v>835</v>
      </c>
      <c r="D53" s="717" t="s">
        <v>836</v>
      </c>
      <c r="E53" s="729"/>
      <c r="F53" s="717" t="s">
        <v>556</v>
      </c>
      <c r="G53" s="729"/>
      <c r="H53" s="717" t="s">
        <v>906</v>
      </c>
      <c r="I53" s="729"/>
      <c r="J53" s="701"/>
      <c r="K53" s="695" t="s">
        <v>256</v>
      </c>
      <c r="L53" s="704"/>
      <c r="M53" s="709"/>
      <c r="N53" s="399" t="s">
        <v>535</v>
      </c>
      <c r="O53" s="372"/>
      <c r="P53" s="703" t="str">
        <f>IF(AND(O53&lt;&gt;"",O54&lt;&gt;"",O53=0,O54=0),Berechnung1!$H$5,IF(O55="",Berechnung1!$D$5,IF(O55="",Berechnung1!$G$5,IF(O55=Berechnung1!D69,Berechnung1!$F$5,IF(OR(O55&lt;Berechnung1!E69,O55&gt;Berechnung1!F69),Berechnung1!$G$5,IF(OR(ROUND(O55,4)&lt;Berechnung1!J69,ROUND(O55,4)&gt;Berechnung1!K69),Berechnung1!$D$5,IF(OR(ROUND(O55,4)&lt;Berechnung1!G69,ROUND(O55,4)&gt;Berechnung1!H69),Berechnung1!$E$5,Berechnung1!$C$5)))))))</f>
        <v>Incomplete</v>
      </c>
      <c r="Q53" s="666"/>
      <c r="R53" s="669"/>
      <c r="U53" s="235" t="str">
        <f>'Basic Data'!H50</f>
        <v/>
      </c>
    </row>
    <row r="54" spans="1:21" s="235" customFormat="1" ht="28.5" customHeight="1" thickBot="1" x14ac:dyDescent="0.25">
      <c r="A54" s="678"/>
      <c r="B54" s="684"/>
      <c r="C54" s="727"/>
      <c r="D54" s="730"/>
      <c r="E54" s="731"/>
      <c r="F54" s="730"/>
      <c r="G54" s="731"/>
      <c r="H54" s="730"/>
      <c r="I54" s="731"/>
      <c r="J54" s="710"/>
      <c r="K54" s="705"/>
      <c r="L54" s="706"/>
      <c r="M54" s="710"/>
      <c r="N54" s="399" t="s">
        <v>567</v>
      </c>
      <c r="O54" s="372"/>
      <c r="P54" s="703"/>
      <c r="Q54" s="667"/>
      <c r="R54" s="670"/>
      <c r="U54" s="235" t="str">
        <f>'Basic Data'!I50</f>
        <v/>
      </c>
    </row>
    <row r="55" spans="1:21" s="235" customFormat="1" ht="28.5" customHeight="1" thickBot="1" x14ac:dyDescent="0.25">
      <c r="A55" s="679"/>
      <c r="B55" s="685"/>
      <c r="C55" s="728"/>
      <c r="D55" s="732"/>
      <c r="E55" s="733"/>
      <c r="F55" s="732"/>
      <c r="G55" s="733"/>
      <c r="H55" s="732"/>
      <c r="I55" s="733"/>
      <c r="J55" s="711"/>
      <c r="K55" s="707"/>
      <c r="L55" s="708"/>
      <c r="M55" s="711"/>
      <c r="N55" s="411" t="s">
        <v>32</v>
      </c>
      <c r="O55" s="371" t="str">
        <f>IF(O53="","n.d.",IF(O54="","n.d.",IF(O54=0,"",O53/O54)))</f>
        <v>n.d.</v>
      </c>
      <c r="P55" s="703"/>
      <c r="Q55" s="668"/>
      <c r="R55" s="670"/>
      <c r="U55" s="235" t="str">
        <f>'Basic Data'!J50</f>
        <v/>
      </c>
    </row>
    <row r="56" spans="1:21" s="235" customFormat="1" ht="28.5" customHeight="1" thickBot="1" x14ac:dyDescent="0.25">
      <c r="A56" s="677">
        <v>16</v>
      </c>
      <c r="B56" s="683" t="s">
        <v>818</v>
      </c>
      <c r="C56" s="745" t="s">
        <v>860</v>
      </c>
      <c r="D56" s="745" t="s">
        <v>861</v>
      </c>
      <c r="E56" s="745"/>
      <c r="F56" s="745" t="s">
        <v>862</v>
      </c>
      <c r="G56" s="745"/>
      <c r="H56" s="686" t="s">
        <v>907</v>
      </c>
      <c r="I56" s="687"/>
      <c r="J56" s="712"/>
      <c r="K56" s="695" t="s">
        <v>961</v>
      </c>
      <c r="L56" s="704"/>
      <c r="M56" s="709"/>
      <c r="N56" s="399" t="s">
        <v>535</v>
      </c>
      <c r="O56" s="372"/>
      <c r="P56" s="702" t="str">
        <f>IF(AND(O56&lt;&gt;"",O57&lt;&gt;"",O56=0,O57=0),Berechnung1!$H$5,IF(O58="",Berechnung1!$D$5,IF(O58="",Berechnung1!$G$5,IF(O58=Berechnung1!D72,Berechnung1!$F$5,IF(OR(O58&lt;Berechnung1!E72,O58&gt;Berechnung1!F72),Berechnung1!$G$5,IF(OR(ROUND(O58,4)&lt;Berechnung1!J72,ROUND(O58,4)&gt;Berechnung1!K72),Berechnung1!$D$5,IF(OR(ROUND(O58,4)&lt;Berechnung1!G72,ROUND(O58,4)&gt;Berechnung1!H72),Berechnung1!$E$5,Berechnung1!$C$5)))))))</f>
        <v>Incomplete</v>
      </c>
      <c r="Q56" s="666"/>
      <c r="R56" s="669"/>
    </row>
    <row r="57" spans="1:21" s="235" customFormat="1" ht="28.5" customHeight="1" thickBot="1" x14ac:dyDescent="0.25">
      <c r="A57" s="678"/>
      <c r="B57" s="684"/>
      <c r="C57" s="745"/>
      <c r="D57" s="745"/>
      <c r="E57" s="745"/>
      <c r="F57" s="745"/>
      <c r="G57" s="745"/>
      <c r="H57" s="688"/>
      <c r="I57" s="689"/>
      <c r="J57" s="712"/>
      <c r="K57" s="705"/>
      <c r="L57" s="706"/>
      <c r="M57" s="710"/>
      <c r="N57" s="399" t="s">
        <v>567</v>
      </c>
      <c r="O57" s="372"/>
      <c r="P57" s="703"/>
      <c r="Q57" s="667"/>
      <c r="R57" s="670"/>
    </row>
    <row r="58" spans="1:21" s="235" customFormat="1" ht="28.5" customHeight="1" thickBot="1" x14ac:dyDescent="0.25">
      <c r="A58" s="679"/>
      <c r="B58" s="685"/>
      <c r="C58" s="745"/>
      <c r="D58" s="745"/>
      <c r="E58" s="745"/>
      <c r="F58" s="745"/>
      <c r="G58" s="745"/>
      <c r="H58" s="690"/>
      <c r="I58" s="691"/>
      <c r="J58" s="712"/>
      <c r="K58" s="707"/>
      <c r="L58" s="708"/>
      <c r="M58" s="711"/>
      <c r="N58" s="411" t="s">
        <v>32</v>
      </c>
      <c r="O58" s="371" t="str">
        <f>IF(O56="","n.d.",IF(O57="","n.d.",IF(O57=0,"",O56/O57)))</f>
        <v>n.d.</v>
      </c>
      <c r="P58" s="703"/>
      <c r="Q58" s="668"/>
      <c r="R58" s="670"/>
    </row>
    <row r="59" spans="1:21" s="235" customFormat="1" ht="104.25" customHeight="1" thickBot="1" x14ac:dyDescent="0.25">
      <c r="A59" s="680">
        <v>17</v>
      </c>
      <c r="B59" s="680" t="s">
        <v>818</v>
      </c>
      <c r="C59" s="723" t="s">
        <v>837</v>
      </c>
      <c r="D59" s="717" t="s">
        <v>838</v>
      </c>
      <c r="E59" s="718"/>
      <c r="F59" s="717" t="s">
        <v>839</v>
      </c>
      <c r="G59" s="718"/>
      <c r="H59" s="717" t="s">
        <v>908</v>
      </c>
      <c r="I59" s="718"/>
      <c r="J59" s="709"/>
      <c r="K59" s="695" t="s">
        <v>478</v>
      </c>
      <c r="L59" s="704"/>
      <c r="M59" s="715"/>
      <c r="N59" s="411" t="s">
        <v>535</v>
      </c>
      <c r="O59" s="256"/>
      <c r="P59" s="702" t="str">
        <f>IF(AND(O59&lt;&gt;"",O60&lt;&gt;"",O59=0,O60=0),Berechnung1!$H$5,IF(O61="",Berechnung1!$D$5,IF(O61="",Berechnung1!$G$5,IF(O61=Berechnung1!D75,Berechnung1!$F$5,IF(OR(O61&lt;Berechnung1!E75,O61&gt;Berechnung1!F75),Berechnung1!$G$5,IF(OR(ROUND(O61,4)&lt;Berechnung1!J75,ROUND(O61,4)&gt;Berechnung1!K75),Berechnung1!$D$5,IF(OR(ROUND(O61,4)&lt;Berechnung1!G75,ROUND(O61,4)&gt;Berechnung1!H75),Berechnung1!$E$5,Berechnung1!$C$5)))))))</f>
        <v>Incomplete</v>
      </c>
      <c r="Q59" s="666"/>
      <c r="R59" s="669"/>
    </row>
    <row r="60" spans="1:21" s="235" customFormat="1" ht="104.25" customHeight="1" thickBot="1" x14ac:dyDescent="0.25">
      <c r="A60" s="713"/>
      <c r="B60" s="681"/>
      <c r="C60" s="724"/>
      <c r="D60" s="719"/>
      <c r="E60" s="720"/>
      <c r="F60" s="719"/>
      <c r="G60" s="720"/>
      <c r="H60" s="719"/>
      <c r="I60" s="720"/>
      <c r="J60" s="710"/>
      <c r="K60" s="705"/>
      <c r="L60" s="706"/>
      <c r="M60" s="678"/>
      <c r="N60" s="411" t="s">
        <v>567</v>
      </c>
      <c r="O60" s="372"/>
      <c r="P60" s="703"/>
      <c r="Q60" s="667"/>
      <c r="R60" s="670"/>
    </row>
    <row r="61" spans="1:21" s="235" customFormat="1" ht="104.25" customHeight="1" thickBot="1" x14ac:dyDescent="0.25">
      <c r="A61" s="714"/>
      <c r="B61" s="682"/>
      <c r="C61" s="725"/>
      <c r="D61" s="721"/>
      <c r="E61" s="722"/>
      <c r="F61" s="721"/>
      <c r="G61" s="722"/>
      <c r="H61" s="721"/>
      <c r="I61" s="722"/>
      <c r="J61" s="711"/>
      <c r="K61" s="707"/>
      <c r="L61" s="708"/>
      <c r="M61" s="679"/>
      <c r="N61" s="411" t="s">
        <v>32</v>
      </c>
      <c r="O61" s="371" t="str">
        <f>IF(O59="","n.d.",IF(O60="","n.d.",IF(O60=0,"",O59/O60)))</f>
        <v>n.d.</v>
      </c>
      <c r="P61" s="703"/>
      <c r="Q61" s="668"/>
      <c r="R61" s="670"/>
    </row>
    <row r="62" spans="1:21" s="235" customFormat="1" ht="54" customHeight="1" thickBot="1" x14ac:dyDescent="0.25">
      <c r="A62" s="680">
        <v>18</v>
      </c>
      <c r="B62" s="680" t="s">
        <v>818</v>
      </c>
      <c r="C62" s="723" t="s">
        <v>840</v>
      </c>
      <c r="D62" s="717" t="s">
        <v>841</v>
      </c>
      <c r="E62" s="718"/>
      <c r="F62" s="717" t="s">
        <v>563</v>
      </c>
      <c r="G62" s="718"/>
      <c r="H62" s="717" t="s">
        <v>842</v>
      </c>
      <c r="I62" s="718"/>
      <c r="J62" s="709"/>
      <c r="K62" s="695" t="s">
        <v>478</v>
      </c>
      <c r="L62" s="696"/>
      <c r="M62" s="715"/>
      <c r="N62" s="411" t="s">
        <v>535</v>
      </c>
      <c r="O62" s="372"/>
      <c r="P62" s="702" t="str">
        <f>IF(AND(O62&lt;&gt;"",O63&lt;&gt;"",O62=0,O63=0),Berechnung1!$H$5,IF(O64="",Berechnung1!$D$5,IF(O64="",Berechnung1!$G$5,IF(O64=Berechnung1!D78,Berechnung1!$F$5,IF(OR(O64&lt;Berechnung1!E78,O64&gt;Berechnung1!F78),Berechnung1!$G$5,IF(OR(ROUND(O64,4)&lt;Berechnung1!J78,ROUND(O64,4)&gt;Berechnung1!K78),Berechnung1!$D$5,IF(OR(ROUND(O64,4)&lt;Berechnung1!G78,ROUND(O64,4)&gt;Berechnung1!H78),Berechnung1!$E$5,Berechnung1!$C$5)))))))</f>
        <v>Incomplete</v>
      </c>
      <c r="Q62" s="666"/>
      <c r="R62" s="669"/>
    </row>
    <row r="63" spans="1:21" s="235" customFormat="1" ht="54" customHeight="1" thickBot="1" x14ac:dyDescent="0.25">
      <c r="A63" s="713"/>
      <c r="B63" s="681"/>
      <c r="C63" s="724"/>
      <c r="D63" s="719"/>
      <c r="E63" s="720"/>
      <c r="F63" s="719"/>
      <c r="G63" s="720"/>
      <c r="H63" s="719"/>
      <c r="I63" s="720"/>
      <c r="J63" s="678"/>
      <c r="K63" s="697"/>
      <c r="L63" s="698"/>
      <c r="M63" s="678"/>
      <c r="N63" s="411" t="s">
        <v>567</v>
      </c>
      <c r="O63" s="372"/>
      <c r="P63" s="703"/>
      <c r="Q63" s="667"/>
      <c r="R63" s="670"/>
    </row>
    <row r="64" spans="1:21" s="235" customFormat="1" ht="54" customHeight="1" thickBot="1" x14ac:dyDescent="0.25">
      <c r="A64" s="714"/>
      <c r="B64" s="682"/>
      <c r="C64" s="725"/>
      <c r="D64" s="721"/>
      <c r="E64" s="722"/>
      <c r="F64" s="721"/>
      <c r="G64" s="722"/>
      <c r="H64" s="721"/>
      <c r="I64" s="722"/>
      <c r="J64" s="679"/>
      <c r="K64" s="699"/>
      <c r="L64" s="700"/>
      <c r="M64" s="679"/>
      <c r="N64" s="411" t="s">
        <v>32</v>
      </c>
      <c r="O64" s="371" t="str">
        <f>IF(O62="","n.d.",IF(O63="","n.d.",IF(O63=0,"",O62/O63)))</f>
        <v>n.d.</v>
      </c>
      <c r="P64" s="703"/>
      <c r="Q64" s="668"/>
      <c r="R64" s="670"/>
    </row>
    <row r="65" spans="1:18" s="235" customFormat="1" ht="28.5" customHeight="1" thickBot="1" x14ac:dyDescent="0.25">
      <c r="A65" s="680">
        <v>19</v>
      </c>
      <c r="B65" s="680" t="s">
        <v>818</v>
      </c>
      <c r="C65" s="723" t="s">
        <v>843</v>
      </c>
      <c r="D65" s="717" t="s">
        <v>844</v>
      </c>
      <c r="E65" s="718"/>
      <c r="F65" s="717" t="s">
        <v>564</v>
      </c>
      <c r="G65" s="718"/>
      <c r="H65" s="717" t="s">
        <v>845</v>
      </c>
      <c r="I65" s="718"/>
      <c r="J65" s="709"/>
      <c r="K65" s="695" t="s">
        <v>478</v>
      </c>
      <c r="L65" s="696"/>
      <c r="M65" s="715"/>
      <c r="N65" s="411" t="s">
        <v>535</v>
      </c>
      <c r="O65" s="372"/>
      <c r="P65" s="702" t="str">
        <f>IF(AND(O65&lt;&gt;"",O66&lt;&gt;"",O65=0,O66=0),Berechnung1!$H$5,IF(O67="",Berechnung1!$D$5,IF(O67="",Berechnung1!$G$5,IF(O67=Berechnung1!D81,Berechnung1!$F$5,IF(OR(O67&lt;Berechnung1!E81,O67&gt;Berechnung1!F81),Berechnung1!$G$5,IF(OR(ROUND(O67,4)&lt;Berechnung1!J81,ROUND(O67,4)&gt;Berechnung1!K81),Berechnung1!$D$5,IF(OR(ROUND(O67,4)&lt;Berechnung1!G81,ROUND(O67,4)&gt;Berechnung1!H81),Berechnung1!$E$5,Berechnung1!$C$5)))))))</f>
        <v>Incomplete</v>
      </c>
      <c r="Q65" s="666"/>
      <c r="R65" s="669"/>
    </row>
    <row r="66" spans="1:18" s="235" customFormat="1" ht="28.5" customHeight="1" thickBot="1" x14ac:dyDescent="0.25">
      <c r="A66" s="713"/>
      <c r="B66" s="681"/>
      <c r="C66" s="724"/>
      <c r="D66" s="719"/>
      <c r="E66" s="720"/>
      <c r="F66" s="719"/>
      <c r="G66" s="720"/>
      <c r="H66" s="719"/>
      <c r="I66" s="720"/>
      <c r="J66" s="710"/>
      <c r="K66" s="697"/>
      <c r="L66" s="698"/>
      <c r="M66" s="678"/>
      <c r="N66" s="411" t="s">
        <v>567</v>
      </c>
      <c r="O66" s="372"/>
      <c r="P66" s="703"/>
      <c r="Q66" s="667"/>
      <c r="R66" s="670"/>
    </row>
    <row r="67" spans="1:18" s="235" customFormat="1" ht="28.5" customHeight="1" thickBot="1" x14ac:dyDescent="0.25">
      <c r="A67" s="714"/>
      <c r="B67" s="682"/>
      <c r="C67" s="725"/>
      <c r="D67" s="721"/>
      <c r="E67" s="722"/>
      <c r="F67" s="721"/>
      <c r="G67" s="722"/>
      <c r="H67" s="721"/>
      <c r="I67" s="722"/>
      <c r="J67" s="711"/>
      <c r="K67" s="699"/>
      <c r="L67" s="700"/>
      <c r="M67" s="679"/>
      <c r="N67" s="411" t="s">
        <v>32</v>
      </c>
      <c r="O67" s="371" t="str">
        <f>IF(O65="","n.d.",IF(O66="","n.d.",IF(O66=0,"",O65/O66)))</f>
        <v>n.d.</v>
      </c>
      <c r="P67" s="703"/>
      <c r="Q67" s="668"/>
      <c r="R67" s="670"/>
    </row>
    <row r="68" spans="1:18" s="235" customFormat="1" ht="47.25" customHeight="1" thickBot="1" x14ac:dyDescent="0.25">
      <c r="A68" s="680">
        <v>20</v>
      </c>
      <c r="B68" s="680" t="s">
        <v>818</v>
      </c>
      <c r="C68" s="723" t="s">
        <v>846</v>
      </c>
      <c r="D68" s="717" t="s">
        <v>847</v>
      </c>
      <c r="E68" s="718"/>
      <c r="F68" s="717" t="s">
        <v>848</v>
      </c>
      <c r="G68" s="718"/>
      <c r="H68" s="719" t="s">
        <v>849</v>
      </c>
      <c r="I68" s="720"/>
      <c r="J68" s="709"/>
      <c r="K68" s="695" t="s">
        <v>478</v>
      </c>
      <c r="L68" s="696"/>
      <c r="M68" s="715"/>
      <c r="N68" s="411" t="s">
        <v>535</v>
      </c>
      <c r="O68" s="372"/>
      <c r="P68" s="702" t="str">
        <f>IF(AND(O68&lt;&gt;"",O69&lt;&gt;"",O68=0,O69=0),Berechnung1!$H$5,IF(O70="",Berechnung1!$D$5,IF(O70="",Berechnung1!$G$5,IF(O70=Berechnung1!D84,Berechnung1!$F$5,IF(OR(O70&lt;Berechnung1!E84,O70&gt;Berechnung1!F84),Berechnung1!$G$5,IF(OR(ROUND(O70,4)&lt;Berechnung1!J84,ROUND(O70,4)&gt;Berechnung1!K84),Berechnung1!$D$5,IF(OR(ROUND(O70,4)&lt;Berechnung1!G84,ROUND(O70,4)&gt;Berechnung1!H84),Berechnung1!$E$5,Berechnung1!$C$5)))))))</f>
        <v>Incomplete</v>
      </c>
      <c r="Q68" s="666"/>
      <c r="R68" s="669"/>
    </row>
    <row r="69" spans="1:18" s="235" customFormat="1" ht="47.25" customHeight="1" thickBot="1" x14ac:dyDescent="0.25">
      <c r="A69" s="713"/>
      <c r="B69" s="681"/>
      <c r="C69" s="724"/>
      <c r="D69" s="719"/>
      <c r="E69" s="720"/>
      <c r="F69" s="719"/>
      <c r="G69" s="720"/>
      <c r="H69" s="719"/>
      <c r="I69" s="720"/>
      <c r="J69" s="710"/>
      <c r="K69" s="697"/>
      <c r="L69" s="698"/>
      <c r="M69" s="678"/>
      <c r="N69" s="399" t="s">
        <v>567</v>
      </c>
      <c r="O69" s="372"/>
      <c r="P69" s="703"/>
      <c r="Q69" s="667"/>
      <c r="R69" s="670"/>
    </row>
    <row r="70" spans="1:18" s="235" customFormat="1" ht="47.25" customHeight="1" thickBot="1" x14ac:dyDescent="0.25">
      <c r="A70" s="714"/>
      <c r="B70" s="682"/>
      <c r="C70" s="725"/>
      <c r="D70" s="721"/>
      <c r="E70" s="722"/>
      <c r="F70" s="721"/>
      <c r="G70" s="722"/>
      <c r="H70" s="721"/>
      <c r="I70" s="722"/>
      <c r="J70" s="711"/>
      <c r="K70" s="699"/>
      <c r="L70" s="700"/>
      <c r="M70" s="716"/>
      <c r="N70" s="411" t="s">
        <v>32</v>
      </c>
      <c r="O70" s="371" t="str">
        <f>IF(O68="","n.d.",IF(O69="","n.d.",IF(O69=0,"",O68/O69)))</f>
        <v>n.d.</v>
      </c>
      <c r="P70" s="703"/>
      <c r="Q70" s="668"/>
      <c r="R70" s="670"/>
    </row>
    <row r="71" spans="1:18" s="235" customFormat="1" ht="39" customHeight="1" thickBot="1" x14ac:dyDescent="0.25">
      <c r="A71" s="677" t="s">
        <v>932</v>
      </c>
      <c r="B71" s="680" t="s">
        <v>818</v>
      </c>
      <c r="C71" s="723" t="s">
        <v>881</v>
      </c>
      <c r="D71" s="717" t="s">
        <v>882</v>
      </c>
      <c r="E71" s="718"/>
      <c r="F71" s="717" t="s">
        <v>883</v>
      </c>
      <c r="G71" s="718"/>
      <c r="H71" s="717" t="s">
        <v>884</v>
      </c>
      <c r="I71" s="718"/>
      <c r="J71" s="701" t="s">
        <v>885</v>
      </c>
      <c r="K71" s="695" t="s">
        <v>545</v>
      </c>
      <c r="L71" s="696"/>
      <c r="M71" s="701"/>
      <c r="N71" s="411" t="s">
        <v>535</v>
      </c>
      <c r="O71" s="372"/>
      <c r="P71" s="702" t="str">
        <f>IF(AND(O71&lt;&gt;"",O72&lt;&gt;"",O71=0,O72=0),Berechnung1!$H$5,IF(O73="",Berechnung1!$D$5,IF(O73="",Berechnung1!$G$5,IF(O73=Berechnung1!D87,Berechnung1!$F$5,IF(OR(O73&lt;Berechnung1!E87,O73&gt;Berechnung1!F87),Berechnung1!$G$5,IF(OR(ROUND(O73,4)&lt;Berechnung1!J87,ROUND(O73,4)&gt;Berechnung1!K87),Berechnung1!$D$5,IF(OR(ROUND(O73,4)&lt;Berechnung1!G87,ROUND(O73,4)&gt;Berechnung1!H87),Berechnung1!$E$5,Berechnung1!$C$5)))))))</f>
        <v>Incomplete</v>
      </c>
      <c r="Q71" s="666"/>
      <c r="R71" s="669"/>
    </row>
    <row r="72" spans="1:18" s="235" customFormat="1" ht="39" customHeight="1" thickBot="1" x14ac:dyDescent="0.25">
      <c r="A72" s="678"/>
      <c r="B72" s="681"/>
      <c r="C72" s="724"/>
      <c r="D72" s="719"/>
      <c r="E72" s="720"/>
      <c r="F72" s="719"/>
      <c r="G72" s="720"/>
      <c r="H72" s="719"/>
      <c r="I72" s="720"/>
      <c r="J72" s="678"/>
      <c r="K72" s="697"/>
      <c r="L72" s="698"/>
      <c r="M72" s="678"/>
      <c r="N72" s="411" t="s">
        <v>567</v>
      </c>
      <c r="O72" s="372"/>
      <c r="P72" s="703"/>
      <c r="Q72" s="667"/>
      <c r="R72" s="670"/>
    </row>
    <row r="73" spans="1:18" s="235" customFormat="1" ht="39" customHeight="1" thickBot="1" x14ac:dyDescent="0.25">
      <c r="A73" s="679"/>
      <c r="B73" s="682"/>
      <c r="C73" s="725"/>
      <c r="D73" s="721"/>
      <c r="E73" s="722"/>
      <c r="F73" s="721"/>
      <c r="G73" s="722"/>
      <c r="H73" s="721"/>
      <c r="I73" s="722"/>
      <c r="J73" s="679"/>
      <c r="K73" s="699"/>
      <c r="L73" s="700"/>
      <c r="M73" s="679"/>
      <c r="N73" s="411" t="s">
        <v>32</v>
      </c>
      <c r="O73" s="371" t="str">
        <f>IF(O71="","n.d.",IF(O72="","n.d.",IF(O72=0,"",O71/O72)))</f>
        <v>n.d.</v>
      </c>
      <c r="P73" s="703"/>
      <c r="Q73" s="668"/>
      <c r="R73" s="670"/>
    </row>
    <row r="74" spans="1:18" s="235" customFormat="1" ht="54.75" customHeight="1" thickBot="1" x14ac:dyDescent="0.25">
      <c r="A74" s="677" t="s">
        <v>933</v>
      </c>
      <c r="B74" s="680" t="s">
        <v>818</v>
      </c>
      <c r="C74" s="723" t="s">
        <v>886</v>
      </c>
      <c r="D74" s="717" t="s">
        <v>887</v>
      </c>
      <c r="E74" s="718"/>
      <c r="F74" s="717" t="s">
        <v>888</v>
      </c>
      <c r="G74" s="718"/>
      <c r="H74" s="717" t="s">
        <v>962</v>
      </c>
      <c r="I74" s="718"/>
      <c r="J74" s="701" t="s">
        <v>885</v>
      </c>
      <c r="K74" s="695" t="s">
        <v>545</v>
      </c>
      <c r="L74" s="696"/>
      <c r="M74" s="701"/>
      <c r="N74" s="411" t="s">
        <v>535</v>
      </c>
      <c r="O74" s="372"/>
      <c r="P74" s="702" t="str">
        <f>IF(AND(O74&lt;&gt;"",O75&lt;&gt;"",O74=0,O75=0),Berechnung1!$H$5,IF(O76="",Berechnung1!$D$5,IF(O76="",Berechnung1!$G$5,IF(O76=Berechnung1!D90,Berechnung1!$F$5,IF(OR(O76&lt;Berechnung1!E90,O76&gt;Berechnung1!F90),Berechnung1!$G$5,IF(OR(ROUND(O76,4)&lt;Berechnung1!J90,ROUND(O76,4)&gt;Berechnung1!K90),Berechnung1!$D$5,IF(OR(ROUND(O76,4)&lt;Berechnung1!G90,ROUND(O76,4)&gt;Berechnung1!H90),Berechnung1!$E$5,Berechnung1!$C$5)))))))</f>
        <v>Incomplete</v>
      </c>
      <c r="Q74" s="666"/>
      <c r="R74" s="669"/>
    </row>
    <row r="75" spans="1:18" s="235" customFormat="1" ht="54.75" customHeight="1" thickBot="1" x14ac:dyDescent="0.25">
      <c r="A75" s="678"/>
      <c r="B75" s="681"/>
      <c r="C75" s="724"/>
      <c r="D75" s="719"/>
      <c r="E75" s="720"/>
      <c r="F75" s="719"/>
      <c r="G75" s="720"/>
      <c r="H75" s="719"/>
      <c r="I75" s="720"/>
      <c r="J75" s="678"/>
      <c r="K75" s="697"/>
      <c r="L75" s="698"/>
      <c r="M75" s="678"/>
      <c r="N75" s="411" t="s">
        <v>567</v>
      </c>
      <c r="O75" s="372"/>
      <c r="P75" s="703"/>
      <c r="Q75" s="667"/>
      <c r="R75" s="670"/>
    </row>
    <row r="76" spans="1:18" s="235" customFormat="1" ht="54.75" customHeight="1" thickBot="1" x14ac:dyDescent="0.25">
      <c r="A76" s="679"/>
      <c r="B76" s="682"/>
      <c r="C76" s="725"/>
      <c r="D76" s="721"/>
      <c r="E76" s="722"/>
      <c r="F76" s="721"/>
      <c r="G76" s="722"/>
      <c r="H76" s="721"/>
      <c r="I76" s="722"/>
      <c r="J76" s="679"/>
      <c r="K76" s="699"/>
      <c r="L76" s="700"/>
      <c r="M76" s="679"/>
      <c r="N76" s="411" t="s">
        <v>32</v>
      </c>
      <c r="O76" s="371" t="str">
        <f>IF(O74="","n.d.",IF(O75="","n.d.",IF(O75=0,"",O74/O75)))</f>
        <v>n.d.</v>
      </c>
      <c r="P76" s="703"/>
      <c r="Q76" s="668"/>
      <c r="R76" s="670"/>
    </row>
    <row r="77" spans="1:18" s="235" customFormat="1" ht="39" customHeight="1" thickBot="1" x14ac:dyDescent="0.25">
      <c r="A77" s="677" t="s">
        <v>934</v>
      </c>
      <c r="B77" s="680" t="s">
        <v>818</v>
      </c>
      <c r="C77" s="683" t="s">
        <v>889</v>
      </c>
      <c r="D77" s="686" t="s">
        <v>892</v>
      </c>
      <c r="E77" s="687"/>
      <c r="F77" s="686" t="s">
        <v>895</v>
      </c>
      <c r="G77" s="687"/>
      <c r="H77" s="686" t="s">
        <v>898</v>
      </c>
      <c r="I77" s="687"/>
      <c r="J77" s="692" t="s">
        <v>885</v>
      </c>
      <c r="K77" s="695" t="s">
        <v>545</v>
      </c>
      <c r="L77" s="696"/>
      <c r="M77" s="701"/>
      <c r="N77" s="411" t="s">
        <v>535</v>
      </c>
      <c r="O77" s="372"/>
      <c r="P77" s="702" t="str">
        <f>IF(AND(O77&lt;&gt;"",O78&lt;&gt;"",O77=0,O78=0),Berechnung1!$H$5,IF(O79="",Berechnung1!$D$5,IF(O79="",Berechnung1!$G$5,IF(O79=Berechnung1!D93,Berechnung1!$F$5,IF(OR(O79&lt;Berechnung1!E93,O79&gt;Berechnung1!F93),Berechnung1!$G$5,IF(OR(ROUND(O79,4)&lt;Berechnung1!J93,ROUND(O79,4)&gt;Berechnung1!K93),Berechnung1!$D$5,IF(OR(ROUND(O79,4)&lt;Berechnung1!G93,ROUND(O79,4)&gt;Berechnung1!H93),Berechnung1!$E$5,Berechnung1!$C$5)))))))</f>
        <v>Incomplete</v>
      </c>
      <c r="Q77" s="666"/>
      <c r="R77" s="669"/>
    </row>
    <row r="78" spans="1:18" s="235" customFormat="1" ht="39" customHeight="1" thickBot="1" x14ac:dyDescent="0.25">
      <c r="A78" s="678"/>
      <c r="B78" s="681"/>
      <c r="C78" s="684"/>
      <c r="D78" s="688"/>
      <c r="E78" s="689"/>
      <c r="F78" s="688"/>
      <c r="G78" s="689"/>
      <c r="H78" s="688"/>
      <c r="I78" s="689"/>
      <c r="J78" s="693"/>
      <c r="K78" s="697"/>
      <c r="L78" s="698"/>
      <c r="M78" s="678"/>
      <c r="N78" s="411" t="s">
        <v>567</v>
      </c>
      <c r="O78" s="372"/>
      <c r="P78" s="703"/>
      <c r="Q78" s="667"/>
      <c r="R78" s="670"/>
    </row>
    <row r="79" spans="1:18" s="235" customFormat="1" ht="39" customHeight="1" thickBot="1" x14ac:dyDescent="0.25">
      <c r="A79" s="679"/>
      <c r="B79" s="682"/>
      <c r="C79" s="685"/>
      <c r="D79" s="690"/>
      <c r="E79" s="691"/>
      <c r="F79" s="690"/>
      <c r="G79" s="691"/>
      <c r="H79" s="690"/>
      <c r="I79" s="691"/>
      <c r="J79" s="694"/>
      <c r="K79" s="699"/>
      <c r="L79" s="700"/>
      <c r="M79" s="679"/>
      <c r="N79" s="411" t="s">
        <v>32</v>
      </c>
      <c r="O79" s="371" t="str">
        <f>IF(O77="","n.d.",IF(O78="","n.d.",IF(O78=0,"",O77/O78)))</f>
        <v>n.d.</v>
      </c>
      <c r="P79" s="703"/>
      <c r="Q79" s="668"/>
      <c r="R79" s="670"/>
    </row>
    <row r="80" spans="1:18" s="235" customFormat="1" ht="39" customHeight="1" thickBot="1" x14ac:dyDescent="0.25">
      <c r="A80" s="677" t="s">
        <v>935</v>
      </c>
      <c r="B80" s="680" t="s">
        <v>818</v>
      </c>
      <c r="C80" s="683" t="s">
        <v>890</v>
      </c>
      <c r="D80" s="686" t="s">
        <v>893</v>
      </c>
      <c r="E80" s="687"/>
      <c r="F80" s="686" t="s">
        <v>896</v>
      </c>
      <c r="G80" s="687"/>
      <c r="H80" s="686" t="s">
        <v>899</v>
      </c>
      <c r="I80" s="687"/>
      <c r="J80" s="692" t="s">
        <v>885</v>
      </c>
      <c r="K80" s="695" t="s">
        <v>545</v>
      </c>
      <c r="L80" s="696"/>
      <c r="M80" s="701"/>
      <c r="N80" s="411" t="s">
        <v>535</v>
      </c>
      <c r="O80" s="372"/>
      <c r="P80" s="702" t="str">
        <f>IF(AND(O80&lt;&gt;"",O81&lt;&gt;"",O80=0,O81=0),Berechnung1!$H$5,IF(O82="",Berechnung1!$D$5,IF(O82="",Berechnung1!$G$5,IF(O82=Berechnung1!D96,Berechnung1!$F$5,IF(OR(O82&lt;Berechnung1!E96,O82&gt;Berechnung1!F96),Berechnung1!$G$5,IF(OR(ROUND(O82,4)&lt;Berechnung1!J96,ROUND(O82,4)&gt;Berechnung1!K96),Berechnung1!$D$5,IF(OR(ROUND(O82,4)&lt;Berechnung1!G96,ROUND(O82,4)&gt;Berechnung1!H96),Berechnung1!$E$5,Berechnung1!$C$5)))))))</f>
        <v>Incomplete</v>
      </c>
      <c r="Q80" s="666"/>
      <c r="R80" s="669"/>
    </row>
    <row r="81" spans="1:18" s="235" customFormat="1" ht="39" customHeight="1" thickBot="1" x14ac:dyDescent="0.25">
      <c r="A81" s="678"/>
      <c r="B81" s="681"/>
      <c r="C81" s="684"/>
      <c r="D81" s="688"/>
      <c r="E81" s="689"/>
      <c r="F81" s="688"/>
      <c r="G81" s="689"/>
      <c r="H81" s="688"/>
      <c r="I81" s="689"/>
      <c r="J81" s="693"/>
      <c r="K81" s="697"/>
      <c r="L81" s="698"/>
      <c r="M81" s="678"/>
      <c r="N81" s="411" t="s">
        <v>567</v>
      </c>
      <c r="O81" s="372"/>
      <c r="P81" s="703"/>
      <c r="Q81" s="667"/>
      <c r="R81" s="670"/>
    </row>
    <row r="82" spans="1:18" s="235" customFormat="1" ht="39" customHeight="1" thickBot="1" x14ac:dyDescent="0.25">
      <c r="A82" s="679"/>
      <c r="B82" s="682"/>
      <c r="C82" s="685"/>
      <c r="D82" s="690"/>
      <c r="E82" s="691"/>
      <c r="F82" s="690"/>
      <c r="G82" s="691"/>
      <c r="H82" s="690"/>
      <c r="I82" s="691"/>
      <c r="J82" s="694"/>
      <c r="K82" s="699"/>
      <c r="L82" s="700"/>
      <c r="M82" s="679"/>
      <c r="N82" s="411" t="s">
        <v>32</v>
      </c>
      <c r="O82" s="371" t="str">
        <f>IF(O80="","n.d.",IF(O81="","n.d.",IF(O81=0,"",O80/O81)))</f>
        <v>n.d.</v>
      </c>
      <c r="P82" s="703"/>
      <c r="Q82" s="668"/>
      <c r="R82" s="670"/>
    </row>
    <row r="83" spans="1:18" s="235" customFormat="1" ht="39" customHeight="1" thickBot="1" x14ac:dyDescent="0.25">
      <c r="A83" s="677" t="s">
        <v>936</v>
      </c>
      <c r="B83" s="680" t="s">
        <v>818</v>
      </c>
      <c r="C83" s="683" t="s">
        <v>891</v>
      </c>
      <c r="D83" s="686" t="s">
        <v>894</v>
      </c>
      <c r="E83" s="687"/>
      <c r="F83" s="686" t="s">
        <v>897</v>
      </c>
      <c r="G83" s="687"/>
      <c r="H83" s="686" t="s">
        <v>900</v>
      </c>
      <c r="I83" s="687"/>
      <c r="J83" s="692" t="s">
        <v>885</v>
      </c>
      <c r="K83" s="695" t="s">
        <v>545</v>
      </c>
      <c r="L83" s="696"/>
      <c r="M83" s="701"/>
      <c r="N83" s="411" t="s">
        <v>535</v>
      </c>
      <c r="O83" s="372"/>
      <c r="P83" s="702" t="str">
        <f>IF(AND(O83&lt;&gt;"",O84&lt;&gt;"",O83=0,O84=0),Berechnung1!$H$5,IF(O85="",Berechnung1!$D$5,IF(O85="",Berechnung1!$G$5,IF(O85=Berechnung1!D99,Berechnung1!$F$5,IF(OR(O85&lt;Berechnung1!E99,O85&gt;Berechnung1!F99),Berechnung1!$G$5,IF(OR(ROUND(O85,4)&lt;Berechnung1!J99,ROUND(O85,4)&gt;Berechnung1!K99),Berechnung1!$D$5,IF(OR(ROUND(O85,4)&lt;Berechnung1!G99,ROUND(O85,4)&gt;Berechnung1!H99),Berechnung1!$E$5,Berechnung1!$C$5)))))))</f>
        <v>Incomplete</v>
      </c>
      <c r="Q83" s="666"/>
      <c r="R83" s="669"/>
    </row>
    <row r="84" spans="1:18" s="235" customFormat="1" ht="39" customHeight="1" thickBot="1" x14ac:dyDescent="0.25">
      <c r="A84" s="678"/>
      <c r="B84" s="681"/>
      <c r="C84" s="684"/>
      <c r="D84" s="688"/>
      <c r="E84" s="689"/>
      <c r="F84" s="688"/>
      <c r="G84" s="689"/>
      <c r="H84" s="688"/>
      <c r="I84" s="689"/>
      <c r="J84" s="693"/>
      <c r="K84" s="697"/>
      <c r="L84" s="698"/>
      <c r="M84" s="678"/>
      <c r="N84" s="411" t="s">
        <v>567</v>
      </c>
      <c r="O84" s="372"/>
      <c r="P84" s="703"/>
      <c r="Q84" s="667"/>
      <c r="R84" s="670"/>
    </row>
    <row r="85" spans="1:18" s="235" customFormat="1" ht="39" customHeight="1" thickBot="1" x14ac:dyDescent="0.25">
      <c r="A85" s="679"/>
      <c r="B85" s="682"/>
      <c r="C85" s="685"/>
      <c r="D85" s="690"/>
      <c r="E85" s="691"/>
      <c r="F85" s="690"/>
      <c r="G85" s="691"/>
      <c r="H85" s="690"/>
      <c r="I85" s="691"/>
      <c r="J85" s="694"/>
      <c r="K85" s="699"/>
      <c r="L85" s="700"/>
      <c r="M85" s="679"/>
      <c r="N85" s="411" t="s">
        <v>32</v>
      </c>
      <c r="O85" s="371" t="str">
        <f>IF(O83="","n.d.",IF(O84="","n.d.",IF(O84=0,"",O83/O84)))</f>
        <v>n.d.</v>
      </c>
      <c r="P85" s="703"/>
      <c r="Q85" s="668"/>
      <c r="R85" s="670"/>
    </row>
    <row r="86" spans="1:18" s="235" customFormat="1" ht="18" customHeight="1" x14ac:dyDescent="0.2">
      <c r="A86" s="488"/>
      <c r="B86" s="74"/>
      <c r="C86" s="157"/>
      <c r="D86" s="157"/>
      <c r="E86" s="157"/>
      <c r="F86" s="157"/>
      <c r="G86" s="157"/>
      <c r="H86" s="157"/>
      <c r="I86" s="157"/>
      <c r="J86" s="488"/>
      <c r="K86" s="74"/>
      <c r="L86" s="74"/>
      <c r="M86" s="488"/>
      <c r="N86" s="489"/>
      <c r="O86" s="490"/>
      <c r="P86" s="491"/>
      <c r="Q86" s="157"/>
      <c r="R86" s="492"/>
    </row>
    <row r="87" spans="1:18" s="235" customFormat="1" ht="18" customHeight="1" thickBot="1" x14ac:dyDescent="0.25">
      <c r="A87" s="493" t="s">
        <v>526</v>
      </c>
      <c r="B87" s="74"/>
      <c r="C87" s="157"/>
      <c r="D87" s="157"/>
      <c r="E87" s="157"/>
      <c r="F87" s="157"/>
      <c r="G87" s="157"/>
      <c r="I87" s="157"/>
      <c r="J87" s="488"/>
      <c r="K87" s="74"/>
      <c r="L87" s="74"/>
      <c r="M87" s="488"/>
      <c r="N87" s="489"/>
      <c r="O87" s="490"/>
      <c r="P87" s="491"/>
      <c r="Q87" s="157"/>
      <c r="R87" s="492"/>
    </row>
    <row r="88" spans="1:18" s="235" customFormat="1" ht="18" customHeight="1" thickBot="1" x14ac:dyDescent="0.25">
      <c r="A88" s="488"/>
      <c r="B88" s="810" t="s">
        <v>863</v>
      </c>
      <c r="C88" s="811"/>
      <c r="D88" s="415" t="s">
        <v>853</v>
      </c>
      <c r="E88" s="416" t="str">
        <f>CONCATENATE(TEXT(Berechnung1!C9,"0,00%")," (",Berechnung1!C6,")")</f>
        <v>0,00% (0)</v>
      </c>
      <c r="F88" s="814" t="str">
        <f>CONCATENATE(TEXT(Berechnung1!D10,"0,00%")," (",Berechnung1!D7,")")</f>
        <v>0,00% (0)</v>
      </c>
      <c r="G88" s="815" t="s">
        <v>531</v>
      </c>
      <c r="H88" s="157"/>
      <c r="I88" s="157"/>
      <c r="J88" s="488"/>
      <c r="K88" s="74"/>
      <c r="L88" s="74"/>
      <c r="M88" s="488"/>
      <c r="N88" s="489"/>
      <c r="O88" s="490"/>
      <c r="P88" s="491"/>
      <c r="Q88" s="157"/>
      <c r="R88" s="492"/>
    </row>
    <row r="89" spans="1:18" s="235" customFormat="1" ht="18" customHeight="1" thickBot="1" x14ac:dyDescent="0.25">
      <c r="A89" s="488"/>
      <c r="B89" s="812"/>
      <c r="C89" s="813"/>
      <c r="D89" s="417" t="s">
        <v>527</v>
      </c>
      <c r="E89" s="418" t="str">
        <f>CONCATENATE(TEXT(Berechnung1!K9,"0,00%")," (",Berechnung1!K6,")")</f>
        <v>0,00% (0)</v>
      </c>
      <c r="F89" s="814"/>
      <c r="G89" s="816"/>
      <c r="H89" s="157"/>
      <c r="I89" s="157"/>
      <c r="J89" s="488"/>
      <c r="K89" s="74"/>
      <c r="L89" s="74"/>
      <c r="M89" s="488"/>
      <c r="N89" s="489"/>
      <c r="O89" s="490"/>
      <c r="P89" s="491"/>
      <c r="Q89" s="157"/>
      <c r="R89" s="492"/>
    </row>
    <row r="90" spans="1:18" s="235" customFormat="1" ht="18" customHeight="1" thickBot="1" x14ac:dyDescent="0.25">
      <c r="A90" s="488"/>
      <c r="B90" s="817" t="s">
        <v>864</v>
      </c>
      <c r="C90" s="818"/>
      <c r="D90" s="818"/>
      <c r="E90" s="819"/>
      <c r="F90" s="419" t="str">
        <f>CONCATENATE(TEXT(Berechnung1!E10,"0,00%")," (",Berechnung1!E7,")")</f>
        <v>0,00% (0)</v>
      </c>
      <c r="G90" s="420" t="str">
        <f>CONCATENATE(TEXT(Berechnung1!E11,"0,00%")," (",Berechnung1!E8,")")</f>
        <v>0,00% (0)</v>
      </c>
      <c r="H90" s="157"/>
      <c r="I90" s="157"/>
      <c r="J90" s="488"/>
      <c r="K90" s="74"/>
      <c r="L90" s="74"/>
      <c r="M90" s="488"/>
      <c r="N90" s="489"/>
      <c r="O90" s="490"/>
      <c r="P90" s="491"/>
      <c r="Q90" s="157"/>
      <c r="R90" s="492"/>
    </row>
    <row r="91" spans="1:18" s="235" customFormat="1" ht="18" customHeight="1" thickBot="1" x14ac:dyDescent="0.25">
      <c r="A91" s="488"/>
      <c r="B91" s="820" t="s">
        <v>865</v>
      </c>
      <c r="C91" s="821"/>
      <c r="D91" s="421" t="s">
        <v>529</v>
      </c>
      <c r="E91" s="422" t="str">
        <f>CONCATENATE(TEXT(Berechnung1!G9,"0,00%")," (",Berechnung1!G6,")")</f>
        <v>0,00% (0)</v>
      </c>
      <c r="F91" s="814" t="str">
        <f>CONCATENATE(TEXT(Berechnung1!G10,"0,00%")," (",Berechnung1!G8,")")</f>
        <v>100,00% (25)</v>
      </c>
      <c r="G91" s="814"/>
      <c r="H91" s="157"/>
      <c r="I91" s="157"/>
      <c r="J91" s="488"/>
      <c r="K91" s="74"/>
      <c r="L91" s="74"/>
      <c r="M91" s="488"/>
      <c r="N91" s="489"/>
      <c r="O91" s="490"/>
      <c r="P91" s="491"/>
      <c r="Q91" s="157"/>
      <c r="R91" s="492"/>
    </row>
    <row r="92" spans="1:18" s="235" customFormat="1" ht="18" customHeight="1" thickBot="1" x14ac:dyDescent="0.25">
      <c r="A92" s="488"/>
      <c r="B92" s="822"/>
      <c r="C92" s="823"/>
      <c r="D92" s="423" t="s">
        <v>530</v>
      </c>
      <c r="E92" s="424" t="str">
        <f>CONCATENATE(TEXT(Berechnung1!F9,"0,00%")," (",Berechnung1!F6, ")")</f>
        <v>100,00% (25)</v>
      </c>
      <c r="F92" s="814"/>
      <c r="G92" s="814"/>
      <c r="H92" s="157"/>
      <c r="I92" s="157"/>
      <c r="J92" s="488"/>
      <c r="K92" s="74"/>
      <c r="L92" s="74"/>
      <c r="M92" s="488"/>
      <c r="N92" s="489"/>
      <c r="O92" s="490"/>
      <c r="P92" s="491"/>
      <c r="Q92" s="157"/>
      <c r="R92" s="492"/>
    </row>
    <row r="93" spans="1:18" s="235" customFormat="1" ht="18" customHeight="1" x14ac:dyDescent="0.2">
      <c r="A93" s="488"/>
      <c r="B93" s="74"/>
      <c r="C93" s="157"/>
      <c r="D93" s="157"/>
      <c r="E93" s="157"/>
      <c r="F93" s="157"/>
      <c r="G93" s="157"/>
      <c r="H93" s="157"/>
      <c r="I93" s="157"/>
      <c r="J93" s="488"/>
      <c r="K93" s="74"/>
      <c r="L93" s="74"/>
      <c r="M93" s="488"/>
      <c r="N93" s="489"/>
      <c r="O93" s="490"/>
      <c r="P93" s="491"/>
      <c r="Q93" s="157"/>
      <c r="R93" s="492"/>
    </row>
    <row r="94" spans="1:18" s="235" customFormat="1" ht="24" customHeight="1" x14ac:dyDescent="0.2">
      <c r="A94" s="494" t="s">
        <v>565</v>
      </c>
      <c r="B94" s="494"/>
      <c r="C94" s="494"/>
      <c r="D94" s="494"/>
      <c r="E94" s="494"/>
      <c r="F94" s="494"/>
      <c r="G94" s="494"/>
      <c r="H94" s="494"/>
      <c r="I94" s="494"/>
      <c r="J94" s="494"/>
      <c r="K94" s="494"/>
      <c r="L94" s="494"/>
      <c r="M94" s="494"/>
      <c r="N94" s="494"/>
      <c r="O94" s="494"/>
      <c r="P94" s="494"/>
    </row>
    <row r="95" spans="1:18" s="2" customFormat="1" ht="22.5" customHeight="1" x14ac:dyDescent="0.2">
      <c r="A95" s="809" t="s">
        <v>866</v>
      </c>
      <c r="B95" s="809"/>
      <c r="C95" s="809"/>
      <c r="D95" s="809"/>
      <c r="E95" s="809"/>
      <c r="F95" s="809"/>
      <c r="G95" s="809"/>
      <c r="H95" s="809"/>
      <c r="I95" s="809"/>
      <c r="J95" s="809"/>
      <c r="K95" s="809"/>
      <c r="L95" s="809"/>
      <c r="M95" s="809"/>
      <c r="N95" s="809"/>
      <c r="O95" s="809"/>
      <c r="P95" s="809"/>
    </row>
    <row r="96" spans="1:18" ht="125.25" customHeight="1" x14ac:dyDescent="0.2">
      <c r="A96" s="808" t="s">
        <v>566</v>
      </c>
      <c r="B96" s="808"/>
      <c r="C96" s="808"/>
      <c r="D96" s="808"/>
      <c r="E96" s="808"/>
      <c r="F96" s="808"/>
      <c r="G96" s="808"/>
      <c r="H96" s="808"/>
      <c r="I96" s="808"/>
      <c r="J96" s="808"/>
      <c r="K96" s="808"/>
      <c r="L96" s="808"/>
      <c r="M96" s="808"/>
      <c r="N96" s="808"/>
      <c r="O96" s="808"/>
      <c r="P96" s="808"/>
      <c r="Q96" s="2"/>
      <c r="R96" s="2"/>
    </row>
    <row r="97" spans="1:18" ht="14.25" customHeight="1" x14ac:dyDescent="0.2">
      <c r="A97" s="495"/>
      <c r="B97" s="495"/>
      <c r="C97" s="495"/>
      <c r="D97" s="495"/>
      <c r="E97" s="495"/>
      <c r="F97" s="495"/>
      <c r="G97" s="495"/>
      <c r="H97" s="495"/>
      <c r="I97" s="495"/>
      <c r="J97" s="495"/>
      <c r="K97" s="495"/>
      <c r="L97" s="495"/>
      <c r="M97" s="495"/>
      <c r="N97" s="495"/>
      <c r="O97" s="495"/>
      <c r="P97" s="495"/>
      <c r="Q97" s="2"/>
      <c r="R97" s="2"/>
    </row>
    <row r="98" spans="1:18" x14ac:dyDescent="0.2">
      <c r="O98" s="15"/>
    </row>
    <row r="99" spans="1:18" ht="90" hidden="1" customHeight="1" x14ac:dyDescent="0.2">
      <c r="B99" s="2"/>
      <c r="C99" s="2"/>
      <c r="D99" s="496" t="s">
        <v>903</v>
      </c>
      <c r="E99" s="497" t="str">
        <f>CONCATENATE(LEFT('Basic Data'!D25,11)," ",'Basic Data'!D26," ",LEFT('Basic Data'!E27,21))</f>
        <v xml:space="preserve">Primary cas operated 2) Not complete surgery </v>
      </c>
      <c r="F99" s="498" t="str">
        <f>CONCATENATE(LEFT('Basic Data'!D25,11)," ",'Basic Data'!D26," ",LEFT('Basic Data'!F27,26))</f>
        <v>Primary cas operated 2) Definitive surgery = 
stag</v>
      </c>
      <c r="G99" s="498" t="str">
        <f>CONCATENATE(LEFT('Basic Data'!D25,11)," ",'Basic Data'!D26," ",LEFT('Basic Data'!G27,88))</f>
        <v>Primary cas operated 2) including with neoadjuvant or pre-operative systemic therapy (ovary/Fallopian tubes/peri</v>
      </c>
      <c r="H99" s="498" t="str">
        <f>CONCATENATE(LEFT('Basic Data'!D25,11)," ",'Basic Data'!D26," ",LEFT('Basic Data'!H27,60))</f>
        <v>Primary cas operated 2) Only staging surgery / Not complete surgery (cervix, endomet</v>
      </c>
      <c r="I99" s="498" t="str">
        <f>CONCATENATE(LEFT('Basic Data'!D25,11)," ",'Basic Data'!D26," ",LEFT('Basic Data'!I27,60))</f>
        <v>Primary cas operated 2) Definitive surgery (where appr. incl. staging surgery) 
(cer</v>
      </c>
      <c r="J99" s="499" t="str">
        <f>CONCATENATE(LEFT('Basic Data'!D25,11)," ",'Basic Data'!J26)</f>
        <v>Primary cas not 
operated and no surgery planned</v>
      </c>
      <c r="K99" s="487" t="str">
        <f>CONCATENATE(LEFT('Basic Data'!K25,20)," ",'Basic Data'!K26)</f>
        <v>Non-primary cases operated</v>
      </c>
      <c r="L99" s="499" t="str">
        <f>CONCATENATE(LEFT('Basic Data'!K25,20)," ",'Basic Data'!L26)</f>
        <v>Non-primary cases not 
operated</v>
      </c>
      <c r="M99" s="487" t="str">
        <f>CONCATENATE(LEFT('Basic Data'!M25,14)," ",LEFT('Basic Data'!M26,8))</f>
        <v>Total case num operated</v>
      </c>
      <c r="N99" s="499" t="str">
        <f>CONCATENATE(LEFT('Basic Data'!M25,14)," ",'Basic Data'!N26)</f>
        <v>Total case num not operated</v>
      </c>
      <c r="O99" s="29"/>
    </row>
    <row r="100" spans="1:18" hidden="1" x14ac:dyDescent="0.2">
      <c r="B100" s="130" t="str">
        <f>CONCATENATE(LEFT('Basic Data'!$A$28,15),RIGHT('Basic Data'!B28,8))</f>
        <v>Ovarian cancer/ FIGO IA</v>
      </c>
      <c r="C100" s="131"/>
      <c r="D100" s="197">
        <f>'Basic Data'!D28</f>
        <v>0</v>
      </c>
      <c r="E100" s="500">
        <f>'Basic Data'!E28</f>
        <v>0</v>
      </c>
      <c r="F100" s="90">
        <f>'Basic Data'!F28</f>
        <v>0</v>
      </c>
      <c r="G100" s="90">
        <f>'Basic Data'!G28</f>
        <v>0</v>
      </c>
      <c r="H100" s="501"/>
      <c r="I100" s="502"/>
      <c r="J100" s="503">
        <f>'Basic Data'!J28</f>
        <v>0</v>
      </c>
      <c r="K100" s="197">
        <f>'Basic Data'!K28</f>
        <v>0</v>
      </c>
      <c r="L100" s="503">
        <f>'Basic Data'!L28</f>
        <v>0</v>
      </c>
      <c r="M100" s="504">
        <f>IF('Basic Data'!M28="",0,'Basic Data'!M28)</f>
        <v>0</v>
      </c>
      <c r="N100" s="505">
        <f>IF('Basic Data'!N28="",0,'Basic Data'!N28)</f>
        <v>0</v>
      </c>
    </row>
    <row r="101" spans="1:18" hidden="1" x14ac:dyDescent="0.2">
      <c r="B101" s="130" t="str">
        <f>CONCATENATE(LEFT('Basic Data'!$A$28,15),RIGHT('Basic Data'!B29,8))</f>
        <v>Ovarian cancer/ FIGO IB</v>
      </c>
      <c r="C101" s="131"/>
      <c r="D101" s="197">
        <f>'Basic Data'!D29</f>
        <v>0</v>
      </c>
      <c r="E101" s="500">
        <f>'Basic Data'!E29</f>
        <v>0</v>
      </c>
      <c r="F101" s="90">
        <f>'Basic Data'!F29</f>
        <v>0</v>
      </c>
      <c r="G101" s="90">
        <f>'Basic Data'!G29</f>
        <v>0</v>
      </c>
      <c r="H101" s="506"/>
      <c r="I101" s="507"/>
      <c r="J101" s="503">
        <f>'Basic Data'!J29</f>
        <v>0</v>
      </c>
      <c r="K101" s="508"/>
      <c r="L101" s="509"/>
      <c r="M101" s="508"/>
      <c r="N101" s="509"/>
    </row>
    <row r="102" spans="1:18" hidden="1" x14ac:dyDescent="0.2">
      <c r="B102" s="130" t="str">
        <f>CONCATENATE(LEFT('Basic Data'!$A$28,15),RIGHT('Basic Data'!B30,8))</f>
        <v>Ovarian cancer/ FIGO IC</v>
      </c>
      <c r="C102" s="131"/>
      <c r="D102" s="197">
        <f>'Basic Data'!D30</f>
        <v>0</v>
      </c>
      <c r="E102" s="500">
        <f>'Basic Data'!E30</f>
        <v>0</v>
      </c>
      <c r="F102" s="90">
        <f>'Basic Data'!F30</f>
        <v>0</v>
      </c>
      <c r="G102" s="90">
        <f>'Basic Data'!G30</f>
        <v>0</v>
      </c>
      <c r="H102" s="506"/>
      <c r="I102" s="507"/>
      <c r="J102" s="503">
        <f>'Basic Data'!J30</f>
        <v>0</v>
      </c>
      <c r="K102" s="508"/>
      <c r="L102" s="509"/>
      <c r="M102" s="508"/>
      <c r="N102" s="509"/>
    </row>
    <row r="103" spans="1:18" hidden="1" x14ac:dyDescent="0.2">
      <c r="B103" s="130" t="str">
        <f>CONCATENATE(LEFT('Basic Data'!$A$28,15),RIGHT('Basic Data'!B31,9))</f>
        <v>Ovarian cancer/ FIGO IIA</v>
      </c>
      <c r="C103" s="131"/>
      <c r="D103" s="197">
        <f>'Basic Data'!D31</f>
        <v>0</v>
      </c>
      <c r="E103" s="500">
        <f>'Basic Data'!E31</f>
        <v>0</v>
      </c>
      <c r="F103" s="90">
        <f>'Basic Data'!F31</f>
        <v>0</v>
      </c>
      <c r="G103" s="90">
        <f>'Basic Data'!G31</f>
        <v>0</v>
      </c>
      <c r="H103" s="506"/>
      <c r="I103" s="507"/>
      <c r="J103" s="503">
        <f>'Basic Data'!J31</f>
        <v>0</v>
      </c>
      <c r="K103" s="508"/>
      <c r="L103" s="509"/>
      <c r="M103" s="508"/>
      <c r="N103" s="509"/>
    </row>
    <row r="104" spans="1:18" hidden="1" x14ac:dyDescent="0.2">
      <c r="B104" s="130" t="str">
        <f>CONCATENATE(LEFT('Basic Data'!$A$28,15),RIGHT('Basic Data'!B32,9))</f>
        <v>Ovarian cancer/ FIGO IIB</v>
      </c>
      <c r="C104" s="131"/>
      <c r="D104" s="197">
        <f>'Basic Data'!D32</f>
        <v>0</v>
      </c>
      <c r="E104" s="500">
        <f>'Basic Data'!E32</f>
        <v>0</v>
      </c>
      <c r="F104" s="90">
        <f>'Basic Data'!F32</f>
        <v>0</v>
      </c>
      <c r="G104" s="90">
        <f>'Basic Data'!G32</f>
        <v>0</v>
      </c>
      <c r="H104" s="506"/>
      <c r="I104" s="507"/>
      <c r="J104" s="503">
        <f>'Basic Data'!J32</f>
        <v>0</v>
      </c>
      <c r="K104" s="508"/>
      <c r="L104" s="509"/>
      <c r="M104" s="508"/>
      <c r="N104" s="509"/>
    </row>
    <row r="105" spans="1:18" hidden="1" x14ac:dyDescent="0.2">
      <c r="B105" s="130" t="str">
        <f>CONCATENATE(LEFT('Basic Data'!$A$28,15),RIGHT('Basic Data'!B33,10))</f>
        <v>Ovarian cancer/ FIGO IIIA</v>
      </c>
      <c r="C105" s="131"/>
      <c r="D105" s="197">
        <f>'Basic Data'!D33</f>
        <v>0</v>
      </c>
      <c r="E105" s="500">
        <f>'Basic Data'!E33</f>
        <v>0</v>
      </c>
      <c r="F105" s="90">
        <f>'Basic Data'!F33</f>
        <v>0</v>
      </c>
      <c r="G105" s="90">
        <f>'Basic Data'!G33</f>
        <v>0</v>
      </c>
      <c r="H105" s="506"/>
      <c r="I105" s="507"/>
      <c r="J105" s="503">
        <f>'Basic Data'!J33</f>
        <v>0</v>
      </c>
      <c r="K105" s="508"/>
      <c r="L105" s="509"/>
      <c r="M105" s="508"/>
      <c r="N105" s="509"/>
    </row>
    <row r="106" spans="1:18" hidden="1" x14ac:dyDescent="0.2">
      <c r="B106" s="130" t="str">
        <f>CONCATENATE(LEFT('Basic Data'!$A$28,15),RIGHT('Basic Data'!B34,10))</f>
        <v>Ovarian cancer/ FIGO IIIB</v>
      </c>
      <c r="C106" s="131"/>
      <c r="D106" s="197">
        <f>'Basic Data'!D34</f>
        <v>0</v>
      </c>
      <c r="E106" s="500">
        <f>'Basic Data'!E34</f>
        <v>0</v>
      </c>
      <c r="F106" s="90">
        <f>'Basic Data'!F34</f>
        <v>0</v>
      </c>
      <c r="G106" s="90">
        <f>'Basic Data'!G34</f>
        <v>0</v>
      </c>
      <c r="H106" s="506"/>
      <c r="I106" s="507"/>
      <c r="J106" s="503">
        <f>'Basic Data'!J34</f>
        <v>0</v>
      </c>
      <c r="K106" s="508"/>
      <c r="L106" s="509"/>
      <c r="M106" s="508"/>
      <c r="N106" s="509"/>
    </row>
    <row r="107" spans="1:18" hidden="1" x14ac:dyDescent="0.2">
      <c r="B107" s="130" t="str">
        <f>CONCATENATE(LEFT('Basic Data'!$A$28,15),RIGHT('Basic Data'!B35,10))</f>
        <v>Ovarian cancer/ FIGO IIIC</v>
      </c>
      <c r="C107" s="131"/>
      <c r="D107" s="197">
        <f>'Basic Data'!D35</f>
        <v>0</v>
      </c>
      <c r="E107" s="500">
        <f>'Basic Data'!E35</f>
        <v>0</v>
      </c>
      <c r="F107" s="90">
        <f>'Basic Data'!F35</f>
        <v>0</v>
      </c>
      <c r="G107" s="90">
        <f>'Basic Data'!G35</f>
        <v>0</v>
      </c>
      <c r="H107" s="506"/>
      <c r="I107" s="507"/>
      <c r="J107" s="503">
        <f>'Basic Data'!J35</f>
        <v>0</v>
      </c>
      <c r="K107" s="508"/>
      <c r="L107" s="509"/>
      <c r="M107" s="508"/>
      <c r="N107" s="509"/>
    </row>
    <row r="108" spans="1:18" hidden="1" x14ac:dyDescent="0.2">
      <c r="B108" s="130" t="str">
        <f>CONCATENATE(LEFT('Basic Data'!$A$28,15),RIGHT('Basic Data'!B36,8))</f>
        <v>Ovarian cancer/FIGO IVA</v>
      </c>
      <c r="C108" s="131"/>
      <c r="D108" s="197">
        <f>'Basic Data'!D36</f>
        <v>0</v>
      </c>
      <c r="E108" s="500">
        <f>'Basic Data'!E36</f>
        <v>0</v>
      </c>
      <c r="F108" s="90">
        <f>'Basic Data'!F36</f>
        <v>0</v>
      </c>
      <c r="G108" s="90">
        <f>'Basic Data'!G36</f>
        <v>0</v>
      </c>
      <c r="H108" s="506"/>
      <c r="I108" s="507"/>
      <c r="J108" s="503">
        <f>'Basic Data'!J36</f>
        <v>0</v>
      </c>
      <c r="K108" s="508"/>
      <c r="L108" s="509"/>
      <c r="M108" s="508"/>
      <c r="N108" s="509"/>
    </row>
    <row r="109" spans="1:18" hidden="1" x14ac:dyDescent="0.2">
      <c r="B109" s="130" t="str">
        <f>CONCATENATE(LEFT('Basic Data'!$A$28,15),RIGHT('Basic Data'!B37,8))</f>
        <v>Ovarian cancer/FIGO IVB</v>
      </c>
      <c r="C109" s="131"/>
      <c r="D109" s="197">
        <f>'Basic Data'!D37</f>
        <v>0</v>
      </c>
      <c r="E109" s="500">
        <f>'Basic Data'!E37</f>
        <v>0</v>
      </c>
      <c r="F109" s="90">
        <f>'Basic Data'!F37</f>
        <v>0</v>
      </c>
      <c r="G109" s="90">
        <f>'Basic Data'!G37</f>
        <v>0</v>
      </c>
      <c r="H109" s="506"/>
      <c r="I109" s="507"/>
      <c r="J109" s="503">
        <f>'Basic Data'!J37</f>
        <v>0</v>
      </c>
      <c r="K109" s="508"/>
      <c r="L109" s="509"/>
      <c r="M109" s="508"/>
      <c r="N109" s="509"/>
    </row>
    <row r="110" spans="1:18" hidden="1" x14ac:dyDescent="0.2">
      <c r="B110" s="130" t="str">
        <f>CONCATENATE(LEFT('Basic Data'!$A$28,15),RIGHT('Basic Data'!B38,8))</f>
        <v>Ovarian cancer/Total</v>
      </c>
      <c r="C110" s="131"/>
      <c r="D110" s="504">
        <f>IF('Basic Data'!D38="",0,'Basic Data'!D38)</f>
        <v>0</v>
      </c>
      <c r="E110" s="510">
        <f>IF('Basic Data'!E38="",0,'Basic Data'!E38)</f>
        <v>0</v>
      </c>
      <c r="F110" s="511">
        <f>IF('Basic Data'!F38="",0,'Basic Data'!F38)</f>
        <v>0</v>
      </c>
      <c r="G110" s="511">
        <f>IF('Basic Data'!G38="",0,'Basic Data'!G38)</f>
        <v>0</v>
      </c>
      <c r="H110" s="506"/>
      <c r="I110" s="507"/>
      <c r="J110" s="505">
        <f>IF('Basic Data'!J38="",0,'Basic Data'!J38)</f>
        <v>0</v>
      </c>
      <c r="K110" s="508"/>
      <c r="L110" s="509"/>
      <c r="M110" s="508"/>
      <c r="N110" s="509"/>
    </row>
    <row r="111" spans="1:18" hidden="1" x14ac:dyDescent="0.2">
      <c r="B111" s="130" t="str">
        <f>'Basic Data'!A39</f>
        <v>Borderline ovarian / Serous Tubal Intraepithelial Carcinoma (STIC)</v>
      </c>
      <c r="C111" s="131"/>
      <c r="D111" s="197">
        <f>'Basic Data'!D39</f>
        <v>0</v>
      </c>
      <c r="E111" s="500">
        <f>'Basic Data'!E39</f>
        <v>0</v>
      </c>
      <c r="F111" s="90">
        <f>'Basic Data'!F39</f>
        <v>0</v>
      </c>
      <c r="G111" s="502"/>
      <c r="H111" s="512"/>
      <c r="I111" s="513"/>
      <c r="J111" s="503">
        <f>'Basic Data'!J39</f>
        <v>0</v>
      </c>
      <c r="K111" s="197">
        <f>'Basic Data'!K39</f>
        <v>0</v>
      </c>
      <c r="L111" s="503">
        <f>'Basic Data'!L39</f>
        <v>0</v>
      </c>
      <c r="M111" s="504">
        <f>IF('Basic Data'!M39="",0,'Basic Data'!M39)</f>
        <v>0</v>
      </c>
      <c r="N111" s="505">
        <f>IF('Basic Data'!N39="",0,'Basic Data'!N39)</f>
        <v>0</v>
      </c>
    </row>
    <row r="112" spans="1:18" hidden="1" x14ac:dyDescent="0.2">
      <c r="B112" s="130" t="str">
        <f>CONCATENATE(LEFT('Basic Data'!$A$40,15),RIGHT('Basic Data'!B40,9))</f>
        <v>Cervical carcin (= T1a1)</v>
      </c>
      <c r="C112" s="131"/>
      <c r="D112" s="197">
        <f>'Basic Data'!D40</f>
        <v>0</v>
      </c>
      <c r="E112" s="514"/>
      <c r="F112" s="514"/>
      <c r="G112" s="507"/>
      <c r="H112" s="90">
        <f>'Basic Data'!H40</f>
        <v>0</v>
      </c>
      <c r="I112" s="90">
        <f>'Basic Data'!I40</f>
        <v>0</v>
      </c>
      <c r="J112" s="503">
        <f>'Basic Data'!J40</f>
        <v>0</v>
      </c>
      <c r="K112" s="197">
        <f>'Basic Data'!K40</f>
        <v>0</v>
      </c>
      <c r="L112" s="503">
        <f>'Basic Data'!L40</f>
        <v>0</v>
      </c>
      <c r="M112" s="504">
        <f>IF('Basic Data'!M40="",0,'Basic Data'!M40)</f>
        <v>0</v>
      </c>
      <c r="N112" s="505">
        <f>IF('Basic Data'!N40="",0,'Basic Data'!N40)</f>
        <v>0</v>
      </c>
    </row>
    <row r="113" spans="2:14" hidden="1" x14ac:dyDescent="0.2">
      <c r="B113" s="130" t="str">
        <f>CONCATENATE(LEFT('Basic Data'!$A$40,15),RIGHT('Basic Data'!B41,9))</f>
        <v>Cervical carcin (= T1a2)</v>
      </c>
      <c r="C113" s="131"/>
      <c r="D113" s="197">
        <f>'Basic Data'!D41</f>
        <v>0</v>
      </c>
      <c r="E113" s="515"/>
      <c r="F113" s="515"/>
      <c r="G113" s="507"/>
      <c r="H113" s="90">
        <f>'Basic Data'!H41</f>
        <v>0</v>
      </c>
      <c r="I113" s="90">
        <f>'Basic Data'!I41</f>
        <v>0</v>
      </c>
      <c r="J113" s="503">
        <f>'Basic Data'!J41</f>
        <v>0</v>
      </c>
      <c r="K113" s="508"/>
      <c r="L113" s="509"/>
      <c r="M113" s="508"/>
      <c r="N113" s="509"/>
    </row>
    <row r="114" spans="2:14" hidden="1" x14ac:dyDescent="0.2">
      <c r="B114" s="130" t="str">
        <f>CONCATENATE(LEFT('Basic Data'!$A$40,15),RIGHT('Basic Data'!B42,9))</f>
        <v>Cervical carcin (= T1b1)</v>
      </c>
      <c r="C114" s="131"/>
      <c r="D114" s="197">
        <f>'Basic Data'!D42</f>
        <v>0</v>
      </c>
      <c r="E114" s="515"/>
      <c r="F114" s="515"/>
      <c r="G114" s="507"/>
      <c r="H114" s="90">
        <f>'Basic Data'!H42</f>
        <v>0</v>
      </c>
      <c r="I114" s="90">
        <f>'Basic Data'!I42</f>
        <v>0</v>
      </c>
      <c r="J114" s="503">
        <f>'Basic Data'!J42</f>
        <v>0</v>
      </c>
      <c r="K114" s="508"/>
      <c r="L114" s="509"/>
      <c r="M114" s="508"/>
      <c r="N114" s="509"/>
    </row>
    <row r="115" spans="2:14" hidden="1" x14ac:dyDescent="0.2">
      <c r="B115" s="130" t="str">
        <f>CONCATENATE(LEFT('Basic Data'!$A$40,15),RIGHT('Basic Data'!B43,9))</f>
        <v>Cervical carcin (= T1b2)</v>
      </c>
      <c r="C115" s="131"/>
      <c r="D115" s="197">
        <f>'Basic Data'!D43</f>
        <v>0</v>
      </c>
      <c r="E115" s="515"/>
      <c r="F115" s="515"/>
      <c r="G115" s="507"/>
      <c r="H115" s="90">
        <f>'Basic Data'!H43</f>
        <v>0</v>
      </c>
      <c r="I115" s="90">
        <f>'Basic Data'!I43</f>
        <v>0</v>
      </c>
      <c r="J115" s="503">
        <f>'Basic Data'!J43</f>
        <v>0</v>
      </c>
      <c r="K115" s="508"/>
      <c r="L115" s="509"/>
      <c r="M115" s="508"/>
      <c r="N115" s="509"/>
    </row>
    <row r="116" spans="2:14" hidden="1" x14ac:dyDescent="0.2">
      <c r="B116" s="130" t="str">
        <f>CONCATENATE(LEFT('Basic Data'!$A$40,15),RIGHT('Basic Data'!B44,9))</f>
        <v>Cervical carcinA (= T2a)</v>
      </c>
      <c r="C116" s="131"/>
      <c r="D116" s="197">
        <f>'Basic Data'!D44</f>
        <v>0</v>
      </c>
      <c r="E116" s="515"/>
      <c r="F116" s="515"/>
      <c r="G116" s="507"/>
      <c r="H116" s="90">
        <f>'Basic Data'!H44</f>
        <v>0</v>
      </c>
      <c r="I116" s="90">
        <f>'Basic Data'!I44</f>
        <v>0</v>
      </c>
      <c r="J116" s="503">
        <f>'Basic Data'!J44</f>
        <v>0</v>
      </c>
      <c r="K116" s="508"/>
      <c r="L116" s="509"/>
      <c r="M116" s="508"/>
      <c r="N116" s="509"/>
    </row>
    <row r="117" spans="2:14" hidden="1" x14ac:dyDescent="0.2">
      <c r="B117" s="130" t="str">
        <f>CONCATENATE(LEFT('Basic Data'!$A$40,15),RIGHT('Basic Data'!B45,9))</f>
        <v>Cervical carcinB (= T2b)</v>
      </c>
      <c r="C117" s="131"/>
      <c r="D117" s="197">
        <f>'Basic Data'!D45</f>
        <v>0</v>
      </c>
      <c r="E117" s="515"/>
      <c r="F117" s="515"/>
      <c r="G117" s="507"/>
      <c r="H117" s="90">
        <f>'Basic Data'!H45</f>
        <v>0</v>
      </c>
      <c r="I117" s="90">
        <f>'Basic Data'!I45</f>
        <v>0</v>
      </c>
      <c r="J117" s="503">
        <f>'Basic Data'!J45</f>
        <v>0</v>
      </c>
      <c r="K117" s="508"/>
      <c r="L117" s="509"/>
      <c r="M117" s="508"/>
      <c r="N117" s="509"/>
    </row>
    <row r="118" spans="2:14" hidden="1" x14ac:dyDescent="0.2">
      <c r="B118" s="130" t="str">
        <f>CONCATENATE(LEFT('Basic Data'!$A$40,15),RIGHT('Basic Data'!B46,9))</f>
        <v>Cervical carcinA (= T3a)</v>
      </c>
      <c r="C118" s="131"/>
      <c r="D118" s="197">
        <f>'Basic Data'!D46</f>
        <v>0</v>
      </c>
      <c r="E118" s="515"/>
      <c r="F118" s="515"/>
      <c r="G118" s="507"/>
      <c r="H118" s="90">
        <f>'Basic Data'!H46</f>
        <v>0</v>
      </c>
      <c r="I118" s="90">
        <f>'Basic Data'!I46</f>
        <v>0</v>
      </c>
      <c r="J118" s="503">
        <f>'Basic Data'!J46</f>
        <v>0</v>
      </c>
      <c r="K118" s="508"/>
      <c r="L118" s="509"/>
      <c r="M118" s="508"/>
      <c r="N118" s="509"/>
    </row>
    <row r="119" spans="2:14" hidden="1" x14ac:dyDescent="0.2">
      <c r="B119" s="130" t="str">
        <f>CONCATENATE(LEFT('Basic Data'!$A$40,15),RIGHT('Basic Data'!B47,9))</f>
        <v>Cervical carcinB (= T3b)</v>
      </c>
      <c r="C119" s="131"/>
      <c r="D119" s="197">
        <f>'Basic Data'!D47</f>
        <v>0</v>
      </c>
      <c r="E119" s="515"/>
      <c r="F119" s="515"/>
      <c r="G119" s="507"/>
      <c r="H119" s="90">
        <f>'Basic Data'!H47</f>
        <v>0</v>
      </c>
      <c r="I119" s="90">
        <f>'Basic Data'!I47</f>
        <v>0</v>
      </c>
      <c r="J119" s="503">
        <f>'Basic Data'!J47</f>
        <v>0</v>
      </c>
      <c r="K119" s="508"/>
      <c r="L119" s="509"/>
      <c r="M119" s="508"/>
      <c r="N119" s="509"/>
    </row>
    <row r="120" spans="2:14" hidden="1" x14ac:dyDescent="0.2">
      <c r="B120" s="130" t="str">
        <f>CONCATENATE(LEFT('Basic Data'!$A$40,15),RIGHT('Basic Data'!B48,9))</f>
        <v>Cervical carcinVA (= T4)</v>
      </c>
      <c r="C120" s="131"/>
      <c r="D120" s="197">
        <f>'Basic Data'!D48</f>
        <v>0</v>
      </c>
      <c r="E120" s="515"/>
      <c r="F120" s="515"/>
      <c r="G120" s="507"/>
      <c r="H120" s="90">
        <f>'Basic Data'!H48</f>
        <v>0</v>
      </c>
      <c r="I120" s="90">
        <f>'Basic Data'!I48</f>
        <v>0</v>
      </c>
      <c r="J120" s="503">
        <f>'Basic Data'!J48</f>
        <v>0</v>
      </c>
      <c r="K120" s="508"/>
      <c r="L120" s="509"/>
      <c r="M120" s="508"/>
      <c r="N120" s="509"/>
    </row>
    <row r="121" spans="2:14" hidden="1" x14ac:dyDescent="0.2">
      <c r="B121" s="130" t="str">
        <f>CONCATENATE(LEFT('Basic Data'!$A$40,15),RIGHT('Basic Data'!B49,9))</f>
        <v>Cervical carcinVB (= M1)</v>
      </c>
      <c r="C121" s="131"/>
      <c r="D121" s="197">
        <f>'Basic Data'!D49</f>
        <v>0</v>
      </c>
      <c r="E121" s="515"/>
      <c r="F121" s="515"/>
      <c r="G121" s="507"/>
      <c r="H121" s="90">
        <f>'Basic Data'!H49</f>
        <v>0</v>
      </c>
      <c r="I121" s="90">
        <f>'Basic Data'!I49</f>
        <v>0</v>
      </c>
      <c r="J121" s="503">
        <f>'Basic Data'!J49</f>
        <v>0</v>
      </c>
      <c r="K121" s="508"/>
      <c r="L121" s="509"/>
      <c r="M121" s="508"/>
      <c r="N121" s="509"/>
    </row>
    <row r="122" spans="2:14" hidden="1" x14ac:dyDescent="0.2">
      <c r="B122" s="130" t="str">
        <f>CONCATENATE(LEFT('Basic Data'!$A$40,15),RIGHT('Basic Data'!B50,9))</f>
        <v>Cervical carcinTotal</v>
      </c>
      <c r="C122" s="131"/>
      <c r="D122" s="504" t="str">
        <f>'Basic Data'!D50</f>
        <v/>
      </c>
      <c r="E122" s="515"/>
      <c r="F122" s="515"/>
      <c r="G122" s="507"/>
      <c r="H122" s="511">
        <f>IF('Basic Data'!H50="",0,'Basic Data'!H50)</f>
        <v>0</v>
      </c>
      <c r="I122" s="511">
        <f>IF('Basic Data'!I50="",0,'Basic Data'!I50)</f>
        <v>0</v>
      </c>
      <c r="J122" s="505">
        <f>IF('Basic Data'!J50="",0,'Basic Data'!J50)</f>
        <v>0</v>
      </c>
      <c r="K122" s="508"/>
      <c r="L122" s="509"/>
      <c r="M122" s="508"/>
      <c r="N122" s="509"/>
    </row>
    <row r="123" spans="2:14" hidden="1" x14ac:dyDescent="0.2">
      <c r="B123" s="130" t="str">
        <f>'Basic Data'!A51</f>
        <v>Endometrial cancer</v>
      </c>
      <c r="C123" s="131"/>
      <c r="D123" s="197">
        <f>'Basic Data'!D51</f>
        <v>0</v>
      </c>
      <c r="E123" s="515"/>
      <c r="F123" s="515"/>
      <c r="G123" s="507"/>
      <c r="H123" s="90">
        <f>'Basic Data'!H51</f>
        <v>0</v>
      </c>
      <c r="I123" s="90">
        <f>'Basic Data'!I51</f>
        <v>0</v>
      </c>
      <c r="J123" s="503">
        <f>'Basic Data'!J51</f>
        <v>0</v>
      </c>
      <c r="K123" s="197">
        <f>'Basic Data'!K51</f>
        <v>0</v>
      </c>
      <c r="L123" s="503">
        <f>'Basic Data'!L51</f>
        <v>0</v>
      </c>
      <c r="M123" s="504">
        <f>IF('Basic Data'!M51="",0,'Basic Data'!M51)</f>
        <v>0</v>
      </c>
      <c r="N123" s="505">
        <f>IF('Basic Data'!N51="",0,'Basic Data'!N51)</f>
        <v>0</v>
      </c>
    </row>
    <row r="124" spans="2:14" hidden="1" x14ac:dyDescent="0.2">
      <c r="B124" s="130" t="str">
        <f>'Basic Data'!A52</f>
        <v>Vulvar cancer</v>
      </c>
      <c r="C124" s="131"/>
      <c r="D124" s="197">
        <f>'Basic Data'!D52</f>
        <v>0</v>
      </c>
      <c r="E124" s="515"/>
      <c r="F124" s="515"/>
      <c r="G124" s="507"/>
      <c r="H124" s="90">
        <f>'Basic Data'!H52</f>
        <v>0</v>
      </c>
      <c r="I124" s="90">
        <f>'Basic Data'!I52</f>
        <v>0</v>
      </c>
      <c r="J124" s="503">
        <f>'Basic Data'!J52</f>
        <v>0</v>
      </c>
      <c r="K124" s="197">
        <f>'Basic Data'!K52</f>
        <v>0</v>
      </c>
      <c r="L124" s="503">
        <f>'Basic Data'!L52</f>
        <v>0</v>
      </c>
      <c r="M124" s="504">
        <f>IF('Basic Data'!M52="",0,'Basic Data'!M52)</f>
        <v>0</v>
      </c>
      <c r="N124" s="505">
        <f>IF('Basic Data'!N52="",0,'Basic Data'!N52)</f>
        <v>0</v>
      </c>
    </row>
    <row r="125" spans="2:14" hidden="1" x14ac:dyDescent="0.2">
      <c r="B125" s="130" t="str">
        <f>'Basic Data'!A53</f>
        <v>Vaginal carcinoma</v>
      </c>
      <c r="C125" s="131"/>
      <c r="D125" s="197">
        <f>'Basic Data'!D53</f>
        <v>0</v>
      </c>
      <c r="E125" s="515"/>
      <c r="F125" s="515"/>
      <c r="G125" s="507"/>
      <c r="H125" s="90">
        <f>'Basic Data'!H53</f>
        <v>0</v>
      </c>
      <c r="I125" s="90">
        <f>'Basic Data'!I53</f>
        <v>0</v>
      </c>
      <c r="J125" s="503">
        <f>'Basic Data'!J53</f>
        <v>0</v>
      </c>
      <c r="K125" s="197">
        <f>'Basic Data'!K53</f>
        <v>0</v>
      </c>
      <c r="L125" s="503">
        <f>'Basic Data'!L53</f>
        <v>0</v>
      </c>
      <c r="M125" s="504">
        <f>IF('Basic Data'!M53="",0,'Basic Data'!M53)</f>
        <v>0</v>
      </c>
      <c r="N125" s="505">
        <f>IF('Basic Data'!N53="",0,'Basic Data'!N53)</f>
        <v>0</v>
      </c>
    </row>
    <row r="126" spans="2:14" hidden="1" x14ac:dyDescent="0.2">
      <c r="B126" s="806" t="str">
        <f>LEFT('Basic Data'!A54,9)</f>
        <v>Other (in</v>
      </c>
      <c r="C126" s="807"/>
      <c r="D126" s="197">
        <f>'Basic Data'!D54</f>
        <v>0</v>
      </c>
      <c r="E126" s="516"/>
      <c r="F126" s="516"/>
      <c r="G126" s="513"/>
      <c r="H126" s="90">
        <f>'Basic Data'!H54</f>
        <v>0</v>
      </c>
      <c r="I126" s="90">
        <f>'Basic Data'!I54</f>
        <v>0</v>
      </c>
      <c r="J126" s="503">
        <f>'Basic Data'!J54</f>
        <v>0</v>
      </c>
      <c r="K126" s="197">
        <f>'Basic Data'!K54</f>
        <v>0</v>
      </c>
      <c r="L126" s="503">
        <f>'Basic Data'!L54</f>
        <v>0</v>
      </c>
      <c r="M126" s="504">
        <f>IF('Basic Data'!M54="",0,'Basic Data'!M54)</f>
        <v>0</v>
      </c>
      <c r="N126" s="505">
        <f>IF('Basic Data'!N54="",0,'Basic Data'!N54)</f>
        <v>0</v>
      </c>
    </row>
    <row r="127" spans="2:14" hidden="1" x14ac:dyDescent="0.2">
      <c r="B127" s="14"/>
      <c r="D127" s="504">
        <f>IF('Basic Data'!D55="",0,'Basic Data'!D55)</f>
        <v>0</v>
      </c>
      <c r="E127" s="510">
        <f>IF('Basic Data'!E55="",0,'Basic Data'!E55)</f>
        <v>0</v>
      </c>
      <c r="F127" s="511">
        <f>IF('Basic Data'!F55="",0,'Basic Data'!F55)</f>
        <v>0</v>
      </c>
      <c r="G127" s="511">
        <f>IF('Basic Data'!G55="",0,'Basic Data'!G55)</f>
        <v>0</v>
      </c>
      <c r="H127" s="511">
        <f>IF('Basic Data'!H55="",0,'Basic Data'!H55)</f>
        <v>0</v>
      </c>
      <c r="I127" s="511">
        <f>IF('Basic Data'!I55="",0,'Basic Data'!I55)</f>
        <v>0</v>
      </c>
      <c r="J127" s="505">
        <f>IF('Basic Data'!J55="",0,'Basic Data'!J55)</f>
        <v>0</v>
      </c>
      <c r="K127" s="504">
        <f>IF('Basic Data'!K55="",0,'Basic Data'!K55)</f>
        <v>0</v>
      </c>
      <c r="L127" s="505">
        <f>IF('Basic Data'!L55="",0,'Basic Data'!L55)</f>
        <v>0</v>
      </c>
      <c r="M127" s="504">
        <f>IF('Basic Data'!M55="",0,'Basic Data'!M55)</f>
        <v>0</v>
      </c>
      <c r="N127" s="505">
        <f>IF('Basic Data'!N55="",0,'Basic Data'!N55)</f>
        <v>0</v>
      </c>
    </row>
    <row r="128" spans="2:14" ht="15.75" hidden="1" customHeight="1" thickBot="1" x14ac:dyDescent="0.25">
      <c r="D128" s="674">
        <f>IF('Basic Data'!D56="",0,'Basic Data'!D56)</f>
        <v>0</v>
      </c>
      <c r="E128" s="675"/>
      <c r="F128" s="675"/>
      <c r="G128" s="675"/>
      <c r="H128" s="675"/>
      <c r="I128" s="675"/>
      <c r="J128" s="676"/>
      <c r="K128" s="674">
        <f>IF('Basic Data'!K56="",0,'Basic Data'!K56)</f>
        <v>0</v>
      </c>
      <c r="L128" s="676"/>
      <c r="M128" s="674">
        <f>IF('Basic Data'!M56="",0,'Basic Data'!M56)</f>
        <v>0</v>
      </c>
      <c r="N128" s="676"/>
    </row>
  </sheetData>
  <sheetProtection algorithmName="SHA-512" hashValue="usuO3tBJJUQdHDPnompcMou/0gnjJFsU0GXqL5reymlMSTeKjVgAqEalKGsQpTHjEm5Lr5osyijsYfaHQ+11hg==" saltValue="1uAk6gSoO74BoYWAvGjyEA==" spinCount="100000" sheet="1" objects="1" scenarios="1" selectLockedCells="1"/>
  <dataConsolidate/>
  <mergeCells count="346">
    <mergeCell ref="F91:G92"/>
    <mergeCell ref="Q56:Q58"/>
    <mergeCell ref="R56:R58"/>
    <mergeCell ref="H68:I70"/>
    <mergeCell ref="R59:R61"/>
    <mergeCell ref="R71:R73"/>
    <mergeCell ref="J74:J76"/>
    <mergeCell ref="K74:L76"/>
    <mergeCell ref="P74:P76"/>
    <mergeCell ref="Q74:Q76"/>
    <mergeCell ref="R74:R76"/>
    <mergeCell ref="M71:M73"/>
    <mergeCell ref="M74:M76"/>
    <mergeCell ref="R80:R82"/>
    <mergeCell ref="P56:P58"/>
    <mergeCell ref="P59:P61"/>
    <mergeCell ref="K59:L61"/>
    <mergeCell ref="R68:R70"/>
    <mergeCell ref="R62:R64"/>
    <mergeCell ref="P68:P70"/>
    <mergeCell ref="Q68:Q70"/>
    <mergeCell ref="M59:M61"/>
    <mergeCell ref="J59:J61"/>
    <mergeCell ref="H80:I82"/>
    <mergeCell ref="A32:A34"/>
    <mergeCell ref="B32:B34"/>
    <mergeCell ref="C32:C34"/>
    <mergeCell ref="D32:E34"/>
    <mergeCell ref="F32:G34"/>
    <mergeCell ref="H32:I34"/>
    <mergeCell ref="B35:B37"/>
    <mergeCell ref="A35:A37"/>
    <mergeCell ref="R35:R37"/>
    <mergeCell ref="Q35:Q37"/>
    <mergeCell ref="D35:E37"/>
    <mergeCell ref="M35:M37"/>
    <mergeCell ref="A38:A40"/>
    <mergeCell ref="B38:B40"/>
    <mergeCell ref="C35:C37"/>
    <mergeCell ref="F35:G37"/>
    <mergeCell ref="C38:C40"/>
    <mergeCell ref="D38:E40"/>
    <mergeCell ref="F38:G40"/>
    <mergeCell ref="H38:I40"/>
    <mergeCell ref="F47:G49"/>
    <mergeCell ref="H47:I49"/>
    <mergeCell ref="C47:C49"/>
    <mergeCell ref="D47:E49"/>
    <mergeCell ref="A47:A49"/>
    <mergeCell ref="B47:B49"/>
    <mergeCell ref="A41:A43"/>
    <mergeCell ref="B41:B43"/>
    <mergeCell ref="C41:C43"/>
    <mergeCell ref="A44:A46"/>
    <mergeCell ref="B44:B46"/>
    <mergeCell ref="C44:C46"/>
    <mergeCell ref="D41:E43"/>
    <mergeCell ref="F41:G43"/>
    <mergeCell ref="H41:I43"/>
    <mergeCell ref="F44:G46"/>
    <mergeCell ref="B126:C126"/>
    <mergeCell ref="A96:P96"/>
    <mergeCell ref="P71:P73"/>
    <mergeCell ref="A95:P95"/>
    <mergeCell ref="C74:C76"/>
    <mergeCell ref="D74:E76"/>
    <mergeCell ref="F74:G76"/>
    <mergeCell ref="H74:I76"/>
    <mergeCell ref="C71:C73"/>
    <mergeCell ref="D71:E73"/>
    <mergeCell ref="F71:G73"/>
    <mergeCell ref="H71:I73"/>
    <mergeCell ref="A74:A76"/>
    <mergeCell ref="B74:B76"/>
    <mergeCell ref="A71:A73"/>
    <mergeCell ref="B71:B73"/>
    <mergeCell ref="J71:J73"/>
    <mergeCell ref="K71:L73"/>
    <mergeCell ref="P83:P85"/>
    <mergeCell ref="B88:C89"/>
    <mergeCell ref="F88:F89"/>
    <mergeCell ref="G88:G89"/>
    <mergeCell ref="B90:E90"/>
    <mergeCell ref="B91:C92"/>
    <mergeCell ref="J38:J40"/>
    <mergeCell ref="J41:J43"/>
    <mergeCell ref="R53:R55"/>
    <mergeCell ref="Q50:Q52"/>
    <mergeCell ref="Q53:Q55"/>
    <mergeCell ref="R38:R40"/>
    <mergeCell ref="Q38:Q40"/>
    <mergeCell ref="M38:M40"/>
    <mergeCell ref="J44:J46"/>
    <mergeCell ref="K44:L46"/>
    <mergeCell ref="K41:L43"/>
    <mergeCell ref="K38:L40"/>
    <mergeCell ref="M41:M43"/>
    <mergeCell ref="Q41:Q43"/>
    <mergeCell ref="R41:R43"/>
    <mergeCell ref="Q44:Q46"/>
    <mergeCell ref="R44:R46"/>
    <mergeCell ref="Q47:Q49"/>
    <mergeCell ref="R47:R49"/>
    <mergeCell ref="M47:M49"/>
    <mergeCell ref="K47:L49"/>
    <mergeCell ref="P47:P49"/>
    <mergeCell ref="M44:M46"/>
    <mergeCell ref="C4:D4"/>
    <mergeCell ref="H6:I7"/>
    <mergeCell ref="J6:J7"/>
    <mergeCell ref="A6:A7"/>
    <mergeCell ref="D6:E7"/>
    <mergeCell ref="N23:N25"/>
    <mergeCell ref="H20:I22"/>
    <mergeCell ref="F23:G25"/>
    <mergeCell ref="N20:N22"/>
    <mergeCell ref="M23:M25"/>
    <mergeCell ref="B17:B19"/>
    <mergeCell ref="C6:C7"/>
    <mergeCell ref="M11:M13"/>
    <mergeCell ref="F20:G22"/>
    <mergeCell ref="J23:J25"/>
    <mergeCell ref="M14:M16"/>
    <mergeCell ref="M17:M19"/>
    <mergeCell ref="M6:M7"/>
    <mergeCell ref="C20:C22"/>
    <mergeCell ref="D11:E13"/>
    <mergeCell ref="F8:G10"/>
    <mergeCell ref="H8:I10"/>
    <mergeCell ref="D8:E10"/>
    <mergeCell ref="K6:L7"/>
    <mergeCell ref="N26:N28"/>
    <mergeCell ref="B29:B31"/>
    <mergeCell ref="H35:I37"/>
    <mergeCell ref="P38:P40"/>
    <mergeCell ref="P44:P46"/>
    <mergeCell ref="P41:P43"/>
    <mergeCell ref="J47:J49"/>
    <mergeCell ref="J35:J37"/>
    <mergeCell ref="K35:L37"/>
    <mergeCell ref="J29:J31"/>
    <mergeCell ref="K32:L34"/>
    <mergeCell ref="F29:G31"/>
    <mergeCell ref="B26:B28"/>
    <mergeCell ref="C26:C28"/>
    <mergeCell ref="D26:E28"/>
    <mergeCell ref="F26:G28"/>
    <mergeCell ref="H26:I28"/>
    <mergeCell ref="J26:J28"/>
    <mergeCell ref="K26:L28"/>
    <mergeCell ref="M26:M28"/>
    <mergeCell ref="M32:M34"/>
    <mergeCell ref="N29:N31"/>
    <mergeCell ref="J32:J34"/>
    <mergeCell ref="P35:P37"/>
    <mergeCell ref="A29:A31"/>
    <mergeCell ref="D23:E25"/>
    <mergeCell ref="C29:C31"/>
    <mergeCell ref="C11:C13"/>
    <mergeCell ref="B11:B13"/>
    <mergeCell ref="C17:C19"/>
    <mergeCell ref="B6:B7"/>
    <mergeCell ref="A8:A10"/>
    <mergeCell ref="A17:A19"/>
    <mergeCell ref="D29:E31"/>
    <mergeCell ref="A20:A22"/>
    <mergeCell ref="B20:B22"/>
    <mergeCell ref="D20:E22"/>
    <mergeCell ref="A14:A16"/>
    <mergeCell ref="B14:B16"/>
    <mergeCell ref="C8:C10"/>
    <mergeCell ref="D17:E19"/>
    <mergeCell ref="B23:B25"/>
    <mergeCell ref="A11:A13"/>
    <mergeCell ref="A23:A25"/>
    <mergeCell ref="A26:A28"/>
    <mergeCell ref="B8:B10"/>
    <mergeCell ref="C14:C16"/>
    <mergeCell ref="D14:E16"/>
    <mergeCell ref="Q6:R6"/>
    <mergeCell ref="Q14:Q16"/>
    <mergeCell ref="Q11:Q13"/>
    <mergeCell ref="F6:G7"/>
    <mergeCell ref="F14:G16"/>
    <mergeCell ref="J14:J16"/>
    <mergeCell ref="K8:L10"/>
    <mergeCell ref="H11:I13"/>
    <mergeCell ref="R17:R19"/>
    <mergeCell ref="Q8:Q10"/>
    <mergeCell ref="P14:P16"/>
    <mergeCell ref="Q17:Q19"/>
    <mergeCell ref="J8:J10"/>
    <mergeCell ref="J11:J13"/>
    <mergeCell ref="F11:G13"/>
    <mergeCell ref="P6:P7"/>
    <mergeCell ref="N6:O7"/>
    <mergeCell ref="P11:P13"/>
    <mergeCell ref="P17:P19"/>
    <mergeCell ref="P8:P10"/>
    <mergeCell ref="M8:M10"/>
    <mergeCell ref="K11:L13"/>
    <mergeCell ref="F17:G19"/>
    <mergeCell ref="J17:J19"/>
    <mergeCell ref="H29:I31"/>
    <mergeCell ref="C23:C25"/>
    <mergeCell ref="H23:I25"/>
    <mergeCell ref="M20:M22"/>
    <mergeCell ref="J20:J22"/>
    <mergeCell ref="K23:L25"/>
    <mergeCell ref="M29:M31"/>
    <mergeCell ref="K29:L31"/>
    <mergeCell ref="K20:L22"/>
    <mergeCell ref="H17:I19"/>
    <mergeCell ref="K14:L16"/>
    <mergeCell ref="H14:I16"/>
    <mergeCell ref="K17:L19"/>
    <mergeCell ref="Q23:Q25"/>
    <mergeCell ref="Q20:Q22"/>
    <mergeCell ref="R20:R22"/>
    <mergeCell ref="O20:O22"/>
    <mergeCell ref="P20:P22"/>
    <mergeCell ref="O23:O25"/>
    <mergeCell ref="R23:R25"/>
    <mergeCell ref="P23:P25"/>
    <mergeCell ref="R8:R10"/>
    <mergeCell ref="R11:R13"/>
    <mergeCell ref="R14:R16"/>
    <mergeCell ref="R29:R31"/>
    <mergeCell ref="P29:P31"/>
    <mergeCell ref="O29:O31"/>
    <mergeCell ref="R26:R28"/>
    <mergeCell ref="Q32:Q34"/>
    <mergeCell ref="R32:R34"/>
    <mergeCell ref="O26:O28"/>
    <mergeCell ref="P26:P28"/>
    <mergeCell ref="Q26:Q28"/>
    <mergeCell ref="Q29:Q31"/>
    <mergeCell ref="P32:P34"/>
    <mergeCell ref="H44:I46"/>
    <mergeCell ref="D44:E46"/>
    <mergeCell ref="B50:B52"/>
    <mergeCell ref="A50:A52"/>
    <mergeCell ref="A59:A61"/>
    <mergeCell ref="B59:B61"/>
    <mergeCell ref="A56:A58"/>
    <mergeCell ref="B56:B58"/>
    <mergeCell ref="C56:C58"/>
    <mergeCell ref="D56:E58"/>
    <mergeCell ref="F56:G58"/>
    <mergeCell ref="A53:A55"/>
    <mergeCell ref="B53:B55"/>
    <mergeCell ref="F59:G61"/>
    <mergeCell ref="R65:R67"/>
    <mergeCell ref="M65:M67"/>
    <mergeCell ref="P62:P64"/>
    <mergeCell ref="P65:P67"/>
    <mergeCell ref="Q62:Q64"/>
    <mergeCell ref="F50:G52"/>
    <mergeCell ref="C50:C52"/>
    <mergeCell ref="D50:E52"/>
    <mergeCell ref="H50:I52"/>
    <mergeCell ref="C53:C55"/>
    <mergeCell ref="H53:I55"/>
    <mergeCell ref="D53:E55"/>
    <mergeCell ref="F53:G55"/>
    <mergeCell ref="H56:I58"/>
    <mergeCell ref="H59:I61"/>
    <mergeCell ref="H62:I64"/>
    <mergeCell ref="C62:C64"/>
    <mergeCell ref="R50:R52"/>
    <mergeCell ref="J50:J52"/>
    <mergeCell ref="K50:L52"/>
    <mergeCell ref="M50:M52"/>
    <mergeCell ref="P50:P52"/>
    <mergeCell ref="C59:C61"/>
    <mergeCell ref="D59:E61"/>
    <mergeCell ref="A65:A67"/>
    <mergeCell ref="B62:B64"/>
    <mergeCell ref="M68:M70"/>
    <mergeCell ref="K68:L70"/>
    <mergeCell ref="D68:E70"/>
    <mergeCell ref="F68:G70"/>
    <mergeCell ref="J62:J64"/>
    <mergeCell ref="C68:C70"/>
    <mergeCell ref="J65:J67"/>
    <mergeCell ref="J68:J70"/>
    <mergeCell ref="M62:M64"/>
    <mergeCell ref="A68:A70"/>
    <mergeCell ref="B68:B70"/>
    <mergeCell ref="D62:E64"/>
    <mergeCell ref="F62:G64"/>
    <mergeCell ref="F65:G67"/>
    <mergeCell ref="H65:I67"/>
    <mergeCell ref="C65:C67"/>
    <mergeCell ref="D65:E67"/>
    <mergeCell ref="B65:B67"/>
    <mergeCell ref="A62:A64"/>
    <mergeCell ref="Q59:Q61"/>
    <mergeCell ref="P53:P55"/>
    <mergeCell ref="K53:L55"/>
    <mergeCell ref="M53:M55"/>
    <mergeCell ref="K62:L64"/>
    <mergeCell ref="K65:L67"/>
    <mergeCell ref="Q65:Q67"/>
    <mergeCell ref="J53:J55"/>
    <mergeCell ref="J56:J58"/>
    <mergeCell ref="K56:L58"/>
    <mergeCell ref="M56:M58"/>
    <mergeCell ref="J80:J82"/>
    <mergeCell ref="K80:L82"/>
    <mergeCell ref="M80:M82"/>
    <mergeCell ref="P80:P82"/>
    <mergeCell ref="Q80:Q82"/>
    <mergeCell ref="A77:A79"/>
    <mergeCell ref="B77:B79"/>
    <mergeCell ref="C77:C79"/>
    <mergeCell ref="D77:E79"/>
    <mergeCell ref="F77:G79"/>
    <mergeCell ref="H77:I79"/>
    <mergeCell ref="J77:J79"/>
    <mergeCell ref="K77:L79"/>
    <mergeCell ref="M77:M79"/>
    <mergeCell ref="Q83:Q85"/>
    <mergeCell ref="R83:R85"/>
    <mergeCell ref="F4:M4"/>
    <mergeCell ref="D128:J128"/>
    <mergeCell ref="K128:L128"/>
    <mergeCell ref="M128:N128"/>
    <mergeCell ref="A83:A85"/>
    <mergeCell ref="B83:B85"/>
    <mergeCell ref="C83:C85"/>
    <mergeCell ref="D83:E85"/>
    <mergeCell ref="F83:G85"/>
    <mergeCell ref="H83:I85"/>
    <mergeCell ref="J83:J85"/>
    <mergeCell ref="K83:L85"/>
    <mergeCell ref="M83:M85"/>
    <mergeCell ref="P77:P79"/>
    <mergeCell ref="Q77:Q79"/>
    <mergeCell ref="R77:R79"/>
    <mergeCell ref="A80:A82"/>
    <mergeCell ref="B80:B82"/>
    <mergeCell ref="C80:C82"/>
    <mergeCell ref="D80:E82"/>
    <mergeCell ref="F80:G82"/>
    <mergeCell ref="Q71:Q73"/>
  </mergeCells>
  <phoneticPr fontId="35" type="noConversion"/>
  <conditionalFormatting sqref="O8">
    <cfRule type="expression" dxfId="87" priority="1215" stopIfTrue="1">
      <formula>LEN(TRIM(O8))=0</formula>
    </cfRule>
  </conditionalFormatting>
  <conditionalFormatting sqref="O11">
    <cfRule type="expression" dxfId="86" priority="639" stopIfTrue="1">
      <formula>LEN(TRIM(O11))=0</formula>
    </cfRule>
  </conditionalFormatting>
  <conditionalFormatting sqref="O14">
    <cfRule type="expression" dxfId="85" priority="553" stopIfTrue="1">
      <formula>LEN(TRIM(O14))=0</formula>
    </cfRule>
  </conditionalFormatting>
  <conditionalFormatting sqref="O32">
    <cfRule type="expression" dxfId="84" priority="299" stopIfTrue="1">
      <formula>LEN(TRIM(O32))=0</formula>
    </cfRule>
  </conditionalFormatting>
  <conditionalFormatting sqref="O35 O38:O39 O41 O47">
    <cfRule type="expression" dxfId="83" priority="481" stopIfTrue="1">
      <formula>LEN(TRIM(O35))=0</formula>
    </cfRule>
  </conditionalFormatting>
  <conditionalFormatting sqref="O50">
    <cfRule type="expression" dxfId="82" priority="458" stopIfTrue="1">
      <formula>LEN(TRIM(O50))=0</formula>
    </cfRule>
  </conditionalFormatting>
  <conditionalFormatting sqref="O53:O54">
    <cfRule type="expression" dxfId="81" priority="453" stopIfTrue="1">
      <formula>LEN(TRIM(O53))=0</formula>
    </cfRule>
  </conditionalFormatting>
  <conditionalFormatting sqref="O56:O57">
    <cfRule type="expression" dxfId="80" priority="162" stopIfTrue="1">
      <formula>LEN(TRIM(O56))=0</formula>
    </cfRule>
  </conditionalFormatting>
  <conditionalFormatting sqref="O59:O60">
    <cfRule type="expression" dxfId="79" priority="441" stopIfTrue="1">
      <formula>LEN(TRIM(O59))=0</formula>
    </cfRule>
  </conditionalFormatting>
  <conditionalFormatting sqref="O62:O63">
    <cfRule type="expression" dxfId="78" priority="437" stopIfTrue="1">
      <formula>LEN(TRIM(O62))=0</formula>
    </cfRule>
  </conditionalFormatting>
  <conditionalFormatting sqref="O65:O66">
    <cfRule type="expression" dxfId="77" priority="429" stopIfTrue="1">
      <formula>LEN(TRIM(O65))=0</formula>
    </cfRule>
  </conditionalFormatting>
  <conditionalFormatting sqref="O68:O69">
    <cfRule type="expression" dxfId="76" priority="427" stopIfTrue="1">
      <formula>LEN(TRIM(O68))=0</formula>
    </cfRule>
  </conditionalFormatting>
  <conditionalFormatting sqref="O71:O72">
    <cfRule type="expression" dxfId="75" priority="314" stopIfTrue="1">
      <formula>LEN(TRIM(O71))=0</formula>
    </cfRule>
  </conditionalFormatting>
  <conditionalFormatting sqref="O74:O75">
    <cfRule type="expression" dxfId="74" priority="313" stopIfTrue="1">
      <formula>LEN(TRIM(O74))=0</formula>
    </cfRule>
  </conditionalFormatting>
  <conditionalFormatting sqref="O77:O78">
    <cfRule type="expression" dxfId="73" priority="8" stopIfTrue="1">
      <formula>LEN(TRIM(O77))=0</formula>
    </cfRule>
  </conditionalFormatting>
  <conditionalFormatting sqref="O80:O81">
    <cfRule type="expression" dxfId="72" priority="7" stopIfTrue="1">
      <formula>LEN(TRIM(O80))=0</formula>
    </cfRule>
  </conditionalFormatting>
  <conditionalFormatting sqref="O83:O84">
    <cfRule type="expression" dxfId="71" priority="6" stopIfTrue="1">
      <formula>LEN(TRIM(O83))=0</formula>
    </cfRule>
  </conditionalFormatting>
  <conditionalFormatting sqref="P8:P31">
    <cfRule type="cellIs" dxfId="70" priority="145" stopIfTrue="1" operator="equal">
      <formula>"Target value not met"</formula>
    </cfRule>
    <cfRule type="cellIs" dxfId="69" priority="146" stopIfTrue="1" operator="equal">
      <formula>Ok</formula>
    </cfRule>
    <cfRule type="cellIs" dxfId="68" priority="4" stopIfTrue="1" operator="equal">
      <formula>"optional - Ok"</formula>
    </cfRule>
    <cfRule type="cellIs" dxfId="67" priority="5" stopIfTrue="1" operator="equal">
      <formula>"optional - Target value not met"</formula>
    </cfRule>
    <cfRule type="cellIs" dxfId="66" priority="143" stopIfTrue="1" operator="equal">
      <formula>"Exception (Plausibility unclear)"</formula>
    </cfRule>
    <cfRule type="cellIs" dxfId="65" priority="144" stopIfTrue="1" operator="equal">
      <formula>"Ok (Plausibility unclear)"</formula>
    </cfRule>
  </conditionalFormatting>
  <conditionalFormatting sqref="P8:P85">
    <cfRule type="expression" dxfId="64" priority="142" stopIfTrue="1">
      <formula>OR(P8=$D$92,P8=$D$91)</formula>
    </cfRule>
  </conditionalFormatting>
  <conditionalFormatting sqref="P32:P85">
    <cfRule type="cellIs" dxfId="63" priority="2" stopIfTrue="1" operator="equal">
      <formula>"optional - Exception (Plausibility unclear)"</formula>
    </cfRule>
    <cfRule type="cellIs" dxfId="62" priority="76" stopIfTrue="1" operator="equal">
      <formula>Ok</formula>
    </cfRule>
    <cfRule type="cellIs" dxfId="61" priority="3677" stopIfTrue="1" operator="equal">
      <formula>"Target value not met"</formula>
    </cfRule>
    <cfRule type="cellIs" dxfId="60" priority="1" stopIfTrue="1" operator="equal">
      <formula>"optional - OK (Plausibility unclear)"</formula>
    </cfRule>
  </conditionalFormatting>
  <conditionalFormatting sqref="P32:P93">
    <cfRule type="cellIs" dxfId="59" priority="180" stopIfTrue="1" operator="equal">
      <formula>"Ok (Plausibility unclear)"</formula>
    </cfRule>
    <cfRule type="cellIs" dxfId="58" priority="179" stopIfTrue="1" operator="equal">
      <formula>"Exception (Plausibility unclear)"</formula>
    </cfRule>
  </conditionalFormatting>
  <conditionalFormatting sqref="P56:P85">
    <cfRule type="cellIs" dxfId="57" priority="61" stopIfTrue="1" operator="equal">
      <formula>"Ok"</formula>
    </cfRule>
    <cfRule type="cellIs" dxfId="56" priority="3" stopIfTrue="1" operator="equal">
      <formula>"optional - OK"</formula>
    </cfRule>
  </conditionalFormatting>
  <conditionalFormatting sqref="P86:P93">
    <cfRule type="cellIs" dxfId="55" priority="181" stopIfTrue="1" operator="equal">
      <formula>#REF!</formula>
    </cfRule>
    <cfRule type="cellIs" dxfId="54" priority="182" stopIfTrue="1" operator="equal">
      <formula>Ok</formula>
    </cfRule>
    <cfRule type="expression" dxfId="53" priority="178" stopIfTrue="1">
      <formula>OR(P86=#REF!,P86=#REF!)</formula>
    </cfRule>
  </conditionalFormatting>
  <conditionalFormatting sqref="Q8:Q43 Q47:Q93">
    <cfRule type="expression" dxfId="52" priority="10" stopIfTrue="1">
      <formula>OR($P8="Incomplete",$P8="Target value not met",$P8="OK (Plausibility unclear)",$P8="Exception (Plausibility unclear)",$P8="optional - incomplete",$P8="optional - Target value not met",$P8="optional - OK (Plausibility unclear)", $P8="optional - Exception (Plausibility unclear)")</formula>
    </cfRule>
    <cfRule type="notContainsBlanks" dxfId="51" priority="9" stopIfTrue="1">
      <formula>LEN(TRIM(Q8))&gt;0</formula>
    </cfRule>
  </conditionalFormatting>
  <dataValidations xWindow="1378" yWindow="481" count="28">
    <dataValidation errorStyle="information" allowBlank="1" showInputMessage="1" showErrorMessage="1" errorTitle="Kennzahl" promptTitle="Kennzahl" sqref="A6:B7" xr:uid="{00000000-0002-0000-0400-000000000000}"/>
    <dataValidation errorStyle="information" allowBlank="1" showInputMessage="1" showErrorMessage="1" sqref="P8:P10" xr:uid="{00000000-0002-0000-0400-000001000000}"/>
    <dataValidation type="whole" showInputMessage="1" showErrorMessage="1" errorTitle="Input data error" error="1. Sheet „Basic data“ has to be filled out completely._x000a_2. Numerator has to be a positive whole number._x000a_3. Numerator cannot be greater than denominator." sqref="O8 O11 O14" xr:uid="{00000000-0002-0000-0400-000002000000}">
      <formula1>0</formula1>
      <formula2>IF(O9="",0,O9)</formula2>
    </dataValidation>
    <dataValidation type="whole" showInputMessage="1" showErrorMessage="1" errorTitle="Input data error" error="1.Numerator has to be a positive whole number._x000a_2.Numerator cannot be bigger than denominator." sqref="O17" xr:uid="{00000000-0002-0000-0400-000003000000}">
      <formula1>0</formula1>
      <formula2>IF(O18="",0,5000)</formula2>
    </dataValidation>
    <dataValidation type="whole" showInputMessage="1" showErrorMessage="1" errorTitle="Input data error" error="1. Sheet „Basic data“ has to be filled out completely._x000a_2. Numerator has to be a positive whole number._x000a_3. Numerator cannot be greater than denominator.  " sqref="O35 O47" xr:uid="{00000000-0002-0000-0400-000004000000}">
      <formula1>0</formula1>
      <formula2>IF(O36="",5000,O36)</formula2>
    </dataValidation>
    <dataValidation type="whole" showInputMessage="1" showErrorMessage="1" errorTitle="Input data error" error="1. Numerator has to be a positive whole number._x000a_2. Numerator cannot be greater than denominator.   " sqref="O68 O44 O59 O65 O53 O71 O74" xr:uid="{00000000-0002-0000-0400-000005000000}">
      <formula1>0</formula1>
      <formula2>IF(O45="",5000,O45)</formula2>
    </dataValidation>
    <dataValidation allowBlank="1" showInputMessage="1" showErrorMessage="1" errorTitle="Eingabefehler" error="1. Nenner muss eine positive ganze Zahl sein. _x000a_2. Nenner kann nicht kleiner als Zähler sein._x000a_3. Nenner kann nicht größer sein als Operative Primärfälle Ovarialkarzinom FIGO IIB-IV." sqref="O42" xr:uid="{00000000-0002-0000-0400-000006000000}"/>
    <dataValidation type="whole" allowBlank="1" showInputMessage="1" showErrorMessage="1" errorTitle="Input data error" error="1. Sheet „Basic data“ has to be filled out completely._x000a_2. Numerator has to be a positive whole number._x000a_3. Numerator cannot be greater than denominator.   " sqref="O32" xr:uid="{00000000-0002-0000-0400-000010000000}">
      <formula1>0</formula1>
      <formula2>IF(O33="",5000,O33)</formula2>
    </dataValidation>
    <dataValidation showInputMessage="1" showErrorMessage="1" errorTitle="Eingabefehler" error="1. Tabellenblatt Basisdaten muss vollständig ausgefüllt sein!_x000a_2. Zähler muss eine positive ganze Zahl sein._x000a_3. Zähler kann nicht größer als Nenner sein._x000a_4. Zähler kann nicht größer als PF Ovarialkarzinom sein." sqref="O33" xr:uid="{00000000-0002-0000-0400-000011000000}"/>
    <dataValidation type="whole" showInputMessage="1" showErrorMessage="1" errorTitle="Input data error" error="1.Numerator has to be a positive whole number._x000a_2.Numerator cannot be bigger than denominator." sqref="O50" xr:uid="{00000000-0002-0000-0400-000012000000}">
      <formula1>0</formula1>
      <formula2>IF(O51="",5000,O51)</formula2>
    </dataValidation>
    <dataValidation type="whole" showInputMessage="1" showErrorMessage="1" errorTitle="Input data error" error="1. Sheet „Basic data“ has to be filled out completely._x000a_2. Numerator has to be a positive whole number._x000a_3. Numerator cannot be greater than denominator. " sqref="O38 O41" xr:uid="{00000000-0002-0000-0400-000013000000}">
      <formula1>0</formula1>
      <formula2>IF(O39="",5000,O39)</formula2>
    </dataValidation>
    <dataValidation type="whole" showInputMessage="1" showErrorMessage="1" errorTitle="Input data error" error="1. Numerator has to be a positive whole number._x000a_2. Numerator cannot be greater than denominator.     " sqref="O62" xr:uid="{00000000-0002-0000-0400-000014000000}">
      <formula1>0</formula1>
      <formula2>IF(O63="",5000,O63)</formula2>
    </dataValidation>
    <dataValidation type="whole" allowBlank="1" showInputMessage="1" showErrorMessage="1" errorTitle="Input data error" error="1. Numerator has to be a positive whole number._x000a_2. Numerator cannot be greater than denominator.   " sqref="O56 O77 O80 O83" xr:uid="{00000000-0002-0000-0400-000018000000}">
      <formula1>0</formula1>
      <formula2>IF(O57="",5000,O57)</formula2>
    </dataValidation>
    <dataValidation type="whole" allowBlank="1" showInputMessage="1" showErrorMessage="1" errorTitle="Input data error" error="1. Denominator has to be a positive whole number _x000a_2. Denominator can’t be &lt; than numerator" sqref="O57" xr:uid="{00000000-0002-0000-0400-000019000000}">
      <formula1>0</formula1>
      <formula2>5000</formula2>
    </dataValidation>
    <dataValidation type="textLength" allowBlank="1" showInputMessage="1" showErrorMessage="1" errorTitle="Characters" error="Minimum 30 characters and maximum 500 characters." sqref="Q11:Q43 Q47:Q85 R8:R93" xr:uid="{00000000-0002-0000-0400-000015000000}">
      <formula1>30</formula1>
      <formula2>500</formula2>
    </dataValidation>
    <dataValidation type="textLength" allowBlank="1" showInputMessage="1" showErrorMessage="1" errorTitle="Characters" error="Minimum 30 characters and maximum 500 characters." promptTitle="Remark" prompt="If the value in the data quality box is not “Ok”, the Indicator must be justified.                                 " sqref="Q8:Q10 Q86:Q93" xr:uid="{00000000-0002-0000-0400-000016000000}">
      <formula1>30</formula1>
      <formula2>500</formula2>
    </dataValidation>
    <dataValidation type="textLength" allowBlank="1" showInputMessage="1" showErrorMessage="1" errorTitle="Characters" error="Minimum 30 characters and maximum 500 characters." prompt="                      " sqref="Q44:Q46" xr:uid="{249BAFB7-E041-4A3A-B9D0-2CC121FC8DF4}">
      <formula1>30</formula1>
      <formula2>500</formula2>
    </dataValidation>
    <dataValidation type="whole" showInputMessage="1" showErrorMessage="1" errorTitle="Input data error" error="1. Sheet Basic data has to be filled out completely_x000a_2. Denominator has to be a positive whole number _x000a_3. Denominator can’t be &lt; than numerator_x000a_4. Denominator can’t be &gt; than Primary cases cervical carcinoma." sqref="O54" xr:uid="{00000000-0002-0000-0400-00000F000000}">
      <formula1>O53</formula1>
      <formula2>U52+U53+U54+U55</formula2>
    </dataValidation>
    <dataValidation type="whole" showInputMessage="1" showErrorMessage="1" errorTitle="Input data error" error="1. Denominator has to be a positive whole number._x000a_2. Denominator can’t be &lt; than numerator._x000a_3. Denominator can’t be &gt; than primary non/primary cases with endometrial carcinoma.       " sqref="O75" xr:uid="{00000000-0002-0000-0400-000009000000}">
      <formula1>O74</formula1>
      <formula2>SUM(D123,H123:J123,D126,H126:J126)</formula2>
    </dataValidation>
    <dataValidation type="whole" showInputMessage="1" showErrorMessage="1" errorTitle="Input data error" error="1. Denominator has to be a positive whole number._x000a_2. Denominator can’t be &lt; than numerator._x000a_3. Denominator can’t be &gt; than primary non/primary cases with endometrial carcinoma.     " sqref="O72" xr:uid="{00000000-0002-0000-0400-00000A000000}">
      <formula1>O71</formula1>
      <formula2>SUM(D123,H123:J123)</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6" xr:uid="{00000000-0002-0000-0400-00000B000000}">
      <formula1>O65</formula1>
      <formula2>SUM(H124:L124)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9" xr:uid="{00000000-0002-0000-0400-00000C000000}">
      <formula1>O68</formula1>
      <formula2>SUM(H124:L124)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 sqref="O60" xr:uid="{00000000-0002-0000-0400-00000D000000}">
      <formula1>O59</formula1>
      <formula2>H124+I124+K124</formula2>
    </dataValidation>
    <dataValidation type="whole" showInputMessage="1" showErrorMessage="1" errorTitle="Input data error" error="1.Sheet “Basic data” has to be filled out completely_x000a_2.Denominator has to be a positive whole number_x000a_3.Denominator can’t be &lt; than numerator_x000a_4.Denominator can’t be &gt; than surgical or not primary cases with vulvar carcinoma" sqref="O63" xr:uid="{00000000-0002-0000-0400-00000E000000}">
      <formula1>O62</formula1>
      <formula2>H124+I124+K124</formula2>
    </dataValidation>
    <dataValidation type="whole" showInputMessage="1" showErrorMessage="1" errorTitle="Input data error" error="1. Sheet „Basic data“ has to be filled out completely_x000a_2. Denominator has to be a positive whole number._x000a_3. Denominator cannot be smaller than numerator._x000a_4. Denominator can't be greater than PF OvarCa. FIGO IIB-IV" sqref="O45" xr:uid="{00000000-0002-0000-0400-000017000000}">
      <formula1>IF(O44="",0,O44)</formula1>
      <formula2>SUM(F104:F108)</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84" xr:uid="{01E200BF-3938-40B9-887E-55F174AECAFE}">
      <formula1>O83</formula1>
      <formula2>SUM(D123,H123:J123)</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78" xr:uid="{AE99098D-395B-4A82-9200-DC5DB7CE3E8E}">
      <formula1>O77</formula1>
      <formula2>SUM(D123,H123:J123)</formula2>
    </dataValidation>
    <dataValidation type="whole" allowBlank="1" showInputMessage="1" showErrorMessage="1" errorTitle="Input data error" error="1. Denominator has to be a positive whole number._x000a_2. Denominator can’t be &lt; than numerator._x000a_3. Denominator can’t be &gt; than primary non/primary cases with endometrial carcinoma." sqref="O81" xr:uid="{01794115-257E-490F-A3CC-3A23764C8F2C}">
      <formula1>O80</formula1>
      <formula2>SUM(D123,H123:J123)</formula2>
    </dataValidation>
  </dataValidations>
  <pageMargins left="0.23622047244094491" right="0.23622047244094491" top="0.74803149606299213" bottom="0.74803149606299213" header="0.31496062992125984" footer="0.31496062992125984"/>
  <pageSetup paperSize="9" scale="95" fitToHeight="0" orientation="landscape" r:id="rId1"/>
  <headerFooter>
    <oddFooter xml:space="preserve">&amp;L&amp;"Arial,Regular"&amp;7&amp;F&amp;R&amp;"Arial,Regular"&amp;7&amp;P       </oddFooter>
  </headerFooter>
  <rowBreaks count="7" manualBreakCount="7">
    <brk id="19" max="15" man="1"/>
    <brk id="31" max="15" man="1"/>
    <brk id="43" max="15" man="1"/>
    <brk id="58" max="15" man="1"/>
    <brk id="64" max="15" man="1"/>
    <brk id="73" max="15" man="1"/>
    <brk id="82" max="15" man="1"/>
  </rowBreaks>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dimension ref="A1:K36"/>
  <sheetViews>
    <sheetView workbookViewId="0">
      <selection activeCell="A37" sqref="A37:XFD38"/>
    </sheetView>
  </sheetViews>
  <sheetFormatPr defaultColWidth="11.42578125" defaultRowHeight="12.75" x14ac:dyDescent="0.25"/>
  <cols>
    <col min="1" max="1" width="23.5703125" style="95" customWidth="1"/>
    <col min="2" max="2" width="25.5703125" style="95" customWidth="1"/>
    <col min="3" max="3" width="25.28515625" style="95" customWidth="1"/>
    <col min="4" max="4" width="39" style="95" customWidth="1"/>
    <col min="5" max="5" width="10.140625" style="95" customWidth="1"/>
    <col min="6" max="6" width="37.7109375" style="95" customWidth="1"/>
    <col min="7" max="7" width="43.5703125" style="95" customWidth="1"/>
    <col min="8" max="8" width="10.42578125" style="95" customWidth="1"/>
    <col min="9" max="9" width="13.5703125" style="95" customWidth="1"/>
    <col min="10" max="10" width="10.140625" style="95" customWidth="1"/>
    <col min="11" max="11" width="12.85546875" style="95" customWidth="1"/>
    <col min="12" max="16384" width="11.42578125" style="95"/>
  </cols>
  <sheetData>
    <row r="1" spans="1:11" x14ac:dyDescent="0.25">
      <c r="A1" s="111" t="s">
        <v>137</v>
      </c>
      <c r="B1" s="112">
        <v>218</v>
      </c>
    </row>
    <row r="2" spans="1:11" x14ac:dyDescent="0.25">
      <c r="A2" s="111" t="s">
        <v>58</v>
      </c>
      <c r="B2" s="112" t="str">
        <f>IF('Basic Data'!C6=0,"",'Basic Data'!C6)</f>
        <v/>
      </c>
      <c r="K2" s="110"/>
    </row>
    <row r="3" spans="1:11" x14ac:dyDescent="0.25">
      <c r="A3" s="111" t="s">
        <v>184</v>
      </c>
      <c r="B3" s="113" t="str">
        <f>IF('Basic Data'!L12=0,"",'Basic Data'!L12)</f>
        <v/>
      </c>
    </row>
    <row r="5" spans="1:11" x14ac:dyDescent="0.25">
      <c r="A5" s="114" t="s">
        <v>366</v>
      </c>
      <c r="B5" s="112"/>
    </row>
    <row r="6" spans="1:11" x14ac:dyDescent="0.25">
      <c r="A6" s="114" t="s">
        <v>367</v>
      </c>
      <c r="B6" s="112"/>
    </row>
    <row r="7" spans="1:11" x14ac:dyDescent="0.25">
      <c r="A7" s="114" t="s">
        <v>368</v>
      </c>
      <c r="B7" s="112"/>
    </row>
    <row r="8" spans="1:11" x14ac:dyDescent="0.25">
      <c r="A8" s="114" t="s">
        <v>369</v>
      </c>
      <c r="B8" s="112"/>
    </row>
    <row r="9" spans="1:11" x14ac:dyDescent="0.25">
      <c r="A9" s="114" t="s">
        <v>370</v>
      </c>
      <c r="B9" s="112"/>
    </row>
    <row r="11" spans="1:11" s="116" customFormat="1" x14ac:dyDescent="0.25">
      <c r="A11" s="115" t="s">
        <v>136</v>
      </c>
      <c r="B11" s="115" t="s">
        <v>135</v>
      </c>
      <c r="C11" s="115" t="s">
        <v>31</v>
      </c>
      <c r="D11" s="115" t="s">
        <v>57</v>
      </c>
      <c r="E11" s="115" t="s">
        <v>134</v>
      </c>
      <c r="F11" s="115" t="s">
        <v>138</v>
      </c>
      <c r="G11" s="115" t="s">
        <v>132</v>
      </c>
      <c r="H11" s="115" t="s">
        <v>133</v>
      </c>
      <c r="I11" s="118" t="s">
        <v>371</v>
      </c>
      <c r="J11" s="118" t="s">
        <v>372</v>
      </c>
      <c r="K11" s="118" t="s">
        <v>373</v>
      </c>
    </row>
    <row r="12" spans="1:11" s="238" customFormat="1" ht="23.1" customHeight="1" x14ac:dyDescent="0.25">
      <c r="A12" s="239">
        <v>1</v>
      </c>
      <c r="B12" s="517" t="str">
        <f>IF('Indicators Sheet_(IS)'!O8 = "", "", 'Indicators Sheet_(IS)'!O8)</f>
        <v/>
      </c>
      <c r="C12" s="517">
        <f>IF('Indicators Sheet_(IS)'!O9="","",'Indicators Sheet_(IS)'!O9)</f>
        <v>0</v>
      </c>
      <c r="D12" s="518" t="str">
        <f>IF('Indicators Sheet_(IS)'!O10="n.d.","n.d.",'Indicators Sheet_(IS)'!O10*100)</f>
        <v>n.d.</v>
      </c>
      <c r="E12" s="517">
        <f>Berechnung1!N27</f>
        <v>1</v>
      </c>
      <c r="F12" s="517" t="str">
        <f>IF('Indicators Sheet_(IS)'!Q8 = "", "", 'Indicators Sheet_(IS)'!Q8)</f>
        <v/>
      </c>
      <c r="G12" s="517" t="str">
        <f>IF('Indicators Sheet_(IS)'!R8 = "", "", 'Indicators Sheet_(IS)'!R8)</f>
        <v/>
      </c>
      <c r="H12" s="517">
        <f>Berechnung1!O27</f>
        <v>0</v>
      </c>
      <c r="I12" s="519"/>
      <c r="J12" s="519"/>
      <c r="K12" s="519"/>
    </row>
    <row r="13" spans="1:11" s="238" customFormat="1" ht="23.1" customHeight="1" x14ac:dyDescent="0.25">
      <c r="A13" s="239">
        <v>2</v>
      </c>
      <c r="B13" s="517" t="str">
        <f>IF('Indicators Sheet_(IS)'!O11 = "", "",'Indicators Sheet_(IS)'!O11)</f>
        <v/>
      </c>
      <c r="C13" s="517">
        <f>IF('Indicators Sheet_(IS)'!O12="","",'Indicators Sheet_(IS)'!O12)</f>
        <v>0</v>
      </c>
      <c r="D13" s="518" t="str">
        <f>IF('Indicators Sheet_(IS)'!O13="n.d.","n.d.",'Indicators Sheet_(IS)'!O13*100)</f>
        <v>n.d.</v>
      </c>
      <c r="E13" s="517">
        <f>Berechnung1!N30</f>
        <v>1</v>
      </c>
      <c r="F13" s="517" t="str">
        <f>IF('Indicators Sheet_(IS)'!Q11 = "", "",'Indicators Sheet_(IS)'!Q11)</f>
        <v/>
      </c>
      <c r="G13" s="517" t="str">
        <f>IF('Indicators Sheet_(IS)'!R11 = "", "",'Indicators Sheet_(IS)'!R11)</f>
        <v/>
      </c>
      <c r="H13" s="517">
        <f>Berechnung1!O30</f>
        <v>0</v>
      </c>
      <c r="I13" s="519"/>
      <c r="J13" s="519"/>
      <c r="K13" s="519"/>
    </row>
    <row r="14" spans="1:11" s="238" customFormat="1" ht="23.1" customHeight="1" x14ac:dyDescent="0.25">
      <c r="A14" s="239">
        <v>3</v>
      </c>
      <c r="B14" s="517" t="str">
        <f>IF('Indicators Sheet_(IS)'!O14 = "", "",'Indicators Sheet_(IS)'!O14)</f>
        <v/>
      </c>
      <c r="C14" s="517">
        <f>IF('Indicators Sheet_(IS)'!O15="","",'Indicators Sheet_(IS)'!O15)</f>
        <v>0</v>
      </c>
      <c r="D14" s="518" t="str">
        <f>IF('Indicators Sheet_(IS)'!O16="n.d.","n.d.",'Indicators Sheet_(IS)'!O16*100)</f>
        <v>n.d.</v>
      </c>
      <c r="E14" s="517">
        <f>Berechnung1!N33</f>
        <v>1</v>
      </c>
      <c r="F14" s="517" t="str">
        <f>IF('Indicators Sheet_(IS)'!Q14 = "", "",'Indicators Sheet_(IS)'!Q14)</f>
        <v/>
      </c>
      <c r="G14" s="517" t="str">
        <f>IF('Indicators Sheet_(IS)'!R14 = "", "",'Indicators Sheet_(IS)'!R14)</f>
        <v/>
      </c>
      <c r="H14" s="517">
        <f>Berechnung1!O33</f>
        <v>0</v>
      </c>
      <c r="I14" s="519"/>
      <c r="J14" s="519"/>
      <c r="K14" s="519"/>
    </row>
    <row r="15" spans="1:11" s="238" customFormat="1" ht="23.1" customHeight="1" x14ac:dyDescent="0.25">
      <c r="A15" s="239">
        <v>4</v>
      </c>
      <c r="B15" s="517">
        <f>IF('Indicators Sheet_(IS)'!O17 = "", "",'Indicators Sheet_(IS)'!O17)</f>
        <v>0</v>
      </c>
      <c r="C15" s="517">
        <f>IF('Indicators Sheet_(IS)'!O18="","",'Indicators Sheet_(IS)'!O18)</f>
        <v>0</v>
      </c>
      <c r="D15" s="518" t="str">
        <f>IF('Indicators Sheet_(IS)'!O19="n.d.","n.d.",'Indicators Sheet_(IS)'!O19*100)</f>
        <v>n.d.</v>
      </c>
      <c r="E15" s="517">
        <f>Berechnung1!N36</f>
        <v>1</v>
      </c>
      <c r="F15" s="517" t="str">
        <f>IF('Indicators Sheet_(IS)'!Q17 = "", "",'Indicators Sheet_(IS)'!Q17)</f>
        <v/>
      </c>
      <c r="G15" s="517" t="str">
        <f>IF('Indicators Sheet_(IS)'!R17 = "", "",'Indicators Sheet_(IS)'!R17)</f>
        <v/>
      </c>
      <c r="H15" s="517">
        <f>Berechnung1!O36</f>
        <v>0</v>
      </c>
      <c r="I15" s="519"/>
      <c r="J15" s="519"/>
      <c r="K15" s="520"/>
    </row>
    <row r="16" spans="1:11" s="238" customFormat="1" ht="23.1" customHeight="1" x14ac:dyDescent="0.25">
      <c r="A16" s="239">
        <v>5</v>
      </c>
      <c r="B16" s="517">
        <f>IF('Indicators Sheet_(IS)'!O20 = "", "",'Indicators Sheet_(IS)'!O20)</f>
        <v>0</v>
      </c>
      <c r="C16" s="521"/>
      <c r="D16" s="522"/>
      <c r="E16" s="517">
        <f>Berechnung1!N39</f>
        <v>1</v>
      </c>
      <c r="F16" s="517" t="str">
        <f>IF('Indicators Sheet_(IS)'!Q20 = "", "",'Indicators Sheet_(IS)'!Q20)</f>
        <v/>
      </c>
      <c r="G16" s="517" t="str">
        <f>IF('Indicators Sheet_(IS)'!R20 = "", "",'Indicators Sheet_(IS)'!R20)</f>
        <v/>
      </c>
      <c r="H16" s="517">
        <f>Berechnung1!O39</f>
        <v>0</v>
      </c>
      <c r="I16" s="519"/>
      <c r="J16" s="519"/>
      <c r="K16" s="520"/>
    </row>
    <row r="17" spans="1:11" s="238" customFormat="1" ht="23.1" customHeight="1" x14ac:dyDescent="0.25">
      <c r="A17" s="523" t="s">
        <v>816</v>
      </c>
      <c r="B17" s="517">
        <f>IF('Indicators Sheet_(IS)'!O23 = "", "",'Indicators Sheet_(IS)'!O23)</f>
        <v>0</v>
      </c>
      <c r="C17" s="521"/>
      <c r="D17" s="522"/>
      <c r="E17" s="517">
        <f>Berechnung1!N42</f>
        <v>1</v>
      </c>
      <c r="F17" s="517" t="str">
        <f>IF('Indicators Sheet_(IS)'!Q23 = "", "",'Indicators Sheet_(IS)'!Q23)</f>
        <v/>
      </c>
      <c r="G17" s="517" t="str">
        <f>IF('Indicators Sheet_(IS)'!R23 = "", "",'Indicators Sheet_(IS)'!R23)</f>
        <v/>
      </c>
      <c r="H17" s="517">
        <f>Berechnung1!O42</f>
        <v>0</v>
      </c>
      <c r="I17" s="519"/>
      <c r="J17" s="519"/>
      <c r="K17" s="520"/>
    </row>
    <row r="18" spans="1:11" s="238" customFormat="1" ht="23.1" customHeight="1" x14ac:dyDescent="0.25">
      <c r="A18" s="523" t="s">
        <v>817</v>
      </c>
      <c r="B18" s="517">
        <f>IF('Indicators Sheet_(IS)'!O26 = "", "",'Indicators Sheet_(IS)'!O26)</f>
        <v>0</v>
      </c>
      <c r="C18" s="521"/>
      <c r="D18" s="522"/>
      <c r="E18" s="517">
        <f>Berechnung1!N45</f>
        <v>1</v>
      </c>
      <c r="F18" s="517" t="str">
        <f>IF('Indicators Sheet_(IS)'!Q26 = "", "",'Indicators Sheet_(IS)'!Q26)</f>
        <v/>
      </c>
      <c r="G18" s="517" t="str">
        <f>IF('Indicators Sheet_(IS)'!R26 = "", "",'Indicators Sheet_(IS)'!R26)</f>
        <v/>
      </c>
      <c r="H18" s="517">
        <f>Berechnung1!O45</f>
        <v>0</v>
      </c>
      <c r="I18" s="519"/>
      <c r="J18" s="519"/>
      <c r="K18" s="520"/>
    </row>
    <row r="19" spans="1:11" s="238" customFormat="1" ht="23.1" customHeight="1" x14ac:dyDescent="0.25">
      <c r="A19" s="239">
        <v>7</v>
      </c>
      <c r="B19" s="517">
        <f>IF('Indicators Sheet_(IS)'!O29 = "", "",'Indicators Sheet_(IS)'!O29)</f>
        <v>0</v>
      </c>
      <c r="C19" s="521"/>
      <c r="D19" s="522"/>
      <c r="E19" s="517">
        <f>Berechnung1!N48</f>
        <v>1</v>
      </c>
      <c r="F19" s="517" t="str">
        <f>IF('Indicators Sheet_(IS)'!Q29 = "", "",'Indicators Sheet_(IS)'!Q29)</f>
        <v/>
      </c>
      <c r="G19" s="517" t="str">
        <f>IF('Indicators Sheet_(IS)'!R29 = "", "",'Indicators Sheet_(IS)'!R29)</f>
        <v/>
      </c>
      <c r="H19" s="517">
        <f>Berechnung1!O48</f>
        <v>0</v>
      </c>
      <c r="I19" s="519"/>
      <c r="J19" s="519"/>
      <c r="K19" s="520"/>
    </row>
    <row r="20" spans="1:11" s="238" customFormat="1" ht="23.1" customHeight="1" x14ac:dyDescent="0.25">
      <c r="A20" s="239">
        <v>8</v>
      </c>
      <c r="B20" s="239" t="str">
        <f>IF('Indicators Sheet_(IS)'!O32="", "",'Indicators Sheet_(IS)'!O32)</f>
        <v/>
      </c>
      <c r="C20" s="239">
        <f>IF('Indicators Sheet_(IS)'!O33= "", "",'Indicators Sheet_(IS)'!O33)</f>
        <v>0</v>
      </c>
      <c r="D20" s="518" t="str">
        <f>IF('Indicators Sheet_(IS)'!O34="n.d.","n.d.",'Indicators Sheet_(IS)'!O34*100)</f>
        <v>n.d.</v>
      </c>
      <c r="E20" s="517">
        <f>Berechnung1!N51</f>
        <v>1</v>
      </c>
      <c r="F20" s="239" t="str">
        <f>IF('Indicators Sheet_(IS)'!Q32="", "",'Indicators Sheet_(IS)'!Q32)</f>
        <v/>
      </c>
      <c r="G20" s="239" t="str">
        <f>IF('Indicators Sheet_(IS)'!R32="", "",'Indicators Sheet_(IS)'!R32)</f>
        <v/>
      </c>
      <c r="H20" s="517">
        <f>Berechnung1!O51</f>
        <v>0</v>
      </c>
      <c r="I20" s="524"/>
      <c r="J20" s="524"/>
      <c r="K20" s="524"/>
    </row>
    <row r="21" spans="1:11" s="238" customFormat="1" ht="23.1" customHeight="1" x14ac:dyDescent="0.25">
      <c r="A21" s="239">
        <v>9</v>
      </c>
      <c r="B21" s="239" t="str">
        <f>IF('Indicators Sheet_(IS)'!O35 = "", "",'Indicators Sheet_(IS)'!O35)</f>
        <v/>
      </c>
      <c r="C21" s="239">
        <f>IF('Indicators Sheet_(IS)'!O36 = "", "",'Indicators Sheet_(IS)'!O36)</f>
        <v>0</v>
      </c>
      <c r="D21" s="525" t="str">
        <f>IF('Indicators Sheet_(IS)'!O37="n.d.","n.d.",IF('Indicators Sheet_(IS)'!O37="","n.d.",'Indicators Sheet_(IS)'!O37*100))</f>
        <v>n.d.</v>
      </c>
      <c r="E21" s="517">
        <f>Berechnung1!N54</f>
        <v>1</v>
      </c>
      <c r="F21" s="239" t="str">
        <f>IF('Indicators Sheet_(IS)'!Q35 = "", "",'Indicators Sheet_(IS)'!Q35)</f>
        <v/>
      </c>
      <c r="G21" s="239" t="str">
        <f>IF('Indicators Sheet_(IS)'!R35 = "", "",'Indicators Sheet_(IS)'!R35)</f>
        <v/>
      </c>
      <c r="H21" s="517">
        <f>Berechnung1!O54</f>
        <v>0</v>
      </c>
      <c r="I21" s="524"/>
      <c r="J21" s="524"/>
      <c r="K21" s="524"/>
    </row>
    <row r="22" spans="1:11" s="238" customFormat="1" ht="23.1" customHeight="1" x14ac:dyDescent="0.25">
      <c r="A22" s="239">
        <v>10</v>
      </c>
      <c r="B22" s="239" t="str">
        <f>IF('Indicators Sheet_(IS)'!O38= "", "",'Indicators Sheet_(IS)'!O38)</f>
        <v/>
      </c>
      <c r="C22" s="239" t="str">
        <f>IF('Indicators Sheet_(IS)'!O39= "", "",'Indicators Sheet_(IS)'!O39)</f>
        <v/>
      </c>
      <c r="D22" s="518" t="str">
        <f>IF('Indicators Sheet_(IS)'!O40="n.d.","n.d.",'Indicators Sheet_(IS)'!O40*100)</f>
        <v>n.d.</v>
      </c>
      <c r="E22" s="517">
        <f>Berechnung1!N57</f>
        <v>1</v>
      </c>
      <c r="F22" s="239" t="str">
        <f>IF('Indicators Sheet_(IS)'!Q38= "", "",'Indicators Sheet_(IS)'!Q38)</f>
        <v/>
      </c>
      <c r="G22" s="239" t="str">
        <f>IF('Indicators Sheet_(IS)'!R38= "", "",'Indicators Sheet_(IS)'!R38)</f>
        <v/>
      </c>
      <c r="H22" s="517">
        <f>Berechnung1!O57</f>
        <v>0</v>
      </c>
      <c r="I22" s="524"/>
      <c r="J22" s="524"/>
      <c r="K22" s="524"/>
    </row>
    <row r="23" spans="1:11" s="238" customFormat="1" ht="23.1" customHeight="1" x14ac:dyDescent="0.25">
      <c r="A23" s="239">
        <v>11</v>
      </c>
      <c r="B23" s="239" t="str">
        <f>IF('Indicators Sheet_(IS)'!O41= "", "",'Indicators Sheet_(IS)'!O41)</f>
        <v/>
      </c>
      <c r="C23" s="239">
        <f>IF('Indicators Sheet_(IS)'!O42= "", "",'Indicators Sheet_(IS)'!O42)</f>
        <v>0</v>
      </c>
      <c r="D23" s="518" t="str">
        <f>IF('Indicators Sheet_(IS)'!O43="n.d.","n.d.",'Indicators Sheet_(IS)'!O43*100)</f>
        <v>n.d.</v>
      </c>
      <c r="E23" s="517">
        <f>Berechnung1!N60</f>
        <v>1</v>
      </c>
      <c r="F23" s="239" t="str">
        <f>IF('Indicators Sheet_(IS)'!Q41= "", "",'Indicators Sheet_(IS)'!Q41)</f>
        <v/>
      </c>
      <c r="G23" s="239" t="str">
        <f>IF('Indicators Sheet_(IS)'!R41= "", "",'Indicators Sheet_(IS)'!R41)</f>
        <v/>
      </c>
      <c r="H23" s="517">
        <f>Berechnung1!O60</f>
        <v>0</v>
      </c>
      <c r="I23" s="524"/>
      <c r="J23" s="524"/>
      <c r="K23" s="524"/>
    </row>
    <row r="24" spans="1:11" s="238" customFormat="1" ht="23.1" customHeight="1" x14ac:dyDescent="0.25">
      <c r="A24" s="239">
        <v>13</v>
      </c>
      <c r="B24" s="239" t="str">
        <f>IF('Indicators Sheet_(IS)'!O47= "", "",'Indicators Sheet_(IS)'!O47)</f>
        <v/>
      </c>
      <c r="C24" s="239">
        <f>IF('Indicators Sheet_(IS)'!O48= "", "",'Indicators Sheet_(IS)'!O48)</f>
        <v>0</v>
      </c>
      <c r="D24" s="518" t="str">
        <f>IF('Indicators Sheet_(IS)'!O49="n.d.","n.d.",'Indicators Sheet_(IS)'!O49*100)</f>
        <v>n.d.</v>
      </c>
      <c r="E24" s="517">
        <f>Berechnung1!N63</f>
        <v>1</v>
      </c>
      <c r="F24" s="239" t="str">
        <f>IF('Indicators Sheet_(IS)'!Q47= "", "",'Indicators Sheet_(IS)'!Q47)</f>
        <v/>
      </c>
      <c r="G24" s="239" t="str">
        <f>IF('Indicators Sheet_(IS)'!R47= "", "",'Indicators Sheet_(IS)'!R47)</f>
        <v/>
      </c>
      <c r="H24" s="517">
        <f>Berechnung1!O63</f>
        <v>0</v>
      </c>
      <c r="I24" s="524"/>
      <c r="J24" s="524"/>
      <c r="K24" s="524"/>
    </row>
    <row r="25" spans="1:11" s="238" customFormat="1" ht="23.1" customHeight="1" x14ac:dyDescent="0.25">
      <c r="A25" s="239">
        <v>14</v>
      </c>
      <c r="B25" s="239" t="str">
        <f>IF('Indicators Sheet_(IS)'!O50= "", "",'Indicators Sheet_(IS)'!O50)</f>
        <v/>
      </c>
      <c r="C25" s="239">
        <f>IF('Indicators Sheet_(IS)'!O51= "", "",'Indicators Sheet_(IS)'!O51)</f>
        <v>0</v>
      </c>
      <c r="D25" s="518" t="str">
        <f>IF('Indicators Sheet_(IS)'!O52="n.d.","n.d.",'Indicators Sheet_(IS)'!O52*100)</f>
        <v>n.d.</v>
      </c>
      <c r="E25" s="517">
        <f>Berechnung1!N66</f>
        <v>1</v>
      </c>
      <c r="F25" s="239" t="str">
        <f>IF('Indicators Sheet_(IS)'!Q50= "", "",'Indicators Sheet_(IS)'!Q50)</f>
        <v/>
      </c>
      <c r="G25" s="239" t="str">
        <f>IF('Indicators Sheet_(IS)'!R50= "", "",'Indicators Sheet_(IS)'!R50)</f>
        <v/>
      </c>
      <c r="H25" s="517">
        <f>Berechnung1!O66</f>
        <v>0</v>
      </c>
      <c r="I25" s="524"/>
      <c r="J25" s="524"/>
      <c r="K25" s="524"/>
    </row>
    <row r="26" spans="1:11" s="238" customFormat="1" ht="23.1" customHeight="1" x14ac:dyDescent="0.25">
      <c r="A26" s="239">
        <v>15</v>
      </c>
      <c r="B26" s="239" t="str">
        <f>IF('Indicators Sheet_(IS)'!O53= "", "",'Indicators Sheet_(IS)'!O53)</f>
        <v/>
      </c>
      <c r="C26" s="239" t="str">
        <f>IF('Indicators Sheet_(IS)'!O54= "", "",'Indicators Sheet_(IS)'!O54)</f>
        <v/>
      </c>
      <c r="D26" s="525" t="str">
        <f>IF('Indicators Sheet_(IS)'!O55="n.d.","n.d.",IF('Indicators Sheet_(IS)'!O55="","n.d.",'Indicators Sheet_(IS)'!O55*100))</f>
        <v>n.d.</v>
      </c>
      <c r="E26" s="517">
        <f>Berechnung1!N69</f>
        <v>1</v>
      </c>
      <c r="F26" s="239" t="str">
        <f>IF('Indicators Sheet_(IS)'!Q53= "", "",'Indicators Sheet_(IS)'!Q53)</f>
        <v/>
      </c>
      <c r="G26" s="239" t="str">
        <f>IF('Indicators Sheet_(IS)'!R53= "", "",'Indicators Sheet_(IS)'!R53)</f>
        <v/>
      </c>
      <c r="H26" s="517">
        <f>Berechnung1!O69</f>
        <v>0</v>
      </c>
      <c r="I26" s="524"/>
      <c r="J26" s="524"/>
      <c r="K26" s="524"/>
    </row>
    <row r="27" spans="1:11" s="238" customFormat="1" ht="23.1" customHeight="1" x14ac:dyDescent="0.25">
      <c r="A27" s="239">
        <v>16</v>
      </c>
      <c r="B27" s="239" t="str">
        <f>IF('Indicators Sheet_(IS)'!O56= "", "",'Indicators Sheet_(IS)'!O56)</f>
        <v/>
      </c>
      <c r="C27" s="239" t="str">
        <f>IF('Indicators Sheet_(IS)'!O57= "", "",'Indicators Sheet_(IS)'!O57)</f>
        <v/>
      </c>
      <c r="D27" s="525" t="str">
        <f>IF('Indicators Sheet_(IS)'!O58="n.d.","n.d.",IF('Indicators Sheet_(IS)'!O58="","n.d.",'Indicators Sheet_(IS)'!O58*100))</f>
        <v>n.d.</v>
      </c>
      <c r="E27" s="517">
        <f>Berechnung1!N72</f>
        <v>1</v>
      </c>
      <c r="F27" s="239" t="str">
        <f>IF('Indicators Sheet_(IS)'!Q56= "", "",'Indicators Sheet_(IS)'!Q56)</f>
        <v/>
      </c>
      <c r="G27" s="239" t="str">
        <f>IF('Indicators Sheet_(IS)'!R56= "", "",'Indicators Sheet_(IS)'!R56)</f>
        <v/>
      </c>
      <c r="H27" s="517">
        <f>Berechnung1!O72</f>
        <v>0</v>
      </c>
      <c r="I27" s="524"/>
      <c r="J27" s="524"/>
      <c r="K27" s="524"/>
    </row>
    <row r="28" spans="1:11" s="238" customFormat="1" ht="23.1" customHeight="1" x14ac:dyDescent="0.25">
      <c r="A28" s="239">
        <v>17</v>
      </c>
      <c r="B28" s="239" t="str">
        <f>IF('Indicators Sheet_(IS)'!O59= "", "",'Indicators Sheet_(IS)'!O59)</f>
        <v/>
      </c>
      <c r="C28" s="239" t="str">
        <f>IF('Indicators Sheet_(IS)'!O60= "", "",'Indicators Sheet_(IS)'!O60)</f>
        <v/>
      </c>
      <c r="D28" s="525" t="str">
        <f>IF('Indicators Sheet_(IS)'!O61="n.d.","n.d.",IF('Indicators Sheet_(IS)'!O61="","n.d.",'Indicators Sheet_(IS)'!O61*100))</f>
        <v>n.d.</v>
      </c>
      <c r="E28" s="517">
        <f>Berechnung1!N75</f>
        <v>1</v>
      </c>
      <c r="F28" s="239" t="str">
        <f>IF('Indicators Sheet_(IS)'!Q59= "", "",'Indicators Sheet_(IS)'!Q59)</f>
        <v/>
      </c>
      <c r="G28" s="239" t="str">
        <f>IF('Indicators Sheet_(IS)'!R59= "", "",'Indicators Sheet_(IS)'!R59)</f>
        <v/>
      </c>
      <c r="H28" s="517">
        <f>Berechnung1!O75</f>
        <v>0</v>
      </c>
      <c r="I28" s="524"/>
      <c r="J28" s="524"/>
      <c r="K28" s="524"/>
    </row>
    <row r="29" spans="1:11" s="238" customFormat="1" ht="23.1" customHeight="1" x14ac:dyDescent="0.25">
      <c r="A29" s="239">
        <v>18</v>
      </c>
      <c r="B29" s="239" t="str">
        <f>IF('Indicators Sheet_(IS)'!O62= "", "",'Indicators Sheet_(IS)'!O62)</f>
        <v/>
      </c>
      <c r="C29" s="239" t="str">
        <f>IF('Indicators Sheet_(IS)'!O63= "", "",'Indicators Sheet_(IS)'!O63)</f>
        <v/>
      </c>
      <c r="D29" s="525" t="str">
        <f>IF('Indicators Sheet_(IS)'!O64="n.d.","n.d.",IF('Indicators Sheet_(IS)'!O64="","n.d.",'Indicators Sheet_(IS)'!O64*100))</f>
        <v>n.d.</v>
      </c>
      <c r="E29" s="517">
        <f>Berechnung1!N78</f>
        <v>1</v>
      </c>
      <c r="F29" s="239" t="str">
        <f>IF('Indicators Sheet_(IS)'!Q62= "", "",'Indicators Sheet_(IS)'!Q62)</f>
        <v/>
      </c>
      <c r="G29" s="239" t="str">
        <f>IF('Indicators Sheet_(IS)'!R62= "", "",'Indicators Sheet_(IS)'!R62)</f>
        <v/>
      </c>
      <c r="H29" s="517">
        <f>Berechnung1!O78</f>
        <v>0</v>
      </c>
      <c r="I29" s="524"/>
      <c r="J29" s="524"/>
      <c r="K29" s="524"/>
    </row>
    <row r="30" spans="1:11" s="238" customFormat="1" ht="23.1" customHeight="1" x14ac:dyDescent="0.25">
      <c r="A30" s="239">
        <v>19</v>
      </c>
      <c r="B30" s="239" t="str">
        <f>IF('Indicators Sheet_(IS)'!O65= "", "",'Indicators Sheet_(IS)'!O65)</f>
        <v/>
      </c>
      <c r="C30" s="239" t="str">
        <f>IF('Indicators Sheet_(IS)'!O66= "", "",'Indicators Sheet_(IS)'!O66)</f>
        <v/>
      </c>
      <c r="D30" s="525" t="str">
        <f>IF('Indicators Sheet_(IS)'!O67="n.d.","n.d.",IF('Indicators Sheet_(IS)'!O67="","n.d.",'Indicators Sheet_(IS)'!O67*100))</f>
        <v>n.d.</v>
      </c>
      <c r="E30" s="517" t="e">
        <f>Berechnung1!N81</f>
        <v>#REF!</v>
      </c>
      <c r="F30" s="239" t="str">
        <f>IF('Indicators Sheet_(IS)'!Q65= "", "",'Indicators Sheet_(IS)'!Q65)</f>
        <v/>
      </c>
      <c r="G30" s="239" t="str">
        <f>IF('Indicators Sheet_(IS)'!R65= "", "",'Indicators Sheet_(IS)'!R65)</f>
        <v/>
      </c>
      <c r="H30" s="517">
        <f>Berechnung1!O81</f>
        <v>0</v>
      </c>
      <c r="I30" s="524"/>
      <c r="J30" s="524"/>
      <c r="K30" s="524"/>
    </row>
    <row r="31" spans="1:11" s="238" customFormat="1" ht="23.1" customHeight="1" x14ac:dyDescent="0.25">
      <c r="A31" s="239">
        <v>20</v>
      </c>
      <c r="B31" s="239" t="str">
        <f>IF('Indicators Sheet_(IS)'!O68= "", "",'Indicators Sheet_(IS)'!O68)</f>
        <v/>
      </c>
      <c r="C31" s="239" t="str">
        <f>IF('Indicators Sheet_(IS)'!O69= "", "",'Indicators Sheet_(IS)'!O69)</f>
        <v/>
      </c>
      <c r="D31" s="525" t="str">
        <f>IF('Indicators Sheet_(IS)'!O70="n.d.","n.d.",IF('Indicators Sheet_(IS)'!O70="","n.d.",'Indicators Sheet_(IS)'!O70*100))</f>
        <v>n.d.</v>
      </c>
      <c r="E31" s="517" t="e">
        <f>Berechnung1!N84</f>
        <v>#REF!</v>
      </c>
      <c r="F31" s="239" t="str">
        <f>IF('Indicators Sheet_(IS)'!Q68= "", "",'Indicators Sheet_(IS)'!Q68)</f>
        <v/>
      </c>
      <c r="G31" s="239" t="str">
        <f>IF('Indicators Sheet_(IS)'!R68= "", "",'Indicators Sheet_(IS)'!R68)</f>
        <v/>
      </c>
      <c r="H31" s="517">
        <f>Berechnung1!O84</f>
        <v>0</v>
      </c>
      <c r="I31" s="524"/>
      <c r="J31" s="524"/>
      <c r="K31" s="524"/>
    </row>
    <row r="32" spans="1:11" s="238" customFormat="1" ht="23.1" customHeight="1" x14ac:dyDescent="0.25">
      <c r="A32" s="239">
        <v>21</v>
      </c>
      <c r="B32" s="239" t="str">
        <f>IF('Indicators Sheet_(IS)'!O71= "", "",'Indicators Sheet_(IS)'!O71)</f>
        <v/>
      </c>
      <c r="C32" s="239" t="str">
        <f>IF('Indicators Sheet_(IS)'!O72= "", "",'Indicators Sheet_(IS)'!O72)</f>
        <v/>
      </c>
      <c r="D32" s="525" t="str">
        <f>IF('Indicators Sheet_(IS)'!O73="n.d.","n.d.",IF('Indicators Sheet_(IS)'!O73="","n.d.",'Indicators Sheet_(IS)'!O73*100))</f>
        <v>n.d.</v>
      </c>
      <c r="E32" s="517">
        <f>Berechnung1!N87</f>
        <v>1</v>
      </c>
      <c r="F32" s="239" t="str">
        <f>IF('Indicators Sheet_(IS)'!Q71= "", "",'Indicators Sheet_(IS)'!Q71)</f>
        <v/>
      </c>
      <c r="G32" s="239" t="str">
        <f>IF('Indicators Sheet_(IS)'!R71= "", "",'Indicators Sheet_(IS)'!R71)</f>
        <v/>
      </c>
      <c r="H32" s="517">
        <f>Berechnung1!O87</f>
        <v>0</v>
      </c>
      <c r="I32" s="524"/>
      <c r="J32" s="524"/>
      <c r="K32" s="524"/>
    </row>
    <row r="33" spans="1:11" s="238" customFormat="1" ht="23.1" customHeight="1" x14ac:dyDescent="0.25">
      <c r="A33" s="239">
        <v>22</v>
      </c>
      <c r="B33" s="239" t="str">
        <f>IF('Indicators Sheet_(IS)'!O74= "", "",'Indicators Sheet_(IS)'!O74)</f>
        <v/>
      </c>
      <c r="C33" s="239" t="str">
        <f>IF('Indicators Sheet_(IS)'!O75= "", "",'Indicators Sheet_(IS)'!O75)</f>
        <v/>
      </c>
      <c r="D33" s="525" t="str">
        <f>IF('Indicators Sheet_(IS)'!O76="n.d.","n.d.",IF('Indicators Sheet_(IS)'!O76="","n.d.",'Indicators Sheet_(IS)'!O76*100))</f>
        <v>n.d.</v>
      </c>
      <c r="E33" s="517">
        <f>Berechnung1!N90</f>
        <v>1</v>
      </c>
      <c r="F33" s="239" t="str">
        <f>IF('Indicators Sheet_(IS)'!Q74= "", "",'Indicators Sheet_(IS)'!Q74)</f>
        <v/>
      </c>
      <c r="G33" s="239" t="str">
        <f>IF('Indicators Sheet_(IS)'!R74= "", "",'Indicators Sheet_(IS)'!R74)</f>
        <v/>
      </c>
      <c r="H33" s="517">
        <f>Berechnung1!O90</f>
        <v>0</v>
      </c>
      <c r="I33" s="524"/>
      <c r="J33" s="524"/>
      <c r="K33" s="524"/>
    </row>
    <row r="34" spans="1:11" s="238" customFormat="1" ht="23.1" customHeight="1" x14ac:dyDescent="0.25">
      <c r="A34" s="239">
        <v>23</v>
      </c>
      <c r="B34" s="239" t="str">
        <f>IF('Indicators Sheet_(IS)'!O77= "", "",'Indicators Sheet_(IS)'!O77)</f>
        <v/>
      </c>
      <c r="C34" s="239" t="str">
        <f>IF('Indicators Sheet_(IS)'!O78= "", "",'Indicators Sheet_(IS)'!O78)</f>
        <v/>
      </c>
      <c r="D34" s="525" t="str">
        <f>IF('Indicators Sheet_(IS)'!O79="n.d.","n.d.",IF('Indicators Sheet_(IS)'!O79="","n.d.",'Indicators Sheet_(IS)'!O79*100))</f>
        <v>n.d.</v>
      </c>
      <c r="E34" s="517">
        <f>Berechnung1!N93</f>
        <v>1</v>
      </c>
      <c r="F34" s="239" t="str">
        <f>IF('Indicators Sheet_(IS)'!Q77= "", "",'Indicators Sheet_(IS)'!Q77)</f>
        <v/>
      </c>
      <c r="G34" s="239" t="str">
        <f>IF('Indicators Sheet_(IS)'!R77= "", "",'Indicators Sheet_(IS)'!R77)</f>
        <v/>
      </c>
      <c r="H34" s="517">
        <f>Berechnung1!O93</f>
        <v>0</v>
      </c>
      <c r="I34" s="519"/>
      <c r="J34" s="519"/>
      <c r="K34" s="519"/>
    </row>
    <row r="35" spans="1:11" s="238" customFormat="1" ht="23.1" customHeight="1" x14ac:dyDescent="0.25">
      <c r="A35" s="239">
        <v>24</v>
      </c>
      <c r="B35" s="239" t="str">
        <f>IF('Indicators Sheet_(IS)'!O80= "", "",'Indicators Sheet_(IS)'!O80)</f>
        <v/>
      </c>
      <c r="C35" s="239" t="str">
        <f>IF('Indicators Sheet_(IS)'!O81= "", "",'Indicators Sheet_(IS)'!O81)</f>
        <v/>
      </c>
      <c r="D35" s="525" t="str">
        <f>IF('Indicators Sheet_(IS)'!O82="n.d.","n.d.",IF('Indicators Sheet_(IS)'!O82="","n.d.",'Indicators Sheet_(IS)'!O82*100))</f>
        <v>n.d.</v>
      </c>
      <c r="E35" s="517">
        <f>Berechnung1!N96</f>
        <v>1</v>
      </c>
      <c r="F35" s="239" t="str">
        <f>IF('Indicators Sheet_(IS)'!Q80= "", "",'Indicators Sheet_(IS)'!Q80)</f>
        <v/>
      </c>
      <c r="G35" s="239" t="str">
        <f>IF('Indicators Sheet_(IS)'!R80= "", "",'Indicators Sheet_(IS)'!R80)</f>
        <v/>
      </c>
      <c r="H35" s="517">
        <f>Berechnung1!O96</f>
        <v>0</v>
      </c>
      <c r="I35" s="519"/>
      <c r="J35" s="519"/>
      <c r="K35" s="519"/>
    </row>
    <row r="36" spans="1:11" s="238" customFormat="1" ht="23.1" customHeight="1" x14ac:dyDescent="0.25">
      <c r="A36" s="239">
        <v>25</v>
      </c>
      <c r="B36" s="239" t="str">
        <f>IF('Indicators Sheet_(IS)'!O83= "", "",'Indicators Sheet_(IS)'!O83)</f>
        <v/>
      </c>
      <c r="C36" s="239" t="str">
        <f>IF('Indicators Sheet_(IS)'!O84= "", "",'Indicators Sheet_(IS)'!O84)</f>
        <v/>
      </c>
      <c r="D36" s="525" t="str">
        <f>IF('Indicators Sheet_(IS)'!O85="n.d.","n.d.",IF('Indicators Sheet_(IS)'!O85="","n.d.",'Indicators Sheet_(IS)'!O85*100))</f>
        <v>n.d.</v>
      </c>
      <c r="E36" s="517">
        <f>Berechnung1!N99</f>
        <v>1</v>
      </c>
      <c r="F36" s="239" t="str">
        <f>IF('Indicators Sheet_(IS)'!Q83= "", "",'Indicators Sheet_(IS)'!Q83)</f>
        <v/>
      </c>
      <c r="G36" s="239" t="str">
        <f>IF('Indicators Sheet_(IS)'!R83= "", "",'Indicators Sheet_(IS)'!R83)</f>
        <v/>
      </c>
      <c r="H36" s="517" t="e">
        <f>Berechnung1!#REF!</f>
        <v>#REF!</v>
      </c>
      <c r="I36" s="519"/>
      <c r="J36" s="519"/>
      <c r="K36" s="519"/>
    </row>
  </sheetData>
  <phoneticPr fontId="35" type="noConversion"/>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2"/>
  <dimension ref="A3:O136"/>
  <sheetViews>
    <sheetView zoomScale="110" zoomScaleNormal="110" workbookViewId="0">
      <selection activeCell="I8" sqref="I8"/>
    </sheetView>
  </sheetViews>
  <sheetFormatPr defaultColWidth="11.42578125" defaultRowHeight="11.25" x14ac:dyDescent="0.2"/>
  <cols>
    <col min="1" max="1" width="9.140625" style="258" customWidth="1"/>
    <col min="2" max="2" width="14.85546875" style="258" customWidth="1"/>
    <col min="3" max="3" width="9.140625" style="258" customWidth="1"/>
    <col min="4" max="4" width="13.7109375" style="258" customWidth="1"/>
    <col min="5" max="5" width="18.42578125" style="258" customWidth="1"/>
    <col min="6" max="6" width="16.5703125" style="258" customWidth="1"/>
    <col min="7" max="7" width="20" style="258" customWidth="1"/>
    <col min="8" max="9" width="20.28515625" style="258" customWidth="1"/>
    <col min="10" max="10" width="14.5703125" style="258" customWidth="1"/>
    <col min="11" max="11" width="15.42578125" style="258" customWidth="1"/>
    <col min="12" max="12" width="11.42578125" style="258" bestFit="1" customWidth="1"/>
    <col min="13" max="13" width="7.28515625" style="258" customWidth="1"/>
    <col min="14" max="14" width="4.85546875" style="258" customWidth="1"/>
    <col min="15" max="15" width="5.85546875" style="258" customWidth="1"/>
    <col min="16" max="16384" width="11.42578125" style="258"/>
  </cols>
  <sheetData>
    <row r="3" spans="2:15" x14ac:dyDescent="0.2">
      <c r="C3" s="257" t="s">
        <v>192</v>
      </c>
      <c r="M3" s="259"/>
      <c r="N3" s="259"/>
      <c r="O3" s="259"/>
    </row>
    <row r="4" spans="2:15" x14ac:dyDescent="0.2">
      <c r="D4" s="391" t="s">
        <v>527</v>
      </c>
      <c r="I4" s="260"/>
      <c r="M4" s="259"/>
      <c r="N4" s="259"/>
      <c r="O4" s="259"/>
    </row>
    <row r="5" spans="2:15" ht="22.5" x14ac:dyDescent="0.2">
      <c r="C5" s="391" t="s">
        <v>803</v>
      </c>
      <c r="D5" s="391" t="s">
        <v>808</v>
      </c>
      <c r="E5" s="391" t="s">
        <v>528</v>
      </c>
      <c r="F5" s="391" t="s">
        <v>530</v>
      </c>
      <c r="G5" s="391" t="s">
        <v>529</v>
      </c>
      <c r="H5" s="8" t="s">
        <v>557</v>
      </c>
      <c r="I5" s="260" t="s">
        <v>56</v>
      </c>
      <c r="K5" s="258" t="s">
        <v>457</v>
      </c>
      <c r="M5" s="259"/>
      <c r="N5" s="259"/>
      <c r="O5" s="259"/>
    </row>
    <row r="6" spans="2:15" x14ac:dyDescent="0.2">
      <c r="C6" s="260">
        <f>COUNTIF('Indicators Sheet_(IS)'!$P$8:$P$86,C5)</f>
        <v>0</v>
      </c>
      <c r="D6" s="260">
        <f>COUNTIF('Indicators Sheet_(IS)'!$P$8:$P$86,D5)</f>
        <v>0</v>
      </c>
      <c r="E6" s="260">
        <f>COUNTIF('Indicators Sheet_(IS)'!$P$8:$P$86,E5)</f>
        <v>0</v>
      </c>
      <c r="F6" s="260">
        <f>COUNTIF('Indicators Sheet_(IS)'!$P$8:$P$86,F5)</f>
        <v>25</v>
      </c>
      <c r="G6" s="260">
        <f>COUNTIF('Indicators Sheet_(IS)'!$P$8:$P$86,G5)</f>
        <v>0</v>
      </c>
      <c r="H6" s="268">
        <f>COUNTIF('Indicators Sheet_(IS)'!$P$8:$P$86,H5)</f>
        <v>0</v>
      </c>
      <c r="I6" s="260">
        <f>SUM(C6:H6)</f>
        <v>25</v>
      </c>
      <c r="K6" s="268">
        <f>D6+H6</f>
        <v>0</v>
      </c>
      <c r="M6" s="259"/>
      <c r="N6" s="259"/>
      <c r="O6" s="259"/>
    </row>
    <row r="7" spans="2:15" ht="14.25" x14ac:dyDescent="0.2">
      <c r="C7" s="260"/>
      <c r="D7" s="74">
        <f>C6+D6+H6</f>
        <v>0</v>
      </c>
      <c r="E7" s="74">
        <f>E6</f>
        <v>0</v>
      </c>
      <c r="F7" s="74"/>
      <c r="G7" s="74">
        <f>F6+G6</f>
        <v>25</v>
      </c>
      <c r="H7" s="74">
        <f>H6+D6+C6</f>
        <v>0</v>
      </c>
      <c r="I7" s="74">
        <f>SUM(D7:G7)</f>
        <v>25</v>
      </c>
      <c r="J7" s="150"/>
      <c r="K7" s="74"/>
      <c r="M7" s="259"/>
      <c r="N7" s="259"/>
      <c r="O7" s="259"/>
    </row>
    <row r="8" spans="2:15" ht="14.25" x14ac:dyDescent="0.2">
      <c r="B8" s="258" t="s">
        <v>8</v>
      </c>
      <c r="C8" s="260"/>
      <c r="D8" s="74"/>
      <c r="E8" s="74">
        <f>D7+E7</f>
        <v>0</v>
      </c>
      <c r="F8" s="74"/>
      <c r="G8" s="74">
        <f>G7</f>
        <v>25</v>
      </c>
      <c r="H8" s="74"/>
      <c r="I8" s="74">
        <f>SUM(D8:H8)</f>
        <v>25</v>
      </c>
      <c r="J8" s="150"/>
      <c r="K8" s="74"/>
      <c r="M8" s="259"/>
      <c r="N8" s="259"/>
      <c r="O8" s="259"/>
    </row>
    <row r="9" spans="2:15" ht="14.25" x14ac:dyDescent="0.2">
      <c r="B9" s="288">
        <v>25</v>
      </c>
      <c r="C9" s="262">
        <f>ROUND(C6/$B$9,4)</f>
        <v>0</v>
      </c>
      <c r="D9" s="366">
        <f t="shared" ref="D9:H9" si="0">ROUND(D6/$B$9,4)</f>
        <v>0</v>
      </c>
      <c r="E9" s="366">
        <f t="shared" si="0"/>
        <v>0</v>
      </c>
      <c r="F9" s="366">
        <f t="shared" si="0"/>
        <v>1</v>
      </c>
      <c r="G9" s="366">
        <f t="shared" si="0"/>
        <v>0</v>
      </c>
      <c r="H9" s="366">
        <f t="shared" si="0"/>
        <v>0</v>
      </c>
      <c r="I9" s="366">
        <f>SUM(C9:H9)</f>
        <v>1</v>
      </c>
      <c r="J9" s="150"/>
      <c r="K9" s="366">
        <f>D9+H9</f>
        <v>0</v>
      </c>
      <c r="M9" s="259"/>
      <c r="N9" s="259"/>
      <c r="O9" s="259"/>
    </row>
    <row r="10" spans="2:15" ht="14.25" x14ac:dyDescent="0.2">
      <c r="C10" s="262"/>
      <c r="D10" s="366">
        <f>ROUND((C6+D6+H6)/$B$9,4)</f>
        <v>0</v>
      </c>
      <c r="E10" s="366">
        <f>ROUND(E6/$B$9,4)</f>
        <v>0</v>
      </c>
      <c r="F10" s="366"/>
      <c r="G10" s="366">
        <f>ROUND((F6+G6)/$B$9,4)</f>
        <v>1</v>
      </c>
      <c r="H10" s="366">
        <f>ROUND((H6+D6+C6)/$B$9,4)</f>
        <v>0</v>
      </c>
      <c r="I10" s="366">
        <f>SUM(D10:G10)</f>
        <v>1</v>
      </c>
      <c r="J10" s="150"/>
      <c r="K10" s="366"/>
      <c r="M10" s="259"/>
      <c r="N10" s="259"/>
      <c r="O10" s="259"/>
    </row>
    <row r="11" spans="2:15" ht="14.25" x14ac:dyDescent="0.2">
      <c r="C11" s="263"/>
      <c r="D11" s="367"/>
      <c r="E11" s="366">
        <f>ROUND((C6+D6+E6+H6)/$B$9,4)</f>
        <v>0</v>
      </c>
      <c r="F11" s="367"/>
      <c r="G11" s="366">
        <f>G10</f>
        <v>1</v>
      </c>
      <c r="H11" s="366"/>
      <c r="I11" s="366">
        <f>SUM(D11:H11)</f>
        <v>1</v>
      </c>
      <c r="J11" s="150"/>
      <c r="K11" s="150"/>
      <c r="M11" s="259"/>
      <c r="N11" s="259"/>
      <c r="O11" s="259"/>
    </row>
    <row r="12" spans="2:15" x14ac:dyDescent="0.2">
      <c r="E12" s="261"/>
      <c r="G12" s="261"/>
      <c r="H12" s="261"/>
      <c r="I12" s="261"/>
      <c r="M12" s="259"/>
      <c r="N12" s="259"/>
      <c r="O12" s="259"/>
    </row>
    <row r="13" spans="2:15" x14ac:dyDescent="0.2">
      <c r="M13" s="259"/>
      <c r="N13" s="259"/>
      <c r="O13" s="259"/>
    </row>
    <row r="14" spans="2:15" x14ac:dyDescent="0.2">
      <c r="M14" s="259"/>
      <c r="N14" s="259"/>
      <c r="O14" s="259"/>
    </row>
    <row r="15" spans="2:15" x14ac:dyDescent="0.2">
      <c r="M15" s="259"/>
      <c r="N15" s="259"/>
      <c r="O15" s="259"/>
    </row>
    <row r="16" spans="2:15" x14ac:dyDescent="0.2">
      <c r="C16" s="257" t="s">
        <v>193</v>
      </c>
      <c r="M16" s="259"/>
      <c r="N16" s="259"/>
      <c r="O16" s="259"/>
    </row>
    <row r="17" spans="1:15" ht="33.75" x14ac:dyDescent="0.2">
      <c r="C17" s="374" t="s">
        <v>802</v>
      </c>
      <c r="D17" s="374" t="s">
        <v>809</v>
      </c>
      <c r="E17" s="374" t="s">
        <v>804</v>
      </c>
      <c r="F17" s="374" t="s">
        <v>805</v>
      </c>
      <c r="G17" s="374" t="s">
        <v>806</v>
      </c>
      <c r="H17" s="374" t="s">
        <v>807</v>
      </c>
      <c r="M17" s="259"/>
      <c r="N17" s="259"/>
      <c r="O17" s="259"/>
    </row>
    <row r="18" spans="1:15" x14ac:dyDescent="0.2">
      <c r="C18" s="264"/>
      <c r="D18" s="264"/>
      <c r="E18" s="264"/>
      <c r="F18" s="264"/>
      <c r="G18" s="264"/>
      <c r="M18" s="259"/>
      <c r="N18" s="259"/>
      <c r="O18" s="259"/>
    </row>
    <row r="19" spans="1:15" x14ac:dyDescent="0.2">
      <c r="C19" s="264"/>
      <c r="D19" s="264"/>
      <c r="E19" s="264"/>
      <c r="F19" s="264"/>
      <c r="G19" s="264"/>
      <c r="M19" s="259"/>
      <c r="N19" s="259"/>
      <c r="O19" s="259"/>
    </row>
    <row r="20" spans="1:15" x14ac:dyDescent="0.2">
      <c r="C20" s="264"/>
      <c r="D20" s="264"/>
      <c r="E20" s="264"/>
      <c r="F20" s="264"/>
      <c r="G20" s="264"/>
      <c r="M20" s="259"/>
      <c r="N20" s="259"/>
      <c r="O20" s="259"/>
    </row>
    <row r="21" spans="1:15" x14ac:dyDescent="0.2">
      <c r="B21" s="264"/>
      <c r="C21" s="264"/>
      <c r="D21" s="264"/>
      <c r="E21" s="264"/>
      <c r="F21" s="264"/>
      <c r="M21" s="259"/>
      <c r="N21" s="259"/>
      <c r="O21" s="259"/>
    </row>
    <row r="22" spans="1:15" x14ac:dyDescent="0.2">
      <c r="B22" s="264"/>
      <c r="C22" s="257" t="s">
        <v>183</v>
      </c>
      <c r="D22" s="264"/>
      <c r="E22" s="264"/>
      <c r="F22" s="264"/>
      <c r="M22" s="259"/>
      <c r="N22" s="259"/>
      <c r="O22" s="259"/>
    </row>
    <row r="23" spans="1:15" x14ac:dyDescent="0.2">
      <c r="L23" s="265"/>
      <c r="M23" s="265"/>
      <c r="N23" s="265"/>
      <c r="O23" s="265"/>
    </row>
    <row r="24" spans="1:15" x14ac:dyDescent="0.2">
      <c r="C24" s="266" t="s">
        <v>29</v>
      </c>
      <c r="D24" s="266" t="s">
        <v>197</v>
      </c>
      <c r="E24" s="266" t="s">
        <v>206</v>
      </c>
      <c r="F24" s="266" t="s">
        <v>205</v>
      </c>
      <c r="G24" s="266" t="s">
        <v>203</v>
      </c>
      <c r="H24" s="266" t="s">
        <v>204</v>
      </c>
      <c r="I24" s="266"/>
      <c r="J24" s="266" t="s">
        <v>207</v>
      </c>
      <c r="K24" s="266" t="s">
        <v>208</v>
      </c>
      <c r="L24" s="267" t="s">
        <v>202</v>
      </c>
      <c r="M24" s="267" t="s">
        <v>131</v>
      </c>
      <c r="N24" s="267" t="s">
        <v>130</v>
      </c>
      <c r="O24" s="267" t="s">
        <v>129</v>
      </c>
    </row>
    <row r="25" spans="1:15" x14ac:dyDescent="0.2">
      <c r="A25" s="268"/>
      <c r="C25" s="266"/>
      <c r="D25" s="266"/>
      <c r="E25" s="266"/>
      <c r="F25" s="266"/>
      <c r="G25" s="266"/>
      <c r="H25" s="266"/>
      <c r="I25" s="266"/>
      <c r="J25" s="266"/>
      <c r="K25" s="266"/>
      <c r="L25" s="267"/>
      <c r="M25" s="267"/>
      <c r="N25" s="267"/>
      <c r="O25" s="269"/>
    </row>
    <row r="26" spans="1:15" x14ac:dyDescent="0.2">
      <c r="A26" s="268"/>
      <c r="C26" s="266"/>
      <c r="D26" s="266"/>
      <c r="E26" s="266"/>
      <c r="F26" s="266"/>
      <c r="G26" s="266"/>
      <c r="H26" s="266"/>
      <c r="I26" s="266"/>
      <c r="J26" s="266"/>
      <c r="K26" s="266"/>
      <c r="L26" s="267"/>
      <c r="M26" s="267"/>
      <c r="N26" s="267"/>
      <c r="O26" s="269"/>
    </row>
    <row r="27" spans="1:15" x14ac:dyDescent="0.2">
      <c r="A27" s="268"/>
      <c r="C27" s="526">
        <v>1</v>
      </c>
      <c r="D27" s="527" t="s">
        <v>198</v>
      </c>
      <c r="E27" s="528">
        <v>0</v>
      </c>
      <c r="F27" s="528">
        <v>1</v>
      </c>
      <c r="G27" s="528">
        <v>0.9</v>
      </c>
      <c r="H27" s="528">
        <v>10000</v>
      </c>
      <c r="I27" s="528"/>
      <c r="J27" s="528">
        <v>-10000</v>
      </c>
      <c r="K27" s="528">
        <v>10000</v>
      </c>
      <c r="L27" s="529" t="str">
        <f>'Indicators Sheet_(IS)'!O10</f>
        <v>n.d.</v>
      </c>
      <c r="M27" s="530">
        <f>IF('Indicators Sheet_(IS)'!P8=Berechnung1!$G$5,1,IF('Indicators Sheet_(IS)'!P8=Berechnung1!$F$5,1,IF('Indicators Sheet_(IS)'!P8=Berechnung1!$E$5,2,IF('Indicators Sheet_(IS)'!P8=Berechnung1!$D$5,3,IF('Indicators Sheet_(IS)'!P8=Berechnung1!$C$5,4,"")))))</f>
        <v>1</v>
      </c>
      <c r="N27" s="530">
        <f>IF(M27&gt;1,M27+3,M27)</f>
        <v>1</v>
      </c>
      <c r="O27" s="530">
        <f>IF('Indicators Sheet_(IS)'!R8="",0,1)</f>
        <v>0</v>
      </c>
    </row>
    <row r="28" spans="1:15" x14ac:dyDescent="0.2">
      <c r="A28" s="268"/>
      <c r="C28" s="270"/>
      <c r="D28" s="271"/>
      <c r="E28" s="272"/>
      <c r="F28" s="272"/>
      <c r="G28" s="272"/>
      <c r="H28" s="272"/>
      <c r="I28" s="272"/>
      <c r="J28" s="272"/>
      <c r="K28" s="272"/>
      <c r="L28" s="273"/>
      <c r="M28" s="274"/>
      <c r="N28" s="273"/>
      <c r="O28" s="275"/>
    </row>
    <row r="29" spans="1:15" x14ac:dyDescent="0.2">
      <c r="A29" s="268"/>
      <c r="C29" s="270"/>
      <c r="D29" s="271"/>
      <c r="E29" s="272"/>
      <c r="F29" s="272"/>
      <c r="G29" s="272"/>
      <c r="H29" s="272"/>
      <c r="I29" s="272"/>
      <c r="J29" s="272"/>
      <c r="K29" s="272"/>
      <c r="L29" s="273"/>
      <c r="M29" s="274"/>
      <c r="N29" s="273"/>
      <c r="O29" s="275"/>
    </row>
    <row r="30" spans="1:15" x14ac:dyDescent="0.2">
      <c r="A30" s="268"/>
      <c r="B30" s="8"/>
      <c r="C30" s="526">
        <v>2</v>
      </c>
      <c r="D30" s="527" t="s">
        <v>198</v>
      </c>
      <c r="E30" s="528">
        <v>0</v>
      </c>
      <c r="F30" s="528">
        <v>1</v>
      </c>
      <c r="G30" s="528">
        <v>0.65</v>
      </c>
      <c r="H30" s="528">
        <v>10000</v>
      </c>
      <c r="I30" s="528"/>
      <c r="J30" s="528">
        <v>-10000</v>
      </c>
      <c r="K30" s="528">
        <v>10000</v>
      </c>
      <c r="L30" s="529" t="str">
        <f>'Indicators Sheet_(IS)'!O13</f>
        <v>n.d.</v>
      </c>
      <c r="M30" s="530">
        <f>IF('Indicators Sheet_(IS)'!P11=Berechnung1!$G$5,1,IF('Indicators Sheet_(IS)'!P11=Berechnung1!$F$5,1,IF('Indicators Sheet_(IS)'!P11=Berechnung1!$E$5,2,IF('Indicators Sheet_(IS)'!P11=Berechnung1!$D$5,3,IF('Indicators Sheet_(IS)'!P11=Berechnung1!$C$5,4,"")))))</f>
        <v>1</v>
      </c>
      <c r="N30" s="530">
        <f>IF(M30&gt;1,M30+3,M30)</f>
        <v>1</v>
      </c>
      <c r="O30" s="530">
        <f>IF('Indicators Sheet_(IS)'!R11="",0,1)</f>
        <v>0</v>
      </c>
    </row>
    <row r="31" spans="1:15" x14ac:dyDescent="0.2">
      <c r="A31" s="268"/>
      <c r="C31" s="270"/>
      <c r="D31" s="271"/>
      <c r="E31" s="272"/>
      <c r="F31" s="272"/>
      <c r="G31" s="272"/>
      <c r="H31" s="272"/>
      <c r="I31" s="272"/>
      <c r="J31" s="272"/>
      <c r="K31" s="272"/>
      <c r="L31" s="273"/>
      <c r="M31" s="274"/>
      <c r="N31" s="273"/>
      <c r="O31" s="275"/>
    </row>
    <row r="32" spans="1:15" x14ac:dyDescent="0.2">
      <c r="A32" s="268"/>
      <c r="C32" s="270"/>
      <c r="D32" s="271"/>
      <c r="E32" s="272"/>
      <c r="F32" s="272"/>
      <c r="G32" s="272"/>
      <c r="H32" s="272"/>
      <c r="I32" s="272"/>
      <c r="J32" s="272"/>
      <c r="K32" s="272"/>
      <c r="L32" s="273"/>
      <c r="M32" s="274"/>
      <c r="N32" s="273"/>
      <c r="O32" s="275"/>
    </row>
    <row r="33" spans="1:15" x14ac:dyDescent="0.2">
      <c r="A33" s="268"/>
      <c r="C33" s="526">
        <v>3</v>
      </c>
      <c r="D33" s="527" t="s">
        <v>198</v>
      </c>
      <c r="E33" s="528">
        <v>0</v>
      </c>
      <c r="F33" s="528">
        <v>1</v>
      </c>
      <c r="G33" s="528">
        <v>-10000</v>
      </c>
      <c r="H33" s="528">
        <v>10000</v>
      </c>
      <c r="I33" s="528"/>
      <c r="J33" s="528">
        <v>0.5</v>
      </c>
      <c r="K33" s="528">
        <v>10000</v>
      </c>
      <c r="L33" s="529" t="str">
        <f>'Indicators Sheet_(IS)'!O16</f>
        <v>n.d.</v>
      </c>
      <c r="M33" s="530">
        <f>IF('Indicators Sheet_(IS)'!P14=Berechnung1!$G$5,1,IF('Indicators Sheet_(IS)'!P14=Berechnung1!$F$5,1,IF('Indicators Sheet_(IS)'!P14=Berechnung1!$E$5,2,IF('Indicators Sheet_(IS)'!P14=Berechnung1!$D$5,3,IF('Indicators Sheet_(IS)'!P14=Berechnung1!$C$5,4,"")))))</f>
        <v>1</v>
      </c>
      <c r="N33" s="530">
        <f>IF(M33&gt;1,M33+3,M33)</f>
        <v>1</v>
      </c>
      <c r="O33" s="530">
        <f>IF('Indicators Sheet_(IS)'!R14="",0,1)</f>
        <v>0</v>
      </c>
    </row>
    <row r="34" spans="1:15" x14ac:dyDescent="0.2">
      <c r="A34" s="268"/>
      <c r="C34" s="270"/>
      <c r="D34" s="271"/>
      <c r="E34" s="272"/>
      <c r="F34" s="272"/>
      <c r="G34" s="272"/>
      <c r="H34" s="272"/>
      <c r="I34" s="272"/>
      <c r="J34" s="272"/>
      <c r="K34" s="272"/>
      <c r="L34" s="273"/>
      <c r="M34" s="274"/>
      <c r="N34" s="273"/>
      <c r="O34" s="275"/>
    </row>
    <row r="35" spans="1:15" x14ac:dyDescent="0.2">
      <c r="A35" s="268"/>
      <c r="C35" s="270"/>
      <c r="D35" s="271"/>
      <c r="E35" s="272"/>
      <c r="F35" s="272"/>
      <c r="G35" s="272"/>
      <c r="H35" s="272"/>
      <c r="I35" s="272"/>
      <c r="J35" s="272"/>
      <c r="K35" s="272"/>
      <c r="L35" s="273"/>
      <c r="M35" s="274"/>
      <c r="N35" s="273"/>
      <c r="O35" s="275"/>
    </row>
    <row r="36" spans="1:15" x14ac:dyDescent="0.2">
      <c r="A36" s="268"/>
      <c r="C36" s="527">
        <v>4</v>
      </c>
      <c r="D36" s="527" t="s">
        <v>198</v>
      </c>
      <c r="E36" s="528">
        <v>0</v>
      </c>
      <c r="F36" s="528">
        <v>10000</v>
      </c>
      <c r="G36" s="528">
        <v>0.05</v>
      </c>
      <c r="H36" s="528">
        <v>10000</v>
      </c>
      <c r="I36" s="528"/>
      <c r="J36" s="528">
        <v>-10000</v>
      </c>
      <c r="K36" s="528">
        <v>0.65</v>
      </c>
      <c r="L36" s="529" t="str">
        <f>'Indicators Sheet_(IS)'!O19</f>
        <v>n.d.</v>
      </c>
      <c r="M36" s="530">
        <f>IF('Indicators Sheet_(IS)'!P17=Berechnung1!$G$5,1,IF('Indicators Sheet_(IS)'!P17=Berechnung1!$F$5,1,IF('Indicators Sheet_(IS)'!P17=Berechnung1!$E$5,2,IF('Indicators Sheet_(IS)'!P17=Berechnung1!$D$5,3,IF('Indicators Sheet_(IS)'!P17=Berechnung1!$C$5,4,"")))))</f>
        <v>1</v>
      </c>
      <c r="N36" s="530">
        <f>IF(M36&gt;1,M36+3,M36)</f>
        <v>1</v>
      </c>
      <c r="O36" s="530">
        <f>IF('Indicators Sheet_(IS)'!R17="",0,1)</f>
        <v>0</v>
      </c>
    </row>
    <row r="37" spans="1:15" x14ac:dyDescent="0.2">
      <c r="A37" s="268"/>
      <c r="C37" s="270"/>
      <c r="D37" s="271"/>
      <c r="E37" s="272"/>
      <c r="F37" s="272"/>
      <c r="G37" s="272"/>
      <c r="H37" s="272"/>
      <c r="I37" s="272"/>
      <c r="J37" s="272"/>
      <c r="K37" s="272"/>
      <c r="L37" s="273"/>
      <c r="M37" s="274"/>
      <c r="N37" s="273"/>
      <c r="O37" s="275"/>
    </row>
    <row r="38" spans="1:15" x14ac:dyDescent="0.2">
      <c r="A38" s="268"/>
      <c r="C38" s="270"/>
      <c r="D38" s="271"/>
      <c r="E38" s="272"/>
      <c r="F38" s="272"/>
      <c r="G38" s="272"/>
      <c r="H38" s="272"/>
      <c r="I38" s="272"/>
      <c r="J38" s="272"/>
      <c r="K38" s="272"/>
      <c r="L38" s="273"/>
      <c r="M38" s="274"/>
      <c r="N38" s="273"/>
      <c r="O38" s="275"/>
    </row>
    <row r="39" spans="1:15" x14ac:dyDescent="0.2">
      <c r="A39" s="268"/>
      <c r="C39" s="527">
        <v>5</v>
      </c>
      <c r="D39" s="527" t="s">
        <v>198</v>
      </c>
      <c r="E39" s="528">
        <v>0</v>
      </c>
      <c r="F39" s="531">
        <v>1E+18</v>
      </c>
      <c r="G39" s="531">
        <v>75</v>
      </c>
      <c r="H39" s="531">
        <v>1E+16</v>
      </c>
      <c r="I39" s="528"/>
      <c r="J39" s="531">
        <v>-100000</v>
      </c>
      <c r="K39" s="531">
        <v>100000000</v>
      </c>
      <c r="L39" s="530">
        <f>'Indicators Sheet_(IS)'!O20</f>
        <v>0</v>
      </c>
      <c r="M39" s="530">
        <f>IF('Indicators Sheet_(IS)'!P20=Berechnung1!$G$5,1,IF('Indicators Sheet_(IS)'!P20=Berechnung1!$F$5,1,IF('Indicators Sheet_(IS)'!P20=Berechnung1!$E$5,2,IF('Indicators Sheet_(IS)'!P20=Berechnung1!$D$5,3,IF('Indicators Sheet_(IS)'!P20=Berechnung1!$C$5,4,"")))))</f>
        <v>1</v>
      </c>
      <c r="N39" s="530">
        <f>IF(M39&gt;1,M39+3,M39)</f>
        <v>1</v>
      </c>
      <c r="O39" s="530">
        <f>IF('Indicators Sheet_(IS)'!R20="",0,1)</f>
        <v>0</v>
      </c>
    </row>
    <row r="40" spans="1:15" x14ac:dyDescent="0.2">
      <c r="A40" s="268"/>
      <c r="C40" s="270"/>
      <c r="D40" s="271"/>
      <c r="E40" s="272"/>
      <c r="F40" s="276"/>
      <c r="G40" s="276"/>
      <c r="H40" s="276"/>
      <c r="I40" s="272"/>
      <c r="J40" s="276"/>
      <c r="K40" s="276"/>
      <c r="L40" s="273"/>
      <c r="M40" s="274"/>
      <c r="N40" s="273"/>
      <c r="O40" s="275"/>
    </row>
    <row r="41" spans="1:15" x14ac:dyDescent="0.2">
      <c r="A41" s="268"/>
      <c r="C41" s="270"/>
      <c r="D41" s="271"/>
      <c r="E41" s="272"/>
      <c r="F41" s="276"/>
      <c r="G41" s="276"/>
      <c r="H41" s="276"/>
      <c r="I41" s="272"/>
      <c r="J41" s="276"/>
      <c r="K41" s="276"/>
      <c r="L41" s="273"/>
      <c r="M41" s="274"/>
      <c r="N41" s="273"/>
      <c r="O41" s="275"/>
    </row>
    <row r="42" spans="1:15" x14ac:dyDescent="0.2">
      <c r="A42" s="268"/>
      <c r="C42" s="532" t="s">
        <v>816</v>
      </c>
      <c r="D42" s="527" t="s">
        <v>198</v>
      </c>
      <c r="E42" s="528">
        <v>0</v>
      </c>
      <c r="F42" s="531">
        <v>100000000000000</v>
      </c>
      <c r="G42" s="531">
        <v>50</v>
      </c>
      <c r="H42" s="531">
        <v>100000000000000</v>
      </c>
      <c r="I42" s="528"/>
      <c r="J42" s="531">
        <v>-100000</v>
      </c>
      <c r="K42" s="531">
        <v>100000000</v>
      </c>
      <c r="L42" s="530">
        <f>'Indicators Sheet_(IS)'!O23</f>
        <v>0</v>
      </c>
      <c r="M42" s="530">
        <f>IF('Indicators Sheet_(IS)'!P23=Berechnung1!$G$5,1,IF('Indicators Sheet_(IS)'!P23=Berechnung1!$F$5,1,IF('Indicators Sheet_(IS)'!P23=Berechnung1!$E$5,2,IF('Indicators Sheet_(IS)'!P23=Berechnung1!$D$5,3,IF('Indicators Sheet_(IS)'!P23=Berechnung1!$C$5,4,"")))))</f>
        <v>1</v>
      </c>
      <c r="N42" s="530">
        <f>IF(M42&gt;1,M42+3,M42)</f>
        <v>1</v>
      </c>
      <c r="O42" s="530">
        <f>IF('Indicators Sheet_(IS)'!R23="",0,1)</f>
        <v>0</v>
      </c>
    </row>
    <row r="43" spans="1:15" x14ac:dyDescent="0.2">
      <c r="A43" s="268"/>
      <c r="C43" s="412"/>
      <c r="D43" s="271"/>
      <c r="E43" s="279"/>
      <c r="F43" s="370"/>
      <c r="G43" s="370"/>
      <c r="H43" s="370"/>
      <c r="I43" s="279"/>
      <c r="J43" s="370"/>
      <c r="K43" s="370"/>
      <c r="L43" s="369"/>
      <c r="M43" s="274"/>
      <c r="N43" s="274"/>
      <c r="O43" s="274"/>
    </row>
    <row r="44" spans="1:15" x14ac:dyDescent="0.2">
      <c r="A44" s="268"/>
      <c r="C44" s="412"/>
      <c r="D44" s="271"/>
      <c r="E44" s="279"/>
      <c r="F44" s="370"/>
      <c r="G44" s="370"/>
      <c r="H44" s="370"/>
      <c r="I44" s="279"/>
      <c r="J44" s="370"/>
      <c r="K44" s="370"/>
      <c r="L44" s="369"/>
      <c r="M44" s="274"/>
      <c r="N44" s="274"/>
      <c r="O44" s="274"/>
    </row>
    <row r="45" spans="1:15" x14ac:dyDescent="0.2">
      <c r="A45" s="268"/>
      <c r="C45" s="532" t="s">
        <v>817</v>
      </c>
      <c r="D45" s="527" t="s">
        <v>198</v>
      </c>
      <c r="E45" s="528">
        <v>0</v>
      </c>
      <c r="F45" s="531">
        <v>100000000000000</v>
      </c>
      <c r="G45" s="531">
        <v>-10000000</v>
      </c>
      <c r="H45" s="531">
        <v>100000000000000</v>
      </c>
      <c r="I45" s="528"/>
      <c r="J45" s="531">
        <v>-100000</v>
      </c>
      <c r="K45" s="531">
        <v>100000000</v>
      </c>
      <c r="L45" s="530">
        <f>'Indicators Sheet_(IS)'!O26</f>
        <v>0</v>
      </c>
      <c r="M45" s="530">
        <f>IF('Indicators Sheet_(IS)'!P26=Berechnung1!$G$5,1,IF('Indicators Sheet_(IS)'!P26=Berechnung1!$F$5,1,IF('Indicators Sheet_(IS)'!P26=Berechnung1!$E$5,2,IF('Indicators Sheet_(IS)'!P26=Berechnung1!$D$5,3,IF('Indicators Sheet_(IS)'!P26=Berechnung1!$C$5,4,"")))))</f>
        <v>1</v>
      </c>
      <c r="N45" s="530">
        <f t="shared" ref="N45" si="1">IF(M45&gt;1,M45+3,M45)</f>
        <v>1</v>
      </c>
      <c r="O45" s="530">
        <f>IF('Indicators Sheet_(IS)'!R26="",0,1)</f>
        <v>0</v>
      </c>
    </row>
    <row r="46" spans="1:15" x14ac:dyDescent="0.2">
      <c r="A46" s="268"/>
      <c r="C46" s="270"/>
      <c r="D46" s="271"/>
      <c r="E46" s="272"/>
      <c r="F46" s="276"/>
      <c r="G46" s="276"/>
      <c r="H46" s="276"/>
      <c r="I46" s="272"/>
      <c r="J46" s="276"/>
      <c r="K46" s="276"/>
      <c r="L46" s="273"/>
      <c r="M46" s="274"/>
      <c r="N46" s="273"/>
      <c r="O46" s="275"/>
    </row>
    <row r="47" spans="1:15" x14ac:dyDescent="0.2">
      <c r="A47" s="268"/>
      <c r="C47" s="270"/>
      <c r="D47" s="271"/>
      <c r="E47" s="272"/>
      <c r="F47" s="276"/>
      <c r="G47" s="276"/>
      <c r="H47" s="276"/>
      <c r="I47" s="272"/>
      <c r="J47" s="276"/>
      <c r="K47" s="276"/>
      <c r="L47" s="273"/>
      <c r="M47" s="274"/>
      <c r="N47" s="273"/>
      <c r="O47" s="275"/>
    </row>
    <row r="48" spans="1:15" x14ac:dyDescent="0.2">
      <c r="A48" s="268"/>
      <c r="C48" s="527">
        <v>7</v>
      </c>
      <c r="D48" s="527" t="s">
        <v>198</v>
      </c>
      <c r="E48" s="528">
        <v>0</v>
      </c>
      <c r="F48" s="531">
        <v>1E+19</v>
      </c>
      <c r="G48" s="531">
        <v>40</v>
      </c>
      <c r="H48" s="531">
        <v>100000000000000</v>
      </c>
      <c r="I48" s="528"/>
      <c r="J48" s="531">
        <v>-100000</v>
      </c>
      <c r="K48" s="531">
        <v>100000000</v>
      </c>
      <c r="L48" s="530">
        <f>'Indicators Sheet_(IS)'!O29</f>
        <v>0</v>
      </c>
      <c r="M48" s="530">
        <f>IF('Indicators Sheet_(IS)'!P29=Berechnung1!$G$5,1,IF('Indicators Sheet_(IS)'!P29=Berechnung1!$F$5,1,IF('Indicators Sheet_(IS)'!P29=Berechnung1!$E$5,2,IF('Indicators Sheet_(IS)'!P29=Berechnung1!$D$5,3,IF('Indicators Sheet_(IS)'!P29=Berechnung1!$C$5,4,"")))))</f>
        <v>1</v>
      </c>
      <c r="N48" s="530">
        <f>IF(M48&gt;1,M48+3,M48)</f>
        <v>1</v>
      </c>
      <c r="O48" s="530">
        <f>IF('Indicators Sheet_(IS)'!R29="",0,1)</f>
        <v>0</v>
      </c>
    </row>
    <row r="49" spans="1:15" x14ac:dyDescent="0.2">
      <c r="A49" s="268"/>
      <c r="C49" s="271"/>
      <c r="D49" s="271"/>
      <c r="E49" s="279"/>
      <c r="F49" s="370"/>
      <c r="G49" s="370"/>
      <c r="H49" s="370"/>
      <c r="I49" s="279"/>
      <c r="J49" s="370"/>
      <c r="K49" s="370"/>
      <c r="L49" s="369"/>
      <c r="M49" s="274"/>
      <c r="N49" s="274"/>
      <c r="O49" s="274"/>
    </row>
    <row r="50" spans="1:15" x14ac:dyDescent="0.2">
      <c r="A50" s="268"/>
      <c r="C50" s="271"/>
      <c r="D50" s="271"/>
      <c r="E50" s="279"/>
      <c r="F50" s="370"/>
      <c r="G50" s="370"/>
      <c r="H50" s="370"/>
      <c r="I50" s="279"/>
      <c r="J50" s="370"/>
      <c r="K50" s="370"/>
      <c r="L50" s="369"/>
      <c r="M50" s="274"/>
      <c r="N50" s="274"/>
      <c r="O50" s="274"/>
    </row>
    <row r="51" spans="1:15" x14ac:dyDescent="0.2">
      <c r="A51" s="268"/>
      <c r="B51" s="8"/>
      <c r="C51" s="527">
        <v>8</v>
      </c>
      <c r="D51" s="527" t="s">
        <v>198</v>
      </c>
      <c r="E51" s="528">
        <v>0</v>
      </c>
      <c r="F51" s="528">
        <v>1</v>
      </c>
      <c r="G51" s="528">
        <v>0.7</v>
      </c>
      <c r="H51" s="528">
        <v>10000</v>
      </c>
      <c r="I51" s="528"/>
      <c r="J51" s="531">
        <v>-100000</v>
      </c>
      <c r="K51" s="531">
        <v>100000000</v>
      </c>
      <c r="L51" s="529" t="str">
        <f>'Indicators Sheet_(IS)'!O34</f>
        <v>n.d.</v>
      </c>
      <c r="M51" s="530">
        <f>IF('Indicators Sheet_(IS)'!P32=Berechnung1!$G$5,1,IF('Indicators Sheet_(IS)'!P32=Berechnung1!$F$5,1,IF('Indicators Sheet_(IS)'!P32=Berechnung1!$E$5,2,IF('Indicators Sheet_(IS)'!P32=Berechnung1!$D$5,3,IF('Indicators Sheet_(IS)'!P32=Berechnung1!$C$5,4,"")))))</f>
        <v>1</v>
      </c>
      <c r="N51" s="530">
        <f t="shared" ref="N51" si="2">IF(M51&gt;1,M51+3,M51)</f>
        <v>1</v>
      </c>
      <c r="O51" s="530">
        <f>IF('Indicators Sheet_(IS)'!R32="",0,1)</f>
        <v>0</v>
      </c>
    </row>
    <row r="52" spans="1:15" x14ac:dyDescent="0.2">
      <c r="A52" s="268"/>
      <c r="C52" s="270"/>
      <c r="D52" s="271"/>
      <c r="E52" s="272"/>
      <c r="F52" s="272"/>
      <c r="G52" s="272"/>
      <c r="H52" s="272"/>
      <c r="I52" s="272"/>
      <c r="J52" s="272"/>
      <c r="K52" s="272"/>
      <c r="L52" s="277"/>
      <c r="M52" s="274"/>
      <c r="N52" s="274"/>
      <c r="O52" s="278"/>
    </row>
    <row r="53" spans="1:15" x14ac:dyDescent="0.2">
      <c r="A53" s="268"/>
      <c r="C53" s="270"/>
      <c r="D53" s="271"/>
      <c r="E53" s="272"/>
      <c r="F53" s="272"/>
      <c r="G53" s="272"/>
      <c r="H53" s="272"/>
      <c r="I53" s="272"/>
      <c r="J53" s="272"/>
      <c r="K53" s="272"/>
      <c r="L53" s="277"/>
      <c r="M53" s="274"/>
      <c r="N53" s="274"/>
      <c r="O53" s="278"/>
    </row>
    <row r="54" spans="1:15" x14ac:dyDescent="0.2">
      <c r="A54" s="268"/>
      <c r="B54" s="258" t="s">
        <v>441</v>
      </c>
      <c r="C54" s="359">
        <v>9</v>
      </c>
      <c r="D54" s="359" t="s">
        <v>198</v>
      </c>
      <c r="E54" s="360">
        <v>0</v>
      </c>
      <c r="F54" s="360">
        <v>1</v>
      </c>
      <c r="G54" s="360">
        <v>0.4</v>
      </c>
      <c r="H54" s="360">
        <v>10000</v>
      </c>
      <c r="I54" s="360"/>
      <c r="J54" s="360">
        <v>-10000</v>
      </c>
      <c r="K54" s="360">
        <v>10000</v>
      </c>
      <c r="L54" s="361" t="str">
        <f>'Indicators Sheet_(IS)'!O37</f>
        <v>n.d.</v>
      </c>
      <c r="M54" s="362">
        <f>IF('Indicators Sheet_(IS)'!P35=Berechnung1!$H$5,5,IF('Indicators Sheet_(IS)'!P35=Berechnung1!$G$5,1,IF('Indicators Sheet_(IS)'!P35=Berechnung1!$F$5,1,IF('Indicators Sheet_(IS)'!P35=Berechnung1!$E$5,2,IF(AND('Indicators Sheet_(IS)'!P35=Berechnung1!$D$5,'Indicators Sheet_(IS)'!O35=0,'Indicators Sheet_(IS)'!O36=0),5,IF('Indicators Sheet_(IS)'!P35=Berechnung1!$D$5,3,IF('Indicators Sheet_(IS)'!P35=Berechnung1!$C$5,4,"")))))))</f>
        <v>1</v>
      </c>
      <c r="N54" s="362">
        <f>IF(M54&gt;1,M54+3,M54)</f>
        <v>1</v>
      </c>
      <c r="O54" s="363">
        <f>IF('Indicators Sheet_(IS)'!R35="",0,1)</f>
        <v>0</v>
      </c>
    </row>
    <row r="55" spans="1:15" x14ac:dyDescent="0.2">
      <c r="A55" s="268"/>
      <c r="C55" s="270"/>
      <c r="D55" s="271"/>
      <c r="E55" s="272"/>
      <c r="F55" s="272"/>
      <c r="G55" s="272"/>
      <c r="H55" s="279"/>
      <c r="I55" s="272"/>
      <c r="J55" s="272"/>
      <c r="K55" s="272"/>
      <c r="L55" s="279"/>
      <c r="M55" s="274"/>
      <c r="N55" s="274"/>
      <c r="O55" s="280"/>
    </row>
    <row r="56" spans="1:15" x14ac:dyDescent="0.2">
      <c r="A56" s="268"/>
      <c r="C56" s="270"/>
      <c r="D56" s="271"/>
      <c r="E56" s="272"/>
      <c r="F56" s="272"/>
      <c r="G56" s="272"/>
      <c r="H56" s="279"/>
      <c r="I56" s="272"/>
      <c r="J56" s="272"/>
      <c r="K56" s="272"/>
      <c r="L56" s="279"/>
      <c r="M56" s="274"/>
      <c r="N56" s="274"/>
      <c r="O56" s="280"/>
    </row>
    <row r="57" spans="1:15" x14ac:dyDescent="0.2">
      <c r="A57" s="268"/>
      <c r="C57" s="527">
        <v>10</v>
      </c>
      <c r="D57" s="527" t="s">
        <v>198</v>
      </c>
      <c r="E57" s="528">
        <v>0</v>
      </c>
      <c r="F57" s="528">
        <v>1</v>
      </c>
      <c r="G57" s="528">
        <v>0.3</v>
      </c>
      <c r="H57" s="528">
        <v>10000</v>
      </c>
      <c r="I57" s="528"/>
      <c r="J57" s="528">
        <v>-10000</v>
      </c>
      <c r="K57" s="528">
        <v>0.9</v>
      </c>
      <c r="L57" s="533" t="str">
        <f>'Indicators Sheet_(IS)'!O40</f>
        <v>n.d.</v>
      </c>
      <c r="M57" s="530">
        <f>IF('Indicators Sheet_(IS)'!P38=Berechnung1!$G$5,1,IF('Indicators Sheet_(IS)'!P38=Berechnung1!$F$5,1,IF('Indicators Sheet_(IS)'!P38=Berechnung1!$E$5,2,IF('Indicators Sheet_(IS)'!P38=Berechnung1!$D$5,3,IF('Indicators Sheet_(IS)'!P38=Berechnung1!$C$5,4,"")))))</f>
        <v>1</v>
      </c>
      <c r="N57" s="530">
        <f>IF(M57&gt;1,M57+3,M57)</f>
        <v>1</v>
      </c>
      <c r="O57" s="534">
        <f>IF('Indicators Sheet_(IS)'!R38="",0,1)</f>
        <v>0</v>
      </c>
    </row>
    <row r="58" spans="1:15" x14ac:dyDescent="0.2">
      <c r="A58" s="268"/>
      <c r="C58" s="270"/>
      <c r="D58" s="271"/>
      <c r="E58" s="272"/>
      <c r="F58" s="272"/>
      <c r="G58" s="272"/>
      <c r="H58" s="272"/>
      <c r="I58" s="272"/>
      <c r="J58" s="272"/>
      <c r="K58" s="272"/>
      <c r="L58" s="279"/>
      <c r="M58" s="274"/>
      <c r="N58" s="274"/>
      <c r="O58" s="280"/>
    </row>
    <row r="59" spans="1:15" x14ac:dyDescent="0.2">
      <c r="A59" s="268"/>
      <c r="C59" s="270"/>
      <c r="D59" s="271"/>
      <c r="E59" s="272"/>
      <c r="F59" s="272"/>
      <c r="G59" s="272"/>
      <c r="H59" s="272"/>
      <c r="I59" s="272"/>
      <c r="J59" s="272"/>
      <c r="K59" s="272"/>
      <c r="L59" s="279"/>
      <c r="M59" s="274"/>
      <c r="N59" s="274"/>
      <c r="O59" s="280"/>
    </row>
    <row r="60" spans="1:15" x14ac:dyDescent="0.2">
      <c r="A60" s="268"/>
      <c r="C60" s="527">
        <v>11</v>
      </c>
      <c r="D60" s="527" t="s">
        <v>198</v>
      </c>
      <c r="E60" s="528">
        <v>0</v>
      </c>
      <c r="F60" s="528">
        <v>1</v>
      </c>
      <c r="G60" s="528">
        <v>0.8</v>
      </c>
      <c r="H60" s="528">
        <v>10000</v>
      </c>
      <c r="I60" s="528"/>
      <c r="J60" s="528">
        <v>-10000</v>
      </c>
      <c r="K60" s="528">
        <v>10000</v>
      </c>
      <c r="L60" s="533" t="str">
        <f>'Indicators Sheet_(IS)'!O43</f>
        <v>n.d.</v>
      </c>
      <c r="M60" s="530">
        <f>IF('Indicators Sheet_(IS)'!P41=Berechnung1!$G$5,1,IF('Indicators Sheet_(IS)'!P41=Berechnung1!$F$5,1,IF('Indicators Sheet_(IS)'!P41=Berechnung1!$E$5,2,IF('Indicators Sheet_(IS)'!P41=Berechnung1!$D$5,3,IF('Indicators Sheet_(IS)'!P41=Berechnung1!$C$5,4,"")))))</f>
        <v>1</v>
      </c>
      <c r="N60" s="530">
        <f>IF(M60&gt;1,M60+3,M60)</f>
        <v>1</v>
      </c>
      <c r="O60" s="534">
        <f>IF('Indicators Sheet_(IS)'!R41="",0,1)</f>
        <v>0</v>
      </c>
    </row>
    <row r="61" spans="1:15" x14ac:dyDescent="0.2">
      <c r="A61" s="268"/>
      <c r="C61" s="270"/>
      <c r="D61" s="271"/>
      <c r="E61" s="272"/>
      <c r="F61" s="272"/>
      <c r="G61" s="272"/>
      <c r="H61" s="272"/>
      <c r="I61" s="272"/>
      <c r="J61" s="272"/>
      <c r="K61" s="272"/>
      <c r="L61" s="279"/>
      <c r="M61" s="274"/>
      <c r="N61" s="274"/>
      <c r="O61" s="280"/>
    </row>
    <row r="62" spans="1:15" x14ac:dyDescent="0.2">
      <c r="A62" s="268"/>
      <c r="C62" s="270"/>
      <c r="D62" s="271"/>
      <c r="E62" s="272"/>
      <c r="F62" s="272"/>
      <c r="G62" s="272"/>
      <c r="H62" s="272"/>
      <c r="I62" s="272"/>
      <c r="J62" s="272"/>
      <c r="K62" s="272"/>
      <c r="L62" s="279"/>
      <c r="M62" s="274"/>
      <c r="N62" s="274"/>
      <c r="O62" s="280"/>
    </row>
    <row r="63" spans="1:15" ht="10.5" customHeight="1" x14ac:dyDescent="0.2">
      <c r="A63" s="268"/>
      <c r="C63" s="527">
        <v>13</v>
      </c>
      <c r="D63" s="527" t="s">
        <v>198</v>
      </c>
      <c r="E63" s="528">
        <v>0</v>
      </c>
      <c r="F63" s="528">
        <v>1</v>
      </c>
      <c r="G63" s="528">
        <v>0.6</v>
      </c>
      <c r="H63" s="528">
        <v>10000</v>
      </c>
      <c r="I63" s="528"/>
      <c r="J63" s="528">
        <v>-10000</v>
      </c>
      <c r="K63" s="528">
        <v>10000</v>
      </c>
      <c r="L63" s="533" t="str">
        <f>'Indicators Sheet_(IS)'!O49</f>
        <v>n.d.</v>
      </c>
      <c r="M63" s="530">
        <f>IF('Indicators Sheet_(IS)'!P47=Berechnung1!$G$5,1,IF('Indicators Sheet_(IS)'!P47=Berechnung1!$F$5,1,IF('Indicators Sheet_(IS)'!P47=Berechnung1!$E$5,2,IF('Indicators Sheet_(IS)'!P47=Berechnung1!$D$5,3,IF('Indicators Sheet_(IS)'!P47=Berechnung1!$C$5,4,"")))))</f>
        <v>1</v>
      </c>
      <c r="N63" s="530">
        <f>IF(M63&gt;1,M63+3,M63)</f>
        <v>1</v>
      </c>
      <c r="O63" s="534">
        <f>IF('Indicators Sheet_(IS)'!R47="",0,1)</f>
        <v>0</v>
      </c>
    </row>
    <row r="64" spans="1:15" x14ac:dyDescent="0.2">
      <c r="A64" s="268"/>
      <c r="C64" s="270"/>
      <c r="D64" s="271"/>
      <c r="E64" s="272"/>
      <c r="F64" s="272"/>
      <c r="G64" s="272"/>
      <c r="H64" s="272"/>
      <c r="I64" s="272"/>
      <c r="J64" s="272"/>
      <c r="K64" s="272"/>
      <c r="L64" s="281"/>
      <c r="M64" s="274"/>
      <c r="N64" s="274"/>
      <c r="O64" s="280"/>
    </row>
    <row r="65" spans="1:15" x14ac:dyDescent="0.2">
      <c r="A65" s="268"/>
      <c r="C65" s="270"/>
      <c r="D65" s="271"/>
      <c r="E65" s="272"/>
      <c r="F65" s="272"/>
      <c r="G65" s="272"/>
      <c r="H65" s="272"/>
      <c r="I65" s="272"/>
      <c r="J65" s="272"/>
      <c r="K65" s="272"/>
      <c r="L65" s="281"/>
      <c r="M65" s="274"/>
      <c r="N65" s="274"/>
      <c r="O65" s="280"/>
    </row>
    <row r="66" spans="1:15" x14ac:dyDescent="0.2">
      <c r="B66" s="258" t="s">
        <v>441</v>
      </c>
      <c r="C66" s="359">
        <v>14</v>
      </c>
      <c r="D66" s="426" t="s">
        <v>198</v>
      </c>
      <c r="E66" s="446">
        <v>0</v>
      </c>
      <c r="F66" s="446">
        <v>1</v>
      </c>
      <c r="G66" s="446">
        <v>0.6</v>
      </c>
      <c r="H66" s="446">
        <v>10000</v>
      </c>
      <c r="I66" s="446"/>
      <c r="J66" s="446">
        <v>-10000</v>
      </c>
      <c r="K66" s="446">
        <v>10000</v>
      </c>
      <c r="L66" s="361" t="str">
        <f>'Indicators Sheet_(IS)'!O52</f>
        <v>n.d.</v>
      </c>
      <c r="M66" s="362">
        <f>IF('Indicators Sheet_(IS)'!P71=Berechnung1!$H$5,5,IF('Indicators Sheet_(IS)'!P71=Berechnung1!$G$5,1,IF('Indicators Sheet_(IS)'!P71=Berechnung1!$F$5,1,IF('Indicators Sheet_(IS)'!P71=Berechnung1!$E$5,2,IF(AND('Indicators Sheet_(IS)'!P71=Berechnung1!$D$5,'Indicators Sheet_(IS)'!O71=0,'Indicators Sheet_(IS)'!O72=0),5,IF('Indicators Sheet_(IS)'!P71=Berechnung1!$D$5,3,IF('Indicators Sheet_(IS)'!P71=Berechnung1!$C$5,4,"")))))))</f>
        <v>1</v>
      </c>
      <c r="N66" s="362">
        <f t="shared" ref="N66:N69" si="3">IF(M66&gt;1,M66+3,M66)</f>
        <v>1</v>
      </c>
      <c r="O66" s="363">
        <f>IF('Indicators Sheet_(IS)'!R50="",0,1)</f>
        <v>0</v>
      </c>
    </row>
    <row r="67" spans="1:15" x14ac:dyDescent="0.2">
      <c r="C67" s="270"/>
      <c r="D67" s="271"/>
      <c r="E67" s="272"/>
      <c r="F67" s="272"/>
      <c r="G67" s="272"/>
      <c r="H67" s="272"/>
      <c r="I67" s="272"/>
      <c r="J67" s="272"/>
      <c r="K67" s="272"/>
      <c r="L67" s="281"/>
      <c r="M67" s="281" t="str">
        <f>IF('Indicators Sheet_(IS)'!P72=Berechnung1!$H$5,5,IF('Indicators Sheet_(IS)'!P72=Berechnung1!$G$5,1,IF('Indicators Sheet_(IS)'!P72=Berechnung1!$F$5,1,IF('Indicators Sheet_(IS)'!P72=Berechnung1!$E$5,2,IF(AND('Indicators Sheet_(IS)'!P72=Berechnung1!$D$5,'Indicators Sheet_(IS)'!O72=0,'Indicators Sheet_(IS)'!O73=0),5,IF('Indicators Sheet_(IS)'!P72=Berechnung1!$D$5,3,IF('Indicators Sheet_(IS)'!P72=Berechnung1!$C$5,4,"")))))))</f>
        <v/>
      </c>
      <c r="N67" s="274"/>
      <c r="O67" s="280"/>
    </row>
    <row r="68" spans="1:15" x14ac:dyDescent="0.2">
      <c r="C68" s="270"/>
      <c r="D68" s="271"/>
      <c r="E68" s="272"/>
      <c r="F68" s="272"/>
      <c r="G68" s="272"/>
      <c r="H68" s="272"/>
      <c r="I68" s="272"/>
      <c r="J68" s="272"/>
      <c r="K68" s="272"/>
      <c r="L68" s="281"/>
      <c r="M68" s="281" t="str">
        <f>IF('Indicators Sheet_(IS)'!P73=Berechnung1!$H$5,5,IF('Indicators Sheet_(IS)'!P73=Berechnung1!$G$5,1,IF('Indicators Sheet_(IS)'!P73=Berechnung1!$F$5,1,IF('Indicators Sheet_(IS)'!P73=Berechnung1!$E$5,2,IF(AND('Indicators Sheet_(IS)'!P73=Berechnung1!$D$5,'Indicators Sheet_(IS)'!O73=0,'Indicators Sheet_(IS)'!O74=0),5,IF('Indicators Sheet_(IS)'!P73=Berechnung1!$D$5,3,IF('Indicators Sheet_(IS)'!P73=Berechnung1!$C$5,4,"")))))))</f>
        <v/>
      </c>
      <c r="N68" s="274"/>
      <c r="O68" s="280"/>
    </row>
    <row r="69" spans="1:15" x14ac:dyDescent="0.2">
      <c r="B69" s="258" t="s">
        <v>441</v>
      </c>
      <c r="C69" s="359">
        <v>15</v>
      </c>
      <c r="D69" s="426" t="s">
        <v>198</v>
      </c>
      <c r="E69" s="446">
        <v>0</v>
      </c>
      <c r="F69" s="446">
        <v>1</v>
      </c>
      <c r="G69" s="446">
        <v>0.8</v>
      </c>
      <c r="H69" s="446">
        <v>10000</v>
      </c>
      <c r="I69" s="446"/>
      <c r="J69" s="446">
        <v>-10000</v>
      </c>
      <c r="K69" s="446">
        <v>10000</v>
      </c>
      <c r="L69" s="361" t="str">
        <f>'Indicators Sheet_(IS)'!O55</f>
        <v>n.d.</v>
      </c>
      <c r="M69" s="362">
        <f>IF('Indicators Sheet_(IS)'!P74=Berechnung1!$H$5,5,IF('Indicators Sheet_(IS)'!P74=Berechnung1!$G$5,1,IF('Indicators Sheet_(IS)'!P74=Berechnung1!$F$5,1,IF('Indicators Sheet_(IS)'!P74=Berechnung1!$E$5,2,IF(AND('Indicators Sheet_(IS)'!P74=Berechnung1!$D$5,'Indicators Sheet_(IS)'!O74=0,'Indicators Sheet_(IS)'!O75=0),5,IF('Indicators Sheet_(IS)'!P74=Berechnung1!$D$5,3,IF('Indicators Sheet_(IS)'!P74=Berechnung1!$C$5,4,"")))))))</f>
        <v>1</v>
      </c>
      <c r="N69" s="362">
        <f t="shared" si="3"/>
        <v>1</v>
      </c>
      <c r="O69" s="363">
        <f>IF('Indicators Sheet_(IS)'!R53="",0,1)</f>
        <v>0</v>
      </c>
    </row>
    <row r="70" spans="1:15" x14ac:dyDescent="0.2">
      <c r="C70" s="270"/>
      <c r="D70" s="271"/>
      <c r="E70" s="272"/>
      <c r="F70" s="272"/>
      <c r="G70" s="272"/>
      <c r="H70" s="272"/>
      <c r="I70" s="272"/>
      <c r="J70" s="272"/>
      <c r="K70" s="272"/>
      <c r="L70" s="277"/>
      <c r="M70" s="281" t="str">
        <f>IF('Indicators Sheet_(IS)'!P75=Berechnung1!$H$5,5,IF('Indicators Sheet_(IS)'!P75=Berechnung1!$G$5,1,IF('Indicators Sheet_(IS)'!P75=Berechnung1!$F$5,1,IF('Indicators Sheet_(IS)'!P75=Berechnung1!$E$5,2,IF(AND('Indicators Sheet_(IS)'!P75=Berechnung1!$D$5,'Indicators Sheet_(IS)'!O75=0,'Indicators Sheet_(IS)'!O76=0),5,IF('Indicators Sheet_(IS)'!P75=Berechnung1!$D$5,3,IF('Indicators Sheet_(IS)'!P75=Berechnung1!$C$5,4,"")))))))</f>
        <v/>
      </c>
      <c r="N70" s="277"/>
      <c r="O70" s="278"/>
    </row>
    <row r="71" spans="1:15" x14ac:dyDescent="0.2">
      <c r="C71" s="270"/>
      <c r="D71" s="271"/>
      <c r="E71" s="272"/>
      <c r="F71" s="272"/>
      <c r="G71" s="272"/>
      <c r="H71" s="272"/>
      <c r="I71" s="272"/>
      <c r="J71" s="272"/>
      <c r="K71" s="272"/>
      <c r="L71" s="277"/>
      <c r="M71" s="281" t="str">
        <f>IF('Indicators Sheet_(IS)'!P76=Berechnung1!$H$5,5,IF('Indicators Sheet_(IS)'!P76=Berechnung1!$G$5,1,IF('Indicators Sheet_(IS)'!P76=Berechnung1!$F$5,1,IF('Indicators Sheet_(IS)'!P76=Berechnung1!$E$5,2,IF(AND('Indicators Sheet_(IS)'!P76=Berechnung1!$D$5,'Indicators Sheet_(IS)'!O76=0,'Indicators Sheet_(IS)'!O77=0),5,IF('Indicators Sheet_(IS)'!P76=Berechnung1!$D$5,3,IF('Indicators Sheet_(IS)'!P76=Berechnung1!$C$5,4,"")))))))</f>
        <v/>
      </c>
      <c r="N71" s="277"/>
      <c r="O71" s="278"/>
    </row>
    <row r="72" spans="1:15" x14ac:dyDescent="0.2">
      <c r="B72" s="258" t="s">
        <v>441</v>
      </c>
      <c r="C72" s="359">
        <v>16</v>
      </c>
      <c r="D72" s="359" t="s">
        <v>198</v>
      </c>
      <c r="E72" s="360">
        <v>0</v>
      </c>
      <c r="F72" s="360">
        <v>1</v>
      </c>
      <c r="G72" s="446">
        <v>0.5</v>
      </c>
      <c r="H72" s="360">
        <v>10000</v>
      </c>
      <c r="I72" s="360"/>
      <c r="J72" s="446">
        <v>-10000</v>
      </c>
      <c r="K72" s="360">
        <v>10000</v>
      </c>
      <c r="L72" s="361" t="str">
        <f>'Indicators Sheet_(IS)'!O58</f>
        <v>n.d.</v>
      </c>
      <c r="M72" s="362">
        <f>IF('Indicators Sheet_(IS)'!P77=Berechnung1!$H$5,5,IF('Indicators Sheet_(IS)'!P77=Berechnung1!$G$5,1,IF('Indicators Sheet_(IS)'!P77=Berechnung1!$F$5,1,IF('Indicators Sheet_(IS)'!P77=Berechnung1!$E$5,2,IF(AND('Indicators Sheet_(IS)'!P77=Berechnung1!$D$5,'Indicators Sheet_(IS)'!O77=0,'Indicators Sheet_(IS)'!O78=0),5,IF('Indicators Sheet_(IS)'!P77=Berechnung1!$D$5,3,IF('Indicators Sheet_(IS)'!P77=Berechnung1!$C$5,4,"")))))))</f>
        <v>1</v>
      </c>
      <c r="N72" s="362">
        <f>IF(M72&gt;1,M72+3,M72)</f>
        <v>1</v>
      </c>
      <c r="O72" s="363">
        <f>IF('Indicators Sheet_(IS)'!R56="",0,1)</f>
        <v>0</v>
      </c>
    </row>
    <row r="73" spans="1:15" x14ac:dyDescent="0.2">
      <c r="C73" s="425"/>
      <c r="D73" s="271"/>
      <c r="E73" s="272"/>
      <c r="F73" s="272"/>
      <c r="G73" s="272"/>
      <c r="H73" s="272"/>
      <c r="I73" s="272"/>
      <c r="J73" s="272"/>
      <c r="K73" s="272"/>
      <c r="L73" s="277"/>
      <c r="M73" s="281" t="str">
        <f>IF('Indicators Sheet_(IS)'!P78=Berechnung1!$H$5,5,IF('Indicators Sheet_(IS)'!P78=Berechnung1!$G$5,1,IF('Indicators Sheet_(IS)'!P78=Berechnung1!$F$5,1,IF('Indicators Sheet_(IS)'!P78=Berechnung1!$E$5,2,IF(AND('Indicators Sheet_(IS)'!P78=Berechnung1!$D$5,'Indicators Sheet_(IS)'!O78=0,'Indicators Sheet_(IS)'!O79=0),5,IF('Indicators Sheet_(IS)'!P78=Berechnung1!$D$5,3,IF('Indicators Sheet_(IS)'!P78=Berechnung1!$C$5,4,"")))))))</f>
        <v/>
      </c>
      <c r="N73" s="277"/>
      <c r="O73" s="278"/>
    </row>
    <row r="74" spans="1:15" x14ac:dyDescent="0.2">
      <c r="C74" s="270"/>
      <c r="D74" s="271"/>
      <c r="E74" s="272"/>
      <c r="F74" s="272"/>
      <c r="G74" s="272"/>
      <c r="H74" s="272"/>
      <c r="I74" s="272"/>
      <c r="J74" s="272"/>
      <c r="K74" s="272"/>
      <c r="L74" s="277"/>
      <c r="M74" s="281" t="str">
        <f>IF('Indicators Sheet_(IS)'!P79=Berechnung1!$H$5,5,IF('Indicators Sheet_(IS)'!P79=Berechnung1!$G$5,1,IF('Indicators Sheet_(IS)'!P79=Berechnung1!$F$5,1,IF('Indicators Sheet_(IS)'!P79=Berechnung1!$E$5,2,IF(AND('Indicators Sheet_(IS)'!P79=Berechnung1!$D$5,'Indicators Sheet_(IS)'!O79=0,'Indicators Sheet_(IS)'!O80=0),5,IF('Indicators Sheet_(IS)'!P79=Berechnung1!$D$5,3,IF('Indicators Sheet_(IS)'!P79=Berechnung1!$C$5,4,"")))))))</f>
        <v/>
      </c>
      <c r="N74" s="277"/>
      <c r="O74" s="278"/>
    </row>
    <row r="75" spans="1:15" x14ac:dyDescent="0.2">
      <c r="B75" s="8" t="s">
        <v>441</v>
      </c>
      <c r="C75" s="359">
        <v>17</v>
      </c>
      <c r="D75" s="359" t="s">
        <v>198</v>
      </c>
      <c r="E75" s="360">
        <v>0</v>
      </c>
      <c r="F75" s="360">
        <v>1</v>
      </c>
      <c r="G75" s="360">
        <v>0.9</v>
      </c>
      <c r="H75" s="360">
        <v>10000</v>
      </c>
      <c r="I75" s="360"/>
      <c r="J75" s="360">
        <v>-10000</v>
      </c>
      <c r="K75" s="360">
        <v>10000</v>
      </c>
      <c r="L75" s="361" t="str">
        <f>'Indicators Sheet_(IS)'!O61</f>
        <v>n.d.</v>
      </c>
      <c r="M75" s="362">
        <f>IF('Indicators Sheet_(IS)'!P80=Berechnung1!$H$5,5,IF('Indicators Sheet_(IS)'!P80=Berechnung1!$G$5,1,IF('Indicators Sheet_(IS)'!P80=Berechnung1!$F$5,1,IF('Indicators Sheet_(IS)'!P80=Berechnung1!$E$5,2,IF(AND('Indicators Sheet_(IS)'!P80=Berechnung1!$D$5,'Indicators Sheet_(IS)'!O80=0,'Indicators Sheet_(IS)'!O81=0),5,IF('Indicators Sheet_(IS)'!P80=Berechnung1!$D$5,3,IF('Indicators Sheet_(IS)'!P80=Berechnung1!$C$5,4,"")))))))</f>
        <v>1</v>
      </c>
      <c r="N75" s="362">
        <f>IF(M75&gt;1,M75+3,M75)</f>
        <v>1</v>
      </c>
      <c r="O75" s="363">
        <f>IF('Indicators Sheet_(IS)'!R59="",0,1)</f>
        <v>0</v>
      </c>
    </row>
    <row r="76" spans="1:15" x14ac:dyDescent="0.2">
      <c r="C76" s="270"/>
      <c r="D76" s="271"/>
      <c r="E76" s="272"/>
      <c r="F76" s="272"/>
      <c r="G76" s="272"/>
      <c r="H76" s="272"/>
      <c r="I76" s="272"/>
      <c r="J76" s="272"/>
      <c r="K76" s="272"/>
      <c r="L76" s="277"/>
      <c r="M76" s="281" t="str">
        <f>IF('Indicators Sheet_(IS)'!P81=Berechnung1!$H$5,5,IF('Indicators Sheet_(IS)'!P81=Berechnung1!$G$5,1,IF('Indicators Sheet_(IS)'!P81=Berechnung1!$F$5,1,IF('Indicators Sheet_(IS)'!P81=Berechnung1!$E$5,2,IF(AND('Indicators Sheet_(IS)'!P81=Berechnung1!$D$5,'Indicators Sheet_(IS)'!O81=0,'Indicators Sheet_(IS)'!O82=0),5,IF('Indicators Sheet_(IS)'!P81=Berechnung1!$D$5,3,IF('Indicators Sheet_(IS)'!P81=Berechnung1!$C$5,4,"")))))))</f>
        <v/>
      </c>
      <c r="N76" s="277"/>
      <c r="O76" s="278"/>
    </row>
    <row r="77" spans="1:15" x14ac:dyDescent="0.2">
      <c r="C77" s="270"/>
      <c r="D77" s="271"/>
      <c r="E77" s="272"/>
      <c r="F77" s="272"/>
      <c r="G77" s="272"/>
      <c r="H77" s="272"/>
      <c r="I77" s="272"/>
      <c r="J77" s="272"/>
      <c r="K77" s="272"/>
      <c r="L77" s="277"/>
      <c r="M77" s="281" t="str">
        <f>IF('Indicators Sheet_(IS)'!P82=Berechnung1!$H$5,5,IF('Indicators Sheet_(IS)'!P82=Berechnung1!$G$5,1,IF('Indicators Sheet_(IS)'!P82=Berechnung1!$F$5,1,IF('Indicators Sheet_(IS)'!P82=Berechnung1!$E$5,2,IF(AND('Indicators Sheet_(IS)'!P82=Berechnung1!$D$5,'Indicators Sheet_(IS)'!O82=0,'Indicators Sheet_(IS)'!O83=0),5,IF('Indicators Sheet_(IS)'!P82=Berechnung1!$D$5,3,IF('Indicators Sheet_(IS)'!P82=Berechnung1!$C$5,4,"")))))))</f>
        <v/>
      </c>
      <c r="N77" s="277"/>
      <c r="O77" s="278"/>
    </row>
    <row r="78" spans="1:15" x14ac:dyDescent="0.2">
      <c r="B78" s="8" t="s">
        <v>441</v>
      </c>
      <c r="C78" s="359">
        <v>18</v>
      </c>
      <c r="D78" s="359" t="s">
        <v>198</v>
      </c>
      <c r="E78" s="360">
        <v>0</v>
      </c>
      <c r="F78" s="360">
        <v>1</v>
      </c>
      <c r="G78" s="360">
        <v>0.9</v>
      </c>
      <c r="H78" s="360">
        <v>10000</v>
      </c>
      <c r="I78" s="360"/>
      <c r="J78" s="360">
        <v>-10000</v>
      </c>
      <c r="K78" s="360">
        <v>10000</v>
      </c>
      <c r="L78" s="361" t="str">
        <f>'Indicators Sheet_(IS)'!O64</f>
        <v>n.d.</v>
      </c>
      <c r="M78" s="362">
        <f>IF('Indicators Sheet_(IS)'!P83=Berechnung1!$H$5,5,IF('Indicators Sheet_(IS)'!P83=Berechnung1!$G$5,1,IF('Indicators Sheet_(IS)'!P83=Berechnung1!$F$5,1,IF('Indicators Sheet_(IS)'!P83=Berechnung1!$E$5,2,IF(AND('Indicators Sheet_(IS)'!P83=Berechnung1!$D$5,'Indicators Sheet_(IS)'!O83=0,'Indicators Sheet_(IS)'!O84=0),5,IF('Indicators Sheet_(IS)'!P83=Berechnung1!$D$5,3,IF('Indicators Sheet_(IS)'!P83=Berechnung1!$C$5,4,"")))))))</f>
        <v>1</v>
      </c>
      <c r="N78" s="362">
        <f>IF(M78&gt;1,M78+3,M78)</f>
        <v>1</v>
      </c>
      <c r="O78" s="363">
        <f>IF('Indicators Sheet_(IS)'!R62="",0,1)</f>
        <v>0</v>
      </c>
    </row>
    <row r="79" spans="1:15" x14ac:dyDescent="0.2">
      <c r="C79" s="270"/>
      <c r="D79" s="271"/>
      <c r="E79" s="272"/>
      <c r="F79" s="272"/>
      <c r="G79" s="272"/>
      <c r="H79" s="272"/>
      <c r="I79" s="272"/>
      <c r="J79" s="272"/>
      <c r="K79" s="272"/>
      <c r="L79" s="277"/>
      <c r="M79" s="281" t="str">
        <f>IF('Indicators Sheet_(IS)'!P84=Berechnung1!$H$5,5,IF('Indicators Sheet_(IS)'!P84=Berechnung1!$G$5,1,IF('Indicators Sheet_(IS)'!P84=Berechnung1!$F$5,1,IF('Indicators Sheet_(IS)'!P84=Berechnung1!$E$5,2,IF(AND('Indicators Sheet_(IS)'!P84=Berechnung1!$D$5,'Indicators Sheet_(IS)'!O84=0,'Indicators Sheet_(IS)'!O85=0),5,IF('Indicators Sheet_(IS)'!P84=Berechnung1!$D$5,3,IF('Indicators Sheet_(IS)'!P84=Berechnung1!$C$5,4,"")))))))</f>
        <v/>
      </c>
      <c r="N79" s="277"/>
      <c r="O79" s="278"/>
    </row>
    <row r="80" spans="1:15" x14ac:dyDescent="0.2">
      <c r="C80" s="270"/>
      <c r="D80" s="271"/>
      <c r="E80" s="272"/>
      <c r="F80" s="272"/>
      <c r="G80" s="272"/>
      <c r="H80" s="272"/>
      <c r="I80" s="272"/>
      <c r="J80" s="272"/>
      <c r="K80" s="272"/>
      <c r="L80" s="277"/>
      <c r="M80" s="281" t="e">
        <f>IF('Indicators Sheet_(IS)'!P85=Berechnung1!$H$5,5,IF('Indicators Sheet_(IS)'!P85=Berechnung1!$G$5,1,IF('Indicators Sheet_(IS)'!P85=Berechnung1!$F$5,1,IF('Indicators Sheet_(IS)'!P85=Berechnung1!$E$5,2,IF(AND('Indicators Sheet_(IS)'!P85=Berechnung1!$D$5,'Indicators Sheet_(IS)'!O85=0,'Indicators Sheet_(IS)'!#REF!=0),5,IF('Indicators Sheet_(IS)'!P85=Berechnung1!$D$5,3,IF('Indicators Sheet_(IS)'!P85=Berechnung1!$C$5,4,"")))))))</f>
        <v>#REF!</v>
      </c>
      <c r="N80" s="277"/>
      <c r="O80" s="278"/>
    </row>
    <row r="81" spans="2:15" x14ac:dyDescent="0.2">
      <c r="B81" s="258" t="s">
        <v>441</v>
      </c>
      <c r="C81" s="359">
        <v>19</v>
      </c>
      <c r="D81" s="359" t="s">
        <v>198</v>
      </c>
      <c r="E81" s="360">
        <v>0</v>
      </c>
      <c r="F81" s="360">
        <v>1</v>
      </c>
      <c r="G81" s="360">
        <v>0.9</v>
      </c>
      <c r="H81" s="360">
        <v>10000</v>
      </c>
      <c r="I81" s="360"/>
      <c r="J81" s="360">
        <v>-10000</v>
      </c>
      <c r="K81" s="360">
        <v>10000</v>
      </c>
      <c r="L81" s="361" t="str">
        <f>'Indicators Sheet_(IS)'!O67</f>
        <v>n.d.</v>
      </c>
      <c r="M81" s="362"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1" s="362" t="e">
        <f>IF(M81&gt;1,M81+3,M81)</f>
        <v>#REF!</v>
      </c>
      <c r="O81" s="363">
        <f>IF('Indicators Sheet_(IS)'!R65="",0,1)</f>
        <v>0</v>
      </c>
    </row>
    <row r="82" spans="2:15" x14ac:dyDescent="0.2">
      <c r="C82" s="270"/>
      <c r="D82" s="271"/>
      <c r="E82" s="272"/>
      <c r="F82" s="272"/>
      <c r="G82" s="272"/>
      <c r="H82" s="272"/>
      <c r="I82" s="272"/>
      <c r="J82" s="272"/>
      <c r="K82" s="272"/>
      <c r="L82" s="277"/>
      <c r="M82"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2" s="277"/>
      <c r="O82" s="278"/>
    </row>
    <row r="83" spans="2:15" x14ac:dyDescent="0.2">
      <c r="C83" s="270"/>
      <c r="D83" s="271"/>
      <c r="E83" s="272"/>
      <c r="F83" s="272"/>
      <c r="G83" s="272"/>
      <c r="H83" s="272"/>
      <c r="I83" s="272"/>
      <c r="J83" s="272"/>
      <c r="K83" s="272"/>
      <c r="L83" s="277"/>
      <c r="M83"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3" s="277"/>
      <c r="O83" s="278"/>
    </row>
    <row r="84" spans="2:15" x14ac:dyDescent="0.2">
      <c r="B84" s="258" t="s">
        <v>441</v>
      </c>
      <c r="C84" s="359">
        <v>20</v>
      </c>
      <c r="D84" s="359" t="s">
        <v>198</v>
      </c>
      <c r="E84" s="360">
        <v>0</v>
      </c>
      <c r="F84" s="360">
        <v>1</v>
      </c>
      <c r="G84" s="360">
        <v>0.9</v>
      </c>
      <c r="H84" s="360">
        <v>10000</v>
      </c>
      <c r="I84" s="360"/>
      <c r="J84" s="360">
        <v>-10000</v>
      </c>
      <c r="K84" s="360">
        <v>10000</v>
      </c>
      <c r="L84" s="361" t="str">
        <f>'Indicators Sheet_(IS)'!O70</f>
        <v>n.d.</v>
      </c>
      <c r="M84" s="362"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4" s="362" t="e">
        <f t="shared" ref="N84" si="4">IF(M84&gt;1,M84+3,M84)</f>
        <v>#REF!</v>
      </c>
      <c r="O84" s="363">
        <f>IF('Indicators Sheet_(IS)'!R68="",0,1)</f>
        <v>0</v>
      </c>
    </row>
    <row r="85" spans="2:15" x14ac:dyDescent="0.2">
      <c r="C85" s="270"/>
      <c r="D85" s="271"/>
      <c r="E85" s="272"/>
      <c r="F85" s="272"/>
      <c r="G85" s="272"/>
      <c r="H85" s="272"/>
      <c r="I85" s="272"/>
      <c r="J85" s="272"/>
      <c r="K85" s="272"/>
      <c r="L85" s="277"/>
      <c r="M85" s="281" t="e">
        <f>IF('Indicators Sheet_(IS)'!#REF!=Berechnung1!$H$5,5,IF('Indicators Sheet_(IS)'!#REF!=Berechnung1!$G$5,1,IF('Indicators Sheet_(IS)'!#REF!=Berechnung1!$F$5,1,IF('Indicators Sheet_(IS)'!#REF!=Berechnung1!$E$5,2,IF(AND('Indicators Sheet_(IS)'!#REF!=Berechnung1!$D$5,'Indicators Sheet_(IS)'!#REF!=0,'Indicators Sheet_(IS)'!#REF!=0),5,IF('Indicators Sheet_(IS)'!#REF!=Berechnung1!$D$5,3,IF('Indicators Sheet_(IS)'!#REF!=Berechnung1!$C$5,4,"")))))))</f>
        <v>#REF!</v>
      </c>
      <c r="N85" s="277"/>
      <c r="O85" s="278"/>
    </row>
    <row r="86" spans="2:15" x14ac:dyDescent="0.2">
      <c r="C86" s="270"/>
      <c r="D86" s="271"/>
      <c r="E86" s="272"/>
      <c r="F86" s="272"/>
      <c r="G86" s="272"/>
      <c r="H86" s="272"/>
      <c r="I86" s="272"/>
      <c r="J86" s="272"/>
      <c r="K86" s="272"/>
      <c r="L86" s="277"/>
      <c r="M86" s="281" t="e">
        <f>IF('Indicators Sheet_(IS)'!#REF!=Berechnung1!$H$5,5,IF('Indicators Sheet_(IS)'!#REF!=Berechnung1!$G$5,1,IF('Indicators Sheet_(IS)'!#REF!=Berechnung1!$F$5,1,IF('Indicators Sheet_(IS)'!#REF!=Berechnung1!$E$5,2,IF(AND('Indicators Sheet_(IS)'!#REF!=Berechnung1!$D$5,'Indicators Sheet_(IS)'!#REF!=0,'Indicators Sheet_(IS)'!O86=0),5,IF('Indicators Sheet_(IS)'!#REF!=Berechnung1!$D$5,3,IF('Indicators Sheet_(IS)'!#REF!=Berechnung1!$C$5,4,"")))))))</f>
        <v>#REF!</v>
      </c>
      <c r="N86" s="277"/>
      <c r="O86" s="278"/>
    </row>
    <row r="87" spans="2:15" x14ac:dyDescent="0.2">
      <c r="B87" s="258" t="s">
        <v>441</v>
      </c>
      <c r="C87" s="359">
        <v>21</v>
      </c>
      <c r="D87" s="359" t="s">
        <v>198</v>
      </c>
      <c r="E87" s="360">
        <v>0</v>
      </c>
      <c r="F87" s="360">
        <v>1</v>
      </c>
      <c r="G87" s="360">
        <v>-10000</v>
      </c>
      <c r="H87" s="360">
        <v>10000</v>
      </c>
      <c r="I87" s="360"/>
      <c r="J87" s="360">
        <v>0.6</v>
      </c>
      <c r="K87" s="360">
        <v>10000</v>
      </c>
      <c r="L87" s="361" t="str">
        <f>'Indicators Sheet_(IS)'!O73</f>
        <v>n.d.</v>
      </c>
      <c r="M87" s="362">
        <f>IF('Indicators Sheet_(IS)'!P71=Berechnung1!$H$5,5,IF('Indicators Sheet_(IS)'!P71=Berechnung1!$G$5,1,IF('Indicators Sheet_(IS)'!P71=Berechnung1!$F$5,1,IF('Indicators Sheet_(IS)'!P71=Berechnung1!$E$5,2,IF(AND('Indicators Sheet_(IS)'!P71=Berechnung1!$D$5,'Indicators Sheet_(IS)'!O71=0,'Indicators Sheet_(IS)'!O72=0),5,IF('Indicators Sheet_(IS)'!P71=Berechnung1!$D$5,3,IF('Indicators Sheet_(IS)'!P71=Berechnung1!$C$5,4,"")))))))</f>
        <v>1</v>
      </c>
      <c r="N87" s="362">
        <f>IF(M87&gt;1,M87+3,M87)</f>
        <v>1</v>
      </c>
      <c r="O87" s="363">
        <f>IF('Indicators Sheet_(IS)'!R71="",0,1)</f>
        <v>0</v>
      </c>
    </row>
    <row r="88" spans="2:15" x14ac:dyDescent="0.2">
      <c r="C88" s="270"/>
      <c r="D88" s="271"/>
      <c r="E88" s="272"/>
      <c r="F88" s="272"/>
      <c r="G88" s="272"/>
      <c r="H88" s="272"/>
      <c r="I88" s="272"/>
      <c r="J88" s="272"/>
      <c r="K88" s="272"/>
      <c r="L88" s="277"/>
      <c r="M88" s="281" t="str">
        <f>IF('Indicators Sheet_(IS)'!P87=Berechnung1!$H$5,5,IF('Indicators Sheet_(IS)'!P87=Berechnung1!$G$5,1,IF('Indicators Sheet_(IS)'!P87=Berechnung1!$F$5,1,IF('Indicators Sheet_(IS)'!P87=Berechnung1!$E$5,2,IF(AND('Indicators Sheet_(IS)'!P87=Berechnung1!$D$5,'Indicators Sheet_(IS)'!O87=0,'Indicators Sheet_(IS)'!O88=0),5,IF('Indicators Sheet_(IS)'!P87=Berechnung1!$D$5,3,IF('Indicators Sheet_(IS)'!P87=Berechnung1!$C$5,4,"")))))))</f>
        <v/>
      </c>
      <c r="N88" s="277"/>
      <c r="O88" s="278"/>
    </row>
    <row r="89" spans="2:15" x14ac:dyDescent="0.2">
      <c r="C89" s="270"/>
      <c r="D89" s="271"/>
      <c r="E89" s="272"/>
      <c r="F89" s="272"/>
      <c r="G89" s="272"/>
      <c r="H89" s="272"/>
      <c r="I89" s="272"/>
      <c r="J89" s="272"/>
      <c r="K89" s="272"/>
      <c r="L89" s="277"/>
      <c r="M89" s="281" t="str">
        <f>IF('Indicators Sheet_(IS)'!P88=Berechnung1!$H$5,5,IF('Indicators Sheet_(IS)'!P88=Berechnung1!$G$5,1,IF('Indicators Sheet_(IS)'!P88=Berechnung1!$F$5,1,IF('Indicators Sheet_(IS)'!P88=Berechnung1!$E$5,2,IF(AND('Indicators Sheet_(IS)'!P88=Berechnung1!$D$5,'Indicators Sheet_(IS)'!O88=0,'Indicators Sheet_(IS)'!O89=0),5,IF('Indicators Sheet_(IS)'!P88=Berechnung1!$D$5,3,IF('Indicators Sheet_(IS)'!P88=Berechnung1!$C$5,4,"")))))))</f>
        <v/>
      </c>
      <c r="N89" s="277"/>
      <c r="O89" s="278"/>
    </row>
    <row r="90" spans="2:15" x14ac:dyDescent="0.2">
      <c r="B90" s="258" t="s">
        <v>441</v>
      </c>
      <c r="C90" s="359">
        <v>22</v>
      </c>
      <c r="D90" s="359" t="s">
        <v>198</v>
      </c>
      <c r="E90" s="360">
        <v>0</v>
      </c>
      <c r="F90" s="360">
        <v>1</v>
      </c>
      <c r="G90" s="360">
        <v>-10000</v>
      </c>
      <c r="H90" s="360">
        <v>10000</v>
      </c>
      <c r="I90" s="360"/>
      <c r="J90" s="360">
        <v>0.6</v>
      </c>
      <c r="K90" s="360">
        <v>10000</v>
      </c>
      <c r="L90" s="361" t="str">
        <f>'Indicators Sheet_(IS)'!O76</f>
        <v>n.d.</v>
      </c>
      <c r="M90" s="362">
        <f>IF('Indicators Sheet_(IS)'!P74=Berechnung1!$H$5,5,IF('Indicators Sheet_(IS)'!P74=Berechnung1!$G$5,1,IF('Indicators Sheet_(IS)'!P74=Berechnung1!$F$5,1,IF('Indicators Sheet_(IS)'!P74=Berechnung1!$E$5,2,IF(AND('Indicators Sheet_(IS)'!P74=Berechnung1!$D$5,'Indicators Sheet_(IS)'!O74=0,'Indicators Sheet_(IS)'!O75=0),5,IF('Indicators Sheet_(IS)'!P74=Berechnung1!$D$5,3,IF('Indicators Sheet_(IS)'!P74=Berechnung1!$C$5,4,"")))))))</f>
        <v>1</v>
      </c>
      <c r="N90" s="362">
        <f t="shared" ref="N90" si="5">IF(M90&gt;1,M90+3,M90)</f>
        <v>1</v>
      </c>
      <c r="O90" s="363">
        <f>IF('Indicators Sheet_(IS)'!R74="",0,1)</f>
        <v>0</v>
      </c>
    </row>
    <row r="91" spans="2:15" x14ac:dyDescent="0.2">
      <c r="C91" s="270"/>
      <c r="D91" s="271"/>
      <c r="E91" s="279"/>
      <c r="F91" s="279"/>
      <c r="G91" s="279"/>
      <c r="H91" s="279"/>
      <c r="I91" s="279"/>
      <c r="J91" s="279"/>
      <c r="K91" s="279"/>
      <c r="L91" s="281"/>
      <c r="M91" s="274"/>
      <c r="N91" s="274"/>
      <c r="O91" s="280"/>
    </row>
    <row r="92" spans="2:15" x14ac:dyDescent="0.2">
      <c r="C92" s="270"/>
      <c r="D92" s="271"/>
      <c r="E92" s="272"/>
      <c r="F92" s="272"/>
      <c r="G92" s="272"/>
      <c r="H92" s="272"/>
      <c r="I92" s="272"/>
      <c r="J92" s="272"/>
      <c r="K92" s="272"/>
      <c r="L92" s="277"/>
      <c r="M92" s="274"/>
      <c r="N92" s="277"/>
      <c r="O92" s="278"/>
    </row>
    <row r="93" spans="2:15" x14ac:dyDescent="0.2">
      <c r="B93" s="8" t="s">
        <v>441</v>
      </c>
      <c r="C93" s="359">
        <v>23</v>
      </c>
      <c r="D93" s="359" t="s">
        <v>198</v>
      </c>
      <c r="E93" s="360">
        <v>0</v>
      </c>
      <c r="F93" s="360">
        <v>1</v>
      </c>
      <c r="G93" s="360">
        <v>-10000</v>
      </c>
      <c r="H93" s="360">
        <v>10000</v>
      </c>
      <c r="I93" s="360"/>
      <c r="J93" s="360">
        <v>0.6</v>
      </c>
      <c r="K93" s="360">
        <v>10000</v>
      </c>
      <c r="L93" s="361" t="str">
        <f>'Indicators Sheet_(IS)'!O79</f>
        <v>n.d.</v>
      </c>
      <c r="M93" s="362">
        <f>IF('Indicators Sheet_(IS)'!P77=Berechnung1!$G$5,1,IF('Indicators Sheet_(IS)'!P77=Berechnung1!$F$5,1,IF('Indicators Sheet_(IS)'!P77=Berechnung1!$E$5,2,IF('Indicators Sheet_(IS)'!P77=Berechnung1!$D$5,3,IF('Indicators Sheet_(IS)'!P77=Berechnung1!$C$5,4,"")))))</f>
        <v>1</v>
      </c>
      <c r="N93" s="362">
        <f>IF(M93&gt;1,M93+3,M93)</f>
        <v>1</v>
      </c>
      <c r="O93" s="363">
        <f>IF('Indicators Sheet_(IS)'!R77="",0,1)</f>
        <v>0</v>
      </c>
    </row>
    <row r="94" spans="2:15" x14ac:dyDescent="0.2">
      <c r="C94" s="270"/>
      <c r="D94" s="271"/>
      <c r="E94" s="279"/>
      <c r="F94" s="279"/>
      <c r="G94" s="279"/>
      <c r="H94" s="279"/>
      <c r="I94" s="279"/>
      <c r="J94" s="279"/>
      <c r="K94" s="279"/>
      <c r="L94" s="281"/>
      <c r="M94" s="281" t="str">
        <f>IF('Indicators Sheet_(IS)'!P78=Berechnung1!$G$5,1,IF('Indicators Sheet_(IS)'!P78=Berechnung1!$F$5,1,IF('Indicators Sheet_(IS)'!P78=Berechnung1!$E$5,2,IF('Indicators Sheet_(IS)'!P78=Berechnung1!$D$5,3,IF('Indicators Sheet_(IS)'!P78=Berechnung1!$C$5,4,"")))))</f>
        <v/>
      </c>
      <c r="N94" s="274"/>
      <c r="O94" s="280"/>
    </row>
    <row r="95" spans="2:15" x14ac:dyDescent="0.2">
      <c r="C95" s="270"/>
      <c r="D95" s="271"/>
      <c r="E95" s="272"/>
      <c r="F95" s="272"/>
      <c r="G95" s="272"/>
      <c r="H95" s="272"/>
      <c r="I95" s="272"/>
      <c r="J95" s="272"/>
      <c r="K95" s="272"/>
      <c r="L95" s="277"/>
      <c r="M95" s="281" t="str">
        <f>IF('Indicators Sheet_(IS)'!P79=Berechnung1!$G$5,1,IF('Indicators Sheet_(IS)'!P79=Berechnung1!$F$5,1,IF('Indicators Sheet_(IS)'!P79=Berechnung1!$E$5,2,IF('Indicators Sheet_(IS)'!P79=Berechnung1!$D$5,3,IF('Indicators Sheet_(IS)'!P79=Berechnung1!$C$5,4,"")))))</f>
        <v/>
      </c>
      <c r="N95" s="277"/>
      <c r="O95" s="278"/>
    </row>
    <row r="96" spans="2:15" x14ac:dyDescent="0.2">
      <c r="B96" s="8" t="s">
        <v>441</v>
      </c>
      <c r="C96" s="359">
        <v>24</v>
      </c>
      <c r="D96" s="359" t="s">
        <v>198</v>
      </c>
      <c r="E96" s="360">
        <v>0</v>
      </c>
      <c r="F96" s="360">
        <v>1</v>
      </c>
      <c r="G96" s="360">
        <v>-10000</v>
      </c>
      <c r="H96" s="360">
        <v>10000</v>
      </c>
      <c r="I96" s="360"/>
      <c r="J96" s="360">
        <v>0.6</v>
      </c>
      <c r="K96" s="360">
        <v>10000</v>
      </c>
      <c r="L96" s="361" t="str">
        <f>'Indicators Sheet_(IS)'!O82</f>
        <v>n.d.</v>
      </c>
      <c r="M96" s="362">
        <f>IF('Indicators Sheet_(IS)'!P80=Berechnung1!$H$5,5,IF('Indicators Sheet_(IS)'!P80=Berechnung1!$G$5,1,IF('Indicators Sheet_(IS)'!P80=Berechnung1!$F$5,1,IF('Indicators Sheet_(IS)'!P80=Berechnung1!$E$5,2,IF(AND('Indicators Sheet_(IS)'!P80=Berechnung1!$D$5,'Indicators Sheet_(IS)'!O80=0,'Indicators Sheet_(IS)'!O81=0),5,IF('Indicators Sheet_(IS)'!P80=Berechnung1!$D$5,3,IF('Indicators Sheet_(IS)'!P80=Berechnung1!$C$5,4,"")))))))</f>
        <v>1</v>
      </c>
      <c r="N96" s="362">
        <f t="shared" ref="N96" si="6">IF(M96&gt;1,M96+3,M96)</f>
        <v>1</v>
      </c>
      <c r="O96" s="363">
        <f>IF('Indicators Sheet_(IS)'!R80="",0,1)</f>
        <v>0</v>
      </c>
    </row>
    <row r="97" spans="2:15" x14ac:dyDescent="0.2">
      <c r="C97" s="271"/>
      <c r="D97" s="271"/>
      <c r="E97" s="279"/>
      <c r="F97" s="279"/>
      <c r="G97" s="279"/>
      <c r="H97" s="279"/>
      <c r="I97" s="279"/>
      <c r="J97" s="279"/>
      <c r="K97" s="279"/>
      <c r="L97" s="281"/>
      <c r="M97" s="281" t="str">
        <f>IF('Indicators Sheet_(IS)'!P81=Berechnung1!$G$5,1,IF('Indicators Sheet_(IS)'!P81=Berechnung1!$F$5,1,IF('Indicators Sheet_(IS)'!P81=Berechnung1!$E$5,2,IF('Indicators Sheet_(IS)'!P81=Berechnung1!$D$5,3,IF('Indicators Sheet_(IS)'!P81=Berechnung1!$C$5,4,"")))))</f>
        <v/>
      </c>
      <c r="N97" s="274"/>
      <c r="O97" s="280"/>
    </row>
    <row r="98" spans="2:15" x14ac:dyDescent="0.2">
      <c r="C98" s="271"/>
      <c r="D98" s="271"/>
      <c r="E98" s="279"/>
      <c r="F98" s="279"/>
      <c r="G98" s="279"/>
      <c r="H98" s="279"/>
      <c r="I98" s="279"/>
      <c r="J98" s="279"/>
      <c r="K98" s="279"/>
      <c r="L98" s="281"/>
      <c r="M98" s="281" t="str">
        <f>IF('Indicators Sheet_(IS)'!P82=Berechnung1!$G$5,1,IF('Indicators Sheet_(IS)'!P82=Berechnung1!$F$5,1,IF('Indicators Sheet_(IS)'!P82=Berechnung1!$E$5,2,IF('Indicators Sheet_(IS)'!P82=Berechnung1!$D$5,3,IF('Indicators Sheet_(IS)'!P82=Berechnung1!$C$5,4,"")))))</f>
        <v/>
      </c>
      <c r="N98" s="274"/>
      <c r="O98" s="280"/>
    </row>
    <row r="99" spans="2:15" x14ac:dyDescent="0.2">
      <c r="B99" s="8" t="s">
        <v>902</v>
      </c>
      <c r="C99" s="426">
        <v>25</v>
      </c>
      <c r="D99" s="426" t="s">
        <v>198</v>
      </c>
      <c r="E99" s="446">
        <v>0</v>
      </c>
      <c r="F99" s="446">
        <v>1</v>
      </c>
      <c r="G99" s="446">
        <v>-10000</v>
      </c>
      <c r="H99" s="446">
        <v>10000</v>
      </c>
      <c r="I99" s="446"/>
      <c r="J99" s="446">
        <v>0.6</v>
      </c>
      <c r="K99" s="360">
        <v>10000</v>
      </c>
      <c r="L99" s="447" t="str">
        <f>'Indicators Sheet_(IS)'!O85</f>
        <v>n.d.</v>
      </c>
      <c r="M99" s="362">
        <f>IF('Indicators Sheet_(IS)'!P83=Berechnung1!$H$5,5,IF('Indicators Sheet_(IS)'!P83=Berechnung1!$G$5,1,IF('Indicators Sheet_(IS)'!P83=Berechnung1!$F$5,1,IF('Indicators Sheet_(IS)'!P83=Berechnung1!$E$5,2,IF(AND('Indicators Sheet_(IS)'!P83=Berechnung1!$D$5,'Indicators Sheet_(IS)'!O83=0,'Indicators Sheet_(IS)'!O84=0),5,IF('Indicators Sheet_(IS)'!P83=Berechnung1!$D$5,3,IF('Indicators Sheet_(IS)'!P83=Berechnung1!$C$5,4,"")))))))</f>
        <v>1</v>
      </c>
      <c r="N99" s="448">
        <f t="shared" ref="N99" si="7">IF(M99&gt;1,M99+3,M99)</f>
        <v>1</v>
      </c>
      <c r="O99" s="449">
        <f>IF('Indicators Sheet_(IS)'!R83="",0,1)</f>
        <v>0</v>
      </c>
    </row>
    <row r="100" spans="2:15" x14ac:dyDescent="0.2">
      <c r="C100" s="271"/>
      <c r="D100" s="271"/>
      <c r="E100" s="279"/>
      <c r="F100" s="279"/>
      <c r="G100" s="279"/>
      <c r="H100" s="279"/>
      <c r="I100" s="279"/>
      <c r="J100" s="279"/>
      <c r="K100" s="279"/>
      <c r="L100" s="281"/>
      <c r="M100" s="274"/>
      <c r="N100" s="274"/>
      <c r="O100" s="280"/>
    </row>
    <row r="101" spans="2:15" x14ac:dyDescent="0.2">
      <c r="C101" s="270"/>
      <c r="D101" s="271"/>
      <c r="E101" s="279"/>
      <c r="F101" s="279"/>
      <c r="G101" s="279"/>
      <c r="H101" s="279"/>
      <c r="I101" s="279"/>
      <c r="J101" s="279"/>
      <c r="K101" s="279"/>
      <c r="L101" s="427"/>
      <c r="M101" s="274"/>
      <c r="N101" s="427"/>
      <c r="O101" s="428"/>
    </row>
    <row r="102" spans="2:15" x14ac:dyDescent="0.2">
      <c r="C102" s="282"/>
      <c r="D102" s="268"/>
      <c r="E102" s="283"/>
      <c r="F102" s="283"/>
      <c r="G102" s="283"/>
      <c r="H102" s="283"/>
      <c r="I102" s="283"/>
      <c r="J102" s="283"/>
      <c r="K102" s="283"/>
      <c r="L102" s="284"/>
      <c r="M102" s="285"/>
      <c r="N102" s="284"/>
      <c r="O102" s="286"/>
    </row>
    <row r="103" spans="2:15" x14ac:dyDescent="0.2">
      <c r="C103" s="282"/>
      <c r="D103" s="268"/>
      <c r="E103" s="283"/>
      <c r="F103" s="283"/>
      <c r="G103" s="283"/>
      <c r="H103" s="283"/>
      <c r="I103" s="283"/>
      <c r="J103" s="283"/>
      <c r="K103" s="283"/>
      <c r="L103" s="284"/>
      <c r="M103" s="285"/>
      <c r="N103" s="284"/>
      <c r="O103" s="286"/>
    </row>
    <row r="104" spans="2:15" x14ac:dyDescent="0.2">
      <c r="C104" s="282"/>
      <c r="D104" s="268"/>
      <c r="E104" s="283"/>
      <c r="F104" s="283"/>
      <c r="G104" s="283"/>
      <c r="H104" s="283"/>
      <c r="I104" s="283"/>
      <c r="J104" s="283"/>
      <c r="K104" s="283"/>
      <c r="L104" s="284"/>
      <c r="M104" s="285"/>
      <c r="N104" s="284"/>
      <c r="O104" s="286"/>
    </row>
    <row r="105" spans="2:15" x14ac:dyDescent="0.2">
      <c r="C105" s="282"/>
      <c r="D105" s="268"/>
      <c r="E105" s="283"/>
      <c r="F105" s="283"/>
      <c r="G105" s="283"/>
      <c r="H105" s="283"/>
      <c r="I105" s="283"/>
      <c r="J105" s="283"/>
      <c r="K105" s="283"/>
      <c r="L105" s="284"/>
      <c r="M105" s="285"/>
      <c r="N105" s="284"/>
      <c r="O105" s="286"/>
    </row>
    <row r="106" spans="2:15" x14ac:dyDescent="0.2">
      <c r="C106" s="282"/>
      <c r="D106" s="268"/>
      <c r="E106" s="283"/>
      <c r="F106" s="283"/>
      <c r="G106" s="283"/>
      <c r="H106" s="283"/>
      <c r="I106" s="283"/>
      <c r="J106" s="283"/>
      <c r="K106" s="283"/>
      <c r="L106" s="284"/>
      <c r="M106" s="285"/>
      <c r="N106" s="284"/>
      <c r="O106" s="286"/>
    </row>
    <row r="107" spans="2:15" x14ac:dyDescent="0.2">
      <c r="C107" s="282"/>
      <c r="D107" s="268"/>
      <c r="E107" s="283"/>
      <c r="F107" s="283"/>
      <c r="G107" s="283"/>
      <c r="H107" s="283"/>
      <c r="I107" s="283"/>
      <c r="J107" s="283"/>
      <c r="K107" s="283"/>
      <c r="L107" s="284"/>
      <c r="M107" s="285"/>
      <c r="N107" s="284"/>
      <c r="O107" s="286"/>
    </row>
    <row r="108" spans="2:15" x14ac:dyDescent="0.2">
      <c r="C108" s="282"/>
      <c r="D108" s="268"/>
      <c r="E108" s="283"/>
      <c r="F108" s="283"/>
      <c r="G108" s="283"/>
      <c r="H108" s="283"/>
      <c r="I108" s="283"/>
      <c r="J108" s="283"/>
      <c r="K108" s="283"/>
      <c r="L108" s="284"/>
      <c r="M108" s="285"/>
      <c r="N108" s="284"/>
      <c r="O108" s="286"/>
    </row>
    <row r="109" spans="2:15" x14ac:dyDescent="0.2">
      <c r="C109" s="282"/>
      <c r="D109" s="268"/>
      <c r="E109" s="283"/>
      <c r="F109" s="283"/>
      <c r="G109" s="283"/>
      <c r="H109" s="283"/>
      <c r="I109" s="283"/>
      <c r="J109" s="283"/>
      <c r="K109" s="283"/>
      <c r="L109" s="284"/>
      <c r="M109" s="285"/>
      <c r="N109" s="284"/>
      <c r="O109" s="286"/>
    </row>
    <row r="110" spans="2:15" x14ac:dyDescent="0.2">
      <c r="C110" s="282"/>
      <c r="D110" s="268"/>
      <c r="E110" s="283"/>
      <c r="F110" s="283"/>
      <c r="G110" s="283"/>
      <c r="H110" s="283"/>
      <c r="I110" s="283"/>
      <c r="J110" s="283"/>
      <c r="K110" s="283"/>
      <c r="L110" s="284"/>
      <c r="M110" s="285"/>
      <c r="N110" s="284"/>
      <c r="O110" s="286"/>
    </row>
    <row r="111" spans="2:15" x14ac:dyDescent="0.2">
      <c r="C111" s="282"/>
      <c r="D111" s="268"/>
      <c r="E111" s="283"/>
      <c r="F111" s="283"/>
      <c r="G111" s="283"/>
      <c r="H111" s="283"/>
      <c r="I111" s="283"/>
      <c r="J111" s="283"/>
      <c r="K111" s="283"/>
      <c r="L111" s="284"/>
      <c r="M111" s="285"/>
      <c r="N111" s="284"/>
      <c r="O111" s="286"/>
    </row>
    <row r="112" spans="2:15" x14ac:dyDescent="0.2">
      <c r="C112" s="282"/>
      <c r="D112" s="268"/>
      <c r="E112" s="283"/>
      <c r="F112" s="283"/>
      <c r="G112" s="283"/>
      <c r="H112" s="283"/>
      <c r="I112" s="283"/>
      <c r="J112" s="283"/>
      <c r="K112" s="283"/>
      <c r="L112" s="284"/>
      <c r="M112" s="285"/>
      <c r="N112" s="284"/>
      <c r="O112" s="286"/>
    </row>
    <row r="113" spans="1:15" x14ac:dyDescent="0.2">
      <c r="C113" s="282"/>
      <c r="D113" s="268"/>
      <c r="E113" s="283"/>
      <c r="F113" s="283"/>
      <c r="G113" s="283"/>
      <c r="H113" s="283"/>
      <c r="I113" s="283"/>
      <c r="J113" s="283"/>
      <c r="K113" s="283"/>
      <c r="L113" s="284"/>
      <c r="M113" s="285"/>
      <c r="N113" s="284"/>
      <c r="O113" s="286"/>
    </row>
    <row r="114" spans="1:15" x14ac:dyDescent="0.2">
      <c r="C114" s="282"/>
      <c r="D114" s="268"/>
      <c r="E114" s="283"/>
      <c r="F114" s="283"/>
      <c r="G114" s="283"/>
      <c r="H114" s="283"/>
      <c r="I114" s="283"/>
      <c r="J114" s="283"/>
      <c r="K114" s="283"/>
      <c r="L114" s="284"/>
      <c r="M114" s="285"/>
      <c r="N114" s="284"/>
      <c r="O114" s="286"/>
    </row>
    <row r="115" spans="1:15" x14ac:dyDescent="0.2">
      <c r="C115" s="282"/>
      <c r="D115" s="268"/>
      <c r="E115" s="283"/>
      <c r="F115" s="283"/>
      <c r="G115" s="283"/>
      <c r="H115" s="283"/>
      <c r="I115" s="283"/>
      <c r="J115" s="283"/>
      <c r="K115" s="283"/>
      <c r="L115" s="284"/>
      <c r="M115" s="285"/>
      <c r="N115" s="284"/>
      <c r="O115" s="286"/>
    </row>
    <row r="116" spans="1:15" x14ac:dyDescent="0.2">
      <c r="C116" s="282"/>
      <c r="D116" s="268"/>
      <c r="E116" s="283"/>
      <c r="F116" s="283"/>
      <c r="G116" s="283"/>
      <c r="H116" s="283"/>
      <c r="I116" s="283"/>
      <c r="J116" s="283"/>
      <c r="K116" s="283"/>
      <c r="L116" s="284"/>
      <c r="M116" s="285"/>
      <c r="N116" s="284"/>
      <c r="O116" s="286"/>
    </row>
    <row r="117" spans="1:15" x14ac:dyDescent="0.2">
      <c r="C117" s="282"/>
      <c r="D117" s="268"/>
      <c r="E117" s="283"/>
      <c r="F117" s="283"/>
      <c r="G117" s="283"/>
      <c r="H117" s="283"/>
      <c r="I117" s="283"/>
      <c r="J117" s="283"/>
      <c r="K117" s="283"/>
      <c r="L117" s="284"/>
      <c r="M117" s="285"/>
      <c r="N117" s="284"/>
      <c r="O117" s="286"/>
    </row>
    <row r="118" spans="1:15" x14ac:dyDescent="0.2">
      <c r="C118" s="282"/>
      <c r="D118" s="268"/>
      <c r="E118" s="283"/>
      <c r="F118" s="283"/>
      <c r="G118" s="283"/>
      <c r="H118" s="283"/>
      <c r="I118" s="283"/>
      <c r="J118" s="283"/>
      <c r="K118" s="283"/>
      <c r="L118" s="284"/>
      <c r="M118" s="285"/>
      <c r="N118" s="284"/>
      <c r="O118" s="286"/>
    </row>
    <row r="119" spans="1:15" x14ac:dyDescent="0.2">
      <c r="C119" s="282"/>
      <c r="D119" s="268"/>
      <c r="E119" s="283"/>
      <c r="F119" s="283"/>
      <c r="G119" s="283"/>
      <c r="H119" s="283"/>
      <c r="I119" s="283"/>
      <c r="J119" s="283"/>
      <c r="K119" s="283"/>
      <c r="L119" s="284"/>
      <c r="M119" s="285"/>
      <c r="N119" s="284"/>
      <c r="O119" s="286"/>
    </row>
    <row r="120" spans="1:15" x14ac:dyDescent="0.2">
      <c r="C120" s="282"/>
      <c r="D120" s="268"/>
      <c r="E120" s="283"/>
      <c r="F120" s="283"/>
      <c r="G120" s="283"/>
      <c r="H120" s="283"/>
      <c r="I120" s="283"/>
      <c r="J120" s="283"/>
      <c r="K120" s="283"/>
      <c r="L120" s="284"/>
      <c r="M120" s="285"/>
      <c r="N120" s="284"/>
      <c r="O120" s="286"/>
    </row>
    <row r="121" spans="1:15" x14ac:dyDescent="0.2">
      <c r="C121" s="282"/>
      <c r="D121" s="268"/>
      <c r="E121" s="283"/>
      <c r="F121" s="283"/>
      <c r="G121" s="283"/>
      <c r="H121" s="283"/>
      <c r="I121" s="283"/>
      <c r="J121" s="283"/>
      <c r="K121" s="283"/>
      <c r="L121" s="284"/>
      <c r="M121" s="285"/>
      <c r="N121" s="284"/>
      <c r="O121" s="286"/>
    </row>
    <row r="123" spans="1:15" x14ac:dyDescent="0.2">
      <c r="A123" s="257" t="s">
        <v>23</v>
      </c>
      <c r="B123" s="257"/>
      <c r="C123" s="257"/>
      <c r="D123" s="257"/>
      <c r="I123" s="257" t="s">
        <v>22</v>
      </c>
      <c r="J123" s="259"/>
      <c r="K123" s="259"/>
      <c r="L123" s="259"/>
    </row>
    <row r="124" spans="1:15" x14ac:dyDescent="0.2">
      <c r="A124" s="257" t="s">
        <v>14</v>
      </c>
      <c r="C124" s="257" t="s">
        <v>15</v>
      </c>
      <c r="D124" s="257" t="s">
        <v>239</v>
      </c>
      <c r="J124" s="259"/>
      <c r="K124" s="259"/>
      <c r="L124" s="259"/>
    </row>
    <row r="125" spans="1:15" x14ac:dyDescent="0.2">
      <c r="A125" s="258" t="s">
        <v>319</v>
      </c>
      <c r="C125" s="258" t="s">
        <v>274</v>
      </c>
      <c r="D125" s="258" t="s">
        <v>262</v>
      </c>
      <c r="I125" s="258" t="s">
        <v>176</v>
      </c>
      <c r="J125" s="259"/>
      <c r="K125" s="259"/>
      <c r="L125" s="259"/>
    </row>
    <row r="126" spans="1:15" x14ac:dyDescent="0.2">
      <c r="D126" s="258" t="s">
        <v>260</v>
      </c>
      <c r="I126" s="258" t="s">
        <v>175</v>
      </c>
      <c r="J126" s="259"/>
      <c r="K126" s="259"/>
      <c r="L126" s="259"/>
    </row>
    <row r="127" spans="1:15" x14ac:dyDescent="0.2">
      <c r="D127" s="258" t="s">
        <v>261</v>
      </c>
      <c r="J127" s="259"/>
      <c r="K127" s="259"/>
      <c r="L127" s="259"/>
    </row>
    <row r="128" spans="1:15" x14ac:dyDescent="0.2">
      <c r="I128" s="258" t="s">
        <v>18</v>
      </c>
      <c r="J128" s="259"/>
      <c r="K128" s="259"/>
      <c r="L128" s="259"/>
    </row>
    <row r="129" spans="1:12" x14ac:dyDescent="0.2">
      <c r="I129" s="258" t="s">
        <v>13</v>
      </c>
      <c r="J129" s="259"/>
      <c r="K129" s="259"/>
      <c r="L129" s="259"/>
    </row>
    <row r="130" spans="1:12" x14ac:dyDescent="0.2">
      <c r="A130" s="287">
        <v>4</v>
      </c>
      <c r="C130" s="258" t="s">
        <v>274</v>
      </c>
      <c r="D130" s="258" t="s">
        <v>262</v>
      </c>
      <c r="J130" s="259"/>
      <c r="K130" s="259"/>
      <c r="L130" s="259"/>
    </row>
    <row r="131" spans="1:12" x14ac:dyDescent="0.2">
      <c r="D131" s="258" t="s">
        <v>260</v>
      </c>
      <c r="I131" s="258" t="s">
        <v>11</v>
      </c>
      <c r="J131" s="259"/>
      <c r="K131" s="259"/>
      <c r="L131" s="259"/>
    </row>
    <row r="132" spans="1:12" x14ac:dyDescent="0.2">
      <c r="I132" s="258" t="s">
        <v>12</v>
      </c>
      <c r="J132" s="259"/>
      <c r="K132" s="259"/>
      <c r="L132" s="259"/>
    </row>
    <row r="134" spans="1:12" x14ac:dyDescent="0.2">
      <c r="J134" s="259"/>
      <c r="K134" s="259"/>
      <c r="L134" s="259"/>
    </row>
    <row r="135" spans="1:12" x14ac:dyDescent="0.2">
      <c r="I135" s="258" t="s">
        <v>331</v>
      </c>
      <c r="J135" s="259"/>
      <c r="K135" s="259"/>
      <c r="L135" s="259"/>
    </row>
    <row r="136" spans="1:12" x14ac:dyDescent="0.2">
      <c r="J136" s="259"/>
      <c r="K136" s="259"/>
      <c r="L136" s="259"/>
    </row>
  </sheetData>
  <phoneticPr fontId="35" type="noConversion"/>
  <pageMargins left="0.7" right="0.7" top="0.78740157499999996" bottom="0.78740157499999996"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10</vt:i4>
      </vt:variant>
    </vt:vector>
  </HeadingPairs>
  <TitlesOfParts>
    <vt:vector size="27" baseType="lpstr">
      <vt:lpstr>Basic Data</vt:lpstr>
      <vt:lpstr>Datenquelle</vt:lpstr>
      <vt:lpstr>HilfstabelleSD</vt:lpstr>
      <vt:lpstr>HilfstabelleB</vt:lpstr>
      <vt:lpstr>Studies</vt:lpstr>
      <vt:lpstr>HilfstabelleStudien</vt:lpstr>
      <vt:lpstr>Indicators Sheet_(IS)</vt:lpstr>
      <vt:lpstr>HilfstabelleKB</vt:lpstr>
      <vt:lpstr>Berechnung1</vt:lpstr>
      <vt:lpstr>Datendefizite_KB</vt:lpstr>
      <vt:lpstr>Hilfstabelle Datendef_KB</vt:lpstr>
      <vt:lpstr>Matrix</vt:lpstr>
      <vt:lpstr>Datendefizite_Matrix</vt:lpstr>
      <vt:lpstr>Berechnung2</vt:lpstr>
      <vt:lpstr>Berechnung3</vt:lpstr>
      <vt:lpstr>HilfstabelleM</vt:lpstr>
      <vt:lpstr>HilfstabelleDM</vt:lpstr>
      <vt:lpstr>Keine_Zusammenarbeit</vt:lpstr>
      <vt:lpstr>myCategory</vt:lpstr>
      <vt:lpstr>'Basic Data'!Print_Area</vt:lpstr>
      <vt:lpstr>'Indicators Sheet_(IS)'!Print_Area</vt:lpstr>
      <vt:lpstr>Studies!Print_Area</vt:lpstr>
      <vt:lpstr>Datendefizite_KB!Print_Titles</vt:lpstr>
      <vt:lpstr>Datendefizite_Matrix!Print_Titles</vt:lpstr>
      <vt:lpstr>'Indicators Sheet_(IS)'!Print_Titles</vt:lpstr>
      <vt:lpstr>Tumordokumentation</vt:lpstr>
      <vt:lpstr>zentrumsintern___ohne_Krebsregister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2025-12-10T07:53:18Z</cp:lastPrinted>
  <dcterms:created xsi:type="dcterms:W3CDTF">2012-04-12T09:13:43Z</dcterms:created>
  <dcterms:modified xsi:type="dcterms:W3CDTF">2025-12-10T07:58:06Z</dcterms:modified>
</cp:coreProperties>
</file>