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ables/table1.xml" ContentType="application/vnd.openxmlformats-officedocument.spreadsheetml.table+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codeName="ThisWorkbook" defaultThemeVersion="124226"/>
  <mc:AlternateContent xmlns:mc="http://schemas.openxmlformats.org/markup-compatibility/2006">
    <mc:Choice Requires="x15">
      <x15ac:absPath xmlns:x15ac="http://schemas.microsoft.com/office/spreadsheetml/2010/11/ac" url="L:\06_daten\09_excel-kennzahlenbögen\15_excel-kb auditjahr 2026\organe\lunge\"/>
    </mc:Choice>
  </mc:AlternateContent>
  <xr:revisionPtr revIDLastSave="0" documentId="13_ncr:1_{F20410FB-86E3-49BE-B4E8-794008CDC37D}" xr6:coauthVersionLast="47" xr6:coauthVersionMax="47" xr10:uidLastSave="{00000000-0000-0000-0000-000000000000}"/>
  <workbookProtection workbookAlgorithmName="SHA-512" workbookHashValue="ucbMd04AL7/MhSc4ixfDeofstn+9USwoiV5XoufQFL77VJsZHZzGblzPJy0FZzPwkOYnXdJmX2I7xkgV1QSisw==" workbookSaltValue="1TqMRNp2mcKryT2ojBfBLg==" workbookSpinCount="100000" lockStructure="1"/>
  <bookViews>
    <workbookView xWindow="-120" yWindow="-120" windowWidth="29040" windowHeight="15840" tabRatio="788" xr2:uid="{00000000-000D-0000-FFFF-FFFF00000000}"/>
  </bookViews>
  <sheets>
    <sheet name="Basic Data" sheetId="54" r:id="rId1"/>
    <sheet name="Expertise_Lung" sheetId="72" r:id="rId2"/>
    <sheet name="HilfstabelleSD" sheetId="62" state="hidden" r:id="rId3"/>
    <sheet name="HilfstabelleB" sheetId="61" state="hidden" r:id="rId4"/>
    <sheet name="Datenquelle" sheetId="53" state="hidden" r:id="rId5"/>
    <sheet name="HilfstabelleL" sheetId="64" state="hidden" r:id="rId6"/>
    <sheet name="Expertise_TSUR_multi-site Lung" sheetId="73" r:id="rId7"/>
    <sheet name="OPS-Codes IN 12_Lung" sheetId="77" r:id="rId8"/>
    <sheet name="Studies_Lung" sheetId="75" r:id="rId9"/>
    <sheet name="HilfstabelleStudien_Lunge" sheetId="76" state="hidden" r:id="rId10"/>
    <sheet name="Indicator sheet_(IS)" sheetId="56" r:id="rId11"/>
    <sheet name="Berechnung1" sheetId="70" state="hidden" r:id="rId12"/>
    <sheet name="Sheet1" sheetId="74" state="hidden" r:id="rId13"/>
    <sheet name="HilfstabelleKB" sheetId="71" state="hidden" r:id="rId14"/>
    <sheet name="Datendefizite_KB" sheetId="44" state="hidden" r:id="rId15"/>
    <sheet name="Hilfstabelle DatendefKB" sheetId="68" state="hidden" r:id="rId16"/>
    <sheet name="Matrix" sheetId="47" state="hidden" r:id="rId17"/>
    <sheet name="HilfstabelleM" sheetId="63" state="hidden" r:id="rId18"/>
    <sheet name="Berechnung2" sheetId="51" state="hidden" r:id="rId19"/>
    <sheet name="Berechnung3" sheetId="67" state="hidden" r:id="rId20"/>
    <sheet name="Datendefizite_Matrix" sheetId="49" state="hidden" r:id="rId21"/>
    <sheet name="HilfstabelleDM" sheetId="66" state="hidden" r:id="rId22"/>
  </sheets>
  <externalReferences>
    <externalReference r:id="rId23"/>
    <externalReference r:id="rId24"/>
  </externalReferences>
  <definedNames>
    <definedName name="_xlnm._FilterDatabase" localSheetId="18" hidden="1">Berechnung2!#REF!</definedName>
    <definedName name="_xlnm._FilterDatabase" localSheetId="19" hidden="1">Berechnung3!#REF!</definedName>
    <definedName name="_xlnm._FilterDatabase" localSheetId="4" hidden="1">Datenquelle!$A$82:$F$84</definedName>
    <definedName name="Keine_Zusammenarbeit">Datenquelle!$B$73</definedName>
    <definedName name="KrebsregisterZusammenarbeit" localSheetId="11">[1]Datenquelle!$B$109:$B$113</definedName>
    <definedName name="KrebsregisterZusammenarbeit" localSheetId="13">[1]Datenquelle!$B$109:$B$113</definedName>
    <definedName name="KrebsregisterZusammenarbeit">Datenquelle!$B$73:$B$77</definedName>
    <definedName name="myCategory">Datenquelle!$A$46:$S$46</definedName>
    <definedName name="myItem" localSheetId="11">OFFSET(Berechnung1!myItemList,0,0,COUNTA(Berechnung1!myItemList),1)</definedName>
    <definedName name="myItem" localSheetId="1">OFFSET(Expertise_Lung!myItemList,0,0,COUNTA(Expertise_Lung!myItemList),1)</definedName>
    <definedName name="myItem" localSheetId="6">OFFSET('Expertise_TSUR_multi-site Lung'!myItemList,0,0,COUNTA('Expertise_TSUR_multi-site Lung'!myItemList),1)</definedName>
    <definedName name="myItem" localSheetId="13">OFFSET(HilfstabelleKB!myItemList,0,0,COUNTA(HilfstabelleKB!myItemList),1)</definedName>
    <definedName name="myItem" localSheetId="9">OFFSET(HilfstabelleStudien_Lunge!myItemList,0,0,COUNTA(HilfstabelleStudien_Lunge!myItemList),1)</definedName>
    <definedName name="myItem" localSheetId="7">OFFSET([0]!myItemList,0,0,COUNTA([0]!myItemList),1)</definedName>
    <definedName name="myItem" localSheetId="8">OFFSET([0]!myItemList,0,0,COUNTA([0]!myItemList),1)</definedName>
    <definedName name="myItem">OFFSET(myItemList,0,0,COUNTA(myItemList),1)</definedName>
    <definedName name="myItemList" localSheetId="11">INDEX([1]Datenquelle!$A$83:$S$103,0,MATCH([1]Datenquelle!$D$116,[1]Datenquelle!$A$82:$S$82,0))</definedName>
    <definedName name="myItemList" localSheetId="13">INDEX([1]Datenquelle!$A$83:$S$103,0,MATCH([1]Datenquelle!$D$116,[1]Datenquelle!$A$82:$S$82,0))</definedName>
    <definedName name="myItemList" localSheetId="9">INDEX([2]Datenquelle!$A$83:$S$103,0,MATCH([2]Datenquelle!$D$118,[2]Datenquelle!$A$82:$S$82,0))</definedName>
    <definedName name="myItemList">INDEX(Datenquelle!$A$47:$S$67,0,MATCH(Datenquelle!$D$80,Datenquelle!$A$46:$S$46,0))</definedName>
    <definedName name="OncoBox">Datenquelle!$B$69:$B$70</definedName>
    <definedName name="_xlnm.Print_Area" localSheetId="0">'Basic Data'!$A$1:$K$46</definedName>
    <definedName name="_xlnm.Print_Area" localSheetId="14">OFFSET(Datendefizite_KB!$A$1,0,0,SUMPRODUCT((Datendefizite_KB!$A$14:$A$41&lt;&gt;"")+0)+13,11)</definedName>
    <definedName name="_xlnm.Print_Area" localSheetId="1">Expertise_Lung!$A$1:$P$33</definedName>
    <definedName name="_xlnm.Print_Area" localSheetId="6">'Expertise_TSUR_multi-site Lung'!$A$1:$T$38</definedName>
    <definedName name="_xlnm.Print_Area" localSheetId="10">'Indicator sheet_(IS)'!$A$1:$P$132</definedName>
    <definedName name="_xlnm.Print_Area" localSheetId="7">'OPS-Codes IN 12_Lung'!$A$1:$D$56</definedName>
    <definedName name="_xlnm.Print_Area" localSheetId="8">Studies_Lung!$A$1:$F$60</definedName>
    <definedName name="_xlnm.Print_Titles" localSheetId="14">Datendefizite_KB!$12:$13</definedName>
    <definedName name="_xlnm.Print_Titles" localSheetId="20">Datendefizite_Matrix!$17:$18</definedName>
    <definedName name="_xlnm.Print_Titles" localSheetId="1">Expertise_Lung!$9:$10</definedName>
    <definedName name="_xlnm.Print_Titles" localSheetId="6">'Expertise_TSUR_multi-site Lung'!$9:$10</definedName>
    <definedName name="_xlnm.Print_Titles" localSheetId="10">'Indicator sheet_(IS)'!$8:$9</definedName>
    <definedName name="_xlnm.Print_Titles" localSheetId="7">'OPS-Codes IN 12_Lung'!$2:$8</definedName>
    <definedName name="Tumordokumentation" localSheetId="11">[1]Datenquelle!$B$1:$B$43</definedName>
    <definedName name="Tumordokumentation" localSheetId="13">[1]Datenquelle!$B$1:$B$43</definedName>
    <definedName name="Tumordokumentation" localSheetId="9">[2]Datenquelle!$B$1:$B$43</definedName>
    <definedName name="Tumordokumentation">Datenquelle!$B$1:$B$44</definedName>
    <definedName name="Zentrum" localSheetId="11">[1]Datenquelle!$A$119:$A$200</definedName>
    <definedName name="Zentrum" localSheetId="13">[1]Datenquelle!$A$119:$A$200</definedName>
    <definedName name="Zentrum" localSheetId="9">[2]Datenquelle!$A$121:$A$200</definedName>
    <definedName name="Zentrum">Datenquelle!$A$84:$A$84</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1" i="72" l="1"/>
  <c r="L21" i="72"/>
  <c r="J21" i="72"/>
  <c r="I21" i="72"/>
  <c r="F6" i="62" l="1"/>
  <c r="E6" i="62"/>
  <c r="B1" i="62"/>
  <c r="Q43" i="56"/>
  <c r="R43" i="56"/>
  <c r="O20" i="56"/>
  <c r="I12" i="75"/>
  <c r="J12" i="75"/>
  <c r="H3" i="76" s="1"/>
  <c r="I13" i="75"/>
  <c r="J13" i="75"/>
  <c r="I14" i="75"/>
  <c r="J14" i="75"/>
  <c r="I15" i="75"/>
  <c r="J15" i="75"/>
  <c r="K15" i="75"/>
  <c r="I16" i="75"/>
  <c r="K16" i="75" s="1"/>
  <c r="J16" i="75"/>
  <c r="I17" i="75"/>
  <c r="J17" i="75"/>
  <c r="I18" i="75"/>
  <c r="A9" i="76" s="1"/>
  <c r="J18" i="75"/>
  <c r="I19" i="75"/>
  <c r="J19" i="75"/>
  <c r="I10" i="76" s="1"/>
  <c r="I20" i="75"/>
  <c r="K20" i="75" s="1"/>
  <c r="J20" i="75"/>
  <c r="I21" i="75"/>
  <c r="J21" i="75"/>
  <c r="I22" i="75"/>
  <c r="A13" i="76" s="1"/>
  <c r="J22" i="75"/>
  <c r="I23" i="75"/>
  <c r="J23" i="75"/>
  <c r="I24" i="75"/>
  <c r="K24" i="75" s="1"/>
  <c r="J24" i="75"/>
  <c r="I25" i="75"/>
  <c r="J25" i="75"/>
  <c r="I26" i="75"/>
  <c r="H17" i="76" s="1"/>
  <c r="J26" i="75"/>
  <c r="I27" i="75"/>
  <c r="J27" i="75"/>
  <c r="I28" i="75"/>
  <c r="I19" i="76" s="1"/>
  <c r="J28" i="75"/>
  <c r="I29" i="75"/>
  <c r="J29" i="75"/>
  <c r="I30" i="75"/>
  <c r="H21" i="76" s="1"/>
  <c r="J30" i="75"/>
  <c r="I31" i="75"/>
  <c r="J31" i="75"/>
  <c r="I32" i="75"/>
  <c r="K32" i="75" s="1"/>
  <c r="J32" i="75"/>
  <c r="I33" i="75"/>
  <c r="J33" i="75"/>
  <c r="I34" i="75"/>
  <c r="A25" i="76" s="1"/>
  <c r="J34" i="75"/>
  <c r="I35" i="75"/>
  <c r="J35" i="75"/>
  <c r="I36" i="75"/>
  <c r="K36" i="75" s="1"/>
  <c r="J36" i="75"/>
  <c r="I37" i="75"/>
  <c r="J37" i="75"/>
  <c r="I38" i="75"/>
  <c r="H29" i="76" s="1"/>
  <c r="J38" i="75"/>
  <c r="I39" i="75"/>
  <c r="J39" i="75"/>
  <c r="I40" i="75"/>
  <c r="K40" i="75" s="1"/>
  <c r="J40" i="75"/>
  <c r="I41" i="75"/>
  <c r="J41" i="75"/>
  <c r="I42" i="75"/>
  <c r="H33" i="76" s="1"/>
  <c r="J42" i="75"/>
  <c r="I43" i="75"/>
  <c r="J43" i="75"/>
  <c r="I44" i="75"/>
  <c r="K44" i="75" s="1"/>
  <c r="J44" i="75"/>
  <c r="I45" i="75"/>
  <c r="J45" i="75"/>
  <c r="I46" i="75"/>
  <c r="H37" i="76" s="1"/>
  <c r="J46" i="75"/>
  <c r="I47" i="75"/>
  <c r="J47" i="75"/>
  <c r="I48" i="75"/>
  <c r="K48" i="75" s="1"/>
  <c r="J48" i="75"/>
  <c r="I49" i="75"/>
  <c r="J49" i="75"/>
  <c r="I50" i="75"/>
  <c r="A41" i="76" s="1"/>
  <c r="J50" i="75"/>
  <c r="I51" i="75"/>
  <c r="J51" i="75"/>
  <c r="I52" i="75"/>
  <c r="I43" i="76" s="1"/>
  <c r="J52" i="75"/>
  <c r="I53" i="75"/>
  <c r="J53" i="75"/>
  <c r="I54" i="75"/>
  <c r="F45" i="76" s="1"/>
  <c r="J54" i="75"/>
  <c r="I55" i="75"/>
  <c r="J55" i="75"/>
  <c r="F46" i="76" s="1"/>
  <c r="I56" i="75"/>
  <c r="I47" i="76" s="1"/>
  <c r="J56" i="75"/>
  <c r="I57" i="75"/>
  <c r="J57" i="75"/>
  <c r="I58" i="75"/>
  <c r="H49" i="76" s="1"/>
  <c r="J58" i="75"/>
  <c r="I59" i="75"/>
  <c r="K59" i="75" s="1"/>
  <c r="J59" i="75"/>
  <c r="I60" i="75"/>
  <c r="A51" i="76" s="1"/>
  <c r="J60" i="75"/>
  <c r="I6" i="76"/>
  <c r="I15" i="76"/>
  <c r="I35" i="76"/>
  <c r="H6" i="76"/>
  <c r="H13" i="76"/>
  <c r="H27" i="76"/>
  <c r="H43" i="76"/>
  <c r="G6" i="76"/>
  <c r="G15" i="76"/>
  <c r="G35" i="76"/>
  <c r="F6" i="76"/>
  <c r="F13" i="76"/>
  <c r="F27" i="76"/>
  <c r="F41" i="76"/>
  <c r="B6" i="76"/>
  <c r="B11" i="76"/>
  <c r="B31" i="76"/>
  <c r="A6" i="76"/>
  <c r="A15" i="76"/>
  <c r="A29" i="76"/>
  <c r="A38" i="76"/>
  <c r="A45" i="76"/>
  <c r="A2" i="75"/>
  <c r="J11" i="75"/>
  <c r="I11" i="75"/>
  <c r="N32" i="73"/>
  <c r="N29" i="73"/>
  <c r="N23" i="73"/>
  <c r="N26" i="73"/>
  <c r="N20" i="73"/>
  <c r="N17" i="73"/>
  <c r="M17" i="73"/>
  <c r="M20" i="73"/>
  <c r="M23" i="73"/>
  <c r="M26" i="73"/>
  <c r="M29" i="73"/>
  <c r="M32" i="73"/>
  <c r="L32" i="73"/>
  <c r="L29" i="73"/>
  <c r="L26" i="73"/>
  <c r="L23" i="73"/>
  <c r="L20" i="73"/>
  <c r="L17" i="73"/>
  <c r="K32" i="73"/>
  <c r="K29" i="73"/>
  <c r="K26" i="73"/>
  <c r="K23" i="73"/>
  <c r="K20" i="73"/>
  <c r="K17" i="73"/>
  <c r="A27" i="76" l="1"/>
  <c r="B47" i="76"/>
  <c r="B27" i="76"/>
  <c r="F35" i="76"/>
  <c r="F25" i="76"/>
  <c r="F11" i="76"/>
  <c r="G31" i="76"/>
  <c r="G11" i="76"/>
  <c r="H35" i="76"/>
  <c r="H25" i="76"/>
  <c r="H11" i="76"/>
  <c r="I31" i="76"/>
  <c r="I11" i="76"/>
  <c r="A33" i="76"/>
  <c r="A23" i="76"/>
  <c r="A11" i="76"/>
  <c r="B43" i="76"/>
  <c r="B19" i="76"/>
  <c r="F33" i="76"/>
  <c r="F19" i="76"/>
  <c r="G27" i="76"/>
  <c r="H19" i="76"/>
  <c r="I27" i="76"/>
  <c r="K55" i="75"/>
  <c r="I44" i="76"/>
  <c r="F38" i="76"/>
  <c r="H30" i="76"/>
  <c r="H22" i="76"/>
  <c r="A18" i="76"/>
  <c r="I48" i="76"/>
  <c r="A47" i="76"/>
  <c r="A31" i="76"/>
  <c r="A17" i="76"/>
  <c r="A10" i="76"/>
  <c r="B35" i="76"/>
  <c r="B15" i="76"/>
  <c r="F29" i="76"/>
  <c r="F17" i="76"/>
  <c r="G43" i="76"/>
  <c r="G19" i="76"/>
  <c r="A50" i="76"/>
  <c r="I51" i="76"/>
  <c r="F49" i="76"/>
  <c r="G47" i="76"/>
  <c r="H45" i="76"/>
  <c r="F43" i="76"/>
  <c r="K46" i="75"/>
  <c r="K42" i="75"/>
  <c r="K38" i="75"/>
  <c r="K30" i="75"/>
  <c r="K26" i="75"/>
  <c r="K22" i="75"/>
  <c r="B22" i="76"/>
  <c r="B10" i="76"/>
  <c r="H46" i="76"/>
  <c r="K51" i="75"/>
  <c r="I38" i="76"/>
  <c r="A34" i="76"/>
  <c r="F30" i="76"/>
  <c r="B26" i="76"/>
  <c r="I22" i="76"/>
  <c r="H14" i="76"/>
  <c r="K19" i="75"/>
  <c r="I5" i="76"/>
  <c r="K12" i="75"/>
  <c r="K47" i="75"/>
  <c r="I36" i="76"/>
  <c r="K39" i="75"/>
  <c r="H26" i="76"/>
  <c r="I24" i="76"/>
  <c r="K27" i="75"/>
  <c r="K23" i="75"/>
  <c r="A43" i="76"/>
  <c r="B42" i="76"/>
  <c r="F51" i="76"/>
  <c r="F14" i="76"/>
  <c r="G51" i="76"/>
  <c r="G38" i="76"/>
  <c r="G26" i="76"/>
  <c r="I42" i="76"/>
  <c r="K60" i="75"/>
  <c r="K56" i="75"/>
  <c r="K52" i="75"/>
  <c r="H10" i="76"/>
  <c r="I8" i="76"/>
  <c r="A3" i="76"/>
  <c r="G42" i="76"/>
  <c r="H38" i="76"/>
  <c r="H42" i="76"/>
  <c r="I40" i="76"/>
  <c r="K43" i="75"/>
  <c r="I32" i="76"/>
  <c r="I28" i="76"/>
  <c r="K31" i="75"/>
  <c r="I20" i="76"/>
  <c r="I16" i="76"/>
  <c r="I12" i="76"/>
  <c r="K14" i="75"/>
  <c r="A49" i="76"/>
  <c r="A42" i="76"/>
  <c r="A22" i="76"/>
  <c r="B51" i="76"/>
  <c r="B38" i="76"/>
  <c r="F22" i="76"/>
  <c r="G22" i="76"/>
  <c r="G10" i="76"/>
  <c r="K28" i="75"/>
  <c r="I4" i="76"/>
  <c r="A26" i="76"/>
  <c r="H9" i="76"/>
  <c r="A39" i="76"/>
  <c r="A7" i="76"/>
  <c r="F9" i="76"/>
  <c r="K58" i="75"/>
  <c r="K54" i="75"/>
  <c r="K35" i="75"/>
  <c r="H41" i="76"/>
  <c r="I26" i="76"/>
  <c r="F2" i="76"/>
  <c r="H51" i="76"/>
  <c r="B50" i="76"/>
  <c r="B34" i="76"/>
  <c r="B18" i="76"/>
  <c r="F50" i="76"/>
  <c r="F39" i="76"/>
  <c r="F34" i="76"/>
  <c r="F23" i="76"/>
  <c r="F18" i="76"/>
  <c r="F7" i="76"/>
  <c r="G50" i="76"/>
  <c r="G34" i="76"/>
  <c r="G18" i="76"/>
  <c r="H50" i="76"/>
  <c r="H39" i="76"/>
  <c r="H34" i="76"/>
  <c r="H23" i="76"/>
  <c r="H18" i="76"/>
  <c r="H7" i="76"/>
  <c r="I50" i="76"/>
  <c r="I34" i="76"/>
  <c r="I18" i="76"/>
  <c r="A37" i="76"/>
  <c r="A21" i="76"/>
  <c r="A5" i="76"/>
  <c r="B39" i="76"/>
  <c r="B23" i="76"/>
  <c r="B7" i="76"/>
  <c r="G39" i="76"/>
  <c r="G23" i="76"/>
  <c r="G7" i="76"/>
  <c r="I39" i="76"/>
  <c r="I23" i="76"/>
  <c r="I7" i="76"/>
  <c r="A46" i="76"/>
  <c r="A35" i="76"/>
  <c r="A30" i="76"/>
  <c r="A19" i="76"/>
  <c r="A14" i="76"/>
  <c r="B46" i="76"/>
  <c r="B30" i="76"/>
  <c r="B14" i="76"/>
  <c r="F47" i="76"/>
  <c r="F42" i="76"/>
  <c r="F37" i="76"/>
  <c r="F31" i="76"/>
  <c r="F26" i="76"/>
  <c r="F21" i="76"/>
  <c r="F15" i="76"/>
  <c r="F10" i="76"/>
  <c r="F5" i="76"/>
  <c r="G46" i="76"/>
  <c r="G30" i="76"/>
  <c r="G14" i="76"/>
  <c r="H47" i="76"/>
  <c r="H31" i="76"/>
  <c r="H15" i="76"/>
  <c r="H5" i="76"/>
  <c r="I46" i="76"/>
  <c r="I30" i="76"/>
  <c r="I14" i="76"/>
  <c r="K50" i="75"/>
  <c r="K34" i="75"/>
  <c r="K18" i="75"/>
  <c r="F3" i="76"/>
  <c r="G3" i="76"/>
  <c r="I3" i="76"/>
  <c r="B3" i="76"/>
  <c r="H2" i="76"/>
  <c r="B2" i="76"/>
  <c r="A2" i="76"/>
  <c r="G2" i="76"/>
  <c r="I2" i="76"/>
  <c r="A48" i="76"/>
  <c r="A44" i="76"/>
  <c r="A40" i="76"/>
  <c r="A36" i="76"/>
  <c r="A32" i="76"/>
  <c r="A28" i="76"/>
  <c r="A24" i="76"/>
  <c r="A20" i="76"/>
  <c r="A16" i="76"/>
  <c r="A12" i="76"/>
  <c r="A8" i="76"/>
  <c r="A4" i="76"/>
  <c r="F48" i="76"/>
  <c r="F44" i="76"/>
  <c r="F40" i="76"/>
  <c r="F36" i="76"/>
  <c r="F32" i="76"/>
  <c r="F28" i="76"/>
  <c r="F24" i="76"/>
  <c r="F20" i="76"/>
  <c r="F16" i="76"/>
  <c r="F12" i="76"/>
  <c r="F8" i="76"/>
  <c r="F4" i="76"/>
  <c r="H48" i="76"/>
  <c r="H44" i="76"/>
  <c r="H40" i="76"/>
  <c r="H36" i="76"/>
  <c r="H32" i="76"/>
  <c r="H28" i="76"/>
  <c r="H24" i="76"/>
  <c r="H20" i="76"/>
  <c r="H16" i="76"/>
  <c r="H12" i="76"/>
  <c r="H8" i="76"/>
  <c r="H4" i="76"/>
  <c r="B49" i="76"/>
  <c r="B45" i="76"/>
  <c r="B41" i="76"/>
  <c r="B37" i="76"/>
  <c r="B33" i="76"/>
  <c r="B29" i="76"/>
  <c r="B25" i="76"/>
  <c r="B21" i="76"/>
  <c r="B17" i="76"/>
  <c r="B13" i="76"/>
  <c r="B9" i="76"/>
  <c r="B5" i="76"/>
  <c r="G49" i="76"/>
  <c r="G45" i="76"/>
  <c r="G41" i="76"/>
  <c r="G37" i="76"/>
  <c r="G33" i="76"/>
  <c r="G29" i="76"/>
  <c r="G25" i="76"/>
  <c r="G21" i="76"/>
  <c r="G17" i="76"/>
  <c r="G13" i="76"/>
  <c r="G9" i="76"/>
  <c r="G5" i="76"/>
  <c r="I49" i="76"/>
  <c r="I45" i="76"/>
  <c r="I41" i="76"/>
  <c r="I37" i="76"/>
  <c r="I33" i="76"/>
  <c r="I29" i="76"/>
  <c r="I25" i="76"/>
  <c r="I21" i="76"/>
  <c r="I17" i="76"/>
  <c r="I13" i="76"/>
  <c r="I9" i="76"/>
  <c r="K57" i="75"/>
  <c r="K53" i="75"/>
  <c r="K49" i="75"/>
  <c r="K45" i="75"/>
  <c r="K41" i="75"/>
  <c r="K37" i="75"/>
  <c r="K33" i="75"/>
  <c r="K29" i="75"/>
  <c r="K25" i="75"/>
  <c r="K21" i="75"/>
  <c r="K17" i="75"/>
  <c r="K13" i="75"/>
  <c r="B48" i="76"/>
  <c r="B44" i="76"/>
  <c r="B40" i="76"/>
  <c r="B36" i="76"/>
  <c r="B32" i="76"/>
  <c r="B28" i="76"/>
  <c r="B24" i="76"/>
  <c r="B20" i="76"/>
  <c r="B16" i="76"/>
  <c r="B12" i="76"/>
  <c r="B8" i="76"/>
  <c r="B4" i="76"/>
  <c r="G48" i="76"/>
  <c r="G44" i="76"/>
  <c r="G40" i="76"/>
  <c r="G36" i="76"/>
  <c r="G32" i="76"/>
  <c r="G28" i="76"/>
  <c r="G24" i="76"/>
  <c r="G20" i="76"/>
  <c r="G16" i="76"/>
  <c r="G12" i="76"/>
  <c r="G8" i="76"/>
  <c r="G4" i="76"/>
  <c r="K11" i="75"/>
  <c r="F5" i="75" l="1"/>
  <c r="O34" i="56" s="1"/>
  <c r="N21" i="72" l="1"/>
  <c r="R40" i="56"/>
  <c r="O57" i="70" s="1"/>
  <c r="Q40" i="56"/>
  <c r="R37" i="56"/>
  <c r="Q37" i="56"/>
  <c r="O15" i="72"/>
  <c r="P15" i="72" s="1"/>
  <c r="N13" i="72"/>
  <c r="N12" i="72"/>
  <c r="N14" i="72"/>
  <c r="J18" i="72"/>
  <c r="K18" i="72"/>
  <c r="L18" i="72"/>
  <c r="J17" i="72"/>
  <c r="K17" i="72"/>
  <c r="L17" i="72"/>
  <c r="J16" i="72"/>
  <c r="K16" i="72"/>
  <c r="L16" i="72"/>
  <c r="I16" i="72"/>
  <c r="I17" i="72"/>
  <c r="I18" i="72"/>
  <c r="K15" i="72"/>
  <c r="L15" i="72"/>
  <c r="J15" i="72"/>
  <c r="I15" i="72"/>
  <c r="F15" i="72"/>
  <c r="D15" i="72"/>
  <c r="C15" i="72"/>
  <c r="A15" i="72"/>
  <c r="O40" i="56"/>
  <c r="L57" i="70"/>
  <c r="P40" i="56" l="1"/>
  <c r="M57" i="70" s="1"/>
  <c r="N57" i="70" s="1"/>
  <c r="N15" i="72"/>
  <c r="N17" i="72"/>
  <c r="N16" i="72"/>
  <c r="N18" i="72"/>
  <c r="B32" i="71" l="1"/>
  <c r="D23" i="72" l="1"/>
  <c r="S98" i="56" l="1"/>
  <c r="C5" i="73" l="1"/>
  <c r="C6" i="72"/>
  <c r="B3" i="71"/>
  <c r="B2" i="71"/>
  <c r="B34" i="71"/>
  <c r="B22" i="71"/>
  <c r="B21" i="71"/>
  <c r="L60" i="70"/>
  <c r="L54" i="70"/>
  <c r="L96" i="70"/>
  <c r="L90" i="70"/>
  <c r="S17" i="73"/>
  <c r="T17" i="73" s="1"/>
  <c r="O90" i="56"/>
  <c r="O79" i="56"/>
  <c r="R79" i="56"/>
  <c r="Q79" i="56"/>
  <c r="O73" i="56"/>
  <c r="R73" i="56"/>
  <c r="Q73" i="56"/>
  <c r="O69" i="70"/>
  <c r="H25" i="71" s="1"/>
  <c r="G24" i="71"/>
  <c r="F25" i="71"/>
  <c r="F24" i="71"/>
  <c r="G22" i="71"/>
  <c r="O43" i="56"/>
  <c r="O37" i="56"/>
  <c r="F22" i="71"/>
  <c r="F21" i="71"/>
  <c r="R34" i="73"/>
  <c r="R33" i="73"/>
  <c r="R32" i="73"/>
  <c r="R31" i="73"/>
  <c r="R30" i="73"/>
  <c r="R28" i="73"/>
  <c r="R27" i="73"/>
  <c r="R25" i="73"/>
  <c r="R22" i="73"/>
  <c r="R21" i="73"/>
  <c r="R19" i="73"/>
  <c r="R18" i="73"/>
  <c r="R11" i="73"/>
  <c r="H32" i="73"/>
  <c r="F32" i="73"/>
  <c r="D32" i="73"/>
  <c r="C32" i="73"/>
  <c r="H29" i="73"/>
  <c r="F29" i="73"/>
  <c r="D29" i="73"/>
  <c r="C29" i="73"/>
  <c r="H26" i="73"/>
  <c r="G26" i="73"/>
  <c r="F26" i="73"/>
  <c r="D26" i="73"/>
  <c r="C26" i="73"/>
  <c r="H23" i="73"/>
  <c r="G23" i="73"/>
  <c r="F23" i="73"/>
  <c r="D23" i="73"/>
  <c r="C23" i="73"/>
  <c r="A32" i="73"/>
  <c r="A29" i="73"/>
  <c r="A26" i="73"/>
  <c r="A23" i="73"/>
  <c r="A20" i="73"/>
  <c r="A17" i="73"/>
  <c r="A14" i="73"/>
  <c r="A11" i="73"/>
  <c r="H20" i="73"/>
  <c r="F20" i="73"/>
  <c r="D20" i="73"/>
  <c r="C20" i="73"/>
  <c r="H17" i="73"/>
  <c r="G17" i="73"/>
  <c r="F17" i="73"/>
  <c r="D17" i="73"/>
  <c r="C17" i="73"/>
  <c r="H14" i="73"/>
  <c r="H11" i="73"/>
  <c r="D14" i="73"/>
  <c r="D11" i="73"/>
  <c r="C11" i="73"/>
  <c r="A2" i="73"/>
  <c r="Q34" i="73"/>
  <c r="Q33" i="73"/>
  <c r="S32" i="73"/>
  <c r="T32" i="73" s="1"/>
  <c r="Q32" i="73"/>
  <c r="Q31" i="73"/>
  <c r="Q30" i="73"/>
  <c r="S29" i="73"/>
  <c r="T29" i="73" s="1"/>
  <c r="Q29" i="73"/>
  <c r="R29" i="73" s="1"/>
  <c r="Q28" i="73"/>
  <c r="Q27" i="73"/>
  <c r="S26" i="73"/>
  <c r="T26" i="73" s="1"/>
  <c r="Q26" i="73"/>
  <c r="R26" i="73" s="1"/>
  <c r="Q25" i="73"/>
  <c r="Q24" i="73"/>
  <c r="R24" i="73" s="1"/>
  <c r="S23" i="73"/>
  <c r="T23" i="73" s="1"/>
  <c r="Q23" i="73"/>
  <c r="R23" i="73" s="1"/>
  <c r="Q22" i="73"/>
  <c r="Q21" i="73"/>
  <c r="S20" i="73"/>
  <c r="T20" i="73" s="1"/>
  <c r="Q20" i="73"/>
  <c r="R20" i="73" s="1"/>
  <c r="Q19" i="73"/>
  <c r="Q18" i="73"/>
  <c r="Q17" i="73"/>
  <c r="R17" i="73" s="1"/>
  <c r="N16" i="73"/>
  <c r="M16" i="73"/>
  <c r="L16" i="73"/>
  <c r="K16" i="73"/>
  <c r="N15" i="73"/>
  <c r="M15" i="73"/>
  <c r="L15" i="73"/>
  <c r="K15" i="73"/>
  <c r="S14" i="73"/>
  <c r="T14" i="73" s="1"/>
  <c r="N14" i="73"/>
  <c r="M14" i="73"/>
  <c r="L14" i="73"/>
  <c r="K14" i="73"/>
  <c r="S11" i="73"/>
  <c r="T11" i="73" s="1"/>
  <c r="F27" i="72"/>
  <c r="D27" i="72"/>
  <c r="C27" i="72"/>
  <c r="A27" i="72"/>
  <c r="F23" i="72"/>
  <c r="C23" i="72"/>
  <c r="A23" i="72"/>
  <c r="F19" i="72"/>
  <c r="C19" i="72"/>
  <c r="A19" i="72"/>
  <c r="F11" i="72"/>
  <c r="D11" i="72"/>
  <c r="C11" i="72"/>
  <c r="A11" i="72"/>
  <c r="A2" i="72"/>
  <c r="N30" i="72"/>
  <c r="N29" i="72"/>
  <c r="N28" i="72"/>
  <c r="N27" i="72"/>
  <c r="N26" i="72"/>
  <c r="N25" i="72"/>
  <c r="N24" i="72"/>
  <c r="N23" i="72"/>
  <c r="N11" i="72"/>
  <c r="O27" i="72"/>
  <c r="P27" i="72" s="1"/>
  <c r="O23" i="72"/>
  <c r="P23" i="72" s="1"/>
  <c r="L22" i="72"/>
  <c r="K22" i="72"/>
  <c r="J22" i="72"/>
  <c r="I22" i="72"/>
  <c r="L20" i="72"/>
  <c r="K20" i="72"/>
  <c r="J20" i="72"/>
  <c r="I20" i="72"/>
  <c r="O19" i="72"/>
  <c r="P19" i="72" s="1"/>
  <c r="L19" i="72"/>
  <c r="K19" i="72"/>
  <c r="J19" i="72"/>
  <c r="I19" i="72"/>
  <c r="O11" i="72"/>
  <c r="P11" i="72" s="1"/>
  <c r="G46" i="71"/>
  <c r="F46" i="71"/>
  <c r="C46" i="71"/>
  <c r="B46" i="71"/>
  <c r="G45" i="71"/>
  <c r="F45" i="71"/>
  <c r="C45" i="71"/>
  <c r="B45" i="71"/>
  <c r="G44" i="71"/>
  <c r="F44" i="71"/>
  <c r="B44" i="71"/>
  <c r="G43" i="71"/>
  <c r="F43" i="71"/>
  <c r="C43" i="71"/>
  <c r="B43" i="71"/>
  <c r="G42" i="71"/>
  <c r="F42" i="71"/>
  <c r="C42" i="71"/>
  <c r="B42" i="71"/>
  <c r="G41" i="71"/>
  <c r="F41" i="71"/>
  <c r="C41" i="71"/>
  <c r="B41" i="71"/>
  <c r="G40" i="71"/>
  <c r="F40" i="71"/>
  <c r="C40" i="71"/>
  <c r="B40" i="71"/>
  <c r="G39" i="71"/>
  <c r="F39" i="71"/>
  <c r="C39" i="71"/>
  <c r="B39" i="71"/>
  <c r="G38" i="71"/>
  <c r="F38" i="71"/>
  <c r="C38" i="71"/>
  <c r="B38" i="71"/>
  <c r="G37" i="71"/>
  <c r="F37" i="71"/>
  <c r="C37" i="71"/>
  <c r="B37" i="71"/>
  <c r="G36" i="71"/>
  <c r="F36" i="71"/>
  <c r="C36" i="71"/>
  <c r="B36" i="71"/>
  <c r="G35" i="71"/>
  <c r="F35" i="71"/>
  <c r="C35" i="71"/>
  <c r="B35" i="71"/>
  <c r="G33" i="71"/>
  <c r="F33" i="71"/>
  <c r="C33" i="71"/>
  <c r="B33" i="71"/>
  <c r="G31" i="71"/>
  <c r="F31" i="71"/>
  <c r="B31" i="71"/>
  <c r="G30" i="71"/>
  <c r="F30" i="71"/>
  <c r="B30" i="71"/>
  <c r="G29" i="71"/>
  <c r="F29" i="71"/>
  <c r="B29" i="71"/>
  <c r="G28" i="71"/>
  <c r="F28" i="71"/>
  <c r="B28" i="71"/>
  <c r="G27" i="71"/>
  <c r="F27" i="71"/>
  <c r="B27" i="71"/>
  <c r="G26" i="71"/>
  <c r="F26" i="71"/>
  <c r="C26" i="71"/>
  <c r="B26" i="71"/>
  <c r="G23" i="71"/>
  <c r="F23" i="71"/>
  <c r="C23" i="71"/>
  <c r="B23" i="71"/>
  <c r="G21" i="71"/>
  <c r="G20" i="71"/>
  <c r="F20" i="71"/>
  <c r="B20" i="71"/>
  <c r="G19" i="71"/>
  <c r="F19" i="71"/>
  <c r="B19" i="71"/>
  <c r="G18" i="71"/>
  <c r="F18" i="71"/>
  <c r="B18" i="71"/>
  <c r="G17" i="71"/>
  <c r="F17" i="71"/>
  <c r="C17" i="71"/>
  <c r="B17" i="71"/>
  <c r="G16" i="71"/>
  <c r="F16" i="71"/>
  <c r="B16" i="71"/>
  <c r="G15" i="71"/>
  <c r="F15" i="71"/>
  <c r="C15" i="71"/>
  <c r="B15" i="71"/>
  <c r="G14" i="71"/>
  <c r="F14" i="71"/>
  <c r="B14" i="71"/>
  <c r="G13" i="71"/>
  <c r="F13" i="71"/>
  <c r="B13" i="71"/>
  <c r="G12" i="71"/>
  <c r="F12" i="71"/>
  <c r="O132" i="70"/>
  <c r="H46" i="71" s="1"/>
  <c r="O129" i="70"/>
  <c r="H45" i="71" s="1"/>
  <c r="O126" i="70"/>
  <c r="H44" i="71" s="1"/>
  <c r="O123" i="70"/>
  <c r="H43" i="71" s="1"/>
  <c r="O120" i="70"/>
  <c r="H42" i="71" s="1"/>
  <c r="O117" i="70"/>
  <c r="H41" i="71" s="1"/>
  <c r="O114" i="70"/>
  <c r="H40" i="71" s="1"/>
  <c r="O111" i="70"/>
  <c r="H39" i="71" s="1"/>
  <c r="O108" i="70"/>
  <c r="H38" i="71" s="1"/>
  <c r="O105" i="70"/>
  <c r="H37" i="71" s="1"/>
  <c r="O102" i="70"/>
  <c r="H36" i="71" s="1"/>
  <c r="O99" i="70"/>
  <c r="H35" i="71" s="1"/>
  <c r="O93" i="70"/>
  <c r="H33" i="71" s="1"/>
  <c r="O87" i="70"/>
  <c r="H31" i="71" s="1"/>
  <c r="O84" i="70"/>
  <c r="H30" i="71" s="1"/>
  <c r="O81" i="70"/>
  <c r="H29" i="71" s="1"/>
  <c r="O78" i="70"/>
  <c r="H28" i="71" s="1"/>
  <c r="O75" i="70"/>
  <c r="H27" i="71" s="1"/>
  <c r="O72" i="70"/>
  <c r="H26" i="71" s="1"/>
  <c r="O66" i="70"/>
  <c r="H24" i="71" s="1"/>
  <c r="O63" i="70"/>
  <c r="H23" i="71" s="1"/>
  <c r="O54" i="70"/>
  <c r="H21" i="71" s="1"/>
  <c r="O51" i="70"/>
  <c r="H20" i="71" s="1"/>
  <c r="O48" i="70"/>
  <c r="H19" i="71" s="1"/>
  <c r="O45" i="70"/>
  <c r="H18" i="71" s="1"/>
  <c r="O42" i="70"/>
  <c r="H17" i="71" s="1"/>
  <c r="O39" i="70"/>
  <c r="H16" i="71" s="1"/>
  <c r="O36" i="70"/>
  <c r="H15" i="71" s="1"/>
  <c r="O33" i="70"/>
  <c r="H14" i="71" s="1"/>
  <c r="O30" i="70"/>
  <c r="H13" i="71" s="1"/>
  <c r="L30" i="70"/>
  <c r="O27" i="70"/>
  <c r="H12" i="71" s="1"/>
  <c r="P13" i="56"/>
  <c r="M30" i="70" s="1"/>
  <c r="N30" i="70" s="1"/>
  <c r="E13" i="71" s="1"/>
  <c r="O105" i="56"/>
  <c r="O102" i="56"/>
  <c r="O96" i="56"/>
  <c r="N22" i="72" l="1"/>
  <c r="N20" i="72"/>
  <c r="P37" i="56"/>
  <c r="P73" i="56"/>
  <c r="P79" i="56"/>
  <c r="O60" i="70"/>
  <c r="H22" i="71" s="1"/>
  <c r="P43" i="56"/>
  <c r="D42" i="71"/>
  <c r="P103" i="56"/>
  <c r="M120" i="70" s="1"/>
  <c r="N120" i="70" s="1"/>
  <c r="E42" i="71" s="1"/>
  <c r="L117" i="70"/>
  <c r="P100" i="56"/>
  <c r="M117" i="70" s="1"/>
  <c r="N117" i="70" s="1"/>
  <c r="E41" i="71" s="1"/>
  <c r="D39" i="71"/>
  <c r="P94" i="56"/>
  <c r="M111" i="70" s="1"/>
  <c r="N111" i="70" s="1"/>
  <c r="E39" i="71" s="1"/>
  <c r="L105" i="70"/>
  <c r="P88" i="56"/>
  <c r="M105" i="70" s="1"/>
  <c r="N105" i="70" s="1"/>
  <c r="E37" i="71" s="1"/>
  <c r="R16" i="73"/>
  <c r="R13" i="73"/>
  <c r="R15" i="73"/>
  <c r="L120" i="70"/>
  <c r="D41" i="71"/>
  <c r="L111" i="70"/>
  <c r="D37" i="71"/>
  <c r="R12" i="73"/>
  <c r="R14" i="73"/>
  <c r="N19" i="72"/>
  <c r="G25" i="71"/>
  <c r="O78" i="56"/>
  <c r="P76" i="56" s="1"/>
  <c r="M93" i="70" s="1"/>
  <c r="N93" i="70" l="1"/>
  <c r="E33" i="71" s="1"/>
  <c r="D33" i="71"/>
  <c r="L93" i="70"/>
  <c r="O48" i="56"/>
  <c r="P46" i="56" s="1"/>
  <c r="M63" i="70" s="1"/>
  <c r="O27" i="56"/>
  <c r="P25" i="56" s="1"/>
  <c r="M42" i="70" s="1"/>
  <c r="D23" i="71" l="1"/>
  <c r="N63" i="70"/>
  <c r="E23" i="71" s="1"/>
  <c r="L63" i="70"/>
  <c r="N42" i="70"/>
  <c r="E17" i="71" s="1"/>
  <c r="D17" i="71"/>
  <c r="L42" i="70"/>
  <c r="K37" i="54"/>
  <c r="K5" i="61" s="1"/>
  <c r="J5" i="61"/>
  <c r="I5" i="61"/>
  <c r="H5" i="61"/>
  <c r="G5" i="61"/>
  <c r="F5" i="61"/>
  <c r="E5" i="61"/>
  <c r="D5" i="61"/>
  <c r="C5" i="61"/>
  <c r="B5" i="61"/>
  <c r="G32" i="71" l="1"/>
  <c r="O90" i="70"/>
  <c r="H32" i="71" s="1"/>
  <c r="G34" i="71"/>
  <c r="O96" i="70"/>
  <c r="H34" i="71" s="1"/>
  <c r="F34" i="71"/>
  <c r="F32" i="71"/>
  <c r="O114" i="56" l="1"/>
  <c r="O117" i="56"/>
  <c r="P115" i="56" s="1"/>
  <c r="P112" i="56" l="1"/>
  <c r="M129" i="70" s="1"/>
  <c r="N129" i="70" s="1"/>
  <c r="E45" i="71" s="1"/>
  <c r="D45" i="71"/>
  <c r="L129" i="70"/>
  <c r="D46" i="71"/>
  <c r="M132" i="70"/>
  <c r="N132" i="70" s="1"/>
  <c r="E46" i="71" s="1"/>
  <c r="L132" i="70"/>
  <c r="K1" i="63"/>
  <c r="O93" i="56" l="1"/>
  <c r="O99" i="56"/>
  <c r="P97" i="56" s="1"/>
  <c r="D40" i="71" l="1"/>
  <c r="L114" i="70"/>
  <c r="M114" i="70"/>
  <c r="N114" i="70" s="1"/>
  <c r="E40" i="71" s="1"/>
  <c r="D38" i="71"/>
  <c r="P91" i="56"/>
  <c r="M108" i="70" s="1"/>
  <c r="N108" i="70" s="1"/>
  <c r="E38" i="71" s="1"/>
  <c r="L108" i="70"/>
  <c r="B8" i="67"/>
  <c r="B7" i="67"/>
  <c r="B6" i="67"/>
  <c r="B5" i="67"/>
  <c r="B4" i="67"/>
  <c r="B3" i="67"/>
  <c r="B2" i="67"/>
  <c r="D3" i="63"/>
  <c r="E3" i="63"/>
  <c r="F3" i="63"/>
  <c r="G3" i="63"/>
  <c r="H3" i="63"/>
  <c r="I3" i="63"/>
  <c r="J3" i="63"/>
  <c r="K3" i="63"/>
  <c r="L3" i="63"/>
  <c r="N3" i="63"/>
  <c r="O3" i="63"/>
  <c r="P3" i="63"/>
  <c r="T3" i="63"/>
  <c r="U3" i="63"/>
  <c r="V3" i="63"/>
  <c r="W3" i="63"/>
  <c r="X3" i="63"/>
  <c r="Y3" i="63"/>
  <c r="Z3" i="63"/>
  <c r="D4" i="63"/>
  <c r="E4" i="63"/>
  <c r="F4" i="63"/>
  <c r="G4" i="63"/>
  <c r="H4" i="63"/>
  <c r="I4" i="63"/>
  <c r="J4" i="63"/>
  <c r="K4" i="63"/>
  <c r="L4" i="63"/>
  <c r="N4" i="63"/>
  <c r="O4" i="63"/>
  <c r="P4" i="63"/>
  <c r="T4" i="63"/>
  <c r="U4" i="63"/>
  <c r="V4" i="63"/>
  <c r="W4" i="63"/>
  <c r="X4" i="63"/>
  <c r="Y4" i="63"/>
  <c r="Z4" i="63"/>
  <c r="D5" i="63"/>
  <c r="E5" i="63"/>
  <c r="F5" i="63"/>
  <c r="G5" i="63"/>
  <c r="H5" i="63"/>
  <c r="I5" i="63"/>
  <c r="J5" i="63"/>
  <c r="K5" i="63"/>
  <c r="L5" i="63"/>
  <c r="N5" i="63"/>
  <c r="O5" i="63"/>
  <c r="P5" i="63"/>
  <c r="T5" i="63"/>
  <c r="U5" i="63"/>
  <c r="V5" i="63"/>
  <c r="W5" i="63"/>
  <c r="X5" i="63"/>
  <c r="Y5" i="63"/>
  <c r="Z5" i="63"/>
  <c r="D6" i="63"/>
  <c r="E6" i="63"/>
  <c r="F6" i="63"/>
  <c r="G6" i="63"/>
  <c r="H6" i="63"/>
  <c r="I6" i="63"/>
  <c r="J6" i="63"/>
  <c r="K6" i="63"/>
  <c r="L6" i="63"/>
  <c r="N6" i="63"/>
  <c r="O6" i="63"/>
  <c r="P6" i="63"/>
  <c r="T6" i="63"/>
  <c r="U6" i="63"/>
  <c r="V6" i="63"/>
  <c r="W6" i="63"/>
  <c r="X6" i="63"/>
  <c r="Y6" i="63"/>
  <c r="Z6" i="63"/>
  <c r="D7" i="63"/>
  <c r="E7" i="63"/>
  <c r="F7" i="63"/>
  <c r="G7" i="63"/>
  <c r="H7" i="63"/>
  <c r="I7" i="63"/>
  <c r="J7" i="63"/>
  <c r="K7" i="63"/>
  <c r="L7" i="63"/>
  <c r="N7" i="63"/>
  <c r="O7" i="63"/>
  <c r="P7" i="63"/>
  <c r="Q7" i="63"/>
  <c r="S7" i="63"/>
  <c r="T7" i="63"/>
  <c r="U7" i="63"/>
  <c r="V7" i="63"/>
  <c r="W7" i="63"/>
  <c r="X7" i="63"/>
  <c r="Y7" i="63"/>
  <c r="Z7" i="63"/>
  <c r="N8" i="63"/>
  <c r="O8" i="63"/>
  <c r="P8" i="63"/>
  <c r="Q8" i="63"/>
  <c r="S8" i="63"/>
  <c r="T8" i="63"/>
  <c r="U8" i="63"/>
  <c r="V8" i="63"/>
  <c r="W8" i="63"/>
  <c r="X8" i="63"/>
  <c r="Y8" i="63"/>
  <c r="Z8" i="63"/>
  <c r="J2" i="63"/>
  <c r="K2" i="63"/>
  <c r="L2" i="63"/>
  <c r="J1" i="63"/>
  <c r="L1" i="63"/>
  <c r="B8" i="63"/>
  <c r="B7" i="63"/>
  <c r="B6" i="63"/>
  <c r="N28" i="47"/>
  <c r="M7" i="63" s="1"/>
  <c r="T28" i="47"/>
  <c r="R7" i="63" s="1"/>
  <c r="C28" i="47"/>
  <c r="C7" i="63" s="1"/>
  <c r="O108" i="56" l="1"/>
  <c r="L123" i="70" l="1"/>
  <c r="P106" i="56"/>
  <c r="M123" i="70" s="1"/>
  <c r="N123" i="70" s="1"/>
  <c r="E43" i="71" s="1"/>
  <c r="D43" i="71"/>
  <c r="A28" i="68"/>
  <c r="J28" i="68" s="1"/>
  <c r="A26" i="68"/>
  <c r="J26" i="68" s="1"/>
  <c r="A27" i="68"/>
  <c r="A25" i="68"/>
  <c r="J25" i="68" s="1"/>
  <c r="A24" i="68"/>
  <c r="J24" i="68" s="1"/>
  <c r="A29" i="68" l="1"/>
  <c r="M29" i="68" s="1"/>
  <c r="J27" i="68"/>
  <c r="K27" i="68"/>
  <c r="K28" i="68"/>
  <c r="M28" i="68"/>
  <c r="D28" i="68"/>
  <c r="F28" i="68"/>
  <c r="C28" i="68"/>
  <c r="I28" i="68"/>
  <c r="G28" i="68"/>
  <c r="E28" i="68"/>
  <c r="H28" i="68"/>
  <c r="L28" i="68"/>
  <c r="F26" i="68"/>
  <c r="L26" i="68"/>
  <c r="K26" i="68"/>
  <c r="H26" i="68"/>
  <c r="D26" i="68"/>
  <c r="M26" i="68"/>
  <c r="G26" i="68"/>
  <c r="I26" i="68"/>
  <c r="C26" i="68"/>
  <c r="E26" i="68"/>
  <c r="C27" i="68"/>
  <c r="H27" i="68"/>
  <c r="D27" i="68"/>
  <c r="L27" i="68"/>
  <c r="E27" i="68"/>
  <c r="G27" i="68"/>
  <c r="F27" i="68"/>
  <c r="I27" i="68"/>
  <c r="M27" i="68"/>
  <c r="E25" i="68"/>
  <c r="C25" i="68"/>
  <c r="F25" i="68"/>
  <c r="L25" i="68"/>
  <c r="D25" i="68"/>
  <c r="G25" i="68"/>
  <c r="I25" i="68"/>
  <c r="H25" i="68"/>
  <c r="M25" i="68"/>
  <c r="K25" i="68"/>
  <c r="C24" i="68"/>
  <c r="I24" i="68"/>
  <c r="E24" i="68"/>
  <c r="D24" i="68"/>
  <c r="G24" i="68"/>
  <c r="L24" i="68"/>
  <c r="M24" i="68"/>
  <c r="K24" i="68"/>
  <c r="F24" i="68"/>
  <c r="H24" i="68"/>
  <c r="E29" i="68" l="1"/>
  <c r="L29" i="68"/>
  <c r="G29" i="68"/>
  <c r="I29" i="68"/>
  <c r="C29" i="68"/>
  <c r="D29" i="68"/>
  <c r="K29" i="68"/>
  <c r="J29" i="68"/>
  <c r="F29" i="68"/>
  <c r="H29" i="68"/>
  <c r="N29" i="47"/>
  <c r="M8" i="63" s="1"/>
  <c r="T29" i="47"/>
  <c r="R8" i="63" s="1"/>
  <c r="R75" i="47" l="1"/>
  <c r="R77" i="47"/>
  <c r="R78" i="47"/>
  <c r="N27" i="47" l="1"/>
  <c r="M6" i="63" s="1"/>
  <c r="R76" i="47" l="1"/>
  <c r="R79" i="47" l="1"/>
  <c r="T27" i="47" l="1"/>
  <c r="R27" i="47"/>
  <c r="Q6" i="63" s="1"/>
  <c r="U27" i="47" l="1"/>
  <c r="S6" i="63" s="1"/>
  <c r="R6" i="63"/>
  <c r="K35" i="54"/>
  <c r="K34" i="54"/>
  <c r="O59" i="56" s="1"/>
  <c r="C27" i="71" s="1"/>
  <c r="A2" i="47" l="1"/>
  <c r="A2" i="56" l="1"/>
  <c r="K6" i="61" l="1"/>
  <c r="E4" i="61"/>
  <c r="F4" i="61"/>
  <c r="G4" i="61"/>
  <c r="H4" i="61"/>
  <c r="I4" i="61"/>
  <c r="J4" i="61"/>
  <c r="E3" i="61"/>
  <c r="F3" i="61"/>
  <c r="G3" i="61"/>
  <c r="H3" i="61"/>
  <c r="I3" i="61"/>
  <c r="J3" i="61"/>
  <c r="K4" i="61"/>
  <c r="K3" i="61"/>
  <c r="H33" i="54"/>
  <c r="I33" i="54"/>
  <c r="J33" i="54"/>
  <c r="C1" i="61"/>
  <c r="D1" i="61"/>
  <c r="E1" i="61"/>
  <c r="F1" i="61"/>
  <c r="G1" i="61"/>
  <c r="H1" i="61"/>
  <c r="I1" i="61"/>
  <c r="J1" i="61"/>
  <c r="K1" i="61"/>
  <c r="C6" i="62"/>
  <c r="O110" i="56" l="1"/>
  <c r="O111" i="56" s="1"/>
  <c r="S104" i="56"/>
  <c r="S116" i="56"/>
  <c r="K29" i="47"/>
  <c r="K8" i="63" s="1"/>
  <c r="H2" i="61"/>
  <c r="J29" i="47"/>
  <c r="J8" i="63" s="1"/>
  <c r="J2" i="61"/>
  <c r="L29" i="47"/>
  <c r="L8" i="63" s="1"/>
  <c r="I2" i="61"/>
  <c r="S92" i="56"/>
  <c r="G18" i="64"/>
  <c r="G17" i="64"/>
  <c r="O49" i="56"/>
  <c r="G33" i="54"/>
  <c r="F33" i="54"/>
  <c r="E33" i="54"/>
  <c r="G29" i="47" s="1"/>
  <c r="G8" i="63" s="1"/>
  <c r="D33" i="54"/>
  <c r="C33" i="54"/>
  <c r="B33" i="54"/>
  <c r="B4" i="61"/>
  <c r="C4" i="61"/>
  <c r="D4" i="61"/>
  <c r="O52" i="56"/>
  <c r="P52" i="56" s="1"/>
  <c r="B3" i="61"/>
  <c r="C3" i="61"/>
  <c r="D3" i="61"/>
  <c r="B6" i="61"/>
  <c r="C6" i="61"/>
  <c r="D6" i="61"/>
  <c r="E6" i="61"/>
  <c r="F6" i="61"/>
  <c r="G6" i="61"/>
  <c r="H6" i="61"/>
  <c r="E12" i="64"/>
  <c r="D12" i="64"/>
  <c r="C12" i="64"/>
  <c r="E11" i="64"/>
  <c r="D11" i="64"/>
  <c r="C11" i="64"/>
  <c r="E10" i="64"/>
  <c r="D10" i="64"/>
  <c r="C10" i="64"/>
  <c r="B10" i="64"/>
  <c r="G26" i="64"/>
  <c r="G25" i="64"/>
  <c r="G22" i="64"/>
  <c r="G20" i="64"/>
  <c r="G9" i="64"/>
  <c r="G8" i="64"/>
  <c r="G7" i="64"/>
  <c r="G6" i="64"/>
  <c r="T23" i="47"/>
  <c r="U23" i="47" s="1"/>
  <c r="S2" i="63" s="1"/>
  <c r="N23" i="47"/>
  <c r="M2" i="63" s="1"/>
  <c r="C27" i="47"/>
  <c r="C6" i="63" s="1"/>
  <c r="C26" i="47"/>
  <c r="C25" i="47"/>
  <c r="C24" i="47"/>
  <c r="C23" i="47"/>
  <c r="O71" i="56"/>
  <c r="O68" i="56"/>
  <c r="C30" i="71" s="1"/>
  <c r="O23" i="56"/>
  <c r="C16" i="71" s="1"/>
  <c r="B2" i="64"/>
  <c r="B3" i="64"/>
  <c r="C3" i="64"/>
  <c r="D3" i="64"/>
  <c r="E3" i="64"/>
  <c r="F3" i="64"/>
  <c r="A4" i="64"/>
  <c r="B4" i="64"/>
  <c r="C4" i="64"/>
  <c r="D4" i="64"/>
  <c r="E4" i="64"/>
  <c r="F4" i="64"/>
  <c r="B5" i="64"/>
  <c r="C5" i="64"/>
  <c r="D5" i="64"/>
  <c r="E5" i="64"/>
  <c r="F5" i="64"/>
  <c r="H5" i="64"/>
  <c r="B6" i="64"/>
  <c r="C6" i="64"/>
  <c r="D6" i="64"/>
  <c r="E6" i="64"/>
  <c r="F6" i="64"/>
  <c r="H6" i="64"/>
  <c r="B7" i="64"/>
  <c r="C7" i="64"/>
  <c r="D7" i="64"/>
  <c r="E7" i="64"/>
  <c r="F7" i="64"/>
  <c r="H7" i="64"/>
  <c r="B8" i="64"/>
  <c r="C8" i="64"/>
  <c r="D8" i="64"/>
  <c r="E8" i="64"/>
  <c r="F8" i="64"/>
  <c r="H8" i="64"/>
  <c r="B9" i="64"/>
  <c r="C9" i="64"/>
  <c r="D9" i="64"/>
  <c r="E9" i="64"/>
  <c r="F9" i="64"/>
  <c r="H9" i="64"/>
  <c r="A10" i="64"/>
  <c r="F10" i="64"/>
  <c r="F11" i="64"/>
  <c r="H11" i="64"/>
  <c r="F12" i="64"/>
  <c r="H12" i="64"/>
  <c r="F13" i="64"/>
  <c r="H13" i="64"/>
  <c r="F14" i="64"/>
  <c r="H14" i="64"/>
  <c r="F15" i="64"/>
  <c r="H15" i="64"/>
  <c r="A16" i="64"/>
  <c r="B16" i="64"/>
  <c r="C16" i="64"/>
  <c r="D16" i="64"/>
  <c r="E16" i="64"/>
  <c r="F16" i="64"/>
  <c r="B17" i="64"/>
  <c r="C17" i="64"/>
  <c r="D17" i="64"/>
  <c r="E17" i="64"/>
  <c r="F17" i="64"/>
  <c r="H17" i="64"/>
  <c r="B18" i="64"/>
  <c r="C18" i="64"/>
  <c r="D18" i="64"/>
  <c r="E18" i="64"/>
  <c r="F18" i="64"/>
  <c r="H18" i="64"/>
  <c r="A19" i="64"/>
  <c r="B19" i="64"/>
  <c r="C19" i="64"/>
  <c r="D19" i="64"/>
  <c r="E19" i="64"/>
  <c r="F19" i="64"/>
  <c r="B20" i="64"/>
  <c r="C20" i="64"/>
  <c r="D20" i="64"/>
  <c r="E20" i="64"/>
  <c r="F20" i="64"/>
  <c r="H20" i="64"/>
  <c r="B21" i="64"/>
  <c r="C21" i="64"/>
  <c r="D21" i="64"/>
  <c r="E21" i="64"/>
  <c r="F21" i="64"/>
  <c r="H21" i="64"/>
  <c r="B22" i="64"/>
  <c r="C22" i="64"/>
  <c r="D22" i="64"/>
  <c r="E22" i="64"/>
  <c r="F22" i="64"/>
  <c r="H22" i="64"/>
  <c r="A23" i="64"/>
  <c r="B23" i="64"/>
  <c r="C23" i="64"/>
  <c r="D23" i="64"/>
  <c r="E23" i="64"/>
  <c r="F23" i="64"/>
  <c r="B24" i="64"/>
  <c r="C24" i="64"/>
  <c r="D24" i="64"/>
  <c r="E24" i="64"/>
  <c r="F24" i="64"/>
  <c r="H24" i="64"/>
  <c r="B25" i="64"/>
  <c r="C25" i="64"/>
  <c r="D25" i="64"/>
  <c r="E25" i="64"/>
  <c r="F25" i="64"/>
  <c r="H25" i="64"/>
  <c r="B26" i="64"/>
  <c r="C26" i="64"/>
  <c r="D26" i="64"/>
  <c r="E26" i="64"/>
  <c r="F26" i="64"/>
  <c r="H26" i="64"/>
  <c r="B1" i="61"/>
  <c r="A80" i="53"/>
  <c r="C8" i="49"/>
  <c r="F8" i="49"/>
  <c r="A1" i="63"/>
  <c r="B1" i="63"/>
  <c r="C1" i="63"/>
  <c r="D1" i="63"/>
  <c r="E1" i="63"/>
  <c r="F1" i="63"/>
  <c r="G1" i="63"/>
  <c r="H1" i="63"/>
  <c r="I1" i="63"/>
  <c r="M1" i="63"/>
  <c r="N1" i="63"/>
  <c r="O1" i="63"/>
  <c r="P1" i="63"/>
  <c r="Q1" i="63"/>
  <c r="R1" i="63"/>
  <c r="T1" i="63"/>
  <c r="U1" i="63"/>
  <c r="V1" i="63"/>
  <c r="W1" i="63"/>
  <c r="X1" i="63"/>
  <c r="Y1" i="63"/>
  <c r="Z1" i="63"/>
  <c r="B2" i="63"/>
  <c r="D2" i="63"/>
  <c r="E2" i="63"/>
  <c r="F2" i="63"/>
  <c r="G2" i="63"/>
  <c r="H2" i="63"/>
  <c r="I2" i="63"/>
  <c r="N2" i="63"/>
  <c r="O2" i="63"/>
  <c r="P2" i="63"/>
  <c r="T2" i="63"/>
  <c r="U2" i="63"/>
  <c r="V2" i="63"/>
  <c r="W2" i="63"/>
  <c r="X2" i="63"/>
  <c r="Y2" i="63"/>
  <c r="Z2" i="63"/>
  <c r="B3" i="63"/>
  <c r="B4" i="63"/>
  <c r="B5" i="63"/>
  <c r="E8" i="47"/>
  <c r="Q8" i="47"/>
  <c r="N24" i="47"/>
  <c r="M3" i="63" s="1"/>
  <c r="T24" i="47"/>
  <c r="N25" i="47"/>
  <c r="T25" i="47"/>
  <c r="N26" i="47"/>
  <c r="T26" i="47"/>
  <c r="R5" i="63" s="1"/>
  <c r="U31" i="47"/>
  <c r="B83" i="47"/>
  <c r="A84" i="47"/>
  <c r="C84" i="47"/>
  <c r="D84" i="47"/>
  <c r="H84" i="47"/>
  <c r="I84" i="47"/>
  <c r="L84" i="47"/>
  <c r="M84" i="47"/>
  <c r="N84" i="47"/>
  <c r="O84" i="47"/>
  <c r="P84" i="47"/>
  <c r="Q84" i="47"/>
  <c r="R84" i="47"/>
  <c r="S84" i="47"/>
  <c r="A85" i="47"/>
  <c r="C85" i="47"/>
  <c r="D85" i="47"/>
  <c r="H85" i="47"/>
  <c r="I85" i="47"/>
  <c r="L85" i="47"/>
  <c r="M85" i="47"/>
  <c r="N85" i="47"/>
  <c r="P85" i="47"/>
  <c r="Q85" i="47"/>
  <c r="R85" i="47"/>
  <c r="S85" i="47"/>
  <c r="A86" i="47"/>
  <c r="C86" i="47"/>
  <c r="D86" i="47"/>
  <c r="H86" i="47"/>
  <c r="I86" i="47"/>
  <c r="L86" i="47"/>
  <c r="M86" i="47"/>
  <c r="N86" i="47"/>
  <c r="O86" i="47"/>
  <c r="P86" i="47"/>
  <c r="Q86" i="47"/>
  <c r="R86" i="47"/>
  <c r="S86" i="47"/>
  <c r="A87" i="47"/>
  <c r="C87" i="47"/>
  <c r="D87" i="47"/>
  <c r="H87" i="47"/>
  <c r="I87" i="47"/>
  <c r="L87" i="47"/>
  <c r="M87" i="47"/>
  <c r="N87" i="47"/>
  <c r="O87" i="47"/>
  <c r="P87" i="47"/>
  <c r="Q87" i="47"/>
  <c r="R87" i="47"/>
  <c r="S87" i="47"/>
  <c r="A88" i="47"/>
  <c r="C88" i="47"/>
  <c r="D88" i="47"/>
  <c r="H88" i="47"/>
  <c r="I88" i="47"/>
  <c r="L88" i="47"/>
  <c r="M88" i="47"/>
  <c r="N88" i="47"/>
  <c r="O88" i="47"/>
  <c r="P88" i="47"/>
  <c r="Q88" i="47"/>
  <c r="R88" i="47"/>
  <c r="S88" i="47"/>
  <c r="A89" i="47"/>
  <c r="C89" i="47"/>
  <c r="D89" i="47"/>
  <c r="H89" i="47"/>
  <c r="I89" i="47"/>
  <c r="L89" i="47"/>
  <c r="M89" i="47"/>
  <c r="N89" i="47"/>
  <c r="O89" i="47"/>
  <c r="P89" i="47"/>
  <c r="Q89" i="47"/>
  <c r="R89" i="47"/>
  <c r="S89" i="47"/>
  <c r="A90" i="47"/>
  <c r="C90" i="47"/>
  <c r="D90" i="47"/>
  <c r="H90" i="47"/>
  <c r="I90" i="47"/>
  <c r="L90" i="47"/>
  <c r="M90" i="47"/>
  <c r="N90" i="47"/>
  <c r="O90" i="47"/>
  <c r="P90" i="47"/>
  <c r="Q90" i="47"/>
  <c r="R90" i="47"/>
  <c r="S90" i="47"/>
  <c r="A91" i="47"/>
  <c r="C91" i="47"/>
  <c r="D91" i="47"/>
  <c r="H91" i="47"/>
  <c r="I91" i="47"/>
  <c r="L91" i="47"/>
  <c r="M91" i="47"/>
  <c r="N91" i="47"/>
  <c r="O91" i="47"/>
  <c r="P91" i="47"/>
  <c r="Q91" i="47"/>
  <c r="R91" i="47"/>
  <c r="S91" i="47"/>
  <c r="A92" i="47"/>
  <c r="C92" i="47"/>
  <c r="D92" i="47"/>
  <c r="H92" i="47"/>
  <c r="I92" i="47"/>
  <c r="L92" i="47"/>
  <c r="M92" i="47"/>
  <c r="N92" i="47"/>
  <c r="O92" i="47"/>
  <c r="P92" i="47"/>
  <c r="Q92" i="47"/>
  <c r="R92" i="47"/>
  <c r="S92" i="47"/>
  <c r="A93" i="47"/>
  <c r="C93" i="47"/>
  <c r="D93" i="47"/>
  <c r="H93" i="47"/>
  <c r="I93" i="47"/>
  <c r="L93" i="47"/>
  <c r="M93" i="47"/>
  <c r="N93" i="47"/>
  <c r="O93" i="47"/>
  <c r="P93" i="47"/>
  <c r="Q93" i="47"/>
  <c r="R93" i="47"/>
  <c r="S93" i="47"/>
  <c r="A94" i="47"/>
  <c r="C94" i="47"/>
  <c r="D94" i="47"/>
  <c r="H94" i="47"/>
  <c r="I94" i="47"/>
  <c r="L94" i="47"/>
  <c r="M94" i="47"/>
  <c r="N94" i="47"/>
  <c r="O94" i="47"/>
  <c r="P94" i="47"/>
  <c r="Q94" i="47"/>
  <c r="R94" i="47"/>
  <c r="S94" i="47"/>
  <c r="A95" i="47"/>
  <c r="C95" i="47"/>
  <c r="D95" i="47"/>
  <c r="H95" i="47"/>
  <c r="I95" i="47"/>
  <c r="L95" i="47"/>
  <c r="M95" i="47"/>
  <c r="N95" i="47"/>
  <c r="O95" i="47"/>
  <c r="P95" i="47"/>
  <c r="Q95" i="47"/>
  <c r="R95" i="47"/>
  <c r="S95" i="47"/>
  <c r="A96" i="47"/>
  <c r="C96" i="47"/>
  <c r="D96" i="47"/>
  <c r="H96" i="47"/>
  <c r="I96" i="47"/>
  <c r="L96" i="47"/>
  <c r="M96" i="47"/>
  <c r="N96" i="47"/>
  <c r="O96" i="47"/>
  <c r="P96" i="47"/>
  <c r="Q96" i="47"/>
  <c r="R96" i="47"/>
  <c r="A97" i="47"/>
  <c r="C97" i="47"/>
  <c r="D97" i="47"/>
  <c r="H97" i="47"/>
  <c r="I97" i="47"/>
  <c r="L97" i="47"/>
  <c r="M97" i="47"/>
  <c r="N97" i="47"/>
  <c r="O97" i="47"/>
  <c r="P97" i="47"/>
  <c r="Q97" i="47"/>
  <c r="R97" i="47"/>
  <c r="S97" i="47"/>
  <c r="A98" i="47"/>
  <c r="C98" i="47"/>
  <c r="D98" i="47"/>
  <c r="H98" i="47"/>
  <c r="I98" i="47"/>
  <c r="L98" i="47"/>
  <c r="M98" i="47"/>
  <c r="N98" i="47"/>
  <c r="O98" i="47"/>
  <c r="P98" i="47"/>
  <c r="Q98" i="47"/>
  <c r="S98" i="47"/>
  <c r="A99" i="47"/>
  <c r="D99" i="47"/>
  <c r="H99" i="47"/>
  <c r="I99" i="47"/>
  <c r="L99" i="47"/>
  <c r="M99" i="47"/>
  <c r="N99" i="47"/>
  <c r="O99" i="47"/>
  <c r="P99" i="47"/>
  <c r="Q99" i="47"/>
  <c r="S99" i="47"/>
  <c r="A100" i="47"/>
  <c r="D100" i="47"/>
  <c r="H100" i="47"/>
  <c r="I100" i="47"/>
  <c r="L100" i="47"/>
  <c r="M100" i="47"/>
  <c r="N100" i="47"/>
  <c r="O100" i="47"/>
  <c r="P100" i="47"/>
  <c r="Q100" i="47"/>
  <c r="S100" i="47"/>
  <c r="A101" i="47"/>
  <c r="D101" i="47"/>
  <c r="H101" i="47"/>
  <c r="I101" i="47"/>
  <c r="L101" i="47"/>
  <c r="M101" i="47"/>
  <c r="N101" i="47"/>
  <c r="O101" i="47"/>
  <c r="P101" i="47"/>
  <c r="Q101" i="47"/>
  <c r="S101" i="47"/>
  <c r="A102" i="47"/>
  <c r="D102" i="47"/>
  <c r="H102" i="47"/>
  <c r="I102" i="47"/>
  <c r="L102" i="47"/>
  <c r="M102" i="47"/>
  <c r="N102" i="47"/>
  <c r="O102" i="47"/>
  <c r="P102" i="47"/>
  <c r="Q102" i="47"/>
  <c r="S102" i="47"/>
  <c r="A103" i="47"/>
  <c r="D103" i="47"/>
  <c r="H103" i="47"/>
  <c r="I103" i="47"/>
  <c r="L103" i="47"/>
  <c r="M103" i="47"/>
  <c r="N103" i="47"/>
  <c r="O103" i="47"/>
  <c r="P103" i="47"/>
  <c r="Q103" i="47"/>
  <c r="S103" i="47"/>
  <c r="A104" i="47"/>
  <c r="D104" i="47"/>
  <c r="H104" i="47"/>
  <c r="I104" i="47"/>
  <c r="L104" i="47"/>
  <c r="M104" i="47"/>
  <c r="N104" i="47"/>
  <c r="O104" i="47"/>
  <c r="P104" i="47"/>
  <c r="Q104" i="47"/>
  <c r="S104" i="47"/>
  <c r="A105" i="47"/>
  <c r="D105" i="47"/>
  <c r="H105" i="47"/>
  <c r="I105" i="47"/>
  <c r="L105" i="47"/>
  <c r="M105" i="47"/>
  <c r="N105" i="47"/>
  <c r="O105" i="47"/>
  <c r="P105" i="47"/>
  <c r="Q105" i="47"/>
  <c r="S105" i="47"/>
  <c r="A106" i="47"/>
  <c r="D106" i="47"/>
  <c r="H106" i="47"/>
  <c r="I106" i="47"/>
  <c r="L106" i="47"/>
  <c r="M106" i="47"/>
  <c r="N106" i="47"/>
  <c r="O106" i="47"/>
  <c r="P106" i="47"/>
  <c r="Q106" i="47"/>
  <c r="S106" i="47"/>
  <c r="A107" i="47"/>
  <c r="D107" i="47"/>
  <c r="H107" i="47"/>
  <c r="I107" i="47"/>
  <c r="L107" i="47"/>
  <c r="M107" i="47"/>
  <c r="N107" i="47"/>
  <c r="O107" i="47"/>
  <c r="P107" i="47"/>
  <c r="Q107" i="47"/>
  <c r="S107" i="47"/>
  <c r="A108" i="47"/>
  <c r="D108" i="47"/>
  <c r="H108" i="47"/>
  <c r="I108" i="47"/>
  <c r="L108" i="47"/>
  <c r="M108" i="47"/>
  <c r="N108" i="47"/>
  <c r="O108" i="47"/>
  <c r="P108" i="47"/>
  <c r="Q108" i="47"/>
  <c r="S108" i="47"/>
  <c r="A109" i="47"/>
  <c r="D109" i="47"/>
  <c r="H109" i="47"/>
  <c r="I109" i="47"/>
  <c r="L109" i="47"/>
  <c r="M109" i="47"/>
  <c r="N109" i="47"/>
  <c r="O109" i="47"/>
  <c r="P109" i="47"/>
  <c r="Q109" i="47"/>
  <c r="S109" i="47"/>
  <c r="A110" i="47"/>
  <c r="D110" i="47"/>
  <c r="H110" i="47"/>
  <c r="I110" i="47"/>
  <c r="L110" i="47"/>
  <c r="M110" i="47"/>
  <c r="N110" i="47"/>
  <c r="O110" i="47"/>
  <c r="P110" i="47"/>
  <c r="Q110" i="47"/>
  <c r="S110" i="47"/>
  <c r="A111" i="47"/>
  <c r="D111" i="47"/>
  <c r="H111" i="47"/>
  <c r="I111" i="47"/>
  <c r="L111" i="47"/>
  <c r="M111" i="47"/>
  <c r="N111" i="47"/>
  <c r="O111" i="47"/>
  <c r="P111" i="47"/>
  <c r="Q111" i="47"/>
  <c r="S111" i="47"/>
  <c r="A112" i="47"/>
  <c r="D112" i="47"/>
  <c r="H112" i="47"/>
  <c r="I112" i="47"/>
  <c r="L112" i="47"/>
  <c r="M112" i="47"/>
  <c r="N112" i="47"/>
  <c r="O112" i="47"/>
  <c r="P112" i="47"/>
  <c r="Q112" i="47"/>
  <c r="S112" i="47"/>
  <c r="A113" i="47"/>
  <c r="D113" i="47"/>
  <c r="H113" i="47"/>
  <c r="I113" i="47"/>
  <c r="L113" i="47"/>
  <c r="M113" i="47"/>
  <c r="N113" i="47"/>
  <c r="O113" i="47"/>
  <c r="P113" i="47"/>
  <c r="Q113" i="47"/>
  <c r="S113" i="47"/>
  <c r="A114" i="47"/>
  <c r="D114" i="47"/>
  <c r="H114" i="47"/>
  <c r="I114" i="47"/>
  <c r="L114" i="47"/>
  <c r="M114" i="47"/>
  <c r="N114" i="47"/>
  <c r="O114" i="47"/>
  <c r="P114" i="47"/>
  <c r="Q114" i="47"/>
  <c r="S114" i="47"/>
  <c r="C8" i="44"/>
  <c r="J8" i="44"/>
  <c r="D25" i="51"/>
  <c r="C25" i="51" s="1"/>
  <c r="E25" i="51"/>
  <c r="C6" i="56"/>
  <c r="O21" i="56"/>
  <c r="O84" i="56"/>
  <c r="P82" i="56" s="1"/>
  <c r="M99" i="70" s="1"/>
  <c r="O87" i="56"/>
  <c r="B13" i="64"/>
  <c r="C13" i="64"/>
  <c r="D13" i="64"/>
  <c r="E13" i="64"/>
  <c r="B14" i="64"/>
  <c r="C14" i="64"/>
  <c r="D14" i="64"/>
  <c r="E14" i="64"/>
  <c r="B15" i="64"/>
  <c r="C15" i="64"/>
  <c r="D15" i="64"/>
  <c r="E15" i="64"/>
  <c r="B2" i="62"/>
  <c r="B6" i="62"/>
  <c r="D6" i="62"/>
  <c r="O24" i="56"/>
  <c r="O62" i="56"/>
  <c r="C28" i="71" s="1"/>
  <c r="O60" i="56"/>
  <c r="P58" i="56" s="1"/>
  <c r="O57" i="56"/>
  <c r="P55" i="56" s="1"/>
  <c r="O65" i="56"/>
  <c r="C29" i="71" s="1"/>
  <c r="C31" i="71" l="1"/>
  <c r="O66" i="56"/>
  <c r="P64" i="56" s="1"/>
  <c r="M81" i="70" s="1"/>
  <c r="N81" i="70" s="1"/>
  <c r="E29" i="71" s="1"/>
  <c r="O72" i="56"/>
  <c r="O63" i="56"/>
  <c r="P61" i="56" s="1"/>
  <c r="M78" i="70" s="1"/>
  <c r="N78" i="70" s="1"/>
  <c r="E28" i="71" s="1"/>
  <c r="O69" i="56"/>
  <c r="P67" i="56" s="1"/>
  <c r="M84" i="70" s="1"/>
  <c r="N84" i="70" s="1"/>
  <c r="E30" i="71" s="1"/>
  <c r="F80" i="53"/>
  <c r="I15" i="54" s="1"/>
  <c r="B3" i="62" s="1"/>
  <c r="D80" i="53"/>
  <c r="C80" i="53"/>
  <c r="B11" i="54" s="1"/>
  <c r="B80" i="53"/>
  <c r="B9" i="54" s="1"/>
  <c r="C6" i="49" s="1"/>
  <c r="C44" i="71"/>
  <c r="P109" i="56"/>
  <c r="M126" i="70" s="1"/>
  <c r="N126" i="70" s="1"/>
  <c r="E44" i="71" s="1"/>
  <c r="L126" i="70"/>
  <c r="D44" i="71"/>
  <c r="E29" i="47"/>
  <c r="E8" i="63" s="1"/>
  <c r="S95" i="56"/>
  <c r="S47" i="56"/>
  <c r="D29" i="47"/>
  <c r="D8" i="63" s="1"/>
  <c r="S77" i="56"/>
  <c r="S26" i="56"/>
  <c r="P85" i="56"/>
  <c r="M102" i="70" s="1"/>
  <c r="N102" i="70" s="1"/>
  <c r="E36" i="71" s="1"/>
  <c r="L102" i="70"/>
  <c r="D36" i="71"/>
  <c r="D35" i="71"/>
  <c r="L99" i="70"/>
  <c r="M72" i="70"/>
  <c r="N72" i="70" s="1"/>
  <c r="E26" i="71" s="1"/>
  <c r="D26" i="71"/>
  <c r="L72" i="70"/>
  <c r="P19" i="56"/>
  <c r="M36" i="70" s="1"/>
  <c r="N36" i="70" s="1"/>
  <c r="E15" i="71" s="1"/>
  <c r="D15" i="71"/>
  <c r="L36" i="70"/>
  <c r="D27" i="71"/>
  <c r="L75" i="70"/>
  <c r="M75" i="70"/>
  <c r="N75" i="70" s="1"/>
  <c r="E27" i="71" s="1"/>
  <c r="B25" i="71"/>
  <c r="M69" i="70"/>
  <c r="N69" i="70" s="1"/>
  <c r="E25" i="71" s="1"/>
  <c r="L69" i="70"/>
  <c r="D16" i="71"/>
  <c r="P22" i="56"/>
  <c r="M39" i="70" s="1"/>
  <c r="N39" i="70" s="1"/>
  <c r="E16" i="71" s="1"/>
  <c r="L39" i="70"/>
  <c r="B24" i="71"/>
  <c r="L66" i="70"/>
  <c r="P49" i="56"/>
  <c r="M66" i="70" s="1"/>
  <c r="N66" i="70" s="1"/>
  <c r="E24" i="71" s="1"/>
  <c r="M96" i="70"/>
  <c r="N96" i="70" s="1"/>
  <c r="E34" i="71" s="1"/>
  <c r="G19" i="64"/>
  <c r="H19" i="64"/>
  <c r="G4" i="64"/>
  <c r="S113" i="56"/>
  <c r="H16" i="64"/>
  <c r="G21" i="64"/>
  <c r="G5" i="64"/>
  <c r="G24" i="64"/>
  <c r="C4" i="63"/>
  <c r="C5" i="63"/>
  <c r="C2" i="63"/>
  <c r="C3" i="63"/>
  <c r="R26" i="47"/>
  <c r="Q5" i="63" s="1"/>
  <c r="M5" i="63"/>
  <c r="U25" i="47"/>
  <c r="S4" i="63" s="1"/>
  <c r="R4" i="63"/>
  <c r="R25" i="47"/>
  <c r="M4" i="63"/>
  <c r="U24" i="47"/>
  <c r="S3" i="63" s="1"/>
  <c r="R3" i="63"/>
  <c r="F2" i="61"/>
  <c r="H29" i="47"/>
  <c r="H8" i="63" s="1"/>
  <c r="G2" i="61"/>
  <c r="I29" i="47"/>
  <c r="I8" i="63" s="1"/>
  <c r="D2" i="61"/>
  <c r="F29" i="47"/>
  <c r="F8" i="63" s="1"/>
  <c r="S107" i="56"/>
  <c r="E2" i="61"/>
  <c r="R23" i="47"/>
  <c r="Q2" i="63" s="1"/>
  <c r="K33" i="54"/>
  <c r="R24" i="47"/>
  <c r="Q3" i="63" s="1"/>
  <c r="B2" i="61"/>
  <c r="U26" i="47"/>
  <c r="S5" i="63" s="1"/>
  <c r="G23" i="64"/>
  <c r="G12" i="64"/>
  <c r="G13" i="64"/>
  <c r="G16" i="64"/>
  <c r="R2" i="63"/>
  <c r="C2" i="61"/>
  <c r="B12" i="64"/>
  <c r="G14" i="64"/>
  <c r="G15" i="64"/>
  <c r="A6" i="62"/>
  <c r="B11" i="64"/>
  <c r="P70" i="56" l="1"/>
  <c r="M87" i="70" s="1"/>
  <c r="N87" i="70" s="1"/>
  <c r="E31" i="71" s="1"/>
  <c r="L81" i="70"/>
  <c r="D29" i="71"/>
  <c r="L87" i="70"/>
  <c r="D31" i="71"/>
  <c r="L84" i="70"/>
  <c r="D30" i="71"/>
  <c r="D28" i="71"/>
  <c r="L78" i="70"/>
  <c r="K2" i="61"/>
  <c r="O35" i="56"/>
  <c r="O36" i="56" s="1"/>
  <c r="F5" i="73"/>
  <c r="F6" i="72"/>
  <c r="A22" i="68"/>
  <c r="C22" i="68" s="1"/>
  <c r="A13" i="68"/>
  <c r="D13" i="68" s="1"/>
  <c r="A4" i="68"/>
  <c r="H4" i="68" s="1"/>
  <c r="A12" i="68"/>
  <c r="K12" i="68" s="1"/>
  <c r="A16" i="68"/>
  <c r="I16" i="68" s="1"/>
  <c r="A15" i="68"/>
  <c r="J15" i="68" s="1"/>
  <c r="A21" i="68"/>
  <c r="K21" i="68" s="1"/>
  <c r="G10" i="64"/>
  <c r="M60" i="70"/>
  <c r="N60" i="70" s="1"/>
  <c r="E22" i="71" s="1"/>
  <c r="G11" i="64"/>
  <c r="Q4" i="63"/>
  <c r="C29" i="47"/>
  <c r="A23" i="68"/>
  <c r="H23" i="68" s="1"/>
  <c r="C6" i="44"/>
  <c r="E6" i="56"/>
  <c r="E6" i="47"/>
  <c r="H23" i="64"/>
  <c r="D2" i="53"/>
  <c r="E2" i="53" s="1"/>
  <c r="M90" i="70"/>
  <c r="N90" i="70" s="1"/>
  <c r="E32" i="71" s="1"/>
  <c r="A18" i="68"/>
  <c r="D18" i="68" s="1"/>
  <c r="A14" i="68"/>
  <c r="J14" i="68" s="1"/>
  <c r="A17" i="68"/>
  <c r="L17" i="68" s="1"/>
  <c r="H4" i="64"/>
  <c r="J52" i="51"/>
  <c r="O85" i="47" s="1"/>
  <c r="O17" i="56"/>
  <c r="C14" i="71" s="1"/>
  <c r="A11" i="68"/>
  <c r="O10" i="56"/>
  <c r="S101" i="56" s="1"/>
  <c r="A5" i="68"/>
  <c r="A19" i="68" l="1"/>
  <c r="F19" i="68" s="1"/>
  <c r="L22" i="68"/>
  <c r="G22" i="68"/>
  <c r="J22" i="68"/>
  <c r="I22" i="68"/>
  <c r="C20" i="71"/>
  <c r="G16" i="68"/>
  <c r="E12" i="68"/>
  <c r="H12" i="68"/>
  <c r="C12" i="68"/>
  <c r="L12" i="68"/>
  <c r="I12" i="68"/>
  <c r="M12" i="68"/>
  <c r="F12" i="68"/>
  <c r="F22" i="68"/>
  <c r="L13" i="68"/>
  <c r="I13" i="68"/>
  <c r="C13" i="68"/>
  <c r="K13" i="68"/>
  <c r="J13" i="68"/>
  <c r="E13" i="68"/>
  <c r="L4" i="68"/>
  <c r="G4" i="68"/>
  <c r="K4" i="68"/>
  <c r="I4" i="68"/>
  <c r="C4" i="68"/>
  <c r="J4" i="68"/>
  <c r="E4" i="68"/>
  <c r="E22" i="68"/>
  <c r="D22" i="68"/>
  <c r="M22" i="68"/>
  <c r="H22" i="68"/>
  <c r="K22" i="68"/>
  <c r="E19" i="68"/>
  <c r="M19" i="68"/>
  <c r="I19" i="68"/>
  <c r="K19" i="68"/>
  <c r="G19" i="68"/>
  <c r="J19" i="68"/>
  <c r="C19" i="68"/>
  <c r="L19" i="68"/>
  <c r="D19" i="68"/>
  <c r="H19" i="68"/>
  <c r="J16" i="68"/>
  <c r="F13" i="68"/>
  <c r="G13" i="68"/>
  <c r="H13" i="68"/>
  <c r="M13" i="68"/>
  <c r="D4" i="68"/>
  <c r="M4" i="68"/>
  <c r="F4" i="68"/>
  <c r="D21" i="68"/>
  <c r="J21" i="68"/>
  <c r="L21" i="68"/>
  <c r="H21" i="68"/>
  <c r="F21" i="68"/>
  <c r="L15" i="68"/>
  <c r="D16" i="68"/>
  <c r="D12" i="68"/>
  <c r="J12" i="68"/>
  <c r="G12" i="68"/>
  <c r="M16" i="68"/>
  <c r="F15" i="68"/>
  <c r="H15" i="68"/>
  <c r="F16" i="68"/>
  <c r="D15" i="68"/>
  <c r="K15" i="68"/>
  <c r="M15" i="68"/>
  <c r="H16" i="68"/>
  <c r="L16" i="68"/>
  <c r="C15" i="68"/>
  <c r="E15" i="68"/>
  <c r="I15" i="68"/>
  <c r="G15" i="68"/>
  <c r="C16" i="68"/>
  <c r="K16" i="68"/>
  <c r="E16" i="68"/>
  <c r="B12" i="71"/>
  <c r="L27" i="70"/>
  <c r="P10" i="56"/>
  <c r="M27" i="70" s="1"/>
  <c r="N27" i="70" s="1"/>
  <c r="E12" i="71" s="1"/>
  <c r="I21" i="68"/>
  <c r="M21" i="68"/>
  <c r="G21" i="68"/>
  <c r="E21" i="68"/>
  <c r="C21" i="68"/>
  <c r="M54" i="70"/>
  <c r="N54" i="70" s="1"/>
  <c r="E21" i="71" s="1"/>
  <c r="O32" i="56"/>
  <c r="C19" i="71" s="1"/>
  <c r="O29" i="56"/>
  <c r="C18" i="71" s="1"/>
  <c r="A23" i="47"/>
  <c r="A2" i="63" s="1"/>
  <c r="A29" i="47"/>
  <c r="A8" i="63" s="1"/>
  <c r="A28" i="47"/>
  <c r="A7" i="63" s="1"/>
  <c r="C8" i="63"/>
  <c r="O18" i="56"/>
  <c r="A8" i="67"/>
  <c r="H26" i="67" s="1"/>
  <c r="A4" i="67"/>
  <c r="H4" i="67" s="1"/>
  <c r="A7" i="67"/>
  <c r="A3" i="67"/>
  <c r="H3" i="67" s="1"/>
  <c r="A2" i="67"/>
  <c r="H2" i="67" s="1"/>
  <c r="A5" i="67"/>
  <c r="M23" i="68"/>
  <c r="F23" i="68"/>
  <c r="G23" i="68"/>
  <c r="E23" i="68"/>
  <c r="K23" i="68"/>
  <c r="J23" i="68"/>
  <c r="I23" i="68"/>
  <c r="L23" i="68"/>
  <c r="C23" i="68"/>
  <c r="D23" i="68"/>
  <c r="A26" i="47"/>
  <c r="R31" i="47" s="1"/>
  <c r="A25" i="47"/>
  <c r="A24" i="47"/>
  <c r="A3" i="63" s="1"/>
  <c r="D14" i="68"/>
  <c r="H18" i="68"/>
  <c r="J18" i="68"/>
  <c r="E18" i="68"/>
  <c r="M18" i="68"/>
  <c r="D17" i="68"/>
  <c r="A20" i="68"/>
  <c r="K20" i="68" s="1"/>
  <c r="I18" i="68"/>
  <c r="C18" i="68"/>
  <c r="H10" i="64"/>
  <c r="L18" i="68"/>
  <c r="K18" i="68"/>
  <c r="F18" i="68"/>
  <c r="G18" i="68"/>
  <c r="H14" i="68"/>
  <c r="E14" i="68"/>
  <c r="K14" i="68"/>
  <c r="F14" i="68"/>
  <c r="I14" i="68"/>
  <c r="C17" i="68"/>
  <c r="F17" i="68"/>
  <c r="M17" i="68"/>
  <c r="C14" i="68"/>
  <c r="L14" i="68"/>
  <c r="G14" i="68"/>
  <c r="M14" i="68"/>
  <c r="K17" i="68"/>
  <c r="G17" i="68"/>
  <c r="H17" i="68"/>
  <c r="E17" i="68"/>
  <c r="J17" i="68"/>
  <c r="I17" i="68"/>
  <c r="A9" i="68"/>
  <c r="A10" i="68"/>
  <c r="I11" i="68"/>
  <c r="L11" i="68"/>
  <c r="C11" i="68"/>
  <c r="K11" i="68"/>
  <c r="E11" i="68"/>
  <c r="D11" i="68"/>
  <c r="G11" i="68"/>
  <c r="J11" i="68"/>
  <c r="F11" i="68"/>
  <c r="H11" i="68"/>
  <c r="M11" i="68"/>
  <c r="I5" i="68"/>
  <c r="G5" i="68"/>
  <c r="K5" i="68"/>
  <c r="H5" i="68"/>
  <c r="M5" i="68"/>
  <c r="D5" i="68"/>
  <c r="J5" i="68"/>
  <c r="F5" i="68"/>
  <c r="E5" i="68"/>
  <c r="L5" i="68"/>
  <c r="C5" i="68"/>
  <c r="P34" i="56" l="1"/>
  <c r="L51" i="70"/>
  <c r="D20" i="71"/>
  <c r="O30" i="56"/>
  <c r="O33" i="56"/>
  <c r="P31" i="56" s="1"/>
  <c r="M48" i="70" s="1"/>
  <c r="N48" i="70" s="1"/>
  <c r="E19" i="71" s="1"/>
  <c r="D14" i="71"/>
  <c r="L33" i="70"/>
  <c r="P16" i="56"/>
  <c r="A4" i="63"/>
  <c r="H19" i="67"/>
  <c r="E19" i="67" s="1"/>
  <c r="H46" i="67"/>
  <c r="E46" i="67" s="1"/>
  <c r="H5" i="67"/>
  <c r="E5" i="67" s="1"/>
  <c r="H8" i="67"/>
  <c r="H25" i="67"/>
  <c r="E25" i="67" s="1"/>
  <c r="H7" i="67"/>
  <c r="E7" i="67" s="1"/>
  <c r="H6" i="67"/>
  <c r="E6" i="67" s="1"/>
  <c r="H47" i="67"/>
  <c r="E47" i="67" s="1"/>
  <c r="A6" i="63"/>
  <c r="H23" i="67"/>
  <c r="E23" i="67" s="1"/>
  <c r="H31" i="67"/>
  <c r="E31" i="67" s="1"/>
  <c r="H36" i="67"/>
  <c r="E36" i="67" s="1"/>
  <c r="H17" i="67"/>
  <c r="E17" i="67" s="1"/>
  <c r="H12" i="67"/>
  <c r="E12" i="67" s="1"/>
  <c r="H42" i="67"/>
  <c r="E42" i="67" s="1"/>
  <c r="H37" i="67"/>
  <c r="E37" i="67" s="1"/>
  <c r="H24" i="67"/>
  <c r="E24" i="67" s="1"/>
  <c r="H18" i="67"/>
  <c r="E18" i="67" s="1"/>
  <c r="H13" i="67"/>
  <c r="E13" i="67" s="1"/>
  <c r="H32" i="67"/>
  <c r="E32" i="67" s="1"/>
  <c r="H33" i="67"/>
  <c r="E33" i="67" s="1"/>
  <c r="H20" i="67"/>
  <c r="H9" i="67"/>
  <c r="E9" i="67" s="1"/>
  <c r="H14" i="67"/>
  <c r="E14" i="67" s="1"/>
  <c r="E2" i="67"/>
  <c r="H21" i="67"/>
  <c r="E21" i="67" s="1"/>
  <c r="E3" i="67"/>
  <c r="H34" i="67"/>
  <c r="E34" i="67" s="1"/>
  <c r="H15" i="67"/>
  <c r="E15" i="67" s="1"/>
  <c r="H10" i="67"/>
  <c r="E10" i="67" s="1"/>
  <c r="H35" i="67"/>
  <c r="E35" i="67" s="1"/>
  <c r="H22" i="67"/>
  <c r="E22" i="67" s="1"/>
  <c r="H16" i="67"/>
  <c r="E16" i="67" s="1"/>
  <c r="H11" i="67"/>
  <c r="E11" i="67" s="1"/>
  <c r="H30" i="67"/>
  <c r="E30" i="67" s="1"/>
  <c r="E4" i="67"/>
  <c r="I20" i="68"/>
  <c r="C20" i="68"/>
  <c r="A5" i="63"/>
  <c r="M20" i="68"/>
  <c r="F20" i="68"/>
  <c r="E20" i="68"/>
  <c r="D20" i="68"/>
  <c r="G20" i="68"/>
  <c r="H20" i="68"/>
  <c r="L20" i="68"/>
  <c r="J20" i="68"/>
  <c r="K10" i="68"/>
  <c r="H10" i="68"/>
  <c r="I10" i="68"/>
  <c r="J10" i="68"/>
  <c r="D10" i="68"/>
  <c r="G10" i="68"/>
  <c r="F10" i="68"/>
  <c r="C10" i="68"/>
  <c r="E10" i="68"/>
  <c r="M10" i="68"/>
  <c r="L10" i="68"/>
  <c r="K9" i="68"/>
  <c r="F9" i="68"/>
  <c r="L9" i="68"/>
  <c r="H9" i="68"/>
  <c r="I9" i="68"/>
  <c r="E9" i="68"/>
  <c r="G9" i="68"/>
  <c r="D9" i="68"/>
  <c r="C9" i="68"/>
  <c r="J9" i="68"/>
  <c r="M9" i="68"/>
  <c r="A2" i="68"/>
  <c r="L48" i="70" l="1"/>
  <c r="M51" i="70"/>
  <c r="N51" i="70" s="1"/>
  <c r="E20" i="71" s="1"/>
  <c r="A8" i="68"/>
  <c r="D18" i="71"/>
  <c r="P28" i="56"/>
  <c r="M45" i="70" s="1"/>
  <c r="N45" i="70" s="1"/>
  <c r="E18" i="71" s="1"/>
  <c r="D19" i="71"/>
  <c r="L45" i="70"/>
  <c r="M33" i="70"/>
  <c r="N33" i="70" s="1"/>
  <c r="E14" i="71" s="1"/>
  <c r="H27" i="67"/>
  <c r="E27" i="67" s="1"/>
  <c r="E20" i="67"/>
  <c r="E19" i="51"/>
  <c r="D19" i="51"/>
  <c r="B19" i="51"/>
  <c r="C19" i="51" s="1"/>
  <c r="B15" i="51"/>
  <c r="C15" i="51" s="1"/>
  <c r="A3" i="68"/>
  <c r="E26" i="67"/>
  <c r="J26" i="67"/>
  <c r="F26" i="67"/>
  <c r="G26" i="67"/>
  <c r="E8" i="67"/>
  <c r="J8" i="67"/>
  <c r="G8" i="67"/>
  <c r="F8" i="67"/>
  <c r="F25" i="67"/>
  <c r="G25" i="67"/>
  <c r="F7" i="67"/>
  <c r="G7" i="67"/>
  <c r="J25" i="67"/>
  <c r="J7" i="67"/>
  <c r="J19" i="67"/>
  <c r="F19" i="67"/>
  <c r="G19" i="67"/>
  <c r="B24" i="51"/>
  <c r="C24" i="51" s="1"/>
  <c r="D24" i="51"/>
  <c r="G30" i="67"/>
  <c r="J30" i="67"/>
  <c r="F30" i="67"/>
  <c r="G11" i="67"/>
  <c r="J11" i="67"/>
  <c r="F11" i="67"/>
  <c r="J22" i="67"/>
  <c r="G22" i="67"/>
  <c r="F22" i="67"/>
  <c r="G10" i="67"/>
  <c r="F10" i="67"/>
  <c r="J10" i="67"/>
  <c r="I34" i="67" a="1"/>
  <c r="I34" i="67" s="1"/>
  <c r="G34" i="67"/>
  <c r="F34" i="67"/>
  <c r="J34" i="67"/>
  <c r="G2" i="67"/>
  <c r="J2" i="67"/>
  <c r="F2" i="67"/>
  <c r="F9" i="67"/>
  <c r="J9" i="67"/>
  <c r="G9" i="67"/>
  <c r="I33" i="67" a="1"/>
  <c r="I33" i="67" s="1"/>
  <c r="F33" i="67"/>
  <c r="G33" i="67"/>
  <c r="J33" i="67"/>
  <c r="J32" i="67"/>
  <c r="F32" i="67"/>
  <c r="G32" i="67"/>
  <c r="F18" i="67"/>
  <c r="J18" i="67"/>
  <c r="G18" i="67"/>
  <c r="I37" i="67" a="1"/>
  <c r="I37" i="67" s="1"/>
  <c r="F37" i="67"/>
  <c r="J37" i="67"/>
  <c r="G37" i="67"/>
  <c r="G47" i="67"/>
  <c r="J47" i="67"/>
  <c r="F47" i="67"/>
  <c r="F17" i="67"/>
  <c r="J17" i="67"/>
  <c r="G17" i="67"/>
  <c r="G31" i="67"/>
  <c r="J31" i="67"/>
  <c r="F31" i="67"/>
  <c r="G23" i="67"/>
  <c r="F23" i="67"/>
  <c r="J23" i="67"/>
  <c r="E24" i="51"/>
  <c r="F4" i="67"/>
  <c r="J4" i="67"/>
  <c r="G4" i="67"/>
  <c r="G16" i="67"/>
  <c r="J16" i="67"/>
  <c r="F16" i="67"/>
  <c r="I35" i="67" a="1"/>
  <c r="I35" i="67" s="1"/>
  <c r="J35" i="67"/>
  <c r="F35" i="67"/>
  <c r="G35" i="67"/>
  <c r="G15" i="67"/>
  <c r="F15" i="67"/>
  <c r="J15" i="67"/>
  <c r="J3" i="67"/>
  <c r="F3" i="67"/>
  <c r="G3" i="67"/>
  <c r="G21" i="67"/>
  <c r="J21" i="67"/>
  <c r="F21" i="67"/>
  <c r="F14" i="67"/>
  <c r="G14" i="67"/>
  <c r="J14" i="67"/>
  <c r="G20" i="67"/>
  <c r="J20" i="67"/>
  <c r="F20" i="67"/>
  <c r="G6" i="67"/>
  <c r="J6" i="67"/>
  <c r="F6" i="67"/>
  <c r="J13" i="67"/>
  <c r="F13" i="67"/>
  <c r="G13" i="67"/>
  <c r="F24" i="67"/>
  <c r="G24" i="67"/>
  <c r="J24" i="67"/>
  <c r="G42" i="67"/>
  <c r="J42" i="67"/>
  <c r="F42" i="67"/>
  <c r="F12" i="67"/>
  <c r="J12" i="67"/>
  <c r="G12" i="67"/>
  <c r="I36" i="67" a="1"/>
  <c r="I36" i="67" s="1"/>
  <c r="G36" i="67"/>
  <c r="F36" i="67"/>
  <c r="J36" i="67"/>
  <c r="G5" i="67"/>
  <c r="F5" i="67"/>
  <c r="J5" i="67"/>
  <c r="J46" i="67"/>
  <c r="G46" i="67"/>
  <c r="F46" i="67"/>
  <c r="E18" i="51"/>
  <c r="D18" i="51"/>
  <c r="C18" i="51" s="1"/>
  <c r="E23" i="51"/>
  <c r="B23" i="51"/>
  <c r="C23" i="51" s="1"/>
  <c r="D23" i="51"/>
  <c r="E15" i="51"/>
  <c r="B22" i="51"/>
  <c r="C22" i="51" s="1"/>
  <c r="D15" i="51"/>
  <c r="E22" i="51"/>
  <c r="D22" i="51"/>
  <c r="B16" i="51"/>
  <c r="C16" i="51" s="1"/>
  <c r="D16" i="51"/>
  <c r="E16" i="51"/>
  <c r="D17" i="51"/>
  <c r="B21" i="51"/>
  <c r="C21" i="51" s="1"/>
  <c r="D21" i="51"/>
  <c r="E21" i="51"/>
  <c r="E17" i="51"/>
  <c r="B17" i="51"/>
  <c r="C17" i="51" s="1"/>
  <c r="A7" i="68"/>
  <c r="M2" i="68"/>
  <c r="K2" i="68"/>
  <c r="I2" i="68"/>
  <c r="C2" i="68"/>
  <c r="F2" i="68"/>
  <c r="H2" i="68"/>
  <c r="L2" i="68"/>
  <c r="J2" i="68"/>
  <c r="E2" i="68"/>
  <c r="G2" i="68"/>
  <c r="D2" i="68"/>
  <c r="E8" i="68" l="1"/>
  <c r="C8" i="68"/>
  <c r="K8" i="68"/>
  <c r="I8" i="68"/>
  <c r="G8" i="68"/>
  <c r="F8" i="68"/>
  <c r="H8" i="68"/>
  <c r="L8" i="68"/>
  <c r="M8" i="68"/>
  <c r="D8" i="68"/>
  <c r="J8" i="68"/>
  <c r="D20" i="51"/>
  <c r="C20" i="51" s="1"/>
  <c r="G24" i="51" s="1" a="1"/>
  <c r="G24" i="51" s="1"/>
  <c r="H6" i="70"/>
  <c r="H9" i="70" s="1"/>
  <c r="C6" i="70"/>
  <c r="C9" i="70" s="1"/>
  <c r="D6" i="70"/>
  <c r="E6" i="70"/>
  <c r="E7" i="70" s="1"/>
  <c r="A6" i="68"/>
  <c r="E6" i="68" s="1"/>
  <c r="F6" i="70"/>
  <c r="F9" i="70" s="1"/>
  <c r="G6" i="70"/>
  <c r="G9" i="70" s="1"/>
  <c r="F27" i="67"/>
  <c r="E20" i="51"/>
  <c r="J27" i="67"/>
  <c r="J53" i="67" s="1"/>
  <c r="C6" i="51" s="1"/>
  <c r="C13" i="49" s="1"/>
  <c r="G27" i="67"/>
  <c r="H3" i="68"/>
  <c r="G3" i="68"/>
  <c r="F3" i="68"/>
  <c r="M3" i="68"/>
  <c r="K3" i="68"/>
  <c r="E3" i="68"/>
  <c r="C3" i="68"/>
  <c r="D3" i="68"/>
  <c r="L3" i="68"/>
  <c r="J3" i="68"/>
  <c r="I3" i="68"/>
  <c r="J54" i="67"/>
  <c r="D6" i="51" s="1"/>
  <c r="J51" i="67"/>
  <c r="F6" i="51" s="1"/>
  <c r="J52" i="67"/>
  <c r="E6" i="51" s="1"/>
  <c r="E13" i="49" s="1"/>
  <c r="L7" i="68"/>
  <c r="C7" i="68"/>
  <c r="D7" i="68"/>
  <c r="G7" i="68"/>
  <c r="K7" i="68"/>
  <c r="M7" i="68"/>
  <c r="E7" i="68"/>
  <c r="J7" i="68"/>
  <c r="F7" i="68"/>
  <c r="H7" i="68"/>
  <c r="I7" i="68"/>
  <c r="I15" i="51" l="1" a="1"/>
  <c r="I15" i="51" s="1"/>
  <c r="I30" i="67" s="1" a="1"/>
  <c r="I30" i="67" s="1"/>
  <c r="I17" i="51" a="1"/>
  <c r="I17" i="51" s="1"/>
  <c r="J17" i="51" s="1"/>
  <c r="H21" i="51" a="1"/>
  <c r="H21" i="51" s="1"/>
  <c r="B25" i="49" s="1"/>
  <c r="E123" i="56"/>
  <c r="E124" i="56"/>
  <c r="I22" i="51" a="1"/>
  <c r="I22" i="51" s="1"/>
  <c r="J22" i="51" s="1"/>
  <c r="I20" i="51" a="1"/>
  <c r="I20" i="51" s="1"/>
  <c r="J20" i="51" s="1"/>
  <c r="H17" i="51" a="1"/>
  <c r="H17" i="51" s="1"/>
  <c r="B21" i="49" s="1"/>
  <c r="G20" i="51" a="1"/>
  <c r="G20" i="51" s="1"/>
  <c r="A24" i="49" s="1"/>
  <c r="G15" i="51" a="1"/>
  <c r="G15" i="51" s="1"/>
  <c r="A19" i="49" s="1"/>
  <c r="G23" i="51" a="1"/>
  <c r="G23" i="51" s="1"/>
  <c r="H24" i="51" a="1"/>
  <c r="H24" i="51" s="1"/>
  <c r="H22" i="51" a="1"/>
  <c r="H22" i="51" s="1"/>
  <c r="B26" i="49" s="1"/>
  <c r="H19" i="51" a="1"/>
  <c r="H19" i="51" s="1"/>
  <c r="B23" i="49" s="1"/>
  <c r="I19" i="51" a="1"/>
  <c r="I19" i="51" s="1"/>
  <c r="J19" i="51" s="1"/>
  <c r="H15" i="51" a="1"/>
  <c r="H15" i="51" s="1"/>
  <c r="B19" i="49" s="1"/>
  <c r="I18" i="51" a="1"/>
  <c r="I18" i="51" s="1"/>
  <c r="J18" i="51" s="1"/>
  <c r="H16" i="51" a="1"/>
  <c r="H16" i="51" s="1"/>
  <c r="B20" i="49" s="1"/>
  <c r="G16" i="51" a="1"/>
  <c r="G16" i="51" s="1"/>
  <c r="A20" i="49" s="1"/>
  <c r="I23" i="51" a="1"/>
  <c r="I23" i="51" s="1"/>
  <c r="J23" i="51" s="1"/>
  <c r="H20" i="51" a="1"/>
  <c r="H20" i="51" s="1"/>
  <c r="B24" i="49" s="1"/>
  <c r="G22" i="51" a="1"/>
  <c r="G22" i="51" s="1"/>
  <c r="A26" i="49" s="1"/>
  <c r="G21" i="51" a="1"/>
  <c r="G21" i="51" s="1"/>
  <c r="A25" i="49" s="1"/>
  <c r="G17" i="51" a="1"/>
  <c r="G17" i="51" s="1"/>
  <c r="A21" i="49" s="1"/>
  <c r="H18" i="51" a="1"/>
  <c r="H18" i="51" s="1"/>
  <c r="B22" i="49" s="1"/>
  <c r="I21" i="51" a="1"/>
  <c r="I21" i="51" s="1"/>
  <c r="J21" i="51" s="1"/>
  <c r="H23" i="51" a="1"/>
  <c r="H23" i="51" s="1"/>
  <c r="I24" i="51" a="1"/>
  <c r="I24" i="51" s="1"/>
  <c r="J24" i="51" s="1"/>
  <c r="G18" i="51" a="1"/>
  <c r="G18" i="51" s="1"/>
  <c r="A22" i="49" s="1"/>
  <c r="I16" i="51" a="1"/>
  <c r="I16" i="51" s="1"/>
  <c r="J16" i="51" s="1"/>
  <c r="G19" i="51" a="1"/>
  <c r="G19" i="51" s="1"/>
  <c r="A23" i="49" s="1"/>
  <c r="F6" i="68"/>
  <c r="J6" i="68"/>
  <c r="G6" i="68"/>
  <c r="L6" i="68"/>
  <c r="D6" i="68"/>
  <c r="C6" i="68"/>
  <c r="I6" i="68"/>
  <c r="M6" i="68"/>
  <c r="K6" i="68"/>
  <c r="H6" i="68"/>
  <c r="D10" i="70"/>
  <c r="D7" i="70"/>
  <c r="E8" i="70" s="1"/>
  <c r="E10" i="70"/>
  <c r="K6" i="70"/>
  <c r="I6" i="70"/>
  <c r="G7" i="70"/>
  <c r="E9" i="70"/>
  <c r="E11" i="70"/>
  <c r="D9" i="70"/>
  <c r="K9" i="70" s="1"/>
  <c r="G10" i="70"/>
  <c r="E120" i="56"/>
  <c r="I14" i="67" a="1"/>
  <c r="I14" i="67" s="1"/>
  <c r="I16" i="67" a="1"/>
  <c r="I16" i="67" s="1"/>
  <c r="N14" i="47"/>
  <c r="D13" i="49"/>
  <c r="I18" i="67" a="1"/>
  <c r="I18" i="67" s="1"/>
  <c r="I17" i="67" a="1"/>
  <c r="I17" i="67" s="1"/>
  <c r="I46" i="67" a="1"/>
  <c r="I46" i="67" s="1"/>
  <c r="I47" i="67" a="1"/>
  <c r="I47" i="67" s="1"/>
  <c r="I19" i="67" a="1"/>
  <c r="I19" i="67" s="1"/>
  <c r="I32" i="67" a="1"/>
  <c r="I32" i="67" s="1"/>
  <c r="I31" i="67" a="1"/>
  <c r="I31" i="67" s="1"/>
  <c r="I27" i="67" a="1"/>
  <c r="I27" i="67" s="1"/>
  <c r="I11" i="67" a="1"/>
  <c r="I11" i="67" s="1"/>
  <c r="I13" i="67" a="1"/>
  <c r="I13" i="67" s="1"/>
  <c r="I12" i="67" a="1"/>
  <c r="I12" i="67" s="1"/>
  <c r="I10" i="67" a="1"/>
  <c r="I10" i="67" s="1"/>
  <c r="I9" i="67" a="1"/>
  <c r="I9" i="67" s="1"/>
  <c r="I42" i="67" a="1"/>
  <c r="I42" i="67" s="1"/>
  <c r="I21" i="67" a="1"/>
  <c r="I21" i="67" s="1"/>
  <c r="I23" i="67" a="1"/>
  <c r="I23" i="67" s="1"/>
  <c r="I24" i="67" a="1"/>
  <c r="I24" i="67" s="1"/>
  <c r="I22" i="67" a="1"/>
  <c r="I22" i="67" s="1"/>
  <c r="I20" i="67" a="1"/>
  <c r="I20" i="67" s="1"/>
  <c r="T14" i="47"/>
  <c r="B6" i="51"/>
  <c r="B14" i="47" s="1"/>
  <c r="B13" i="47" s="1"/>
  <c r="G14" i="47"/>
  <c r="Y14" i="47"/>
  <c r="F13" i="49"/>
  <c r="J15" i="51" l="1"/>
  <c r="I3" i="67" s="1" a="1"/>
  <c r="I3" i="67" s="1"/>
  <c r="G8" i="70"/>
  <c r="F123" i="56" s="1"/>
  <c r="N99" i="70"/>
  <c r="E35" i="71" s="1"/>
  <c r="I25" i="67" a="1"/>
  <c r="I25" i="67" s="1"/>
  <c r="I26" i="67" a="1"/>
  <c r="I26" i="67" s="1"/>
  <c r="F122" i="56"/>
  <c r="G11" i="70"/>
  <c r="I11" i="70" s="1"/>
  <c r="E121" i="56"/>
  <c r="F120" i="56"/>
  <c r="I10" i="70"/>
  <c r="I9" i="70"/>
  <c r="I7" i="70"/>
  <c r="G122" i="56"/>
  <c r="I15" i="67" a="1"/>
  <c r="I15" i="67" s="1"/>
  <c r="I8" i="67" a="1"/>
  <c r="I8" i="67" s="1"/>
  <c r="A15" i="49"/>
  <c r="I7" i="67" a="1"/>
  <c r="I7" i="67" s="1"/>
  <c r="I2" i="67" a="1"/>
  <c r="I2" i="67" s="1"/>
  <c r="I6" i="67" a="1"/>
  <c r="I6" i="67" s="1"/>
  <c r="I5" i="67" a="1"/>
  <c r="I5" i="67" s="1"/>
  <c r="I4" i="67" a="1"/>
  <c r="I4" i="67" s="1"/>
  <c r="B13" i="49"/>
  <c r="B12" i="49" s="1"/>
  <c r="I8" i="70" l="1"/>
  <c r="D35" i="72"/>
  <c r="D40" i="73"/>
  <c r="W22" i="68" a="1"/>
  <c r="O5" i="67" a="1"/>
  <c r="W8" i="68" a="1"/>
  <c r="U18" i="68" a="1"/>
  <c r="M48" i="67" a="1"/>
  <c r="L10" i="67" a="1"/>
  <c r="P44" i="67" a="1"/>
  <c r="O25" i="68" a="1"/>
  <c r="Y10" i="68" a="1"/>
  <c r="V18" i="68" a="1"/>
  <c r="Y3" i="68" a="1"/>
  <c r="W12" i="68" a="1"/>
  <c r="Q25" i="68" a="1"/>
  <c r="P6" i="67" a="1"/>
  <c r="W15" i="68" a="1"/>
  <c r="V28" i="68" a="1"/>
  <c r="R4" i="68" a="1"/>
  <c r="N13" i="67" a="1"/>
  <c r="Q11" i="68" a="1"/>
  <c r="P13" i="68" a="1"/>
  <c r="O24" i="67" a="1"/>
  <c r="M41" i="67" a="1"/>
  <c r="M27" i="67" a="1"/>
  <c r="N9" i="67" a="1"/>
  <c r="X21" i="68" a="1"/>
  <c r="Q26" i="68" a="1"/>
  <c r="M23" i="67" a="1"/>
  <c r="T12" i="68" a="1"/>
  <c r="S10" i="68" a="1"/>
  <c r="X18" i="68" a="1"/>
  <c r="O7" i="67" a="1"/>
  <c r="M44" i="67" a="1"/>
  <c r="M18" i="67" a="1"/>
  <c r="P23" i="68" a="1"/>
  <c r="O29" i="68" a="1"/>
  <c r="Q18" i="68" a="1"/>
  <c r="U10" i="68" a="1"/>
  <c r="Y18" i="68" a="1"/>
  <c r="M33" i="67" a="1"/>
  <c r="U26" i="68" a="1"/>
  <c r="V14" i="68" a="1"/>
  <c r="O4" i="68" a="1"/>
  <c r="M25" i="67" a="1"/>
  <c r="M16" i="67" a="1"/>
  <c r="T28" i="68" a="1"/>
  <c r="V6" i="68" a="1"/>
  <c r="M21" i="67" a="1"/>
  <c r="Y8" i="68" a="1"/>
  <c r="L38" i="67" a="1"/>
  <c r="L11" i="67" a="1"/>
  <c r="L40" i="67" a="1"/>
  <c r="W27" i="68" a="1"/>
  <c r="S7" i="68" a="1"/>
  <c r="P9" i="68" a="1"/>
  <c r="P33" i="67" a="1"/>
  <c r="V29" i="68" a="1"/>
  <c r="N2" i="67" a="1"/>
  <c r="N16" i="67" a="1"/>
  <c r="M40" i="67" a="1"/>
  <c r="T3" i="68" a="1"/>
  <c r="R28" i="68" a="1"/>
  <c r="S27" i="68" a="1"/>
  <c r="M3" i="67" a="1"/>
  <c r="L22" i="67" a="1"/>
  <c r="O34" i="67" a="1"/>
  <c r="P3" i="68" a="1"/>
  <c r="P19" i="67" a="1"/>
  <c r="M37" i="67" a="1"/>
  <c r="U16" i="68" a="1"/>
  <c r="O27" i="68" a="1"/>
  <c r="R6" i="68" a="1"/>
  <c r="V7" i="68" a="1"/>
  <c r="Q5" i="68" a="1"/>
  <c r="L13" i="67" a="1"/>
  <c r="Q4" i="68" a="1"/>
  <c r="O46" i="67" a="1"/>
  <c r="W23" i="68" a="1"/>
  <c r="N40" i="67" a="1"/>
  <c r="N5" i="67" a="1"/>
  <c r="N37" i="67" a="1"/>
  <c r="Y28" i="68" a="1"/>
  <c r="U4" i="68" a="1"/>
  <c r="N33" i="67" a="1"/>
  <c r="L34" i="67" a="1"/>
  <c r="U27" i="68" a="1"/>
  <c r="X9" i="68" a="1"/>
  <c r="P2" i="68" a="1"/>
  <c r="V25" i="68" a="1"/>
  <c r="Y15" i="68" a="1"/>
  <c r="T6" i="68" a="1"/>
  <c r="P5" i="67" a="1"/>
  <c r="P28" i="68" a="1"/>
  <c r="M17" i="67" a="1"/>
  <c r="R9" i="68" a="1"/>
  <c r="O10" i="67" a="1"/>
  <c r="M4" i="67" a="1"/>
  <c r="Q22" i="68" a="1"/>
  <c r="L29" i="67" a="1"/>
  <c r="Q15" i="68" a="1"/>
  <c r="Y25" i="68" a="1"/>
  <c r="N12" i="67" a="1"/>
  <c r="O22" i="68" a="1"/>
  <c r="M6" i="67" a="1"/>
  <c r="S14" i="68" a="1"/>
  <c r="V22" i="68" a="1"/>
  <c r="O39" i="67" a="1"/>
  <c r="O4" i="67" a="1"/>
  <c r="O26" i="68" a="1"/>
  <c r="P21" i="68" a="1"/>
  <c r="S13" i="68" a="1"/>
  <c r="N34" i="67" a="1"/>
  <c r="Y21" i="68" a="1"/>
  <c r="T22" i="68" a="1"/>
  <c r="V26" i="68" a="1"/>
  <c r="S24" i="68" a="1"/>
  <c r="O28" i="67" a="1"/>
  <c r="U6" i="68" a="1"/>
  <c r="N14" i="67" a="1"/>
  <c r="V11" i="68" a="1"/>
  <c r="S2" i="68" a="1"/>
  <c r="O15" i="67" a="1"/>
  <c r="O42" i="67" a="1"/>
  <c r="R3" i="68" a="1"/>
  <c r="N38" i="67" a="1"/>
  <c r="P21" i="67" a="1"/>
  <c r="O40" i="67" a="1"/>
  <c r="N23" i="67" a="1"/>
  <c r="W21" i="68" a="1"/>
  <c r="S25" i="68" a="1"/>
  <c r="V12" i="68" a="1"/>
  <c r="X2" i="68" a="1"/>
  <c r="R17" i="68" a="1"/>
  <c r="P40" i="67" a="1"/>
  <c r="M29" i="67" a="1"/>
  <c r="L3" i="67" a="1"/>
  <c r="X28" i="68" a="1"/>
  <c r="R24" i="68" a="1"/>
  <c r="U9" i="68" a="1"/>
  <c r="P7" i="68" a="1"/>
  <c r="O12" i="67" a="1"/>
  <c r="S9" i="68" a="1"/>
  <c r="P3" i="67" a="1"/>
  <c r="P47" i="67" a="1"/>
  <c r="P29" i="67" a="1"/>
  <c r="L44" i="67" a="1"/>
  <c r="P20" i="68" a="1"/>
  <c r="T2" i="68" a="1"/>
  <c r="P8" i="68" a="1"/>
  <c r="M46" i="67" a="1"/>
  <c r="V8" i="68" a="1"/>
  <c r="Q13" i="68" a="1"/>
  <c r="U7" i="68" a="1"/>
  <c r="L6" i="67" a="1"/>
  <c r="P30" i="67" a="1"/>
  <c r="R12" i="68" a="1"/>
  <c r="M15" i="67" a="1"/>
  <c r="N31" i="67" a="1"/>
  <c r="L15" i="67" a="1"/>
  <c r="O11" i="68" a="1"/>
  <c r="O16" i="67" a="1"/>
  <c r="R29" i="68" a="1"/>
  <c r="Y12" i="68" a="1"/>
  <c r="U22" i="68" a="1"/>
  <c r="O13" i="67" a="1"/>
  <c r="X4" i="68" a="1"/>
  <c r="O15" i="68" a="1"/>
  <c r="U20" i="68" a="1"/>
  <c r="Q12" i="68" a="1"/>
  <c r="O8" i="68" a="1"/>
  <c r="P28" i="67" a="1"/>
  <c r="P17" i="68" a="1"/>
  <c r="N6" i="67" a="1"/>
  <c r="N3" i="67" a="1"/>
  <c r="M28" i="67" a="1"/>
  <c r="X25" i="68" a="1"/>
  <c r="N19" i="67" a="1"/>
  <c r="U12" i="68" a="1"/>
  <c r="M47" i="67" a="1"/>
  <c r="U25" i="68" a="1"/>
  <c r="Y19" i="68" a="1"/>
  <c r="L36" i="67" a="1"/>
  <c r="N21" i="67" a="1"/>
  <c r="X7" i="68" a="1"/>
  <c r="V20" i="68" a="1"/>
  <c r="Q16" i="68" a="1"/>
  <c r="S18" i="68" a="1"/>
  <c r="M32" i="67" a="1"/>
  <c r="O16" i="68" a="1"/>
  <c r="Y7" i="68" a="1"/>
  <c r="P10" i="67" a="1"/>
  <c r="T21" i="68" a="1"/>
  <c r="O45" i="67" a="1"/>
  <c r="R22" i="68" a="1"/>
  <c r="W11" i="68" a="1"/>
  <c r="U19" i="68" a="1"/>
  <c r="X3" i="68" a="1"/>
  <c r="V5" i="68" a="1"/>
  <c r="L2" i="67" a="1"/>
  <c r="V27" i="68" a="1"/>
  <c r="Q19" i="68" a="1"/>
  <c r="N18" i="67" a="1"/>
  <c r="O14" i="68" a="1"/>
  <c r="W3" i="68" a="1"/>
  <c r="T23" i="68" a="1"/>
  <c r="Y26" i="68" a="1"/>
  <c r="P15" i="67" a="1"/>
  <c r="M36" i="67" a="1"/>
  <c r="O3" i="68" a="1"/>
  <c r="L48" i="67" a="1"/>
  <c r="L35" i="67" a="1"/>
  <c r="P18" i="68" a="1"/>
  <c r="Y29" i="68" a="1"/>
  <c r="W4" i="68" a="1"/>
  <c r="V24" i="68" a="1"/>
  <c r="O3" i="67" a="1"/>
  <c r="R19" i="68" a="1"/>
  <c r="Q7" i="68" a="1"/>
  <c r="O23" i="68" a="1"/>
  <c r="P32" i="67" a="1"/>
  <c r="X13" i="68" a="1"/>
  <c r="L32" i="67" a="1"/>
  <c r="P38" i="67" a="1"/>
  <c r="X17" i="68" a="1"/>
  <c r="W28" i="68" a="1"/>
  <c r="N32" i="67" a="1"/>
  <c r="W20" i="68" a="1"/>
  <c r="T8" i="68" a="1"/>
  <c r="X20" i="68" a="1"/>
  <c r="O43" i="67" a="1"/>
  <c r="P45" i="67" a="1"/>
  <c r="U5" i="68" a="1"/>
  <c r="L18" i="67" a="1"/>
  <c r="P11" i="67" a="1"/>
  <c r="T4" i="68" a="1"/>
  <c r="Q8" i="68" a="1"/>
  <c r="L17" i="67" a="1"/>
  <c r="L27" i="67" a="1"/>
  <c r="N7" i="67" a="1"/>
  <c r="X27" i="68" a="1"/>
  <c r="M42" i="67" a="1"/>
  <c r="M7" i="67" a="1"/>
  <c r="O14" i="67" a="1"/>
  <c r="P12" i="68" a="1"/>
  <c r="Y9" i="68" a="1"/>
  <c r="Q24" i="68" a="1"/>
  <c r="M12" i="67" a="1"/>
  <c r="W13" i="68" a="1"/>
  <c r="W2" i="68" a="1"/>
  <c r="S29" i="68" a="1"/>
  <c r="O5" i="68" a="1"/>
  <c r="Y16" i="68" a="1"/>
  <c r="N36" i="67" a="1"/>
  <c r="U21" i="68" a="1"/>
  <c r="O44" i="67" a="1"/>
  <c r="Y6" i="68" a="1"/>
  <c r="P4" i="68" a="1"/>
  <c r="N28" i="67" a="1"/>
  <c r="R20" i="68" a="1"/>
  <c r="Y4" i="68" a="1"/>
  <c r="R11" i="68" a="1"/>
  <c r="O24" i="68" a="1"/>
  <c r="P14" i="67" a="1"/>
  <c r="L9" i="67" a="1"/>
  <c r="W6" i="68" a="1"/>
  <c r="X29" i="68" a="1"/>
  <c r="M11" i="67" a="1"/>
  <c r="S28" i="68" a="1"/>
  <c r="Y14" i="68" a="1"/>
  <c r="U2" i="68" a="1"/>
  <c r="M34" i="67" a="1"/>
  <c r="N29" i="67" a="1"/>
  <c r="N10" i="67" a="1"/>
  <c r="W16" i="68" a="1"/>
  <c r="P18" i="67" a="1"/>
  <c r="M31" i="67" a="1"/>
  <c r="R5" i="68" a="1"/>
  <c r="V17" i="68" a="1"/>
  <c r="P46" i="67" a="1"/>
  <c r="O47" i="67" a="1"/>
  <c r="L25" i="67" a="1"/>
  <c r="X14" i="68" a="1"/>
  <c r="P36" i="67" a="1"/>
  <c r="N15" i="67" a="1"/>
  <c r="L43" i="67" a="1"/>
  <c r="L46" i="67" a="1"/>
  <c r="P23" i="67" a="1"/>
  <c r="O27" i="67" a="1"/>
  <c r="P6" i="68" a="1"/>
  <c r="N46" i="67" a="1"/>
  <c r="S4" i="68" a="1"/>
  <c r="O20" i="67" a="1"/>
  <c r="O21" i="67" a="1"/>
  <c r="O21" i="68" a="1"/>
  <c r="L24" i="67" a="1"/>
  <c r="Y20" i="68" a="1"/>
  <c r="W9" i="68" a="1"/>
  <c r="N44" i="67" a="1"/>
  <c r="Q10" i="68" a="1"/>
  <c r="L20" i="67" a="1"/>
  <c r="L47" i="67" a="1"/>
  <c r="U13" i="68" a="1"/>
  <c r="U14" i="68" a="1"/>
  <c r="Y11" i="68" a="1"/>
  <c r="O20" i="68" a="1"/>
  <c r="W26" i="68" a="1"/>
  <c r="L14" i="67" a="1"/>
  <c r="O33" i="67" a="1"/>
  <c r="P14" i="68" a="1"/>
  <c r="R25" i="68" a="1"/>
  <c r="P7" i="67" a="1"/>
  <c r="O23" i="67" a="1"/>
  <c r="X5" i="68" a="1"/>
  <c r="V10" i="68" a="1"/>
  <c r="W7" i="68" a="1"/>
  <c r="U3" i="68" a="1"/>
  <c r="X15" i="68" a="1"/>
  <c r="O32" i="67" a="1"/>
  <c r="O36" i="67" a="1"/>
  <c r="V2" i="68" a="1"/>
  <c r="M35" i="67" a="1"/>
  <c r="N39" i="67" a="1"/>
  <c r="M30" i="67" a="1"/>
  <c r="L23" i="67" a="1"/>
  <c r="R16" i="68" a="1"/>
  <c r="Q2" i="68" a="1"/>
  <c r="O19" i="68" a="1"/>
  <c r="O37" i="67" a="1"/>
  <c r="L5" i="67" a="1"/>
  <c r="S8" i="68" a="1"/>
  <c r="Q21" i="68" a="1"/>
  <c r="O13" i="68" a="1"/>
  <c r="O25" i="67" a="1"/>
  <c r="T26" i="68" a="1"/>
  <c r="L41" i="67" a="1"/>
  <c r="X23" i="68" a="1"/>
  <c r="L19" i="67" a="1"/>
  <c r="U11" i="68" a="1"/>
  <c r="M45" i="67" a="1"/>
  <c r="M19" i="67" a="1"/>
  <c r="V9" i="68" a="1"/>
  <c r="O6" i="68" a="1"/>
  <c r="O38" i="67" a="1"/>
  <c r="M38" i="67" a="1"/>
  <c r="L37" i="67" a="1"/>
  <c r="W19" i="68" a="1"/>
  <c r="S21" i="68" a="1"/>
  <c r="S6" i="68" a="1"/>
  <c r="V13" i="68" a="1"/>
  <c r="O9" i="68" a="1"/>
  <c r="P9" i="67" a="1"/>
  <c r="X19" i="68" a="1"/>
  <c r="W5" i="68" a="1"/>
  <c r="T9" i="68" a="1"/>
  <c r="O6" i="67" a="1"/>
  <c r="P16" i="67" a="1"/>
  <c r="Y22" i="68" a="1"/>
  <c r="R18" i="68" a="1"/>
  <c r="Y27" i="68" a="1"/>
  <c r="Q20" i="68" a="1"/>
  <c r="T25" i="68" a="1"/>
  <c r="T15" i="68" a="1"/>
  <c r="R8" i="68" a="1"/>
  <c r="U24" i="68" a="1"/>
  <c r="Y23" i="68" a="1"/>
  <c r="M9" i="67" a="1"/>
  <c r="O30" i="67" a="1"/>
  <c r="N47" i="67" a="1"/>
  <c r="P17" i="67" a="1"/>
  <c r="X11" i="68" a="1"/>
  <c r="P29" i="68" a="1"/>
  <c r="S22" i="68" a="1"/>
  <c r="O9" i="67" a="1"/>
  <c r="V23" i="68" a="1"/>
  <c r="T11" i="68" a="1"/>
  <c r="X24" i="68" a="1"/>
  <c r="X22" i="68" a="1"/>
  <c r="O12" i="68" a="1"/>
  <c r="V19" i="68" a="1"/>
  <c r="U15" i="68" a="1"/>
  <c r="P39" i="67" a="1"/>
  <c r="X8" i="68" a="1"/>
  <c r="Q9" i="68" a="1"/>
  <c r="L16" i="67" a="1"/>
  <c r="P26" i="68" a="1"/>
  <c r="O48" i="67" a="1"/>
  <c r="M20" i="67" a="1"/>
  <c r="R26" i="68" a="1"/>
  <c r="N17" i="67" a="1"/>
  <c r="S12" i="68" a="1"/>
  <c r="T7" i="68" a="1"/>
  <c r="S19" i="68" a="1"/>
  <c r="W24" i="68" a="1"/>
  <c r="R14" i="68" a="1"/>
  <c r="O17" i="67" a="1"/>
  <c r="N45" i="67" a="1"/>
  <c r="O2" i="68" a="1"/>
  <c r="Y2" i="68" a="1"/>
  <c r="M2" i="67" a="1"/>
  <c r="M43" i="67" a="1"/>
  <c r="T24" i="68" a="1"/>
  <c r="O2" i="67" a="1"/>
  <c r="O17" i="68" a="1"/>
  <c r="V4" i="68" a="1"/>
  <c r="P10" i="68" a="1"/>
  <c r="W18" i="68" a="1"/>
  <c r="U8" i="68" a="1"/>
  <c r="P4" i="67" a="1"/>
  <c r="P13" i="67" a="1"/>
  <c r="P27" i="67" a="1"/>
  <c r="N41" i="67" a="1"/>
  <c r="U28" i="68" a="1"/>
  <c r="T18" i="68" a="1"/>
  <c r="Q23" i="68" a="1"/>
  <c r="Y5" i="68" a="1"/>
  <c r="W17" i="68" a="1"/>
  <c r="T29" i="68" a="1"/>
  <c r="X10" i="68" a="1"/>
  <c r="P11" i="68" a="1"/>
  <c r="P37" i="67" a="1"/>
  <c r="Q29" i="68" a="1"/>
  <c r="R2" i="68" a="1"/>
  <c r="N30" i="67" a="1"/>
  <c r="L28" i="67" a="1"/>
  <c r="V16" i="68" a="1"/>
  <c r="Q14" i="68" a="1"/>
  <c r="V3" i="68" a="1"/>
  <c r="L45" i="67" a="1"/>
  <c r="P22" i="68" a="1"/>
  <c r="Q27" i="68" a="1"/>
  <c r="L4" i="67" a="1"/>
  <c r="P48" i="67" a="1"/>
  <c r="N43" i="67" a="1"/>
  <c r="Q6" i="68" a="1"/>
  <c r="N20" i="67" a="1"/>
  <c r="M13" i="67" a="1"/>
  <c r="O7" i="68" a="1"/>
  <c r="S5" i="68" a="1"/>
  <c r="L21" i="67" a="1"/>
  <c r="O28" i="68" a="1"/>
  <c r="N48" i="67" a="1"/>
  <c r="R13" i="68" a="1"/>
  <c r="P25" i="67" a="1"/>
  <c r="Q28" i="68" a="1"/>
  <c r="R7" i="68" a="1"/>
  <c r="T5" i="68" a="1"/>
  <c r="Q3" i="68" a="1"/>
  <c r="Y17" i="68" a="1"/>
  <c r="M39" i="67" a="1"/>
  <c r="R21" i="68" a="1"/>
  <c r="N11" i="67" a="1"/>
  <c r="W25" i="68" a="1"/>
  <c r="P24" i="67" a="1"/>
  <c r="O18" i="67" a="1"/>
  <c r="P12" i="67" a="1"/>
  <c r="N22" i="67" a="1"/>
  <c r="O31" i="67" a="1"/>
  <c r="S17" i="68" a="1"/>
  <c r="L30" i="67" a="1"/>
  <c r="P31" i="67" a="1"/>
  <c r="P15" i="68" a="1"/>
  <c r="S11" i="68" a="1"/>
  <c r="U17" i="68" a="1"/>
  <c r="P41" i="67" a="1"/>
  <c r="L7" i="67" a="1"/>
  <c r="T14" i="68" a="1"/>
  <c r="O11" i="67" a="1"/>
  <c r="S16" i="68" a="1"/>
  <c r="S23" i="68" a="1"/>
  <c r="P27" i="68" a="1"/>
  <c r="W29" i="68" a="1"/>
  <c r="Y13" i="68" a="1"/>
  <c r="O35" i="67" a="1"/>
  <c r="P20" i="67" a="1"/>
  <c r="O18" i="68" a="1"/>
  <c r="P19" i="68" a="1"/>
  <c r="M10" i="67" a="1"/>
  <c r="S26" i="68" a="1"/>
  <c r="W10" i="68" a="1"/>
  <c r="Y24" i="68" a="1"/>
  <c r="V21" i="68" a="1"/>
  <c r="N4" i="67" a="1"/>
  <c r="P2" i="67" a="1"/>
  <c r="P22" i="67" a="1"/>
  <c r="M5" i="67" a="1"/>
  <c r="S3" i="68" a="1"/>
  <c r="P43" i="67" a="1"/>
  <c r="O29" i="67" a="1"/>
  <c r="T27" i="68" a="1"/>
  <c r="M22" i="67" a="1"/>
  <c r="N35" i="67" a="1"/>
  <c r="P25" i="68" a="1"/>
  <c r="Q17" i="68" a="1"/>
  <c r="L31" i="67" a="1"/>
  <c r="T17" i="68" a="1"/>
  <c r="L39" i="67" a="1"/>
  <c r="O10" i="68" a="1"/>
  <c r="X16" i="68" a="1"/>
  <c r="X6" i="68" a="1"/>
  <c r="T20" i="68" a="1"/>
  <c r="R23" i="68" a="1"/>
  <c r="O41" i="67" a="1"/>
  <c r="R10" i="68" a="1"/>
  <c r="V15" i="68" a="1"/>
  <c r="P35" i="67" a="1"/>
  <c r="O19" i="67" a="1"/>
  <c r="O22" i="67" a="1"/>
  <c r="R27" i="68" a="1"/>
  <c r="U23" i="68" a="1"/>
  <c r="M14" i="67" a="1"/>
  <c r="P16" i="68" a="1"/>
  <c r="P34" i="67" a="1"/>
  <c r="W14" i="68" a="1"/>
  <c r="P5" i="68" a="1"/>
  <c r="S15" i="68" a="1"/>
  <c r="M24" i="67" a="1"/>
  <c r="T10" i="68" a="1"/>
  <c r="L12" i="67" a="1"/>
  <c r="P42" i="67" a="1"/>
  <c r="X12" i="68" a="1"/>
  <c r="T16" i="68" a="1"/>
  <c r="N42" i="67" a="1"/>
  <c r="P24" i="68" a="1"/>
  <c r="N27" i="67" a="1"/>
  <c r="R15" i="68" a="1"/>
  <c r="N24" i="67" a="1"/>
  <c r="S20" i="68" a="1"/>
  <c r="T19" i="68" a="1"/>
  <c r="T13" i="68" a="1"/>
  <c r="L42" i="67" a="1"/>
  <c r="U29" i="68" a="1"/>
  <c r="N25" i="67" a="1"/>
  <c r="L33" i="67" a="1"/>
  <c r="X26" i="68" a="1"/>
  <c r="M14" i="67" l="1"/>
  <c r="V2" i="68"/>
  <c r="H14" i="44" s="1"/>
  <c r="O36" i="67"/>
  <c r="C34" i="66" s="1"/>
  <c r="Q28" i="68"/>
  <c r="C40" i="44" s="1"/>
  <c r="P37" i="67"/>
  <c r="D35" i="66" s="1"/>
  <c r="W17" i="68"/>
  <c r="I29" i="44" s="1"/>
  <c r="O32" i="67"/>
  <c r="C30" i="66" s="1"/>
  <c r="X26" i="68"/>
  <c r="J38" i="44" s="1"/>
  <c r="U23" i="68"/>
  <c r="G35" i="44" s="1"/>
  <c r="Y5" i="68"/>
  <c r="K17" i="44" s="1"/>
  <c r="X15" i="68"/>
  <c r="J27" i="44" s="1"/>
  <c r="L37" i="67"/>
  <c r="A35" i="66" s="1"/>
  <c r="N39" i="67"/>
  <c r="B37" i="66" s="1"/>
  <c r="Q23" i="68"/>
  <c r="C35" i="44" s="1"/>
  <c r="U3" i="68"/>
  <c r="G15" i="44" s="1"/>
  <c r="L33" i="67"/>
  <c r="A31" i="66" s="1"/>
  <c r="P11" i="68"/>
  <c r="B23" i="44" s="1"/>
  <c r="T18" i="68"/>
  <c r="F30" i="44" s="1"/>
  <c r="W7" i="68"/>
  <c r="I19" i="44" s="1"/>
  <c r="P25" i="67"/>
  <c r="D24" i="66" s="1"/>
  <c r="R27" i="68"/>
  <c r="D39" i="44" s="1"/>
  <c r="U28" i="68"/>
  <c r="G40" i="44" s="1"/>
  <c r="V10" i="68"/>
  <c r="H22" i="44" s="1"/>
  <c r="R13" i="68"/>
  <c r="D25" i="44" s="1"/>
  <c r="X10" i="68"/>
  <c r="J22" i="44" s="1"/>
  <c r="N41" i="67"/>
  <c r="B39" i="66" s="1"/>
  <c r="W13" i="68"/>
  <c r="I25" i="44" s="1"/>
  <c r="X5" i="68"/>
  <c r="J17" i="44" s="1"/>
  <c r="M38" i="67"/>
  <c r="M35" i="67"/>
  <c r="M12" i="67"/>
  <c r="P27" i="67"/>
  <c r="D25" i="66" s="1"/>
  <c r="O23" i="67"/>
  <c r="C22" i="66" s="1"/>
  <c r="N25" i="67"/>
  <c r="B24" i="66" s="1"/>
  <c r="Q24" i="68"/>
  <c r="C36" i="44" s="1"/>
  <c r="O22" i="67"/>
  <c r="C21" i="66" s="1"/>
  <c r="P13" i="67"/>
  <c r="D12" i="66" s="1"/>
  <c r="P7" i="67"/>
  <c r="D7" i="66" s="1"/>
  <c r="Y9" i="68"/>
  <c r="K21" i="44" s="1"/>
  <c r="U29" i="68"/>
  <c r="G41" i="44" s="1"/>
  <c r="T29" i="68"/>
  <c r="F41" i="44" s="1"/>
  <c r="P4" i="67"/>
  <c r="D4" i="66" s="1"/>
  <c r="P12" i="68"/>
  <c r="B24" i="44" s="1"/>
  <c r="R25" i="68"/>
  <c r="D37" i="44" s="1"/>
  <c r="N48" i="67"/>
  <c r="B46" i="66" s="1"/>
  <c r="O19" i="67"/>
  <c r="C18" i="66" s="1"/>
  <c r="O14" i="67"/>
  <c r="C13" i="66" s="1"/>
  <c r="U8" i="68"/>
  <c r="G20" i="44" s="1"/>
  <c r="P14" i="68"/>
  <c r="B26" i="44" s="1"/>
  <c r="O38" i="67"/>
  <c r="C36" i="66" s="1"/>
  <c r="M7" i="67"/>
  <c r="P35" i="67"/>
  <c r="D33" i="66" s="1"/>
  <c r="W18" i="68"/>
  <c r="I30" i="44" s="1"/>
  <c r="O33" i="67"/>
  <c r="C31" i="66" s="1"/>
  <c r="M42" i="67"/>
  <c r="S2" i="68"/>
  <c r="E14" i="44" s="1"/>
  <c r="O28" i="68"/>
  <c r="A40" i="44" s="1"/>
  <c r="V15" i="68"/>
  <c r="H27" i="44" s="1"/>
  <c r="X27" i="68"/>
  <c r="J39" i="44" s="1"/>
  <c r="V11" i="68"/>
  <c r="H23" i="44" s="1"/>
  <c r="P10" i="68"/>
  <c r="B22" i="44" s="1"/>
  <c r="L14" i="67"/>
  <c r="A13" i="66" s="1"/>
  <c r="N7" i="67"/>
  <c r="B7" i="66" s="1"/>
  <c r="N14" i="67"/>
  <c r="B13" i="66" s="1"/>
  <c r="O6" i="68"/>
  <c r="A18" i="44" s="1"/>
  <c r="R10" i="68"/>
  <c r="D22" i="44" s="1"/>
  <c r="L27" i="67"/>
  <c r="A25" i="66" s="1"/>
  <c r="U6" i="68"/>
  <c r="G18" i="44" s="1"/>
  <c r="V4" i="68"/>
  <c r="H16" i="44" s="1"/>
  <c r="W26" i="68"/>
  <c r="I38" i="44" s="1"/>
  <c r="L17" i="67"/>
  <c r="A16" i="66" s="1"/>
  <c r="O28" i="67"/>
  <c r="C26" i="66" s="1"/>
  <c r="L42" i="67"/>
  <c r="A40" i="66" s="1"/>
  <c r="O41" i="67"/>
  <c r="C39" i="66" s="1"/>
  <c r="Q8" i="68"/>
  <c r="C20" i="44" s="1"/>
  <c r="S24" i="68"/>
  <c r="E36" i="44" s="1"/>
  <c r="O17" i="68"/>
  <c r="A29" i="44" s="1"/>
  <c r="O20" i="68"/>
  <c r="A32" i="44" s="1"/>
  <c r="T4" i="68"/>
  <c r="F16" i="44" s="1"/>
  <c r="V26" i="68"/>
  <c r="H38" i="44" s="1"/>
  <c r="V9" i="68"/>
  <c r="H21" i="44" s="1"/>
  <c r="R23" i="68"/>
  <c r="D35" i="44" s="1"/>
  <c r="P11" i="67"/>
  <c r="D10" i="66" s="1"/>
  <c r="T22" i="68"/>
  <c r="F34" i="44" s="1"/>
  <c r="O2" i="67"/>
  <c r="C2" i="66" s="1"/>
  <c r="Y11" i="68"/>
  <c r="K23" i="44" s="1"/>
  <c r="L18" i="67"/>
  <c r="A17" i="66" s="1"/>
  <c r="Y21" i="68"/>
  <c r="K33" i="44" s="1"/>
  <c r="T13" i="68"/>
  <c r="F25" i="44" s="1"/>
  <c r="T20" i="68"/>
  <c r="F32" i="44" s="1"/>
  <c r="U5" i="68"/>
  <c r="G17" i="44" s="1"/>
  <c r="N34" i="67"/>
  <c r="B32" i="66" s="1"/>
  <c r="T24" i="68"/>
  <c r="F36" i="44" s="1"/>
  <c r="U14" i="68"/>
  <c r="G26" i="44" s="1"/>
  <c r="P45" i="67"/>
  <c r="D43" i="66" s="1"/>
  <c r="S13" i="68"/>
  <c r="E25" i="44" s="1"/>
  <c r="L21" i="67"/>
  <c r="A20" i="66" s="1"/>
  <c r="X6" i="68"/>
  <c r="J18" i="44" s="1"/>
  <c r="O43" i="67"/>
  <c r="C41" i="66" s="1"/>
  <c r="P21" i="68"/>
  <c r="B33" i="44" s="1"/>
  <c r="M43" i="67"/>
  <c r="U13" i="68"/>
  <c r="G25" i="44" s="1"/>
  <c r="X20" i="68"/>
  <c r="J32" i="44" s="1"/>
  <c r="O26" i="68"/>
  <c r="A38" i="44" s="1"/>
  <c r="T19" i="68"/>
  <c r="F31" i="44" s="1"/>
  <c r="X16" i="68"/>
  <c r="J28" i="44" s="1"/>
  <c r="T8" i="68"/>
  <c r="F20" i="44" s="1"/>
  <c r="O4" i="67"/>
  <c r="C4" i="66" s="1"/>
  <c r="M2" i="67"/>
  <c r="L47" i="67"/>
  <c r="A45" i="66" s="1"/>
  <c r="W20" i="68"/>
  <c r="I32" i="44" s="1"/>
  <c r="O39" i="67"/>
  <c r="C37" i="66" s="1"/>
  <c r="S5" i="68"/>
  <c r="E17" i="44" s="1"/>
  <c r="O10" i="68"/>
  <c r="A22" i="44" s="1"/>
  <c r="N32" i="67"/>
  <c r="B30" i="66" s="1"/>
  <c r="V22" i="68"/>
  <c r="H34" i="44" s="1"/>
  <c r="Y2" i="68"/>
  <c r="K14" i="44" s="1"/>
  <c r="L20" i="67"/>
  <c r="A19" i="66" s="1"/>
  <c r="W28" i="68"/>
  <c r="I40" i="44" s="1"/>
  <c r="S14" i="68"/>
  <c r="E26" i="44" s="1"/>
  <c r="M19" i="67"/>
  <c r="L39" i="67"/>
  <c r="A37" i="66" s="1"/>
  <c r="X17" i="68"/>
  <c r="J29" i="44" s="1"/>
  <c r="M6" i="67"/>
  <c r="O2" i="68"/>
  <c r="A14" i="44" s="1"/>
  <c r="M11" i="44" s="1" a="1"/>
  <c r="M11" i="44" s="1"/>
  <c r="Q10" i="68"/>
  <c r="C22" i="44" s="1"/>
  <c r="P38" i="67"/>
  <c r="D36" i="66" s="1"/>
  <c r="O22" i="68"/>
  <c r="A34" i="44" s="1"/>
  <c r="S20" i="68"/>
  <c r="E32" i="44" s="1"/>
  <c r="T17" i="68"/>
  <c r="F29" i="44" s="1"/>
  <c r="L32" i="67"/>
  <c r="A30" i="66" s="1"/>
  <c r="N12" i="67"/>
  <c r="B11" i="66" s="1"/>
  <c r="N45" i="67"/>
  <c r="B43" i="66" s="1"/>
  <c r="N44" i="67"/>
  <c r="B42" i="66" s="1"/>
  <c r="X13" i="68"/>
  <c r="J25" i="44" s="1"/>
  <c r="Y25" i="68"/>
  <c r="K37" i="44" s="1"/>
  <c r="O7" i="68"/>
  <c r="A19" i="44" s="1"/>
  <c r="L31" i="67"/>
  <c r="A29" i="66" s="1"/>
  <c r="P32" i="67"/>
  <c r="D30" i="66" s="1"/>
  <c r="Q15" i="68"/>
  <c r="C27" i="44" s="1"/>
  <c r="O17" i="67"/>
  <c r="C16" i="66" s="1"/>
  <c r="W9" i="68"/>
  <c r="I21" i="44" s="1"/>
  <c r="O23" i="68"/>
  <c r="A35" i="44" s="1"/>
  <c r="L29" i="67"/>
  <c r="A27" i="66" s="1"/>
  <c r="M45" i="67"/>
  <c r="Q17" i="68"/>
  <c r="C29" i="44" s="1"/>
  <c r="Q7" i="68"/>
  <c r="C19" i="44" s="1"/>
  <c r="Q22" i="68"/>
  <c r="C34" i="44" s="1"/>
  <c r="R14" i="68"/>
  <c r="D26" i="44" s="1"/>
  <c r="Y20" i="68"/>
  <c r="K32" i="44" s="1"/>
  <c r="R19" i="68"/>
  <c r="D31" i="44" s="1"/>
  <c r="M4" i="67"/>
  <c r="N24" i="67"/>
  <c r="B23" i="66" s="1"/>
  <c r="P25" i="68"/>
  <c r="B37" i="44" s="1"/>
  <c r="O3" i="67"/>
  <c r="C3" i="66" s="1"/>
  <c r="O10" i="67"/>
  <c r="C9" i="66" s="1"/>
  <c r="W24" i="68"/>
  <c r="I36" i="44" s="1"/>
  <c r="L24" i="67"/>
  <c r="A23" i="66" s="1"/>
  <c r="V24" i="68"/>
  <c r="H36" i="44" s="1"/>
  <c r="R9" i="68"/>
  <c r="D21" i="44" s="1"/>
  <c r="M13" i="67"/>
  <c r="N35" i="67"/>
  <c r="B33" i="66" s="1"/>
  <c r="W4" i="68"/>
  <c r="I16" i="44" s="1"/>
  <c r="M17" i="67"/>
  <c r="S19" i="68"/>
  <c r="E31" i="44" s="1"/>
  <c r="O21" i="68"/>
  <c r="A33" i="44" s="1"/>
  <c r="Y29" i="68"/>
  <c r="K41" i="44" s="1"/>
  <c r="P28" i="68"/>
  <c r="B40" i="44" s="1"/>
  <c r="U11" i="68"/>
  <c r="G23" i="44" s="1"/>
  <c r="M22" i="67"/>
  <c r="P18" i="68"/>
  <c r="B30" i="44" s="1"/>
  <c r="P5" i="67"/>
  <c r="D5" i="66" s="1"/>
  <c r="T7" i="68"/>
  <c r="F19" i="44" s="1"/>
  <c r="O21" i="67"/>
  <c r="C20" i="66" s="1"/>
  <c r="L35" i="67"/>
  <c r="A33" i="66" s="1"/>
  <c r="T6" i="68"/>
  <c r="F18" i="44" s="1"/>
  <c r="R15" i="68"/>
  <c r="D27" i="44" s="1"/>
  <c r="T27" i="68"/>
  <c r="F39" i="44" s="1"/>
  <c r="L48" i="67"/>
  <c r="A46" i="66" s="1"/>
  <c r="Y15" i="68"/>
  <c r="K27" i="44" s="1"/>
  <c r="S12" i="68"/>
  <c r="E24" i="44" s="1"/>
  <c r="O20" i="67"/>
  <c r="C19" i="66" s="1"/>
  <c r="O3" i="68"/>
  <c r="A15" i="44" s="1"/>
  <c r="V25" i="68"/>
  <c r="H37" i="44" s="1"/>
  <c r="N20" i="67"/>
  <c r="B19" i="66" s="1"/>
  <c r="O29" i="67"/>
  <c r="C27" i="66" s="1"/>
  <c r="M36" i="67"/>
  <c r="P2" i="68"/>
  <c r="B14" i="44" s="1"/>
  <c r="N17" i="67"/>
  <c r="B16" i="66" s="1"/>
  <c r="S4" i="68"/>
  <c r="E16" i="44" s="1"/>
  <c r="P15" i="67"/>
  <c r="D14" i="66" s="1"/>
  <c r="X9" i="68"/>
  <c r="J21" i="44" s="1"/>
  <c r="L19" i="67"/>
  <c r="A18" i="66" s="1"/>
  <c r="P43" i="67"/>
  <c r="D41" i="66" s="1"/>
  <c r="Y26" i="68"/>
  <c r="K38" i="44" s="1"/>
  <c r="U27" i="68"/>
  <c r="G39" i="44" s="1"/>
  <c r="R26" i="68"/>
  <c r="D38" i="44" s="1"/>
  <c r="N46" i="67"/>
  <c r="B44" i="66" s="1"/>
  <c r="T23" i="68"/>
  <c r="F35" i="44" s="1"/>
  <c r="L34" i="67"/>
  <c r="A32" i="66" s="1"/>
  <c r="N27" i="67"/>
  <c r="B25" i="66" s="1"/>
  <c r="S3" i="68"/>
  <c r="E15" i="44" s="1"/>
  <c r="W3" i="68"/>
  <c r="I15" i="44" s="1"/>
  <c r="N33" i="67"/>
  <c r="B31" i="66" s="1"/>
  <c r="M20" i="67"/>
  <c r="P6" i="68"/>
  <c r="B18" i="44" s="1"/>
  <c r="O14" i="68"/>
  <c r="A26" i="44" s="1"/>
  <c r="U4" i="68"/>
  <c r="G16" i="44" s="1"/>
  <c r="Q6" i="68"/>
  <c r="C18" i="44" s="1"/>
  <c r="M5" i="67"/>
  <c r="N18" i="67"/>
  <c r="B17" i="66" s="1"/>
  <c r="Y28" i="68"/>
  <c r="K40" i="44" s="1"/>
  <c r="O48" i="67"/>
  <c r="C46" i="66" s="1"/>
  <c r="O27" i="67"/>
  <c r="C25" i="66" s="1"/>
  <c r="Q19" i="68"/>
  <c r="C31" i="44" s="1"/>
  <c r="N37" i="67"/>
  <c r="B35" i="66" s="1"/>
  <c r="X23" i="68"/>
  <c r="J35" i="44" s="1"/>
  <c r="P22" i="67"/>
  <c r="D21" i="66" s="1"/>
  <c r="V27" i="68"/>
  <c r="H39" i="44" s="1"/>
  <c r="N5" i="67"/>
  <c r="B5" i="66" s="1"/>
  <c r="P26" i="68"/>
  <c r="B38" i="44" s="1"/>
  <c r="P23" i="67"/>
  <c r="D22" i="66" s="1"/>
  <c r="L2" i="67"/>
  <c r="A2" i="66" s="1"/>
  <c r="N40" i="67"/>
  <c r="B38" i="66" s="1"/>
  <c r="P24" i="68"/>
  <c r="B36" i="44" s="1"/>
  <c r="P2" i="67"/>
  <c r="D2" i="66" s="1"/>
  <c r="V5" i="68"/>
  <c r="H17" i="44" s="1"/>
  <c r="W23" i="68"/>
  <c r="I35" i="44" s="1"/>
  <c r="L16" i="67"/>
  <c r="A15" i="66" s="1"/>
  <c r="L46" i="67"/>
  <c r="A44" i="66" s="1"/>
  <c r="X3" i="68"/>
  <c r="J15" i="44" s="1"/>
  <c r="O46" i="67"/>
  <c r="C44" i="66" s="1"/>
  <c r="N43" i="67"/>
  <c r="B41" i="66" s="1"/>
  <c r="N4" i="67"/>
  <c r="B4" i="66" s="1"/>
  <c r="U19" i="68"/>
  <c r="G31" i="44" s="1"/>
  <c r="Q4" i="68"/>
  <c r="C16" i="44" s="1"/>
  <c r="Q9" i="68"/>
  <c r="C21" i="44" s="1"/>
  <c r="L43" i="67"/>
  <c r="A41" i="66" s="1"/>
  <c r="W11" i="68"/>
  <c r="I23" i="44" s="1"/>
  <c r="L13" i="67"/>
  <c r="A12" i="66" s="1"/>
  <c r="L41" i="67"/>
  <c r="A39" i="66" s="1"/>
  <c r="V21" i="68"/>
  <c r="H33" i="44" s="1"/>
  <c r="R22" i="68"/>
  <c r="D34" i="44" s="1"/>
  <c r="Q5" i="68"/>
  <c r="C17" i="44" s="1"/>
  <c r="X8" i="68"/>
  <c r="J20" i="44" s="1"/>
  <c r="N15" i="67"/>
  <c r="B14" i="66" s="1"/>
  <c r="O45" i="67"/>
  <c r="C43" i="66" s="1"/>
  <c r="V7" i="68"/>
  <c r="H19" i="44" s="1"/>
  <c r="N42" i="67"/>
  <c r="B40" i="66" s="1"/>
  <c r="Y24" i="68"/>
  <c r="K36" i="44" s="1"/>
  <c r="T21" i="68"/>
  <c r="F33" i="44" s="1"/>
  <c r="R6" i="68"/>
  <c r="D18" i="44" s="1"/>
  <c r="P39" i="67"/>
  <c r="D37" i="66" s="1"/>
  <c r="P36" i="67"/>
  <c r="D34" i="66" s="1"/>
  <c r="P10" i="67"/>
  <c r="D9" i="66" s="1"/>
  <c r="O27" i="68"/>
  <c r="A39" i="44" s="1"/>
  <c r="P48" i="67"/>
  <c r="D46" i="66" s="1"/>
  <c r="W10" i="68"/>
  <c r="I22" i="44" s="1"/>
  <c r="Y7" i="68"/>
  <c r="K19" i="44" s="1"/>
  <c r="U16" i="68"/>
  <c r="G28" i="44" s="1"/>
  <c r="U15" i="68"/>
  <c r="G27" i="44" s="1"/>
  <c r="X14" i="68"/>
  <c r="J26" i="44" s="1"/>
  <c r="O16" i="68"/>
  <c r="A28" i="44" s="1"/>
  <c r="M37" i="67"/>
  <c r="T26" i="68"/>
  <c r="F38" i="44" s="1"/>
  <c r="S26" i="68"/>
  <c r="E38" i="44" s="1"/>
  <c r="M32" i="67"/>
  <c r="P19" i="67"/>
  <c r="D18" i="66" s="1"/>
  <c r="V19" i="68"/>
  <c r="H31" i="44" s="1"/>
  <c r="L25" i="67"/>
  <c r="A24" i="66" s="1"/>
  <c r="S18" i="68"/>
  <c r="E30" i="44" s="1"/>
  <c r="P3" i="68"/>
  <c r="B15" i="44" s="1"/>
  <c r="T16" i="68"/>
  <c r="F28" i="44" s="1"/>
  <c r="M10" i="67"/>
  <c r="Q16" i="68"/>
  <c r="C28" i="44" s="1"/>
  <c r="O34" i="67"/>
  <c r="C32" i="66" s="1"/>
  <c r="O12" i="68"/>
  <c r="A24" i="44" s="1"/>
  <c r="O47" i="67"/>
  <c r="C45" i="66" s="1"/>
  <c r="V20" i="68"/>
  <c r="H32" i="44" s="1"/>
  <c r="L22" i="67"/>
  <c r="A21" i="66" s="1"/>
  <c r="X12" i="68"/>
  <c r="J24" i="44" s="1"/>
  <c r="P19" i="68"/>
  <c r="B31" i="44" s="1"/>
  <c r="X7" i="68"/>
  <c r="J19" i="44" s="1"/>
  <c r="M3" i="67"/>
  <c r="X22" i="68"/>
  <c r="J34" i="44" s="1"/>
  <c r="P46" i="67"/>
  <c r="D44" i="66" s="1"/>
  <c r="N21" i="67"/>
  <c r="B20" i="66" s="1"/>
  <c r="S27" i="68"/>
  <c r="E39" i="44" s="1"/>
  <c r="L4" i="67"/>
  <c r="A4" i="66" s="1"/>
  <c r="O18" i="68"/>
  <c r="A30" i="44" s="1"/>
  <c r="L36" i="67"/>
  <c r="A34" i="66" s="1"/>
  <c r="R28" i="68"/>
  <c r="D40" i="44" s="1"/>
  <c r="X24" i="68"/>
  <c r="J36" i="44" s="1"/>
  <c r="V17" i="68"/>
  <c r="H29" i="44" s="1"/>
  <c r="Y19" i="68"/>
  <c r="K31" i="44" s="1"/>
  <c r="T3" i="68"/>
  <c r="F15" i="44" s="1"/>
  <c r="O25" i="67"/>
  <c r="C24" i="66" s="1"/>
  <c r="P20" i="67"/>
  <c r="D19" i="66" s="1"/>
  <c r="U25" i="68"/>
  <c r="G37" i="44" s="1"/>
  <c r="M40" i="67"/>
  <c r="T11" i="68"/>
  <c r="F23" i="44" s="1"/>
  <c r="R5" i="68"/>
  <c r="D17" i="44" s="1"/>
  <c r="M47" i="67"/>
  <c r="N16" i="67"/>
  <c r="B15" i="66" s="1"/>
  <c r="Q27" i="68"/>
  <c r="C39" i="44" s="1"/>
  <c r="O35" i="67"/>
  <c r="C33" i="66" s="1"/>
  <c r="U12" i="68"/>
  <c r="G24" i="44" s="1"/>
  <c r="N2" i="67"/>
  <c r="B2" i="66" s="1"/>
  <c r="V23" i="68"/>
  <c r="H35" i="44" s="1"/>
  <c r="M31" i="67"/>
  <c r="N19" i="67"/>
  <c r="B18" i="66" s="1"/>
  <c r="V29" i="68"/>
  <c r="H41" i="44" s="1"/>
  <c r="O13" i="68"/>
  <c r="A25" i="44" s="1"/>
  <c r="Y13" i="68"/>
  <c r="K25" i="44" s="1"/>
  <c r="X25" i="68"/>
  <c r="J37" i="44" s="1"/>
  <c r="P33" i="67"/>
  <c r="D31" i="66" s="1"/>
  <c r="O9" i="67"/>
  <c r="C8" i="66" s="1"/>
  <c r="P18" i="67"/>
  <c r="D17" i="66" s="1"/>
  <c r="M28" i="67"/>
  <c r="P9" i="68"/>
  <c r="B21" i="44" s="1"/>
  <c r="P42" i="67"/>
  <c r="D40" i="66" s="1"/>
  <c r="W29" i="68"/>
  <c r="I41" i="44" s="1"/>
  <c r="N3" i="67"/>
  <c r="B3" i="66" s="1"/>
  <c r="S7" i="68"/>
  <c r="E19" i="44" s="1"/>
  <c r="S22" i="68"/>
  <c r="E34" i="44" s="1"/>
  <c r="W16" i="68"/>
  <c r="I28" i="44" s="1"/>
  <c r="N6" i="67"/>
  <c r="B6" i="66" s="1"/>
  <c r="W27" i="68"/>
  <c r="I39" i="44" s="1"/>
  <c r="P22" i="68"/>
  <c r="B34" i="44" s="1"/>
  <c r="P27" i="68"/>
  <c r="B39" i="44" s="1"/>
  <c r="P17" i="68"/>
  <c r="B29" i="44" s="1"/>
  <c r="L40" i="67"/>
  <c r="A38" i="66" s="1"/>
  <c r="P29" i="68"/>
  <c r="B41" i="44" s="1"/>
  <c r="N10" i="67"/>
  <c r="B9" i="66" s="1"/>
  <c r="P28" i="67"/>
  <c r="D26" i="66" s="1"/>
  <c r="L11" i="67"/>
  <c r="A10" i="66" s="1"/>
  <c r="Q21" i="68"/>
  <c r="C33" i="44" s="1"/>
  <c r="S23" i="68"/>
  <c r="E35" i="44" s="1"/>
  <c r="O8" i="68"/>
  <c r="A20" i="44" s="1"/>
  <c r="L38" i="67"/>
  <c r="A36" i="66" s="1"/>
  <c r="X11" i="68"/>
  <c r="J23" i="44" s="1"/>
  <c r="N29" i="67"/>
  <c r="B27" i="66" s="1"/>
  <c r="Q12" i="68"/>
  <c r="C24" i="44" s="1"/>
  <c r="Y8" i="68"/>
  <c r="K20" i="44" s="1"/>
  <c r="L12" i="67"/>
  <c r="A11" i="66" s="1"/>
  <c r="S16" i="68"/>
  <c r="E28" i="44" s="1"/>
  <c r="U20" i="68"/>
  <c r="G32" i="44" s="1"/>
  <c r="M21" i="67"/>
  <c r="P17" i="67"/>
  <c r="D16" i="66" s="1"/>
  <c r="M34" i="67"/>
  <c r="O15" i="68"/>
  <c r="A27" i="44" s="1"/>
  <c r="V6" i="68"/>
  <c r="H18" i="44" s="1"/>
  <c r="S8" i="68"/>
  <c r="E20" i="44" s="1"/>
  <c r="O11" i="67"/>
  <c r="C10" i="66" s="1"/>
  <c r="X4" i="68"/>
  <c r="J16" i="44" s="1"/>
  <c r="T28" i="68"/>
  <c r="F40" i="44" s="1"/>
  <c r="N47" i="67"/>
  <c r="B45" i="66" s="1"/>
  <c r="U2" i="68"/>
  <c r="G14" i="44" s="1"/>
  <c r="O13" i="67"/>
  <c r="C12" i="66" s="1"/>
  <c r="M16" i="67"/>
  <c r="L45" i="67"/>
  <c r="A43" i="66" s="1"/>
  <c r="T14" i="68"/>
  <c r="F26" i="44" s="1"/>
  <c r="U22" i="68"/>
  <c r="G34" i="44" s="1"/>
  <c r="M25" i="67"/>
  <c r="O30" i="67"/>
  <c r="C28" i="66" s="1"/>
  <c r="Y14" i="68"/>
  <c r="K26" i="44" s="1"/>
  <c r="Y12" i="68"/>
  <c r="K24" i="44" s="1"/>
  <c r="O4" i="68"/>
  <c r="A16" i="44" s="1"/>
  <c r="T10" i="68"/>
  <c r="F22" i="44" s="1"/>
  <c r="L7" i="67"/>
  <c r="A7" i="66" s="1"/>
  <c r="R29" i="68"/>
  <c r="D41" i="44" s="1"/>
  <c r="V14" i="68"/>
  <c r="H26" i="44" s="1"/>
  <c r="M9" i="67"/>
  <c r="S28" i="68"/>
  <c r="E40" i="44" s="1"/>
  <c r="O16" i="67"/>
  <c r="C15" i="66" s="1"/>
  <c r="U26" i="68"/>
  <c r="G38" i="44" s="1"/>
  <c r="V3" i="68"/>
  <c r="H15" i="44" s="1"/>
  <c r="P41" i="67"/>
  <c r="D39" i="66" s="1"/>
  <c r="O11" i="68"/>
  <c r="A23" i="44" s="1"/>
  <c r="M33" i="67"/>
  <c r="Y23" i="68"/>
  <c r="K35" i="44" s="1"/>
  <c r="M11" i="67"/>
  <c r="L15" i="67"/>
  <c r="A14" i="66" s="1"/>
  <c r="Y18" i="68"/>
  <c r="K30" i="44" s="1"/>
  <c r="L5" i="67"/>
  <c r="A5" i="66" s="1"/>
  <c r="U17" i="68"/>
  <c r="G29" i="44" s="1"/>
  <c r="N31" i="67"/>
  <c r="B29" i="66" s="1"/>
  <c r="U10" i="68"/>
  <c r="G22" i="44" s="1"/>
  <c r="U24" i="68"/>
  <c r="G36" i="44" s="1"/>
  <c r="X29" i="68"/>
  <c r="J41" i="44" s="1"/>
  <c r="M15" i="67"/>
  <c r="Q18" i="68"/>
  <c r="C30" i="44" s="1"/>
  <c r="M24" i="67"/>
  <c r="S11" i="68"/>
  <c r="E23" i="44" s="1"/>
  <c r="R12" i="68"/>
  <c r="D24" i="44" s="1"/>
  <c r="O29" i="68"/>
  <c r="A41" i="44" s="1"/>
  <c r="R8" i="68"/>
  <c r="D20" i="44" s="1"/>
  <c r="W6" i="68"/>
  <c r="I18" i="44" s="1"/>
  <c r="P30" i="67"/>
  <c r="D28" i="66" s="1"/>
  <c r="P23" i="68"/>
  <c r="B35" i="44" s="1"/>
  <c r="Q14" i="68"/>
  <c r="C26" i="44" s="1"/>
  <c r="P15" i="68"/>
  <c r="B27" i="44" s="1"/>
  <c r="L6" i="67"/>
  <c r="A6" i="66" s="1"/>
  <c r="M18" i="67"/>
  <c r="T15" i="68"/>
  <c r="F27" i="44" s="1"/>
  <c r="L9" i="67"/>
  <c r="A8" i="66" s="1"/>
  <c r="U7" i="68"/>
  <c r="G19" i="44" s="1"/>
  <c r="M44" i="67"/>
  <c r="O37" i="67"/>
  <c r="C35" i="66" s="1"/>
  <c r="P31" i="67"/>
  <c r="D29" i="66" s="1"/>
  <c r="Q13" i="68"/>
  <c r="C25" i="44" s="1"/>
  <c r="O7" i="67"/>
  <c r="C7" i="66" s="1"/>
  <c r="T25" i="68"/>
  <c r="F37" i="44" s="1"/>
  <c r="P14" i="67"/>
  <c r="D13" i="66" s="1"/>
  <c r="V8" i="68"/>
  <c r="H20" i="44" s="1"/>
  <c r="X18" i="68"/>
  <c r="J30" i="44" s="1"/>
  <c r="S15" i="68"/>
  <c r="E27" i="44" s="1"/>
  <c r="L30" i="67"/>
  <c r="A28" i="66" s="1"/>
  <c r="M46" i="67"/>
  <c r="S10" i="68"/>
  <c r="E22" i="44" s="1"/>
  <c r="Q20" i="68"/>
  <c r="C32" i="44" s="1"/>
  <c r="O24" i="68"/>
  <c r="A36" i="44" s="1"/>
  <c r="P8" i="68"/>
  <c r="B20" i="44" s="1"/>
  <c r="T12" i="68"/>
  <c r="F24" i="44" s="1"/>
  <c r="V16" i="68"/>
  <c r="H28" i="44" s="1"/>
  <c r="S17" i="68"/>
  <c r="E29" i="44" s="1"/>
  <c r="T2" i="68"/>
  <c r="F14" i="44" s="1"/>
  <c r="M23" i="67"/>
  <c r="Y27" i="68"/>
  <c r="K39" i="44" s="1"/>
  <c r="R11" i="68"/>
  <c r="D23" i="44" s="1"/>
  <c r="P20" i="68"/>
  <c r="B32" i="44" s="1"/>
  <c r="Q26" i="68"/>
  <c r="C38" i="44" s="1"/>
  <c r="O19" i="68"/>
  <c r="A31" i="44" s="1"/>
  <c r="O31" i="67"/>
  <c r="C29" i="66" s="1"/>
  <c r="L44" i="67"/>
  <c r="A42" i="66" s="1"/>
  <c r="X21" i="68"/>
  <c r="J33" i="44" s="1"/>
  <c r="R18" i="68"/>
  <c r="D30" i="44" s="1"/>
  <c r="Y4" i="68"/>
  <c r="K16" i="44" s="1"/>
  <c r="P29" i="67"/>
  <c r="D27" i="66" s="1"/>
  <c r="N9" i="67"/>
  <c r="B8" i="66" s="1"/>
  <c r="P5" i="68"/>
  <c r="B17" i="44" s="1"/>
  <c r="N22" i="67"/>
  <c r="B21" i="66" s="1"/>
  <c r="P47" i="67"/>
  <c r="D45" i="66" s="1"/>
  <c r="M27" i="67"/>
  <c r="Y22" i="68"/>
  <c r="K34" i="44" s="1"/>
  <c r="R20" i="68"/>
  <c r="D32" i="44" s="1"/>
  <c r="P3" i="67"/>
  <c r="D3" i="66" s="1"/>
  <c r="M41" i="67"/>
  <c r="Q2" i="68"/>
  <c r="C14" i="44" s="1"/>
  <c r="P12" i="67"/>
  <c r="D11" i="66" s="1"/>
  <c r="S9" i="68"/>
  <c r="E21" i="44" s="1"/>
  <c r="O24" i="67"/>
  <c r="C23" i="66" s="1"/>
  <c r="P16" i="67"/>
  <c r="D15" i="66" s="1"/>
  <c r="N28" i="67"/>
  <c r="B26" i="66" s="1"/>
  <c r="O12" i="67"/>
  <c r="C11" i="66" s="1"/>
  <c r="P13" i="68"/>
  <c r="B25" i="44" s="1"/>
  <c r="L28" i="67"/>
  <c r="A26" i="66" s="1"/>
  <c r="O18" i="67"/>
  <c r="C17" i="66" s="1"/>
  <c r="P7" i="68"/>
  <c r="B19" i="44" s="1"/>
  <c r="Q11" i="68"/>
  <c r="C23" i="44" s="1"/>
  <c r="O6" i="67"/>
  <c r="C6" i="66" s="1"/>
  <c r="P4" i="68"/>
  <c r="B16" i="44" s="1"/>
  <c r="U9" i="68"/>
  <c r="G21" i="44" s="1"/>
  <c r="N13" i="67"/>
  <c r="B12" i="66" s="1"/>
  <c r="W14" i="68"/>
  <c r="I26" i="44" s="1"/>
  <c r="P24" i="67"/>
  <c r="D23" i="66" s="1"/>
  <c r="R24" i="68"/>
  <c r="D36" i="44" s="1"/>
  <c r="R4" i="68"/>
  <c r="D16" i="44" s="1"/>
  <c r="T9" i="68"/>
  <c r="F21" i="44" s="1"/>
  <c r="Y6" i="68"/>
  <c r="K18" i="44" s="1"/>
  <c r="X28" i="68"/>
  <c r="J40" i="44" s="1"/>
  <c r="V28" i="68"/>
  <c r="H40" i="44" s="1"/>
  <c r="R16" i="68"/>
  <c r="D28" i="44" s="1"/>
  <c r="W25" i="68"/>
  <c r="I37" i="44" s="1"/>
  <c r="L3" i="67"/>
  <c r="A3" i="66" s="1"/>
  <c r="W15" i="68"/>
  <c r="I27" i="44" s="1"/>
  <c r="W5" i="68"/>
  <c r="I17" i="44" s="1"/>
  <c r="O44" i="67"/>
  <c r="C42" i="66" s="1"/>
  <c r="M29" i="67"/>
  <c r="P6" i="67"/>
  <c r="D6" i="66" s="1"/>
  <c r="N30" i="67"/>
  <c r="B28" i="66" s="1"/>
  <c r="N11" i="67"/>
  <c r="B10" i="66" s="1"/>
  <c r="P40" i="67"/>
  <c r="D38" i="66" s="1"/>
  <c r="Q25" i="68"/>
  <c r="C37" i="44" s="1"/>
  <c r="X19" i="68"/>
  <c r="J31" i="44" s="1"/>
  <c r="U21" i="68"/>
  <c r="G33" i="44" s="1"/>
  <c r="R17" i="68"/>
  <c r="D29" i="44" s="1"/>
  <c r="W12" i="68"/>
  <c r="I24" i="44" s="1"/>
  <c r="P34" i="67"/>
  <c r="D32" i="66" s="1"/>
  <c r="R21" i="68"/>
  <c r="D33" i="44" s="1"/>
  <c r="X2" i="68"/>
  <c r="J14" i="44" s="1"/>
  <c r="Y3" i="68"/>
  <c r="K15" i="44" s="1"/>
  <c r="P9" i="67"/>
  <c r="D8" i="66" s="1"/>
  <c r="N36" i="67"/>
  <c r="B34" i="66" s="1"/>
  <c r="V12" i="68"/>
  <c r="H24" i="44" s="1"/>
  <c r="V18" i="68"/>
  <c r="H30" i="44" s="1"/>
  <c r="R2" i="68"/>
  <c r="D14" i="44" s="1"/>
  <c r="M39" i="67"/>
  <c r="S25" i="68"/>
  <c r="E37" i="44" s="1"/>
  <c r="Y10" i="68"/>
  <c r="K22" i="44" s="1"/>
  <c r="O9" i="68"/>
  <c r="A21" i="44" s="1"/>
  <c r="Y16" i="68"/>
  <c r="K28" i="44" s="1"/>
  <c r="W21" i="68"/>
  <c r="I33" i="44" s="1"/>
  <c r="O25" i="68"/>
  <c r="A37" i="44" s="1"/>
  <c r="L23" i="67"/>
  <c r="A22" i="66" s="1"/>
  <c r="Y17" i="68"/>
  <c r="K29" i="44" s="1"/>
  <c r="N23" i="67"/>
  <c r="B22" i="66" s="1"/>
  <c r="P44" i="67"/>
  <c r="D42" i="66" s="1"/>
  <c r="V13" i="68"/>
  <c r="H25" i="44" s="1"/>
  <c r="O5" i="68"/>
  <c r="A17" i="44" s="1"/>
  <c r="O40" i="67"/>
  <c r="C38" i="66" s="1"/>
  <c r="L10" i="67"/>
  <c r="A9" i="66" s="1"/>
  <c r="P16" i="68"/>
  <c r="B28" i="44" s="1"/>
  <c r="Q3" i="68"/>
  <c r="C15" i="44" s="1"/>
  <c r="P21" i="67"/>
  <c r="D20" i="66" s="1"/>
  <c r="M48" i="67"/>
  <c r="S6" i="68"/>
  <c r="E18" i="44" s="1"/>
  <c r="S29" i="68"/>
  <c r="E41" i="44" s="1"/>
  <c r="N38" i="67"/>
  <c r="B36" i="66" s="1"/>
  <c r="U18" i="68"/>
  <c r="G30" i="44" s="1"/>
  <c r="Q29" i="68"/>
  <c r="C41" i="44" s="1"/>
  <c r="T5" i="68"/>
  <c r="F17" i="44" s="1"/>
  <c r="R3" i="68"/>
  <c r="D15" i="44" s="1"/>
  <c r="W8" i="68"/>
  <c r="I20" i="44" s="1"/>
  <c r="S21" i="68"/>
  <c r="E33" i="44" s="1"/>
  <c r="W2" i="68"/>
  <c r="I14" i="44" s="1"/>
  <c r="O42" i="67"/>
  <c r="C40" i="66" s="1"/>
  <c r="O5" i="67"/>
  <c r="C5" i="66" s="1"/>
  <c r="M30" i="67"/>
  <c r="R7" i="68"/>
  <c r="D19" i="44" s="1"/>
  <c r="O15" i="67"/>
  <c r="C14" i="66" s="1"/>
  <c r="W22" i="68"/>
  <c r="I34" i="44" s="1"/>
  <c r="W19" i="68"/>
  <c r="I31" i="44" s="1"/>
  <c r="J12" i="44" l="1"/>
  <c r="G13" i="44"/>
  <c r="F13" i="44"/>
  <c r="B11" i="44"/>
  <c r="F12" i="44"/>
  <c r="D13" i="44"/>
  <c r="B12" i="44"/>
  <c r="A12" i="44"/>
  <c r="B1" i="44" s="1"/>
  <c r="C13" i="44"/>
  <c r="K13" i="44"/>
  <c r="H13" i="44"/>
  <c r="J13" i="44"/>
  <c r="B10" i="44"/>
  <c r="C12" i="44"/>
  <c r="I12" i="44"/>
  <c r="E13" i="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Florina</author>
    <author>OnkoZert - Orsolya Penzes</author>
  </authors>
  <commentList>
    <comment ref="B7" authorId="0" shapeId="0" xr:uid="{00000000-0006-0000-0000-000001000000}">
      <text>
        <r>
          <rPr>
            <sz val="8"/>
            <color indexed="81"/>
            <rFont val="Arial"/>
            <family val="2"/>
          </rPr>
          <t>Please select reg. no.
The system of Reg. numbers was fundamentally revised for the 2025 audit year, although the 3-digit number for the unique identification of each centre has remained unchanged. The current Reg. numbers of the respective centres can be viewed at www.oncomap.de.</t>
        </r>
      </text>
    </comment>
    <comment ref="B13" authorId="0" shapeId="0" xr:uid="{00000000-0006-0000-0000-000002000000}">
      <text>
        <r>
          <rPr>
            <sz val="9"/>
            <color indexed="81"/>
            <rFont val="Arial"/>
            <family val="2"/>
          </rPr>
          <t>Institute code for settlement with the social insurance institutions (9-digit number sequence: 26XXXXXXX).
Processing is only required for centers located in Germany.</t>
        </r>
      </text>
    </comment>
    <comment ref="I13" authorId="0" shapeId="0" xr:uid="{00000000-0006-0000-0000-000003000000}">
      <text>
        <r>
          <rPr>
            <sz val="9"/>
            <color indexed="81"/>
            <rFont val="Arial"/>
            <family val="2"/>
          </rPr>
          <t>dd.mm.yyyy
Carry-over to other spreadsheets is automatic.</t>
        </r>
      </text>
    </comment>
    <comment ref="B15" authorId="0" shapeId="0" xr:uid="{00000000-0006-0000-0000-000004000000}">
      <text>
        <r>
          <rPr>
            <sz val="9"/>
            <color indexed="81"/>
            <rFont val="Arial"/>
            <family val="2"/>
          </rPr>
          <t>Identifier assigned by the Institute for the Hospital Remuneration System (InEK) (9-digit number sequence: 77XXXXXXX).
Processing is only required for centers located in Germany.</t>
        </r>
      </text>
    </comment>
    <comment ref="I15" authorId="0" shapeId="0" xr:uid="{00000000-0006-0000-0000-000005000000}">
      <text>
        <r>
          <rPr>
            <sz val="9"/>
            <color indexed="81"/>
            <rFont val="Arial"/>
            <family val="2"/>
          </rPr>
          <t>Selection by Reg. No</t>
        </r>
      </text>
    </comment>
    <comment ref="B17" authorId="0" shapeId="0" xr:uid="{00000000-0006-0000-0000-000006000000}">
      <text>
        <r>
          <rPr>
            <sz val="9"/>
            <color indexed="81"/>
            <rFont val="Arial"/>
            <family val="2"/>
          </rPr>
          <t>Name, first name</t>
        </r>
      </text>
    </comment>
    <comment ref="F27" authorId="0" shapeId="0" xr:uid="{00000000-0006-0000-0000-000007000000}">
      <text>
        <r>
          <rPr>
            <sz val="9"/>
            <color indexed="81"/>
            <rFont val="Arial"/>
            <family val="2"/>
          </rPr>
          <t>For the automatic generation of the Indicator Sheet and the matrix outcome quality colorectal, breast and prostate, an evaluation tool (XML-OncoBox) is available which can be integrated into different tumour documentation systems. Further information can be accessed on XML-OncoBox under www.onkozert.de in the section Remarks.
www.xml-oncobox.de</t>
        </r>
      </text>
    </comment>
    <comment ref="A31" authorId="0" shapeId="0" xr:uid="{00000000-0006-0000-0000-000008000000}">
      <text>
        <r>
          <rPr>
            <sz val="9"/>
            <color indexed="81"/>
            <rFont val="Arial"/>
            <family val="2"/>
          </rPr>
          <t>CR = Catalogue of Requirements
IS = Indicator Sheet
IN = Indicator</t>
        </r>
      </text>
    </comment>
    <comment ref="I33" authorId="1" shapeId="0" xr:uid="{00000000-0006-0000-0000-000009000000}">
      <text>
        <r>
          <rPr>
            <sz val="9"/>
            <color indexed="81"/>
            <rFont val="Arial"/>
            <family val="2"/>
          </rPr>
          <t>Part of denominator IN: 30</t>
        </r>
      </text>
    </comment>
    <comment ref="J33" authorId="1" shapeId="0" xr:uid="{00000000-0006-0000-0000-00000A000000}">
      <text>
        <r>
          <rPr>
            <sz val="9"/>
            <color indexed="81"/>
            <rFont val="Arial"/>
            <family val="2"/>
          </rPr>
          <t>Part of denominator IN: 30</t>
        </r>
      </text>
    </comment>
    <comment ref="K33" authorId="0" shapeId="0" xr:uid="{00000000-0006-0000-0000-00000B000000}">
      <text>
        <r>
          <rPr>
            <sz val="9"/>
            <color indexed="81"/>
            <rFont val="Arial"/>
            <family val="2"/>
          </rPr>
          <t>Number IN: 1a
Denominator IN: 2a, 7
Part of denominator IN: 5, 6</t>
        </r>
      </text>
    </comment>
    <comment ref="A34" authorId="0" shapeId="0" xr:uid="{00000000-0006-0000-0000-00000C000000}">
      <text>
        <r>
          <rPr>
            <sz val="9"/>
            <color indexed="81"/>
            <rFont val="Arial"/>
            <family val="2"/>
          </rPr>
          <t>Def. according to CR 5.2.2</t>
        </r>
      </text>
    </comment>
    <comment ref="B34" authorId="0" shapeId="0" xr:uid="{00000000-0006-0000-0000-00000D000000}">
      <text>
        <r>
          <rPr>
            <sz val="9"/>
            <color indexed="81"/>
            <rFont val="Arial"/>
            <family val="2"/>
          </rPr>
          <t>Part of denominator IN: 16</t>
        </r>
      </text>
    </comment>
    <comment ref="C34" authorId="0" shapeId="0" xr:uid="{00000000-0006-0000-0000-00000E000000}">
      <text>
        <r>
          <rPr>
            <sz val="9"/>
            <color indexed="81"/>
            <rFont val="Arial"/>
            <family val="2"/>
          </rPr>
          <t>Part of denominator IN: 3, 16</t>
        </r>
      </text>
    </comment>
    <comment ref="D34" authorId="0" shapeId="0" xr:uid="{00000000-0006-0000-0000-00000F000000}">
      <text>
        <r>
          <rPr>
            <sz val="9"/>
            <color indexed="81"/>
            <rFont val="Arial"/>
            <family val="2"/>
          </rPr>
          <t>Part of denominator IN: 3, 16</t>
        </r>
      </text>
    </comment>
    <comment ref="E34" authorId="0" shapeId="0" xr:uid="{00000000-0006-0000-0000-000010000000}">
      <text>
        <r>
          <rPr>
            <sz val="9"/>
            <color indexed="81"/>
            <rFont val="Arial"/>
            <family val="2"/>
          </rPr>
          <t>Part of denominator IN: 3, 16</t>
        </r>
      </text>
    </comment>
    <comment ref="F34" authorId="0" shapeId="0" xr:uid="{00000000-0006-0000-0000-000011000000}">
      <text>
        <r>
          <rPr>
            <sz val="9"/>
            <color indexed="81"/>
            <rFont val="Arial"/>
            <family val="2"/>
          </rPr>
          <t>Part of denominator IN: 3, 17</t>
        </r>
      </text>
    </comment>
    <comment ref="G34" authorId="0" shapeId="0" xr:uid="{00000000-0006-0000-0000-000012000000}">
      <text>
        <r>
          <rPr>
            <sz val="9"/>
            <color indexed="81"/>
            <rFont val="Arial"/>
            <family val="2"/>
          </rPr>
          <t>Part of denominator IN: 3, 17</t>
        </r>
      </text>
    </comment>
    <comment ref="K34" authorId="0" shapeId="0" xr:uid="{00000000-0006-0000-0000-000013000000}">
      <text>
        <r>
          <rPr>
            <sz val="9"/>
            <color indexed="81"/>
            <rFont val="Arial"/>
            <family val="2"/>
          </rPr>
          <t>Number IN: 11a
Denominator IN: 13, 14, 15</t>
        </r>
      </text>
    </comment>
    <comment ref="A39" authorId="0" shapeId="0" xr:uid="{00000000-0006-0000-0000-000014000000}">
      <text>
        <r>
          <rPr>
            <sz val="9"/>
            <color indexed="81"/>
            <rFont val="Arial"/>
            <family val="2"/>
          </rPr>
          <t>Def. according to CR 5.2.2</t>
        </r>
      </text>
    </comment>
    <comment ref="K39" authorId="2" shapeId="0" xr:uid="{00000000-0006-0000-0000-000015000000}">
      <text>
        <r>
          <rPr>
            <sz val="9"/>
            <color indexed="81"/>
            <rFont val="Arial"/>
            <family val="2"/>
          </rPr>
          <t>Number IN: 11b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OnkoZert - Roxana Rentea</author>
  </authors>
  <commentList>
    <comment ref="C6" authorId="0" shapeId="0" xr:uid="{00000000-0006-0000-0100-000001000000}">
      <text>
        <r>
          <rPr>
            <sz val="9"/>
            <color indexed="81"/>
            <rFont val="Arial"/>
            <family val="2"/>
          </rPr>
          <t>Carry-over from spreadsheet Basic data</t>
        </r>
      </text>
    </comment>
    <comment ref="F6" authorId="0" shapeId="0" xr:uid="{00000000-0006-0000-0100-000002000000}">
      <text>
        <r>
          <rPr>
            <sz val="9"/>
            <color indexed="81"/>
            <rFont val="Arial"/>
            <family val="2"/>
          </rPr>
          <t>Carry-over from spreadsheet Basic data</t>
        </r>
      </text>
    </comment>
    <comment ref="A9" authorId="0" shapeId="0" xr:uid="{00000000-0006-0000-0100-000003000000}">
      <text>
        <r>
          <rPr>
            <sz val="9"/>
            <color indexed="81"/>
            <rFont val="Arial"/>
            <family val="2"/>
          </rPr>
          <t>IN = Indicator</t>
        </r>
      </text>
    </comment>
    <comment ref="B9" authorId="0" shapeId="0" xr:uid="{00000000-0006-0000-0100-000004000000}">
      <text>
        <r>
          <rPr>
            <sz val="9"/>
            <color indexed="81"/>
            <rFont val="Arial"/>
            <family val="2"/>
          </rPr>
          <t xml:space="preserve">CR = Catalogue of Requirements </t>
        </r>
      </text>
    </comment>
    <comment ref="H10" authorId="0" shapeId="0" xr:uid="{00000000-0006-0000-0100-000005000000}">
      <text>
        <r>
          <rPr>
            <sz val="9"/>
            <color indexed="81"/>
            <rFont val="Arial"/>
            <family val="2"/>
          </rPr>
          <t>Columns l to M must be completed for each service provider.</t>
        </r>
      </text>
    </comment>
    <comment ref="Q10" authorId="0" shapeId="0" xr:uid="{00000000-0006-0000-0100-000006000000}">
      <text>
        <r>
          <rPr>
            <sz val="9"/>
            <color indexed="81"/>
            <rFont val="Arial"/>
            <family val="2"/>
          </rPr>
          <t>When cell is grey, please give reasons.</t>
        </r>
      </text>
    </comment>
    <comment ref="C11" authorId="1" shapeId="0" xr:uid="{00000000-0006-0000-0100-000007000000}">
      <text>
        <r>
          <rPr>
            <sz val="9"/>
            <color indexed="81"/>
            <rFont val="Arial"/>
            <family val="2"/>
          </rPr>
          <t>For further explanations see FAQ.</t>
        </r>
      </text>
    </comment>
    <comment ref="M11" authorId="0" shapeId="0" xr:uid="{00000000-0006-0000-0100-000008000000}">
      <text>
        <r>
          <rPr>
            <sz val="9"/>
            <color indexed="81"/>
            <rFont val="Arial"/>
            <family val="2"/>
          </rPr>
          <t>Columns l to M must be completed for each service provider.</t>
        </r>
      </text>
    </comment>
    <comment ref="P11" authorId="1" shapeId="0" xr:uid="{00000000-0006-0000-0100-000009000000}">
      <text>
        <r>
          <rPr>
            <sz val="9"/>
            <color indexed="81"/>
            <rFont val="Arial"/>
            <family val="2"/>
          </rPr>
          <t xml:space="preserve">Regardless of the overall data quality, any data deficit must be explained per PNEU/Radio/PAT.  </t>
        </r>
      </text>
    </comment>
    <comment ref="M15" authorId="2" shapeId="0" xr:uid="{00000000-0006-0000-0100-00000A000000}">
      <text>
        <r>
          <rPr>
            <sz val="9"/>
            <color indexed="81"/>
            <rFont val="Arial"/>
            <family val="2"/>
          </rPr>
          <t>Columns I to M must be completed for each service provider.</t>
        </r>
      </text>
    </comment>
    <comment ref="P15" authorId="2" shapeId="0" xr:uid="{00000000-0006-0000-0100-00000B000000}">
      <text>
        <r>
          <rPr>
            <sz val="9"/>
            <color indexed="81"/>
            <rFont val="Arial"/>
            <family val="2"/>
          </rPr>
          <t xml:space="preserve">Regardless of the overall data quality, any data deficit must be explained per PNEU/Radio/PAT.  </t>
        </r>
      </text>
    </comment>
    <comment ref="C19" authorId="1" shapeId="0" xr:uid="{00000000-0006-0000-0100-00000C000000}">
      <text>
        <r>
          <rPr>
            <sz val="9"/>
            <color indexed="81"/>
            <rFont val="Arial"/>
            <family val="2"/>
          </rPr>
          <t>For further explanations see FAQ.</t>
        </r>
      </text>
    </comment>
    <comment ref="M19" authorId="0" shapeId="0" xr:uid="{00000000-0006-0000-0100-00000D000000}">
      <text>
        <r>
          <rPr>
            <sz val="9"/>
            <color indexed="81"/>
            <rFont val="Arial"/>
            <family val="2"/>
          </rPr>
          <t>Columns l to M must be completed for each service provider.</t>
        </r>
      </text>
    </comment>
    <comment ref="P19" authorId="1" shapeId="0" xr:uid="{00000000-0006-0000-0100-00000E000000}">
      <text>
        <r>
          <rPr>
            <sz val="9"/>
            <color indexed="81"/>
            <rFont val="Arial"/>
            <family val="2"/>
          </rPr>
          <t xml:space="preserve">Regardless of the overall data quality, any data deficit must be explained per PNEU/Radio/PAT. </t>
        </r>
      </text>
    </comment>
    <comment ref="M23" authorId="0" shapeId="0" xr:uid="{00000000-0006-0000-0100-00000F000000}">
      <text>
        <r>
          <rPr>
            <sz val="9"/>
            <color indexed="81"/>
            <rFont val="Arial"/>
            <family val="2"/>
          </rPr>
          <t>Columns l to M must be completed for each service provider.</t>
        </r>
      </text>
    </comment>
    <comment ref="P23" authorId="1" shapeId="0" xr:uid="{00000000-0006-0000-0100-000010000000}">
      <text>
        <r>
          <rPr>
            <sz val="9"/>
            <color indexed="81"/>
            <rFont val="Arial"/>
            <family val="2"/>
          </rPr>
          <t xml:space="preserve">Regardless of the overall data quality, any data deficit must be explained per PNEU/Radio/PAT. </t>
        </r>
      </text>
    </comment>
    <comment ref="C27" authorId="1" shapeId="0" xr:uid="{00000000-0006-0000-0100-000011000000}">
      <text>
        <r>
          <rPr>
            <sz val="9"/>
            <color indexed="81"/>
            <rFont val="Arial"/>
            <family val="2"/>
          </rPr>
          <t>For further explanations see FAQ.</t>
        </r>
      </text>
    </comment>
    <comment ref="M27" authorId="0" shapeId="0" xr:uid="{00000000-0006-0000-0100-000012000000}">
      <text>
        <r>
          <rPr>
            <sz val="9"/>
            <color indexed="81"/>
            <rFont val="Arial"/>
            <family val="2"/>
          </rPr>
          <t>Columns l to M must be completed for each service provider.</t>
        </r>
      </text>
    </comment>
    <comment ref="P27" authorId="1" shapeId="0" xr:uid="{00000000-0006-0000-0100-000013000000}">
      <text>
        <r>
          <rPr>
            <sz val="9"/>
            <color indexed="81"/>
            <rFont val="Arial"/>
            <family val="2"/>
          </rPr>
          <t xml:space="preserve">Regardless of the overall data quality, any data deficit must be explained per NEU/Radio/PAT.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s>
  <commentList>
    <comment ref="C5" authorId="0" shapeId="0" xr:uid="{00000000-0006-0000-0600-000001000000}">
      <text>
        <r>
          <rPr>
            <sz val="9"/>
            <color indexed="81"/>
            <rFont val="Arial"/>
            <family val="2"/>
          </rPr>
          <t>Carry-over from spreadsheet Basic data</t>
        </r>
      </text>
    </comment>
    <comment ref="F5" authorId="0" shapeId="0" xr:uid="{00000000-0006-0000-0600-000002000000}">
      <text>
        <r>
          <rPr>
            <sz val="9"/>
            <color indexed="81"/>
            <rFont val="Arial"/>
            <family val="2"/>
          </rPr>
          <t>Carry-over from spreadsheet Basic data</t>
        </r>
      </text>
    </comment>
    <comment ref="A9" authorId="0" shapeId="0" xr:uid="{00000000-0006-0000-0600-000003000000}">
      <text>
        <r>
          <rPr>
            <sz val="9"/>
            <color indexed="81"/>
            <rFont val="Arial"/>
            <family val="2"/>
          </rPr>
          <t>IN = Indicator</t>
        </r>
      </text>
    </comment>
    <comment ref="B9" authorId="0" shapeId="0" xr:uid="{00000000-0006-0000-0600-000004000000}">
      <text>
        <r>
          <rPr>
            <sz val="9"/>
            <color indexed="81"/>
            <rFont val="Arial"/>
            <family val="2"/>
          </rPr>
          <t xml:space="preserve">CR = Catalogue of Requirements  </t>
        </r>
      </text>
    </comment>
    <comment ref="J10" authorId="0" shapeId="0" xr:uid="{00000000-0006-0000-0600-000005000000}">
      <text>
        <r>
          <rPr>
            <sz val="9"/>
            <color indexed="81"/>
            <rFont val="Arial"/>
            <family val="2"/>
          </rPr>
          <t>Columns K to O must be completed for each service provider.</t>
        </r>
      </text>
    </comment>
    <comment ref="U10" authorId="0" shapeId="0" xr:uid="{00000000-0006-0000-0600-000006000000}">
      <text>
        <r>
          <rPr>
            <sz val="9"/>
            <color indexed="81"/>
            <rFont val="Arial"/>
            <family val="2"/>
          </rPr>
          <t>When cell is grey, please give reasons.</t>
        </r>
      </text>
    </comment>
    <comment ref="C11" authorId="1" shapeId="0" xr:uid="{00000000-0006-0000-0600-000007000000}">
      <text>
        <r>
          <rPr>
            <sz val="9"/>
            <color indexed="81"/>
            <rFont val="Arial"/>
            <family val="2"/>
          </rPr>
          <t>For further explanations see FAQ.</t>
        </r>
      </text>
    </comment>
    <comment ref="O11" authorId="0" shapeId="0" xr:uid="{00000000-0006-0000-0600-000008000000}">
      <text>
        <r>
          <rPr>
            <sz val="9"/>
            <color indexed="81"/>
            <rFont val="Arial"/>
            <family val="2"/>
          </rPr>
          <t xml:space="preserve">Columns K to O must be completed for each service provider.
</t>
        </r>
        <r>
          <rPr>
            <b/>
            <sz val="9"/>
            <color indexed="81"/>
            <rFont val="Arial"/>
            <family val="2"/>
          </rPr>
          <t>Total operative primary cases per department must match basic data - cell K34.</t>
        </r>
      </text>
    </comment>
    <comment ref="T11" authorId="1" shapeId="0" xr:uid="{00000000-0006-0000-0600-000009000000}">
      <text>
        <r>
          <rPr>
            <sz val="9"/>
            <color indexed="81"/>
            <rFont val="Arial"/>
            <family val="2"/>
          </rPr>
          <t xml:space="preserve">Regardless of the overall data quality, any data deficit must be explained for each TSUR. </t>
        </r>
      </text>
    </comment>
    <comment ref="O14" authorId="0" shapeId="0" xr:uid="{00000000-0006-0000-0600-00000A000000}">
      <text>
        <r>
          <rPr>
            <sz val="9"/>
            <color indexed="81"/>
            <rFont val="Arial"/>
            <family val="2"/>
          </rPr>
          <t xml:space="preserve">Columns K to O must be completed for each service provider.
</t>
        </r>
        <r>
          <rPr>
            <b/>
            <sz val="9"/>
            <color indexed="81"/>
            <rFont val="Arial"/>
            <family val="2"/>
          </rPr>
          <t>Total surgical expertise per department must correspond to basic data - cell K39.</t>
        </r>
        <r>
          <rPr>
            <sz val="9"/>
            <color indexed="81"/>
            <rFont val="Arial"/>
            <family val="2"/>
          </rPr>
          <t xml:space="preserve">
</t>
        </r>
        <r>
          <rPr>
            <b/>
            <sz val="9"/>
            <color indexed="81"/>
            <rFont val="Arial"/>
            <family val="2"/>
          </rPr>
          <t>Special case number regulation for thoracic surgery departments under joint management</t>
        </r>
        <r>
          <rPr>
            <sz val="9"/>
            <color indexed="81"/>
            <rFont val="Arial"/>
            <family val="2"/>
          </rPr>
          <t xml:space="preserve"> (excerpt from EB chap. 1.1.1): One of the thoracic surgery departments must fulfil the operative case numbers independently (main location), the 2nd (and if necessary max. 3rd) department (secondary location) at least 40 anatomical lung resections.
If data deficit is explained, reference must be made to the joint thoracic surgery management.</t>
        </r>
      </text>
    </comment>
    <comment ref="T14" authorId="1" shapeId="0" xr:uid="{00000000-0006-0000-0600-00000B000000}">
      <text>
        <r>
          <rPr>
            <sz val="9"/>
            <color indexed="81"/>
            <rFont val="Arial"/>
            <family val="2"/>
          </rPr>
          <t xml:space="preserve">Regardless of the overall data quality, any data deficit must be explained for each TSUR. </t>
        </r>
      </text>
    </comment>
    <comment ref="C17" authorId="1" shapeId="0" xr:uid="{00000000-0006-0000-0600-00000C000000}">
      <text>
        <r>
          <rPr>
            <sz val="9"/>
            <color indexed="81"/>
            <rFont val="Arial"/>
            <family val="2"/>
          </rPr>
          <t>For further explanations see FAQ</t>
        </r>
        <r>
          <rPr>
            <b/>
            <sz val="9"/>
            <color indexed="81"/>
            <rFont val="Arial"/>
            <family val="2"/>
          </rPr>
          <t>.</t>
        </r>
      </text>
    </comment>
    <comment ref="T17" authorId="1" shapeId="0" xr:uid="{00000000-0006-0000-0600-00000D000000}">
      <text>
        <r>
          <rPr>
            <sz val="9"/>
            <color indexed="81"/>
            <rFont val="Arial"/>
            <family val="2"/>
          </rPr>
          <t xml:space="preserve">Regardless of the overall data quality, any data deficit must be explained for each TSUR. </t>
        </r>
      </text>
    </comment>
    <comment ref="T20" authorId="1" shapeId="0" xr:uid="{00000000-0006-0000-0600-00000E000000}">
      <text>
        <r>
          <rPr>
            <sz val="9"/>
            <color indexed="81"/>
            <rFont val="Arial"/>
            <family val="2"/>
          </rPr>
          <t xml:space="preserve">Regardless of the overall data quality, any data deficit must be explained for each TSUR. </t>
        </r>
      </text>
    </comment>
    <comment ref="T23" authorId="1" shapeId="0" xr:uid="{00000000-0006-0000-0600-00000F000000}">
      <text>
        <r>
          <rPr>
            <sz val="9"/>
            <color indexed="81"/>
            <rFont val="Arial"/>
            <family val="2"/>
          </rPr>
          <t xml:space="preserve">Regardless of the overall data quality, any data deficit must be explained for each TSUR. </t>
        </r>
      </text>
    </comment>
    <comment ref="T26" authorId="1" shapeId="0" xr:uid="{00000000-0006-0000-0600-000010000000}">
      <text>
        <r>
          <rPr>
            <sz val="9"/>
            <color indexed="81"/>
            <rFont val="Arial"/>
            <family val="2"/>
          </rPr>
          <t xml:space="preserve">Regardless of the overall data quality, any data deficit must be explained for each TSUR. </t>
        </r>
      </text>
    </comment>
    <comment ref="T29" authorId="1" shapeId="0" xr:uid="{00000000-0006-0000-0600-000011000000}">
      <text>
        <r>
          <rPr>
            <sz val="9"/>
            <color indexed="81"/>
            <rFont val="Arial"/>
            <family val="2"/>
          </rPr>
          <t xml:space="preserve">Regardless of the overall data quality, any data deficit must be explained for each TSUR. </t>
        </r>
      </text>
    </comment>
    <comment ref="T32" authorId="1" shapeId="0" xr:uid="{00000000-0006-0000-0600-000012000000}">
      <text>
        <r>
          <rPr>
            <sz val="9"/>
            <color indexed="81"/>
            <rFont val="Arial"/>
            <family val="2"/>
          </rPr>
          <t xml:space="preserve">Regardless of the overall data quality, any data deficit must be explained for each TSUR.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 - Roxana Rentea</author>
    <author>OnkoZert - Florina Dudu</author>
  </authors>
  <commentList>
    <comment ref="F5" authorId="0" shapeId="0" xr:uid="{00000000-0006-0000-0700-000001000000}">
      <text>
        <r>
          <rPr>
            <sz val="9"/>
            <color indexed="81"/>
            <rFont val="Arial"/>
            <family val="2"/>
          </rPr>
          <t>Numerator IN 7</t>
        </r>
      </text>
    </comment>
    <comment ref="A9" authorId="0" shapeId="0" xr:uid="{00000000-0006-0000-0700-000002000000}">
      <text>
        <r>
          <rPr>
            <sz val="9"/>
            <color indexed="81"/>
            <rFont val="Arial"/>
            <family val="2"/>
          </rPr>
          <t>Responsible cooperation partner: Study unit/ department responsible for the supervision of the study (e.g. Department of Radio-oncology; Haematology/Oncology Group Practice Dr Example; ...). Name of co-operation partner identical to www.oncomap.de, if listed.
·  External: Center (name as listed at www.oncomap.de) or clinic</t>
        </r>
      </text>
    </comment>
    <comment ref="E10" authorId="1" shapeId="0" xr:uid="{00000000-0006-0000-0700-000003000000}">
      <text>
        <r>
          <rPr>
            <sz val="9"/>
            <color indexed="81"/>
            <rFont val="Arial"/>
            <family val="2"/>
          </rPr>
          <t>Optional, see section 1.7.5.a</t>
        </r>
      </text>
    </comment>
    <comment ref="F10" authorId="0" shapeId="0" xr:uid="{00000000-0006-0000-0700-000004000000}">
      <text>
        <r>
          <rPr>
            <sz val="9"/>
            <color indexed="81"/>
            <rFont val="Arial"/>
            <family val="2"/>
          </rPr>
          <t>Optional, see section 1.7.5.a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 xml:space="preserve">OnkoZert </author>
    <author>OnkoZert - Roxana Rentea</author>
    <author>OnkoZert - Orsolya Penzes</author>
    <author>Florina</author>
  </authors>
  <commentList>
    <comment ref="C6" authorId="0" shapeId="0" xr:uid="{00000000-0006-0000-0900-000001000000}">
      <text>
        <r>
          <rPr>
            <sz val="9"/>
            <color indexed="81"/>
            <rFont val="Arial"/>
            <family val="2"/>
          </rPr>
          <t>Carry-over from spreadsheet Basic data</t>
        </r>
      </text>
    </comment>
    <comment ref="E6" authorId="0" shapeId="0" xr:uid="{00000000-0006-0000-0900-000002000000}">
      <text>
        <r>
          <rPr>
            <sz val="9"/>
            <color indexed="81"/>
            <rFont val="Arial"/>
            <family val="2"/>
          </rPr>
          <t>Carry-over from spreadsheet Basic data</t>
        </r>
      </text>
    </comment>
    <comment ref="A8" authorId="0" shapeId="0" xr:uid="{00000000-0006-0000-0900-000003000000}">
      <text>
        <r>
          <rPr>
            <sz val="9"/>
            <color indexed="81"/>
            <rFont val="Arial"/>
            <family val="2"/>
          </rPr>
          <t>IN = Indicator</t>
        </r>
      </text>
    </comment>
    <comment ref="B8" authorId="0" shapeId="0" xr:uid="{00000000-0006-0000-0900-000004000000}">
      <text>
        <r>
          <rPr>
            <sz val="9"/>
            <color indexed="81"/>
            <rFont val="Arial"/>
            <family val="2"/>
          </rPr>
          <t>CR = Catalogue of Requirements
GL QI = Guideline derived quality indicator</t>
        </r>
      </text>
    </comment>
    <comment ref="N8" authorId="0" shapeId="0" xr:uid="{00000000-0006-0000-0900-000005000000}">
      <text>
        <r>
          <rPr>
            <sz val="9"/>
            <color indexed="81"/>
            <rFont val="Arial"/>
            <family val="2"/>
          </rPr>
          <t>Please first completely process the spreadsheet Basic Data, then complete fields Current Values.</t>
        </r>
      </text>
    </comment>
    <comment ref="Q9" authorId="0" shapeId="0" xr:uid="{00000000-0006-0000-0900-000006000000}">
      <text>
        <r>
          <rPr>
            <sz val="9"/>
            <color indexed="81"/>
            <rFont val="Arial"/>
            <family val="2"/>
          </rPr>
          <t xml:space="preserve">When data field is grey, please provide explanation for the obtained results (for this IN) </t>
        </r>
      </text>
    </comment>
    <comment ref="O10" authorId="0" shapeId="0" xr:uid="{00000000-0006-0000-0900-000007000000}">
      <text>
        <r>
          <rPr>
            <sz val="9"/>
            <color indexed="81"/>
            <rFont val="Arial"/>
            <family val="2"/>
          </rPr>
          <t>Carry over from spreadsheet Basic Data total case number Cell K33</t>
        </r>
      </text>
    </comment>
    <comment ref="C13" authorId="1" shapeId="0" xr:uid="{00000000-0006-0000-0900-000008000000}">
      <text>
        <r>
          <rPr>
            <sz val="9"/>
            <color indexed="81"/>
            <rFont val="Arial"/>
            <family val="2"/>
          </rPr>
          <t>For further explanations see FAQ.</t>
        </r>
      </text>
    </comment>
    <comment ref="O16" authorId="0" shapeId="0" xr:uid="{00000000-0006-0000-0900-000009000000}">
      <text>
        <r>
          <rPr>
            <sz val="9"/>
            <color indexed="81"/>
            <rFont val="Arial"/>
            <family val="2"/>
          </rPr>
          <t>• Pat with stadium IV have to be presented pre-therapeutically.
• Pat with stadium I can be prepared as table template for the tumour board and do not have to be orally presented
• The pre-therpeutic tumour board at centres with &gt;500 primary cases can be hold as so-called indication board (reduced number of participants). 
Obligatory participants: see CoR chapter 1.2.5</t>
        </r>
      </text>
    </comment>
    <comment ref="O17" authorId="0" shapeId="0" xr:uid="{00000000-0006-0000-0900-00000A000000}">
      <text>
        <r>
          <rPr>
            <sz val="9"/>
            <color indexed="81"/>
            <rFont val="Arial"/>
            <family val="2"/>
          </rPr>
          <t>Carry over from spreadsheet Basic Data Primary cases cell K33</t>
        </r>
      </text>
    </comment>
    <comment ref="C19" authorId="1" shapeId="0" xr:uid="{00000000-0006-0000-0900-00000B000000}">
      <text>
        <r>
          <rPr>
            <sz val="9"/>
            <color indexed="81"/>
            <rFont val="Arial"/>
            <family val="2"/>
          </rPr>
          <t>For further explanations see FAQ.</t>
        </r>
      </text>
    </comment>
    <comment ref="O20" authorId="0" shapeId="0" xr:uid="{00000000-0006-0000-0900-00000C000000}">
      <text>
        <r>
          <rPr>
            <sz val="9"/>
            <color indexed="81"/>
            <rFont val="Arial"/>
            <family val="2"/>
          </rPr>
          <t>No limitation to recurrence/metastases with primary treatment in the centre.
Carry over from Number IN 1a</t>
        </r>
      </text>
    </comment>
    <comment ref="O23" authorId="0" shapeId="0" xr:uid="{00000000-0006-0000-0900-00000D000000}">
      <text>
        <r>
          <rPr>
            <sz val="9"/>
            <color indexed="81"/>
            <rFont val="Arial"/>
            <family val="2"/>
          </rPr>
          <t>Carry over from speadsheet Basic Data operated primary cases stages IB-IIIB cells C34 to G34</t>
        </r>
      </text>
    </comment>
    <comment ref="C25" authorId="1" shapeId="0" xr:uid="{00000000-0006-0000-0900-00000E000000}">
      <text>
        <r>
          <rPr>
            <sz val="9"/>
            <color indexed="81"/>
            <rFont val="Arial"/>
            <family val="2"/>
          </rPr>
          <t>For further explanations see FAQ.</t>
        </r>
      </text>
    </comment>
    <comment ref="C28" authorId="1" shapeId="0" xr:uid="{00000000-0006-0000-0900-00000F000000}">
      <text>
        <r>
          <rPr>
            <sz val="9"/>
            <color indexed="81"/>
            <rFont val="Arial"/>
            <family val="2"/>
          </rPr>
          <t>Screening instruments can be found in the S3 guideline Psychooncological Diagnosis, Counselling and Treatment of Adult Cancer Patients.</t>
        </r>
      </text>
    </comment>
    <comment ref="F28" authorId="1" shapeId="0" xr:uid="{00000000-0006-0000-0900-000010000000}">
      <text>
        <r>
          <rPr>
            <sz val="9"/>
            <color indexed="81"/>
            <rFont val="Arial"/>
            <family val="2"/>
          </rPr>
          <t>Distress screening includes the use of a valid distress instrument (analogous to the S3 guideline Psychooncological Diagnosis, Counselling and Treatment of Adult Cancer Patients).</t>
        </r>
      </text>
    </comment>
    <comment ref="O29" authorId="0" shapeId="0" xr:uid="{00000000-0006-0000-0900-000011000000}">
      <text>
        <r>
          <rPr>
            <sz val="9"/>
            <color indexed="81"/>
            <rFont val="Arial"/>
            <family val="2"/>
          </rPr>
          <t>Number IN 1a + Number IN 1b</t>
        </r>
      </text>
    </comment>
    <comment ref="O32" authorId="0" shapeId="0" xr:uid="{00000000-0006-0000-0900-000012000000}">
      <text>
        <r>
          <rPr>
            <sz val="9"/>
            <color indexed="81"/>
            <rFont val="Arial"/>
            <family val="2"/>
          </rPr>
          <t>Number IN 1a + Number IN 1b</t>
        </r>
      </text>
    </comment>
    <comment ref="O34" authorId="2" shapeId="0" xr:uid="{00000000-0006-0000-0900-000013000000}">
      <text>
        <r>
          <rPr>
            <sz val="9"/>
            <color indexed="81"/>
            <rFont val="Arial"/>
            <family val="2"/>
          </rPr>
          <t>The numerator is not a subset of the denominator.
Carry over from spreadsheet Studies_Lung cell F5</t>
        </r>
      </text>
    </comment>
    <comment ref="O35" authorId="0" shapeId="0" xr:uid="{00000000-0006-0000-0900-000014000000}">
      <text>
        <r>
          <rPr>
            <sz val="9"/>
            <color indexed="81"/>
            <rFont val="Arial"/>
            <family val="2"/>
          </rPr>
          <t>Carry over from spreadsheet Basic Data Primary cases cell K33</t>
        </r>
      </text>
    </comment>
    <comment ref="C37" authorId="1" shapeId="0" xr:uid="{00000000-0006-0000-0900-000015000000}">
      <text>
        <r>
          <rPr>
            <sz val="9"/>
            <color indexed="81"/>
            <rFont val="Arial"/>
            <family val="2"/>
          </rPr>
          <t>For further explanations see FAQ.</t>
        </r>
      </text>
    </comment>
    <comment ref="O37" authorId="0" shapeId="0" xr:uid="{00000000-0006-0000-0900-000016000000}">
      <text>
        <r>
          <rPr>
            <sz val="9"/>
            <color indexed="81"/>
            <rFont val="Arial"/>
            <family val="2"/>
          </rPr>
          <t>Carry over from speadsheet Expertise cells M11 to M14</t>
        </r>
      </text>
    </comment>
    <comment ref="O40" authorId="3" shapeId="0" xr:uid="{00000000-0006-0000-0900-000017000000}">
      <text>
        <r>
          <rPr>
            <sz val="9"/>
            <color indexed="81"/>
            <rFont val="Arial"/>
            <family val="2"/>
          </rPr>
          <t>Transfer from spreadsheet Expertise_Lung 
Cells M15 to M18</t>
        </r>
      </text>
    </comment>
    <comment ref="C43" authorId="1" shapeId="0" xr:uid="{00000000-0006-0000-0900-000018000000}">
      <text>
        <r>
          <rPr>
            <sz val="9"/>
            <color indexed="81"/>
            <rFont val="Arial"/>
            <family val="2"/>
          </rPr>
          <t>For further explanations see FAQ.</t>
        </r>
      </text>
    </comment>
    <comment ref="O43" authorId="0" shapeId="0" xr:uid="{00000000-0006-0000-0900-000019000000}">
      <text>
        <r>
          <rPr>
            <sz val="9"/>
            <color indexed="81"/>
            <rFont val="Arial"/>
            <family val="2"/>
          </rPr>
          <t>Carry over from speadsheet Expertise_Lung
cells M19 to M22</t>
        </r>
      </text>
    </comment>
    <comment ref="C49" authorId="1" shapeId="0" xr:uid="{00000000-0006-0000-0900-00001A000000}">
      <text>
        <r>
          <rPr>
            <sz val="9"/>
            <color indexed="81"/>
            <rFont val="Arial"/>
            <family val="2"/>
          </rPr>
          <t>For further explanations see FAQ.</t>
        </r>
      </text>
    </comment>
    <comment ref="O49" authorId="0" shapeId="0" xr:uid="{00000000-0006-0000-0900-00001B000000}">
      <text>
        <r>
          <rPr>
            <sz val="9"/>
            <color indexed="81"/>
            <rFont val="Arial"/>
            <family val="2"/>
          </rPr>
          <t>Carry over from spreadsheet Basic Data Lung resections cell K34</t>
        </r>
      </text>
    </comment>
    <comment ref="O52" authorId="4" shapeId="0" xr:uid="{00000000-0006-0000-0900-00001C000000}">
      <text>
        <r>
          <rPr>
            <sz val="9"/>
            <color indexed="81"/>
            <rFont val="Arial"/>
            <family val="2"/>
          </rPr>
          <t>Carry over from speadsheet Basic Data Lung resections cell K39</t>
        </r>
      </text>
    </comment>
    <comment ref="C55" authorId="1" shapeId="0" xr:uid="{00000000-0006-0000-0900-00001D000000}">
      <text>
        <r>
          <rPr>
            <sz val="10"/>
            <color indexed="81"/>
            <rFont val="Arial"/>
            <family val="2"/>
          </rPr>
          <t>For further explanations see FAQ.</t>
        </r>
      </text>
    </comment>
    <comment ref="O59" authorId="0" shapeId="0" xr:uid="{00000000-0006-0000-0900-00001E000000}">
      <text>
        <r>
          <rPr>
            <sz val="9"/>
            <color indexed="81"/>
            <rFont val="Arial"/>
            <family val="2"/>
          </rPr>
          <t>Carry over from speadsheet Basic Data 
Surgical primary cases cell K34</t>
        </r>
      </text>
    </comment>
    <comment ref="O62" authorId="0" shapeId="0" xr:uid="{00000000-0006-0000-0900-00001F000000}">
      <text>
        <r>
          <rPr>
            <sz val="9"/>
            <color indexed="81"/>
            <rFont val="Arial"/>
            <family val="2"/>
          </rPr>
          <t>Carry over from speadsheet Basic Data Surgical primary cases cell K34</t>
        </r>
      </text>
    </comment>
    <comment ref="O65" authorId="0" shapeId="0" xr:uid="{00000000-0006-0000-0900-000020000000}">
      <text>
        <r>
          <rPr>
            <sz val="9"/>
            <color indexed="81"/>
            <rFont val="Arial"/>
            <family val="2"/>
          </rPr>
          <t>Carry over from the spreadsheet Basic Data Surgical primary cases cell K34</t>
        </r>
      </text>
    </comment>
    <comment ref="O68" authorId="0" shapeId="0" xr:uid="{00000000-0006-0000-0900-000021000000}">
      <text>
        <r>
          <rPr>
            <sz val="9"/>
            <color indexed="81"/>
            <rFont val="Arial"/>
            <family val="2"/>
          </rPr>
          <t>Carry over from the spreadsheet Basic data Operated primary cases stages IA-IIB cells B34 to E34</t>
        </r>
      </text>
    </comment>
    <comment ref="O71" authorId="0" shapeId="0" xr:uid="{00000000-0006-0000-0900-000022000000}">
      <text>
        <r>
          <rPr>
            <sz val="9"/>
            <color indexed="81"/>
            <rFont val="Arial"/>
            <family val="2"/>
          </rPr>
          <t>Carry over from the spreadsheet Basic data Operated primary cases stages IIIA-IIIB Cells F34 and G34</t>
        </r>
      </text>
    </comment>
    <comment ref="O73" authorId="0" shapeId="0" xr:uid="{00000000-0006-0000-0900-000023000000}">
      <text>
        <r>
          <rPr>
            <sz val="9"/>
            <color indexed="81"/>
            <rFont val="Arial"/>
            <family val="2"/>
          </rPr>
          <t>Carry over from the spreadsheet Expertise cells M23 to M26</t>
        </r>
      </text>
    </comment>
    <comment ref="C76" authorId="1" shapeId="0" xr:uid="{00000000-0006-0000-0900-000024000000}">
      <text>
        <r>
          <rPr>
            <sz val="9"/>
            <color indexed="81"/>
            <rFont val="Arial"/>
            <family val="2"/>
          </rPr>
          <t>For further explanations see FAQ.</t>
        </r>
      </text>
    </comment>
    <comment ref="C79" authorId="1" shapeId="0" xr:uid="{00000000-0006-0000-0900-000025000000}">
      <text>
        <r>
          <rPr>
            <sz val="9"/>
            <color indexed="81"/>
            <rFont val="Arial"/>
            <family val="2"/>
          </rPr>
          <t>For further explanations see FAQ.</t>
        </r>
      </text>
    </comment>
    <comment ref="O79" authorId="0" shapeId="0" xr:uid="{00000000-0006-0000-0900-000026000000}">
      <text>
        <r>
          <rPr>
            <sz val="9"/>
            <color indexed="81"/>
            <rFont val="Arial"/>
            <family val="2"/>
          </rPr>
          <t>Carry over from the preadsheet Expertise cells M27 to M30</t>
        </r>
      </text>
    </comment>
    <comment ref="C82" authorId="1" shapeId="0" xr:uid="{00000000-0006-0000-0900-000027000000}">
      <text>
        <r>
          <rPr>
            <sz val="9"/>
            <color indexed="81"/>
            <rFont val="Arial"/>
            <family val="2"/>
          </rPr>
          <t>For further explanations see FAQ.</t>
        </r>
      </text>
    </comment>
    <comment ref="O86" authorId="0" shapeId="0" xr:uid="{00000000-0006-0000-0900-000028000000}">
      <text>
        <r>
          <rPr>
            <sz val="9"/>
            <color indexed="81"/>
            <rFont val="Arial"/>
            <family val="2"/>
          </rPr>
          <t>Only cTNM relevant.</t>
        </r>
      </text>
    </comment>
    <comment ref="C106" authorId="1" shapeId="0" xr:uid="{00000000-0006-0000-0900-000029000000}">
      <text>
        <r>
          <rPr>
            <sz val="9"/>
            <color indexed="81"/>
            <rFont val="Arial"/>
            <family val="2"/>
          </rPr>
          <t>For further explanations see FAQ.</t>
        </r>
      </text>
    </comment>
    <comment ref="O110" authorId="5" shapeId="0" xr:uid="{00000000-0006-0000-0900-00002A000000}">
      <text>
        <r>
          <rPr>
            <sz val="9"/>
            <color indexed="81"/>
            <rFont val="Arial"/>
            <family val="2"/>
          </rPr>
          <t>Carry over from spreadsheet Basic Data Cells I33+J33+Number IN 1b</t>
        </r>
      </text>
    </comment>
    <comment ref="C112" authorId="1" shapeId="0" xr:uid="{00000000-0006-0000-0900-00002B000000}">
      <text>
        <r>
          <rPr>
            <sz val="9"/>
            <color indexed="81"/>
            <rFont val="Arial"/>
            <family val="2"/>
          </rPr>
          <t>For further explanations see FAQ.</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s>
  <commentList>
    <comment ref="A1" authorId="0" shapeId="0" xr:uid="{00000000-0006-0000-0B00-000001000000}">
      <text>
        <r>
          <rPr>
            <sz val="9"/>
            <color indexed="81"/>
            <rFont val="Arial"/>
            <family val="2"/>
          </rPr>
          <t>IN = Indicator</t>
        </r>
      </text>
    </comment>
    <comment ref="B1" authorId="0" shapeId="0" xr:uid="{00000000-0006-0000-0B00-000002000000}">
      <text>
        <r>
          <rPr>
            <sz val="9"/>
            <color indexed="81"/>
            <rFont val="Arial"/>
            <family val="2"/>
          </rPr>
          <t>CR = Catalogue of Requirements
GL QI = Guideline derived quality indicator</t>
        </r>
      </text>
    </comment>
    <comment ref="O1" authorId="0" shapeId="0" xr:uid="{00000000-0006-0000-0B00-000003000000}">
      <text>
        <r>
          <rPr>
            <sz val="9"/>
            <color indexed="81"/>
            <rFont val="Arial"/>
            <family val="2"/>
          </rPr>
          <t>IN = Indicator</t>
        </r>
      </text>
    </comment>
    <comment ref="P1" authorId="0" shapeId="0" xr:uid="{00000000-0006-0000-0B00-000004000000}">
      <text>
        <r>
          <rPr>
            <sz val="9"/>
            <color indexed="81"/>
            <rFont val="Arial"/>
            <family val="2"/>
          </rPr>
          <t>CR = Catalogue of Requirements
GL QI = Guideline derived quality indicator</t>
        </r>
      </text>
    </comment>
    <comment ref="C21" authorId="1" shapeId="0" xr:uid="{00000000-0006-0000-0B00-000005000000}">
      <text>
        <r>
          <rPr>
            <sz val="9"/>
            <color indexed="81"/>
            <rFont val="Arial"/>
            <family val="2"/>
          </rPr>
          <t>Screening instruments can be found in the S3 guideline Psychooncological Diagnosis, Counselling and Treatment of Adult Cancer Patients.</t>
        </r>
      </text>
    </comment>
    <comment ref="F21" authorId="1" shapeId="0" xr:uid="{00000000-0006-0000-0B00-000006000000}">
      <text>
        <r>
          <rPr>
            <sz val="9"/>
            <color indexed="81"/>
            <rFont val="Arial"/>
            <family val="2"/>
          </rPr>
          <t>Distress screening includes the use of a valid distress instrument (analogous to the S3 guideline Psychooncological Diagnosis, Counselling and Treatment of Adult Cancer Patients).</t>
        </r>
      </text>
    </comment>
    <comment ref="Q21" authorId="1" shapeId="0" xr:uid="{00000000-0006-0000-0B00-000007000000}">
      <text>
        <r>
          <rPr>
            <sz val="9"/>
            <color indexed="81"/>
            <rFont val="Arial"/>
            <family val="2"/>
          </rPr>
          <t>Screening instruments can be found in the S3 guideline Psycho-oncological diagnosis, counselling and treatment of adult cancer patients.</t>
        </r>
      </text>
    </comment>
    <comment ref="T21" authorId="1" shapeId="0" xr:uid="{00000000-0006-0000-0B00-000008000000}">
      <text>
        <r>
          <rPr>
            <sz val="9"/>
            <color indexed="81"/>
            <rFont val="Arial"/>
            <family val="2"/>
          </rPr>
          <t>Distress-screnning includes  the use of a valid distress instrument (analogous to the S3 guideline on psycho-oncological diagnosis, counselling and treatment of adult cancer patient).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E00-000001000000}">
      <text>
        <r>
          <rPr>
            <sz val="9"/>
            <color indexed="81"/>
            <rFont val="Arial"/>
            <family val="2"/>
          </rPr>
          <t>Übertrag erfolgt aus Tabellenblatt Basisdaten</t>
        </r>
      </text>
    </comment>
    <comment ref="C8" authorId="0" shapeId="0" xr:uid="{00000000-0006-0000-0E00-000002000000}">
      <text>
        <r>
          <rPr>
            <sz val="9"/>
            <color indexed="81"/>
            <rFont val="Arial"/>
            <family val="2"/>
          </rPr>
          <t>Übertrag erfolgt aus Tabellenblatt Basisdaten</t>
        </r>
      </text>
    </comment>
    <comment ref="J8" authorId="0" shapeId="0" xr:uid="{00000000-0006-0000-0E00-000003000000}">
      <text>
        <r>
          <rPr>
            <sz val="9"/>
            <color indexed="81"/>
            <rFont val="Arial"/>
            <family val="2"/>
          </rPr>
          <t>Übertrag erfolgt aus Tabellenblatt Basisdaten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OnkoZert</author>
    <author>OnkoZert - Orsolya Penzes</author>
  </authors>
  <commentList>
    <comment ref="E6" authorId="0" shapeId="0" xr:uid="{00000000-0006-0000-1000-000001000000}">
      <text>
        <r>
          <rPr>
            <sz val="9"/>
            <color indexed="81"/>
            <rFont val="Arial"/>
            <family val="2"/>
          </rPr>
          <t>Übertrag erfolgt aus Tabellenblatt Basisdaten</t>
        </r>
      </text>
    </comment>
    <comment ref="E8" authorId="0" shapeId="0" xr:uid="{00000000-0006-0000-1000-000002000000}">
      <text>
        <r>
          <rPr>
            <sz val="9"/>
            <color indexed="81"/>
            <rFont val="Arial"/>
            <family val="2"/>
          </rPr>
          <t>Übertrag erfolgt aus Tabellenblatt Basisdaten</t>
        </r>
      </text>
    </comment>
    <comment ref="Q8" authorId="0" shapeId="0" xr:uid="{00000000-0006-0000-1000-000003000000}">
      <text>
        <r>
          <rPr>
            <sz val="9"/>
            <color indexed="81"/>
            <rFont val="Arial"/>
            <family val="2"/>
          </rPr>
          <t>Übertrag erfolgt aus Tabellenblatt Basisdaten</t>
        </r>
      </text>
    </comment>
    <comment ref="B27" authorId="1" shapeId="0" xr:uid="{00000000-0006-0000-1000-000004000000}">
      <text>
        <r>
          <rPr>
            <sz val="9"/>
            <color indexed="81"/>
            <rFont val="Arial"/>
            <family val="2"/>
          </rPr>
          <t>Aufgrund der mit der neuen TNM-Klassifikation (8. Auflage 2017) einhergehenden Änderung der UICC-Stadien ist eine Angabe der Primärdiagnosen und Follow-Up-Meldungen für 2017 nicht erforderlich.</t>
        </r>
      </text>
    </comment>
    <comment ref="R31" authorId="0" shapeId="0" xr:uid="{00000000-0006-0000-1000-000005000000}">
      <text>
        <r>
          <rPr>
            <sz val="9"/>
            <color indexed="81"/>
            <rFont val="Arial"/>
            <family val="2"/>
          </rPr>
          <t>Voraussetzung REDZYK mind. 80,0%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1400-000001000000}">
      <text>
        <r>
          <rPr>
            <sz val="9"/>
            <color indexed="81"/>
            <rFont val="Arial"/>
            <family val="2"/>
          </rPr>
          <t>Übertrag erfolgt aus Tabellenblatt Basisdaten</t>
        </r>
      </text>
    </comment>
    <comment ref="C8" authorId="0" shapeId="0" xr:uid="{00000000-0006-0000-1400-000002000000}">
      <text>
        <r>
          <rPr>
            <sz val="9"/>
            <color indexed="81"/>
            <rFont val="Arial"/>
            <family val="2"/>
          </rPr>
          <t>Übertrag erfolgt aus Tabellenblatt Basisdaten</t>
        </r>
      </text>
    </comment>
    <comment ref="F8" authorId="0" shapeId="0" xr:uid="{00000000-0006-0000-1400-000003000000}">
      <text>
        <r>
          <rPr>
            <sz val="9"/>
            <color indexed="81"/>
            <rFont val="Arial"/>
            <family val="2"/>
          </rPr>
          <t>Übertrag erfolgt aus Tabellenblatt Basisdaten</t>
        </r>
      </text>
    </comment>
    <comment ref="B17" authorId="0" shapeId="0" xr:uid="{00000000-0006-0000-1400-000004000000}">
      <text>
        <r>
          <rPr>
            <sz val="9"/>
            <color indexed="81"/>
            <rFont val="Arial"/>
            <family val="2"/>
          </rPr>
          <t>Weitere Erläuterungen siehe Tabellenblatt "Matrix - Tabelle Plausibilitätsabfragen"</t>
        </r>
      </text>
    </comment>
  </commentList>
</comments>
</file>

<file path=xl/sharedStrings.xml><?xml version="1.0" encoding="utf-8"?>
<sst xmlns="http://schemas.openxmlformats.org/spreadsheetml/2006/main" count="2010" uniqueCount="1105">
  <si>
    <t>Texte i.O.</t>
  </si>
  <si>
    <t>Texte Matrix Datenquali</t>
  </si>
  <si>
    <t>Fehlermeldungen Matrix</t>
  </si>
  <si>
    <t>nicht relevant</t>
  </si>
  <si>
    <t>Tumordoku. liegt größtenteils beim Krebsregister</t>
  </si>
  <si>
    <t>Bei den „hellrot“ hinterlegten Feldern liegt eine Falscheingabe vor, diese ist zu korrigieren.</t>
  </si>
  <si>
    <t>B</t>
  </si>
  <si>
    <t>Anzahl Pat. Im Follow-Up zu hoch.</t>
  </si>
  <si>
    <t>Zahlen müssen manuell eingegeben werden, diese dürfen nicht kopiert werden.</t>
  </si>
  <si>
    <t>Bedingung Wert</t>
  </si>
  <si>
    <t>leere Zellen</t>
  </si>
  <si>
    <t>Datenqualität
1), 2), 3)</t>
  </si>
  <si>
    <t>OAS nach Kaplan-Meier    
(Overall Survival) in %</t>
  </si>
  <si>
    <t>die inkorrekten und unvollständigen Einträge beheben</t>
  </si>
  <si>
    <t>Zellen müssen nicht ausgefüllt werden</t>
  </si>
  <si>
    <t>Nr.</t>
  </si>
  <si>
    <t>Sollvorgabe</t>
  </si>
  <si>
    <t>Nenner</t>
  </si>
  <si>
    <t>%</t>
  </si>
  <si>
    <t>Primärfälle</t>
  </si>
  <si>
    <t>Sollvorgabe nicht erfüllt</t>
  </si>
  <si>
    <t>C</t>
  </si>
  <si>
    <t>D</t>
  </si>
  <si>
    <t>E</t>
  </si>
  <si>
    <t>F</t>
  </si>
  <si>
    <t>G</t>
  </si>
  <si>
    <t>I</t>
  </si>
  <si>
    <t>O</t>
  </si>
  <si>
    <t>P</t>
  </si>
  <si>
    <t>T</t>
  </si>
  <si>
    <t>U</t>
  </si>
  <si>
    <t>V</t>
  </si>
  <si>
    <t>W</t>
  </si>
  <si>
    <t>Z</t>
  </si>
  <si>
    <t>Jahr der Erstdiagnose</t>
  </si>
  <si>
    <t>DFS nach Kaplan-Meier
(Disease Free Survival) in %</t>
  </si>
  <si>
    <t>Quote</t>
  </si>
  <si>
    <t>Reg.-Nr.</t>
  </si>
  <si>
    <t>Bundesland</t>
  </si>
  <si>
    <t>Thüringen</t>
  </si>
  <si>
    <t>Tumorzentrum Erfurt</t>
  </si>
  <si>
    <t>Comprehensive Cancer Center Freiburg</t>
  </si>
  <si>
    <t>Comprehensive Cancer Center Münster</t>
  </si>
  <si>
    <t>Comprehensive Cancer Center Tübingen</t>
  </si>
  <si>
    <t>Comprehensive Cancer Center Ulm</t>
  </si>
  <si>
    <t>Kassenärztliche Vereinigung Niedersachsen</t>
  </si>
  <si>
    <t>NCT Heidelberg</t>
  </si>
  <si>
    <t>Onkol. Schwerpunkt Lörrach-Rheinfelden</t>
  </si>
  <si>
    <t>Onkol. Schwerpunkt Ludwigsburg-Bietigheim</t>
  </si>
  <si>
    <t>Onkol. Schwerpunkt Villingen-Schwenningen</t>
  </si>
  <si>
    <t>Onkologischer Schwerpunkt Göppingen</t>
  </si>
  <si>
    <t>Onkologischer Schwerpunkt Hamm</t>
  </si>
  <si>
    <t>Onkologischer Schwerpunkt Heilbronn</t>
  </si>
  <si>
    <t>Onkologischer Schwerpunkt Karlsruhe</t>
  </si>
  <si>
    <t>Onkologischer Schwerpunkt Konstanz-Singen</t>
  </si>
  <si>
    <t>Onkologischer Schwerpunkt Oberschwaben</t>
  </si>
  <si>
    <t>Onkologischer Schwerpunkt Ortenaukreis</t>
  </si>
  <si>
    <t>Onkologischer Schwerpunkt Ostwürttemberg</t>
  </si>
  <si>
    <t>Onkologischer Schwerpunkt Reutlingen</t>
  </si>
  <si>
    <t>Onkologischer Schwerpunkt Stuttgart</t>
  </si>
  <si>
    <t>Onkologischer Schwerpunkt Wiesbaden</t>
  </si>
  <si>
    <t>Tumorzentrum Anhalt</t>
  </si>
  <si>
    <t>Tumorzentrum Augsburg</t>
  </si>
  <si>
    <t>Tumorzentrum Erlangen-Nürnberg</t>
  </si>
  <si>
    <t>Tumorzentrum Gera</t>
  </si>
  <si>
    <t>Tumorzentrum Göttingen</t>
  </si>
  <si>
    <t>Tumorzentrum Halle</t>
  </si>
  <si>
    <t>Tumorzentrum Hannover</t>
  </si>
  <si>
    <t>Tumorzentrum Homburg</t>
  </si>
  <si>
    <t>Tumorzentrum Jena</t>
  </si>
  <si>
    <t>Tumorzentrum Kassel</t>
  </si>
  <si>
    <t>Tumorzentrum Kiel</t>
  </si>
  <si>
    <t>Tumorzentrum Koblenz</t>
  </si>
  <si>
    <t>Tumorzentrum Leipzig</t>
  </si>
  <si>
    <t>Tumorzentrum Magdeburg</t>
  </si>
  <si>
    <t>Tumorzentrum Marburg</t>
  </si>
  <si>
    <t>Tumorzentrum München</t>
  </si>
  <si>
    <t>Tumorzentrum Regensburg</t>
  </si>
  <si>
    <t>Tumorzentrum Rheinland-Pfalz</t>
  </si>
  <si>
    <t>Tumorzentrum Rostock</t>
  </si>
  <si>
    <t>Tumorzentrum Schwerin</t>
  </si>
  <si>
    <t>Tumorzentrum Südharz</t>
  </si>
  <si>
    <t>Tumorzentrum Suhl</t>
  </si>
  <si>
    <t>Tumorzentrum Würzburg</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</si>
  <si>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</si>
  <si>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</si>
  <si>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</si>
  <si>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</si>
  <si>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</si>
  <si>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</si>
  <si>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</si>
  <si>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</si>
  <si>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</si>
  <si>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</si>
  <si>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</si>
  <si>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</si>
  <si>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</si>
  <si>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</si>
  <si>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</si>
  <si>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</si>
  <si>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</si>
  <si>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</si>
  <si>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</si>
  <si>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</si>
  <si>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Aktion</t>
  </si>
  <si>
    <t>ID</t>
  </si>
  <si>
    <t>HID</t>
  </si>
  <si>
    <t>EingeleiteteAktionen</t>
  </si>
  <si>
    <t>Aktionen</t>
  </si>
  <si>
    <t>vID</t>
  </si>
  <si>
    <t>Zaehler</t>
  </si>
  <si>
    <t>Nr</t>
  </si>
  <si>
    <t>FormularID</t>
  </si>
  <si>
    <t>ErlaeuterungDatendefizit</t>
  </si>
  <si>
    <t>R</t>
  </si>
  <si>
    <t>% Angabe</t>
  </si>
  <si>
    <t>GKR (Gemeinsames Krebsregister der Länder)</t>
  </si>
  <si>
    <t>Epidemiologisches Krebsregister Baden-Württemberg</t>
  </si>
  <si>
    <t>Krebsregister Baden-Württemberg</t>
  </si>
  <si>
    <t>Bevölkerungsbezogenes Krebsregister Bayern</t>
  </si>
  <si>
    <t>Tumorzentrum Oberfranken</t>
  </si>
  <si>
    <t>Charité Comprehensive Cancer Center</t>
  </si>
  <si>
    <t>Tumorzentrum Berlin-Buch</t>
  </si>
  <si>
    <t>Tumorzentrum für Klinik &amp; Praxis in Berlin</t>
  </si>
  <si>
    <t>Tumorzentrum Spandau</t>
  </si>
  <si>
    <t>Tumorzentrum Vivantes</t>
  </si>
  <si>
    <t>Gemeinsames Krebsregister Berlin-Brandenburg</t>
  </si>
  <si>
    <t>Tumorzentrum Land Brandenburg</t>
  </si>
  <si>
    <t>Krebsregister des Landes Bremen</t>
  </si>
  <si>
    <t>Hamburgisches Krebsregister</t>
  </si>
  <si>
    <t>Hessisches Krebsregister</t>
  </si>
  <si>
    <t>Krebsregister Hessen</t>
  </si>
  <si>
    <t>Tumorzentrum Neubrandenburg</t>
  </si>
  <si>
    <t>Tumorzentrum Vorpommern</t>
  </si>
  <si>
    <t>Epidemiologisches Krebsregister Niedersachsen</t>
  </si>
  <si>
    <t>Krebsregister Niedersachsen</t>
  </si>
  <si>
    <t>Westdeutsches Tumorzentrum Essen</t>
  </si>
  <si>
    <t xml:space="preserve">Epidemiologisches Krebsregister Münster </t>
  </si>
  <si>
    <t>Epidemiologisches Krebsregister NRW</t>
  </si>
  <si>
    <t>Krebsregister NRW</t>
  </si>
  <si>
    <t>Krebsregister Rheinland-Pfalz</t>
  </si>
  <si>
    <t>Epidemiologisches Krebsregister Saarland</t>
  </si>
  <si>
    <t>Tumorzentrum Chemnitz</t>
  </si>
  <si>
    <t>Tumorzentrum Dresden</t>
  </si>
  <si>
    <t>Tumorzentrum Zwickau</t>
  </si>
  <si>
    <t>klinisches Krebsregister Schleswig Holstein/Lübeck</t>
  </si>
  <si>
    <t>Krebsregister Schleswig-Holstein</t>
  </si>
  <si>
    <t>Tumorzentrum Altenburg</t>
  </si>
  <si>
    <t>Italien</t>
  </si>
  <si>
    <t>Ja</t>
  </si>
  <si>
    <t>Nein</t>
  </si>
  <si>
    <t>Tabelle Plausibilitätsabfragen:</t>
  </si>
  <si>
    <t>Bearbeitungshinweise:</t>
  </si>
  <si>
    <t>Kennzahlenbogen</t>
  </si>
  <si>
    <t>Erstelldatum</t>
  </si>
  <si>
    <t>Plausibilität unklar</t>
  </si>
  <si>
    <t xml:space="preserve">Reg.-Nr. </t>
  </si>
  <si>
    <t>Erstzertifizierung</t>
  </si>
  <si>
    <t>J</t>
  </si>
  <si>
    <t>L</t>
  </si>
  <si>
    <t>Follow-Up-Meldungen</t>
  </si>
  <si>
    <t>Pflicht Berechnung</t>
  </si>
  <si>
    <t>Optional Berechnung</t>
  </si>
  <si>
    <t>In Ordnung</t>
  </si>
  <si>
    <t>Inkorrekt</t>
  </si>
  <si>
    <t>Unvollständig</t>
  </si>
  <si>
    <t>kein Eintrag</t>
  </si>
  <si>
    <t>n.d.</t>
  </si>
  <si>
    <t>DFS</t>
  </si>
  <si>
    <t>inkorrekt</t>
  </si>
  <si>
    <t>Anzahl/Quote</t>
  </si>
  <si>
    <t xml:space="preserve"> &lt;= Sollv. nicht erfüllt</t>
  </si>
  <si>
    <t xml:space="preserve"> &gt;= Sollv. nicht erfüllt</t>
  </si>
  <si>
    <t>&gt;</t>
  </si>
  <si>
    <t>&lt;</t>
  </si>
  <si>
    <t xml:space="preserve"> &lt; Plausi ?</t>
  </si>
  <si>
    <t xml:space="preserve"> &gt; Plausi ?</t>
  </si>
  <si>
    <t>Relative Quote tumorfrei</t>
  </si>
  <si>
    <t>Matrix</t>
  </si>
  <si>
    <t>Datenqualtiät</t>
  </si>
  <si>
    <t>Kalenderjahr 
(Erstdiagnose)</t>
  </si>
  <si>
    <t xml:space="preserve">nur Prozentwerte können eingegeben werden </t>
  </si>
  <si>
    <t>zu geringe Anzahl der Primärfälle</t>
  </si>
  <si>
    <t>zu viele Patientinnen im Follow-Up</t>
  </si>
  <si>
    <t xml:space="preserve">Fehler bei Ereignisse </t>
  </si>
  <si>
    <t>wenn sich Minuswerte berechnen</t>
  </si>
  <si>
    <t>untere Grenze</t>
  </si>
  <si>
    <t>obere Grenze</t>
  </si>
  <si>
    <t>Werte</t>
  </si>
  <si>
    <t>von</t>
  </si>
  <si>
    <t>ART</t>
  </si>
  <si>
    <t>plausi</t>
  </si>
  <si>
    <t>sollvorgabe</t>
  </si>
  <si>
    <t>unvollständig</t>
  </si>
  <si>
    <t>Liste zum Übertragen</t>
  </si>
  <si>
    <t>Kalenderjahr(e) 
(Erstdiagnose)</t>
  </si>
  <si>
    <t>Länge</t>
  </si>
  <si>
    <t>&gt; FU</t>
  </si>
  <si>
    <t>negativ</t>
  </si>
  <si>
    <t>Anzahl P.</t>
  </si>
  <si>
    <t>&lt; FU</t>
  </si>
  <si>
    <t>rQ tumorfrei</t>
  </si>
  <si>
    <t>Datum Erstzertifizierung</t>
  </si>
  <si>
    <t>Anmerkungen:</t>
  </si>
  <si>
    <t>In dieser Excel-Vorlage sind die nachfolgend skizzierten Plausibilitätsabfragen hinterlegt.</t>
  </si>
  <si>
    <t>Ein Anspruch auf Vollständigkeit besteht nicht.</t>
  </si>
  <si>
    <t>auffällig niedrige Quote tumorfreier Patienten</t>
  </si>
  <si>
    <t>zu wenig Primärfälle angegeben</t>
  </si>
  <si>
    <t>A</t>
  </si>
  <si>
    <t>Erläuterung</t>
  </si>
  <si>
    <t>relevant</t>
  </si>
  <si>
    <t>DFS auffällig niedrig oder hoch</t>
  </si>
  <si>
    <t>OAS auffällig niedrig oder hoch</t>
  </si>
  <si>
    <t>Zentrum</t>
  </si>
  <si>
    <t>a)</t>
  </si>
  <si>
    <t>b)</t>
  </si>
  <si>
    <t>c)</t>
  </si>
  <si>
    <t>d)</t>
  </si>
  <si>
    <t>e)</t>
  </si>
  <si>
    <t>Einrichtung 1</t>
  </si>
  <si>
    <t>f)</t>
  </si>
  <si>
    <t>Angaben Primärdiagnose</t>
  </si>
  <si>
    <t>S</t>
  </si>
  <si>
    <t>Anzahl Primärpatienten</t>
  </si>
  <si>
    <t>zu viele Pat im Follow-Up</t>
  </si>
  <si>
    <t>-----</t>
  </si>
  <si>
    <t>Kennzahldefinition</t>
  </si>
  <si>
    <t>Tumordokumentation</t>
  </si>
  <si>
    <t>------</t>
  </si>
  <si>
    <t>IA</t>
  </si>
  <si>
    <t>IB</t>
  </si>
  <si>
    <t>IIA</t>
  </si>
  <si>
    <t>IIB</t>
  </si>
  <si>
    <t>IIIA</t>
  </si>
  <si>
    <t>IIIB</t>
  </si>
  <si>
    <t>2a</t>
  </si>
  <si>
    <t>2b</t>
  </si>
  <si>
    <t>1.2.1</t>
  </si>
  <si>
    <t>1.2.5</t>
  </si>
  <si>
    <t>1.2.6</t>
  </si>
  <si>
    <t>1.7.5</t>
  </si>
  <si>
    <t>2.2.3</t>
  </si>
  <si>
    <t>5.2.2</t>
  </si>
  <si>
    <t>5.2.5</t>
  </si>
  <si>
    <t xml:space="preserve">   nach der Primärtherapie tumorfreien Patienten berücksichtigt.</t>
  </si>
  <si>
    <t>Spalte C</t>
  </si>
  <si>
    <t>H</t>
  </si>
  <si>
    <t>N</t>
  </si>
  <si>
    <t>X</t>
  </si>
  <si>
    <t>CARAT</t>
  </si>
  <si>
    <t>CREDOS</t>
  </si>
  <si>
    <t>GTDS</t>
  </si>
  <si>
    <t>KIS-Erweiterung</t>
  </si>
  <si>
    <t>T2a-N0-M0</t>
  </si>
  <si>
    <t>Keine Zusammenarbeit</t>
  </si>
  <si>
    <t>Geringe / punktuelle Zusammenarbeit</t>
  </si>
  <si>
    <t>Intensive / regelmäßige Zusammenarbeit</t>
  </si>
  <si>
    <t>≥ 500</t>
  </si>
  <si>
    <t>≥ 90%</t>
  </si>
  <si>
    <t>≥ 95%</t>
  </si>
  <si>
    <t>≥ 85%</t>
  </si>
  <si>
    <t>Nicht tumorbedingt gestorben bzw. Todesursache unbekannt</t>
  </si>
  <si>
    <t>S &lt; 60%</t>
  </si>
  <si>
    <t>Nachsorgejahr "relevant" (Spalte A) =&gt; Sämtliche „hellgrau“ hinterlegte Felder sollten vollständig bearbeitet werden; dies gilt auch für Nullwerte (=0).</t>
  </si>
  <si>
    <t>≥ 75</t>
  </si>
  <si>
    <t>≥ 200</t>
  </si>
  <si>
    <t>≥ 50</t>
  </si>
  <si>
    <t>&gt; 70%</t>
  </si>
  <si>
    <t>&lt; 0,01%</t>
  </si>
  <si>
    <t>Tumorbedingt gestorben 
(bezüglich jeder Tumorentität)</t>
  </si>
  <si>
    <t>Relative Quote tumorfrei 
= R / (M + N)</t>
  </si>
  <si>
    <t>Follow-Up Quote in %
= (M + N) / L</t>
  </si>
  <si>
    <t>Auffällig niedrige Quote tumorfreier Patienten</t>
  </si>
  <si>
    <t>Geringe Follow-Up Quote der Nachsorgejahre</t>
  </si>
  <si>
    <t>Kennzahlenbogen - Analyseprotokoll Datendefizite Lunge</t>
  </si>
  <si>
    <t>&gt; 90%</t>
  </si>
  <si>
    <t>Nicht gelistet</t>
  </si>
  <si>
    <t>Keine Anbindung an Klinisches Krebsregister</t>
  </si>
  <si>
    <t>Unbekannt</t>
  </si>
  <si>
    <t>≤ 5%</t>
  </si>
  <si>
    <t>relevante Nachsorgejahre nicht/unvollständig bearbeitet</t>
  </si>
  <si>
    <t>Nur Prozentwerte zwischen 0% und 100% können verwendet werden.</t>
  </si>
  <si>
    <t>x &lt; 30% || x &gt; 70%</t>
  </si>
  <si>
    <t>x &lt; 30% || x &gt; 60%</t>
  </si>
  <si>
    <t>x &lt; 20% || x &gt; 50%</t>
  </si>
  <si>
    <t>Zahlen in Spalte R dürfen keine negativen Werte annehmen</t>
  </si>
  <si>
    <t>----</t>
  </si>
  <si>
    <t>geringe Follow-Up Quote der Nachsorgejahre</t>
  </si>
  <si>
    <t>nicht geprüft</t>
  </si>
  <si>
    <t>Nicht ausgefüllte Zellen von relevanten Nachsorgejahren</t>
  </si>
  <si>
    <t>Alle relevanten Nachsorgejahre sind zu bearbeiten, abhängig vom Datum der Erstzertifizierung</t>
  </si>
  <si>
    <t>Von Seiten des Fachexperten können weitere Unplausibilitäten bzw. Inkorrektheiten identifiziert und im Rahmen des Auditergebnisses dargestellt werden.</t>
  </si>
  <si>
    <t>Basisdatenblatt</t>
  </si>
  <si>
    <t>Datenqualität Matrix</t>
  </si>
  <si>
    <t xml:space="preserve">Für Lungenkrebszentren ist die Matrix Ergebnisqualität obligat zu bearbeiten. </t>
  </si>
  <si>
    <t>Für die Bewertung der Matrix gelten folgende Regelungen:</t>
  </si>
  <si>
    <t>Matrix - Analyseprotokoll Datendefizite Lunge</t>
  </si>
  <si>
    <t>C &lt; 150</t>
  </si>
  <si>
    <t>geringe Follow-Up Quote</t>
  </si>
  <si>
    <t>durchschnittliche Follow-Up Quote &gt; 95%</t>
  </si>
  <si>
    <t>Anzahl Primärpatienten in der Matrix größer als  Primärfälle Basisdaten</t>
  </si>
  <si>
    <t>Aus KB übertragen</t>
  </si>
  <si>
    <t>Anzahl Primärpatiente  größer als im KB</t>
  </si>
  <si>
    <t>Tumordokumentationssystem</t>
  </si>
  <si>
    <t>Matrix kann eingereicht werden</t>
  </si>
  <si>
    <t>Zähler / Anzahl</t>
  </si>
  <si>
    <t>Begründung / Ursache</t>
  </si>
  <si>
    <t>Eingeleitete / geplante Aktionen</t>
  </si>
  <si>
    <t>Spalte / Zelle</t>
  </si>
  <si>
    <t>Erläuterung hinsichtlich Datendefizit
Begründung / Ursachenanalyse / Aktionen</t>
  </si>
  <si>
    <t>„Hellgrün“ hinterlegte Felder weisen auf Unplausibilitäten hin. Diese Werte sind zu analysieren und das Ergebnis ist auf dem Folgeblatt „Datendefizite_Matrix“ darzulegen.</t>
  </si>
  <si>
    <t>Ansprechpartner</t>
  </si>
  <si>
    <t>Matrix - Ergebnisqualität Primärbehandlung Lunge</t>
  </si>
  <si>
    <t>Plausi unklar</t>
  </si>
  <si>
    <t>Achieva</t>
  </si>
  <si>
    <t>Achiever Medical System</t>
  </si>
  <si>
    <t>c37.CancerCenter</t>
  </si>
  <si>
    <t>H.I.T.</t>
  </si>
  <si>
    <t>IndivuNET</t>
  </si>
  <si>
    <t>KRAZTUR</t>
  </si>
  <si>
    <t>Medbrix</t>
  </si>
  <si>
    <t>MR-TU-DO</t>
  </si>
  <si>
    <t>NUK</t>
  </si>
  <si>
    <t>Oncolution</t>
  </si>
  <si>
    <t>onkodok (XAXOA)</t>
  </si>
  <si>
    <t>OnkoManager</t>
  </si>
  <si>
    <t>Onkomedia</t>
  </si>
  <si>
    <t>OnkoNet</t>
  </si>
  <si>
    <t>online Dokumentation IDZB</t>
  </si>
  <si>
    <t>Tudok (Tumorzentrum Regensburg)</t>
  </si>
  <si>
    <t>Tumorzentrum Ostsachsen</t>
  </si>
  <si>
    <t>Tumorzentrum Weser-Ems</t>
  </si>
  <si>
    <t>Allgemeine Feststellungen</t>
  </si>
  <si>
    <t>Allgemeine Hinweise</t>
  </si>
  <si>
    <t>Allgemeine Abweichungen</t>
  </si>
  <si>
    <t>Feststellung</t>
  </si>
  <si>
    <t>Hinweis</t>
  </si>
  <si>
    <t>Abweichung</t>
  </si>
  <si>
    <t>ID_intern</t>
  </si>
  <si>
    <t>Erläuterung hinsichtlich Datendefizit</t>
  </si>
  <si>
    <t>ID:a</t>
  </si>
  <si>
    <t>ID:b</t>
  </si>
  <si>
    <t>ID:c</t>
  </si>
  <si>
    <t>ID: g</t>
  </si>
  <si>
    <t>ID: h</t>
  </si>
  <si>
    <t>ID: i</t>
  </si>
  <si>
    <t>ID: j</t>
  </si>
  <si>
    <t>Plausibilität unklar; durchschnittliche Follow-Up Quote &gt; 95%; ID: f</t>
  </si>
  <si>
    <t>Unvolltändig</t>
  </si>
  <si>
    <t>Sollvorgabe 
durschnittliche FU</t>
  </si>
  <si>
    <t>Plausi unklar 
durschnittliche FU</t>
  </si>
  <si>
    <t>ID: e</t>
  </si>
  <si>
    <t>Plausibilität unklar; Anzahl Primärpatienten in der Matrix größer als  Primärfälle Basisdaten ; ID: k</t>
  </si>
  <si>
    <t>Datenverifizierung_ID</t>
  </si>
  <si>
    <t>Bewertung Ausschuss</t>
  </si>
  <si>
    <t>Anmerkung OnkoZert</t>
  </si>
  <si>
    <t>Datenqualität gesamt</t>
  </si>
  <si>
    <t>Jahre</t>
  </si>
  <si>
    <t>Jahr</t>
  </si>
  <si>
    <t xml:space="preserve">Jahr </t>
  </si>
  <si>
    <t>QuaDoSta</t>
  </si>
  <si>
    <t>Österreich</t>
  </si>
  <si>
    <t>OncoBox</t>
  </si>
  <si>
    <t>KN NR.</t>
  </si>
  <si>
    <t>Für Übertragung in Datendefizite_KB:</t>
  </si>
  <si>
    <t>Alle KN leer:</t>
  </si>
  <si>
    <t>ixserv.4</t>
  </si>
  <si>
    <t>Heartsoft Tumordatenbank</t>
  </si>
  <si>
    <t>Unvollständige Jahre</t>
  </si>
  <si>
    <t>KN</t>
  </si>
  <si>
    <t xml:space="preserve">   Die Auswertungen der Kaplan-Meier-Kurven beziehen sich beim OAS auf die entsprechende Jahreskohorte ohne die in der Fußnote 2 genannten Patientengruppen. Beim DFS werden nur die </t>
  </si>
  <si>
    <t>ambucare</t>
  </si>
  <si>
    <t>em.net</t>
  </si>
  <si>
    <t>FileTuDo</t>
  </si>
  <si>
    <t>ORBIS-ODOK</t>
  </si>
  <si>
    <t>ONKOSTAR</t>
  </si>
  <si>
    <t>ONDIS</t>
  </si>
  <si>
    <t>SMATOS</t>
  </si>
  <si>
    <t>Tumordokumentation des Instituts für Krebsepidemiologie</t>
  </si>
  <si>
    <t>KR7</t>
  </si>
  <si>
    <t>Krebsregister Schweiz</t>
  </si>
  <si>
    <t>Krebsregister Österreich</t>
  </si>
  <si>
    <t>XML-OncoBox</t>
  </si>
  <si>
    <t>Krebsregister Italien</t>
  </si>
  <si>
    <t>durchschnittliche Follow-Up Quote &lt; 80%</t>
  </si>
  <si>
    <t>Sollvorgabe nicht erfüllt; durchschnittliche Follow-Up Quote &lt; 80%; ID: d</t>
  </si>
  <si>
    <t>UCC-TDS (Tumorzentrum Dresden)</t>
  </si>
  <si>
    <t>Krebsregister gemäß KFRG noch nicht benannt</t>
  </si>
  <si>
    <t>geringe Follow-Up Quote der letzten 2-4 Jahre</t>
  </si>
  <si>
    <t>zu hohe Follow-Up Quote der letzten 2-4 Jahre</t>
  </si>
  <si>
    <t xml:space="preserve"> ≥ 90%</t>
  </si>
  <si>
    <t xml:space="preserve"> ≥ 5%</t>
  </si>
  <si>
    <t>&lt; 15%</t>
  </si>
  <si>
    <t>≥ 10</t>
  </si>
  <si>
    <t>Fälle Lungenkarzinom</t>
  </si>
  <si>
    <t>Operative Expertise - Anzahl anatomische Resektionen</t>
  </si>
  <si>
    <t>Operative Primärfälle anatomische Lungenresektionen</t>
  </si>
  <si>
    <t>Nicht operative Primärfälle</t>
  </si>
  <si>
    <t>Zusammenarbeit mit KFRG-Krebsregister</t>
  </si>
  <si>
    <r>
      <t>Follow-Up-Daten vom Krebsregister</t>
    </r>
    <r>
      <rPr>
        <vertAlign val="superscript"/>
        <sz val="8"/>
        <rFont val="Arial"/>
        <family val="2"/>
      </rPr>
      <t xml:space="preserve">   2) 3) 4) 5)</t>
    </r>
  </si>
  <si>
    <r>
      <t xml:space="preserve">Patienten „im Follow-Up“
(aus Grundgesamtheit Primärpat.)   </t>
    </r>
    <r>
      <rPr>
        <vertAlign val="superscript"/>
        <sz val="8"/>
        <rFont val="Arial"/>
        <family val="2"/>
      </rPr>
      <t>2)</t>
    </r>
  </si>
  <si>
    <r>
      <t xml:space="preserve">Keine Rückmeldung  </t>
    </r>
    <r>
      <rPr>
        <vertAlign val="superscript"/>
        <sz val="8"/>
        <rFont val="Arial"/>
        <family val="2"/>
      </rPr>
      <t>2)</t>
    </r>
  </si>
  <si>
    <r>
      <t>Follow-Up-Daten vom Zentrum 
(bzw. Quelle nicht bekannt)</t>
    </r>
    <r>
      <rPr>
        <vertAlign val="superscript"/>
        <sz val="8"/>
        <rFont val="Arial"/>
        <family val="2"/>
      </rPr>
      <t xml:space="preserve"> 2) 3)</t>
    </r>
  </si>
  <si>
    <r>
      <t xml:space="preserve">Patienten tumorfrei  </t>
    </r>
    <r>
      <rPr>
        <vertAlign val="superscript"/>
        <sz val="8"/>
        <rFont val="Arial"/>
        <family val="2"/>
      </rPr>
      <t xml:space="preserve">6)
</t>
    </r>
    <r>
      <rPr>
        <sz val="8"/>
        <rFont val="Arial"/>
        <family val="2"/>
      </rPr>
      <t>- ohne Ereignis -</t>
    </r>
  </si>
  <si>
    <r>
      <t xml:space="preserve">Patienten  tumorfrei  </t>
    </r>
    <r>
      <rPr>
        <vertAlign val="superscript"/>
        <sz val="8"/>
        <rFont val="Arial"/>
        <family val="2"/>
      </rPr>
      <t xml:space="preserve">6)
</t>
    </r>
    <r>
      <rPr>
        <sz val="8"/>
        <rFont val="Arial"/>
        <family val="2"/>
      </rPr>
      <t>- mit Ereignis (Rezidive, Fernmetastasen) -</t>
    </r>
  </si>
  <si>
    <r>
      <t xml:space="preserve">Patienten nicht tumorfrei  </t>
    </r>
    <r>
      <rPr>
        <vertAlign val="superscript"/>
        <sz val="8"/>
        <rFont val="Arial"/>
        <family val="2"/>
      </rPr>
      <t xml:space="preserve">6)
</t>
    </r>
    <r>
      <rPr>
        <sz val="8"/>
        <rFont val="Arial"/>
        <family val="2"/>
      </rPr>
      <t>- ohne Progress -</t>
    </r>
  </si>
  <si>
    <r>
      <t xml:space="preserve">Patienten nicht tumorfrei  </t>
    </r>
    <r>
      <rPr>
        <vertAlign val="superscript"/>
        <sz val="8"/>
        <rFont val="Arial"/>
        <family val="2"/>
      </rPr>
      <t>6)</t>
    </r>
    <r>
      <rPr>
        <sz val="8"/>
        <rFont val="Arial"/>
        <family val="2"/>
      </rPr>
      <t xml:space="preserve">
- mit Progress u. / o. mit Fernmetastasen -</t>
    </r>
  </si>
  <si>
    <r>
      <t xml:space="preserve">Auswertungen </t>
    </r>
    <r>
      <rPr>
        <vertAlign val="superscript"/>
        <sz val="8"/>
        <rFont val="Arial"/>
        <family val="2"/>
      </rPr>
      <t>7)</t>
    </r>
  </si>
  <si>
    <r>
      <t xml:space="preserve">UICC IA  </t>
    </r>
    <r>
      <rPr>
        <vertAlign val="superscript"/>
        <sz val="8"/>
        <rFont val="Arial"/>
        <family val="2"/>
      </rPr>
      <t>1)</t>
    </r>
    <r>
      <rPr>
        <sz val="8"/>
        <rFont val="Arial"/>
        <family val="2"/>
      </rPr>
      <t xml:space="preserve"> </t>
    </r>
  </si>
  <si>
    <r>
      <t xml:space="preserve">UICC IB  </t>
    </r>
    <r>
      <rPr>
        <vertAlign val="superscript"/>
        <sz val="8"/>
        <rFont val="Arial"/>
        <family val="2"/>
      </rPr>
      <t>1)</t>
    </r>
    <r>
      <rPr>
        <sz val="8"/>
        <rFont val="Arial"/>
        <family val="2"/>
      </rPr>
      <t xml:space="preserve"> </t>
    </r>
  </si>
  <si>
    <r>
      <t xml:space="preserve">UICC IIA   </t>
    </r>
    <r>
      <rPr>
        <vertAlign val="superscript"/>
        <sz val="8"/>
        <rFont val="Arial"/>
        <family val="2"/>
      </rPr>
      <t>1)</t>
    </r>
    <r>
      <rPr>
        <sz val="8"/>
        <rFont val="Arial"/>
        <family val="2"/>
      </rPr>
      <t xml:space="preserve"> </t>
    </r>
  </si>
  <si>
    <r>
      <t xml:space="preserve">UICC IIB   </t>
    </r>
    <r>
      <rPr>
        <vertAlign val="superscript"/>
        <sz val="8"/>
        <rFont val="Arial"/>
        <family val="2"/>
      </rPr>
      <t>1)</t>
    </r>
    <r>
      <rPr>
        <sz val="8"/>
        <rFont val="Arial"/>
        <family val="2"/>
      </rPr>
      <t xml:space="preserve"> </t>
    </r>
  </si>
  <si>
    <r>
      <t xml:space="preserve">UICC IIIA   </t>
    </r>
    <r>
      <rPr>
        <vertAlign val="superscript"/>
        <sz val="8"/>
        <rFont val="Arial"/>
        <family val="2"/>
      </rPr>
      <t>1)</t>
    </r>
    <r>
      <rPr>
        <sz val="8"/>
        <rFont val="Arial"/>
        <family val="2"/>
      </rPr>
      <t xml:space="preserve"> </t>
    </r>
  </si>
  <si>
    <r>
      <t xml:space="preserve">UICC IIIB   </t>
    </r>
    <r>
      <rPr>
        <vertAlign val="superscript"/>
        <sz val="8"/>
        <rFont val="Arial"/>
        <family val="2"/>
      </rPr>
      <t>1)</t>
    </r>
    <r>
      <rPr>
        <sz val="8"/>
        <rFont val="Arial"/>
        <family val="2"/>
      </rPr>
      <t xml:space="preserve"> </t>
    </r>
  </si>
  <si>
    <r>
      <t xml:space="preserve">1)  </t>
    </r>
    <r>
      <rPr>
        <sz val="8"/>
        <rFont val="Arial"/>
        <family val="2"/>
      </rPr>
      <t>Stratifizierung nach Tumorstatus (pathologisch) zum Zeitpunkt der Erstdiagnose; bei keiner operativen Entfernung des Tumors Berechnung des UICC-Stadiums mit dem klinischen Tumorstatus.</t>
    </r>
  </si>
  <si>
    <r>
      <t xml:space="preserve">4)   </t>
    </r>
    <r>
      <rPr>
        <sz val="8"/>
        <rFont val="Arial"/>
        <family val="2"/>
      </rPr>
      <t>In der Regel werden die Follow-Up-Daten entweder extern (Krebsregister) oder durch das Zentrum eingeholt. Eine Kombination ist jedoch möglich (keine doppelte Zuordnung!).</t>
    </r>
  </si>
  <si>
    <r>
      <t xml:space="preserve">5) </t>
    </r>
    <r>
      <rPr>
        <sz val="8"/>
        <rFont val="Arial"/>
        <family val="2"/>
      </rPr>
      <t xml:space="preserve">  Krebsregister können in der Regel keine Follow-Up-Daten zu Patienten außerhalb des Einzugsgebietes einholen.</t>
    </r>
  </si>
  <si>
    <r>
      <rPr>
        <vertAlign val="superscript"/>
        <sz val="8"/>
        <rFont val="Arial"/>
        <family val="2"/>
      </rPr>
      <t>7)</t>
    </r>
    <r>
      <rPr>
        <sz val="8"/>
        <rFont val="Arial"/>
        <family val="2"/>
      </rPr>
      <t xml:space="preserve">  DFS und OAS sind nicht direkt aus dieser Matrix abzuleiten und können deshalb nach eigener Berechnung hier manuell eingetragen werden. Eine automatische Berechnung durch EXCEL erfolgt nicht.</t>
    </r>
  </si>
  <si>
    <t>IIIC</t>
  </si>
  <si>
    <t>T3/T4-N3-M0</t>
  </si>
  <si>
    <t>IVB</t>
  </si>
  <si>
    <t>IVA</t>
  </si>
  <si>
    <t>T1mi-T1c, N0, M0</t>
  </si>
  <si>
    <t>T2b-N0-M0</t>
  </si>
  <si>
    <t>T1a-c/T2a-b-N3-M0 
T3/T4-N2-M0</t>
  </si>
  <si>
    <t>MADOS 4</t>
  </si>
  <si>
    <t>Primärfälle (ICD-10 C34)</t>
  </si>
  <si>
    <r>
      <t>T1a-c N1 M0
T2a-b N1 M0</t>
    </r>
    <r>
      <rPr>
        <strike/>
        <sz val="8"/>
        <color theme="1"/>
        <rFont val="Arial"/>
        <family val="2"/>
      </rPr>
      <t xml:space="preserve">
</t>
    </r>
    <r>
      <rPr>
        <sz val="8"/>
        <color theme="1"/>
        <rFont val="Arial"/>
        <family val="2"/>
      </rPr>
      <t>T3-N0-M0</t>
    </r>
  </si>
  <si>
    <r>
      <t>T1a-c/T2a-b N2-M0
T3-N1/</t>
    </r>
    <r>
      <rPr>
        <sz val="8"/>
        <color theme="1"/>
        <rFont val="Arial"/>
        <family val="2"/>
      </rPr>
      <t>M0
T4-N0/N1-M0</t>
    </r>
  </si>
  <si>
    <t>&lt; 50%</t>
  </si>
  <si>
    <t>&lt; 30%</t>
  </si>
  <si>
    <t>&gt; 5%</t>
  </si>
  <si>
    <t>Adjumed</t>
  </si>
  <si>
    <t>CaOnkoDok (Eigenentwicklung)</t>
  </si>
  <si>
    <t>Clinic WinData</t>
  </si>
  <si>
    <t>ODSeasy / ODSeasyNet</t>
  </si>
  <si>
    <t>7.3</t>
  </si>
  <si>
    <t>8.4</t>
  </si>
  <si>
    <t>OPS-Codes</t>
  </si>
  <si>
    <t>5-324.22</t>
  </si>
  <si>
    <t>5-324.23</t>
  </si>
  <si>
    <t>5-324.32</t>
  </si>
  <si>
    <t>5-324.33</t>
  </si>
  <si>
    <t>5-324.62</t>
  </si>
  <si>
    <t>5-324.a2</t>
  </si>
  <si>
    <t>5-324.a3</t>
  </si>
  <si>
    <t>5-324.a4</t>
  </si>
  <si>
    <t>5-324.b2</t>
  </si>
  <si>
    <t>5-324.b3</t>
  </si>
  <si>
    <t>5-324.b4</t>
  </si>
  <si>
    <t>5-324.x2</t>
  </si>
  <si>
    <t>5-324.x3</t>
  </si>
  <si>
    <t>5-324.x4</t>
  </si>
  <si>
    <t>5-325.1</t>
  </si>
  <si>
    <t>5-325.2</t>
  </si>
  <si>
    <t>5-325.3</t>
  </si>
  <si>
    <t>5-325.4</t>
  </si>
  <si>
    <t>5-325.6</t>
  </si>
  <si>
    <t>5-325.7</t>
  </si>
  <si>
    <t>5-325.8</t>
  </si>
  <si>
    <t>5-325.9</t>
  </si>
  <si>
    <t>5-327.0</t>
  </si>
  <si>
    <t>5-327.1</t>
  </si>
  <si>
    <t>5-327.2</t>
  </si>
  <si>
    <t>5-327.3</t>
  </si>
  <si>
    <t>5-327.4</t>
  </si>
  <si>
    <t>5-327.5</t>
  </si>
  <si>
    <t>5-327.7</t>
  </si>
  <si>
    <t>5-327.x</t>
  </si>
  <si>
    <t>5-327.y</t>
  </si>
  <si>
    <t>5-328.0**</t>
  </si>
  <si>
    <t>5-328.1**</t>
  </si>
  <si>
    <t>5-328.2**</t>
  </si>
  <si>
    <t>5-328.3**</t>
  </si>
  <si>
    <t>5-328.4**</t>
  </si>
  <si>
    <t>5-328.5**</t>
  </si>
  <si>
    <t>5-328.6</t>
  </si>
  <si>
    <t>5-328.x**</t>
  </si>
  <si>
    <t>5-328.y</t>
  </si>
  <si>
    <t xml:space="preserve"> </t>
  </si>
  <si>
    <t>5-324.34</t>
  </si>
  <si>
    <t>Auditjahr 2020 / Kennzahlenjahr 2019</t>
  </si>
  <si>
    <r>
      <t xml:space="preserve">2019 </t>
    </r>
    <r>
      <rPr>
        <vertAlign val="superscript"/>
        <sz val="9"/>
        <rFont val="Arial"/>
        <family val="2"/>
      </rPr>
      <t>8) 9)</t>
    </r>
  </si>
  <si>
    <r>
      <t>2018</t>
    </r>
    <r>
      <rPr>
        <vertAlign val="superscript"/>
        <sz val="7"/>
        <rFont val="Arial"/>
        <family val="2"/>
      </rPr>
      <t xml:space="preserve"> </t>
    </r>
    <r>
      <rPr>
        <vertAlign val="superscript"/>
        <sz val="9"/>
        <rFont val="Arial"/>
        <family val="2"/>
      </rPr>
      <t>8)</t>
    </r>
  </si>
  <si>
    <r>
      <t xml:space="preserve">UICC IIIC   </t>
    </r>
    <r>
      <rPr>
        <vertAlign val="superscript"/>
        <sz val="8"/>
        <rFont val="Arial"/>
        <family val="2"/>
      </rPr>
      <t>1) 9)</t>
    </r>
  </si>
  <si>
    <r>
      <t xml:space="preserve">UICC IVA (IV bis 2016)   </t>
    </r>
    <r>
      <rPr>
        <vertAlign val="superscript"/>
        <sz val="8"/>
        <rFont val="Arial"/>
        <family val="2"/>
      </rPr>
      <t>1) 9)</t>
    </r>
  </si>
  <si>
    <r>
      <t xml:space="preserve">UICC IVB   </t>
    </r>
    <r>
      <rPr>
        <vertAlign val="superscript"/>
        <sz val="8"/>
        <rFont val="Arial"/>
        <family val="2"/>
      </rPr>
      <t>1) 9)</t>
    </r>
  </si>
  <si>
    <t>K</t>
  </si>
  <si>
    <t>Q</t>
  </si>
  <si>
    <t>Y</t>
  </si>
  <si>
    <t>AB</t>
  </si>
  <si>
    <t>AC</t>
  </si>
  <si>
    <r>
      <rPr>
        <vertAlign val="superscript"/>
        <sz val="8"/>
        <rFont val="Arial"/>
        <family val="2"/>
      </rPr>
      <t>2)</t>
    </r>
    <r>
      <rPr>
        <sz val="8"/>
        <rFont val="Arial"/>
        <family val="2"/>
      </rPr>
      <t xml:space="preserve">  Pat., die in dieser Darstellung (Spalte N - Z) nicht berücksichtigt werden dürfen, sind: Patienten mit vorausgegangenem Tumor (alle Entitäten).</t>
    </r>
  </si>
  <si>
    <r>
      <t xml:space="preserve">3)   </t>
    </r>
    <r>
      <rPr>
        <sz val="8"/>
        <rFont val="Arial"/>
        <family val="2"/>
      </rPr>
      <t>Die Daten müssen</t>
    </r>
    <r>
      <rPr>
        <b/>
        <sz val="8"/>
        <color indexed="10"/>
        <rFont val="Arial"/>
        <family val="2"/>
      </rPr>
      <t xml:space="preserve"> </t>
    </r>
    <r>
      <rPr>
        <sz val="8"/>
        <rFont val="Arial"/>
        <family val="2"/>
      </rPr>
      <t>patientenbezogen rückverfolgbar und zum Zeitpunkt der Auswertung nicht älter als 12 Monate sein. Unter Follow-up ist Spalte N bis Z zu verstehen (Aktives Follow-Up).</t>
    </r>
  </si>
  <si>
    <r>
      <rPr>
        <vertAlign val="superscript"/>
        <sz val="8"/>
        <rFont val="Arial"/>
        <family val="2"/>
      </rPr>
      <t>6)</t>
    </r>
    <r>
      <rPr>
        <sz val="8"/>
        <rFont val="Arial"/>
        <family val="2"/>
      </rPr>
      <t xml:space="preserve">  Spalte T: Patienten tumorfrei - ohne Ereignis - (=seit Abschluss Primärtherapie unverändert);</t>
    </r>
  </si>
  <si>
    <t>Spalte V: Patienten tumorfrei - mit Ereignis (Rezidiv, Fernmetastasen) - (gilt für tumorfreie Patienten nach Abschluss Primätherapie).</t>
  </si>
  <si>
    <t xml:space="preserve">Spalte W: Patienten nicht tumorfrei - ohne Progress - (=seit Abschluss Primärtherapie unverändert);   </t>
  </si>
  <si>
    <t xml:space="preserve">Spalte X: Patienten nicht tumorfrei - mit Progress und / oder mit Fernmetastasen - (gilt für nicht tumorfreie Patienten nach Abschluss der Primärtherapie); </t>
  </si>
  <si>
    <r>
      <rPr>
        <vertAlign val="superscript"/>
        <sz val="8"/>
        <rFont val="Arial"/>
        <family val="2"/>
      </rPr>
      <t>8)</t>
    </r>
    <r>
      <rPr>
        <sz val="8"/>
        <rFont val="Arial"/>
        <family val="2"/>
      </rPr>
      <t xml:space="preserve">  Ausgelöst durch die Follow-Up-Strukturen der Krebsregister (Latenzzeit Vollzähligkeit der Registrierung von Zielereignissen) ist es für das letzte und vorletzte Kalenderjahr ausreichend, die 
    aufgeschlüsselten Primärfälle (Spalte D-L) anzugeben.</t>
    </r>
  </si>
  <si>
    <r>
      <rPr>
        <vertAlign val="superscript"/>
        <sz val="8"/>
        <rFont val="Arial"/>
        <family val="2"/>
      </rPr>
      <t>9)</t>
    </r>
    <r>
      <rPr>
        <sz val="8"/>
        <rFont val="Arial"/>
        <family val="2"/>
      </rPr>
      <t xml:space="preserve"> Für die Diagnosejahre bis 2016 sind die UICC-Stadien gemäß der alten TNM-Klassifikation (7. Auflage 2010) anzugeben.</t>
    </r>
  </si>
  <si>
    <t>Alle Patienten ab dem Folgejahr der EZ sind im Follow-Up zu berücksichtigen; alle relevanten Nachsorgejahre sind zu bearbeiten, abhängig vom Datum der Erstzertifizierung.</t>
  </si>
  <si>
    <t>Ausnahmen sind die optional anzugebenden Felder OAS und DFS (Spalten AB und AC). Dezimaltrennzeichen ist das Komma (nicht der Punkt). Rundung erfolgt auf zwei Nachkommastellen.</t>
  </si>
  <si>
    <t>Werte Spalte N "Patienten im Follow-Up" müssen mindestens kleiner oder gleich sein als Spalte C; siehe Fußnote 2</t>
  </si>
  <si>
    <t>T &lt; 0</t>
  </si>
  <si>
    <t>Werte Spalte T "Pat. tumorfrei" dürfen keine negativen Werte annehmen</t>
  </si>
  <si>
    <t>R31</t>
  </si>
  <si>
    <t>R31 &lt; 80%</t>
  </si>
  <si>
    <t>Follow-Up Quote der Jahre 2015-2017</t>
  </si>
  <si>
    <t>R25 - R27</t>
  </si>
  <si>
    <t>R &lt; 40%</t>
  </si>
  <si>
    <t>R31 &gt; 95%</t>
  </si>
  <si>
    <t>AB23-AB26</t>
  </si>
  <si>
    <t>AB27</t>
  </si>
  <si>
    <t>AC23-AC25</t>
  </si>
  <si>
    <t>AC26</t>
  </si>
  <si>
    <t>AC27</t>
  </si>
  <si>
    <t>Zahlen in Spalte T dürfen keine negativen Werte annehmen</t>
  </si>
  <si>
    <t>Follow-Up Quote der Jahre 2015-2017 (positive Unplausibilität)</t>
  </si>
  <si>
    <t>Summe Spalten V+W+X+Y+Z (Patienten mit Ereignisse) darf nicht größer als Summe Spalten O+P (Patientenrückmeldungen) sein.</t>
  </si>
  <si>
    <t>Clinical Information Catalogue (CIC) (Eigenentwicklung)</t>
  </si>
  <si>
    <t>Summe Plausibilität unklar</t>
  </si>
  <si>
    <t>Ausnahme</t>
  </si>
  <si>
    <t>Land</t>
  </si>
  <si>
    <t>Ø Follow-Up Quote der Jahre 2015-2016</t>
  </si>
  <si>
    <t>2015-2016</t>
  </si>
  <si>
    <r>
      <rPr>
        <b/>
        <sz val="8"/>
        <color indexed="8"/>
        <rFont val="Arial"/>
        <family val="2"/>
      </rPr>
      <t>Aktualisierung</t>
    </r>
    <r>
      <rPr>
        <sz val="8"/>
        <color indexed="8"/>
        <rFont val="Arial"/>
        <family val="2"/>
      </rPr>
      <t>: 29.11.2019</t>
    </r>
  </si>
  <si>
    <t>Filtername EMAC: "Liste Reg.Nr DS" -&gt; Bitte Datum bei Gültigkeit aktualisieren</t>
  </si>
  <si>
    <t>Basic Data Lung</t>
  </si>
  <si>
    <t xml:space="preserve">   Reg.-No.</t>
  </si>
  <si>
    <t xml:space="preserve">   Centre</t>
  </si>
  <si>
    <t xml:space="preserve">   Location</t>
  </si>
  <si>
    <t xml:space="preserve">   Contact</t>
  </si>
  <si>
    <t>Date recorded</t>
  </si>
  <si>
    <t>Date first certification</t>
  </si>
  <si>
    <t>Indicator year</t>
  </si>
  <si>
    <t>Federal state / Country</t>
  </si>
  <si>
    <t>Tumour documentation system</t>
  </si>
  <si>
    <r>
      <rPr>
        <b/>
        <sz val="11"/>
        <color theme="1"/>
        <rFont val="Arial"/>
        <family val="2"/>
      </rPr>
      <t>Primary cases lung carcinoma</t>
    </r>
    <r>
      <rPr>
        <sz val="11"/>
        <color theme="1"/>
        <rFont val="Arial"/>
        <family val="2"/>
      </rPr>
      <t xml:space="preserve">
</t>
    </r>
    <r>
      <rPr>
        <sz val="8"/>
        <color theme="1"/>
        <rFont val="Arial"/>
        <family val="2"/>
      </rPr>
      <t>automatic carry over "Number / Denominator" to the Indicator Sheet</t>
    </r>
  </si>
  <si>
    <r>
      <t xml:space="preserve">   Non-surgical 
   primary cases  </t>
    </r>
    <r>
      <rPr>
        <vertAlign val="superscript"/>
        <sz val="10"/>
        <color theme="1"/>
        <rFont val="Arial"/>
        <family val="2"/>
      </rPr>
      <t>2)</t>
    </r>
  </si>
  <si>
    <t>Total</t>
  </si>
  <si>
    <t>Each T-
Each N-M1a/M1b</t>
  </si>
  <si>
    <t>Each T-
Each N-M1c</t>
  </si>
  <si>
    <t>Not Listed</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</si>
  <si>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</si>
  <si>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</si>
  <si>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</si>
  <si>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</si>
  <si>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</si>
  <si>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</si>
  <si>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</si>
  <si>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</si>
  <si>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</si>
  <si>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</si>
  <si>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</si>
  <si>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</si>
  <si>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</si>
  <si>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</si>
  <si>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</si>
  <si>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</si>
  <si>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</si>
  <si>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</si>
  <si>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</si>
  <si>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</si>
  <si>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</si>
  <si>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</si>
  <si>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</si>
  <si>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</si>
  <si>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</si>
  <si>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</si>
  <si>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</si>
  <si>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</si>
  <si>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Cabo Verde</t>
  </si>
  <si>
    <t>Cambodia</t>
  </si>
  <si>
    <t>Cameroon</t>
  </si>
  <si>
    <t>Canada</t>
  </si>
  <si>
    <t>Central African Republic (CAR)</t>
  </si>
  <si>
    <t>Chad</t>
  </si>
  <si>
    <t>Chile</t>
  </si>
  <si>
    <t>China</t>
  </si>
  <si>
    <t>Colombia</t>
  </si>
  <si>
    <t>Comoros</t>
  </si>
  <si>
    <t>Democratic Republic of the Congo</t>
  </si>
  <si>
    <t>Republic of the Congo</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</si>
  <si>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</si>
  <si>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</si>
  <si>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</si>
  <si>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</si>
  <si>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</si>
  <si>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</si>
  <si>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</si>
  <si>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</si>
  <si>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</si>
  <si>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</si>
  <si>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</si>
  <si>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</si>
  <si>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</si>
  <si>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</si>
  <si>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</si>
  <si>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</si>
  <si>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</si>
  <si>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</si>
  <si>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</si>
  <si>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</si>
  <si>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</si>
  <si>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</si>
  <si>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</si>
  <si>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</si>
  <si>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</si>
  <si>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</si>
  <si>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</si>
  <si>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</si>
  <si>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</si>
  <si>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</si>
  <si>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</si>
  <si>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</si>
  <si>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</si>
  <si>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</si>
  <si>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</si>
  <si>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</si>
  <si>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</si>
  <si>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</si>
  <si>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</si>
  <si>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</si>
  <si>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</si>
  <si>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</si>
  <si>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</si>
  <si>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</si>
  <si>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</si>
  <si>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</si>
  <si>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</si>
  <si>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</si>
  <si>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</si>
  <si>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</si>
  <si>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KyrgyzLaos</t>
  </si>
  <si>
    <t>Latvia</t>
  </si>
  <si>
    <t>Lebanon</t>
  </si>
  <si>
    <t>Lesotho</t>
  </si>
  <si>
    <t>Liberia</t>
  </si>
  <si>
    <t>Libya</t>
  </si>
  <si>
    <t>Liechtenstein</t>
  </si>
  <si>
    <t>Lithuania</t>
  </si>
  <si>
    <t>Luxembourg</t>
  </si>
  <si>
    <t>Macedonia (FYROM)</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</si>
  <si>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</si>
  <si>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</si>
  <si>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</si>
  <si>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</si>
  <si>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</si>
  <si>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</si>
  <si>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</si>
  <si>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</si>
  <si>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</si>
  <si>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</si>
  <si>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</si>
  <si>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</si>
  <si>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</si>
  <si>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</si>
  <si>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</si>
  <si>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</si>
  <si>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</si>
  <si>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 (Burma)</t>
  </si>
  <si>
    <t>Namibia</t>
  </si>
  <si>
    <t>Nauru</t>
  </si>
  <si>
    <t>Nepal</t>
  </si>
  <si>
    <t>Netherlands</t>
  </si>
  <si>
    <t>New Zealand</t>
  </si>
  <si>
    <t>Nicaragua</t>
  </si>
  <si>
    <t>Niger</t>
  </si>
  <si>
    <t>Nigeria</t>
  </si>
  <si>
    <t>North Korea</t>
  </si>
  <si>
    <t>Norway</t>
  </si>
  <si>
    <t>Oman</t>
  </si>
  <si>
    <t>Pakistan</t>
  </si>
  <si>
    <t>Palau</t>
  </si>
  <si>
    <t>Palestine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</si>
  <si>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</si>
  <si>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</si>
  <si>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</si>
  <si>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</si>
  <si>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</si>
  <si>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</si>
  <si>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</si>
  <si>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</si>
  <si>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</si>
  <si>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</si>
  <si>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</si>
  <si>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</si>
  <si>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</si>
  <si>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</si>
  <si>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</si>
  <si>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</si>
  <si>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</si>
  <si>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</si>
  <si>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</si>
  <si>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</si>
  <si>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</si>
  <si>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</si>
  <si>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</si>
  <si>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</si>
  <si>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</si>
  <si>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</si>
  <si>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</si>
  <si>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</si>
  <si>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</si>
  <si>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</si>
  <si>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</si>
  <si>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</si>
  <si>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</si>
  <si>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</si>
  <si>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</si>
  <si>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</si>
  <si>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</si>
  <si>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</si>
  <si>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</si>
  <si>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</si>
  <si>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</si>
  <si>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</si>
  <si>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</si>
  <si>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</si>
  <si>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</si>
  <si>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</si>
  <si>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</si>
  <si>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</si>
  <si>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</si>
  <si>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</si>
  <si>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</si>
  <si>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</si>
  <si>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 (UAE)</t>
  </si>
  <si>
    <t>United Kingdom (UK)</t>
  </si>
  <si>
    <t>United States of America (USA)</t>
  </si>
  <si>
    <t>Uruguay</t>
  </si>
  <si>
    <t>Uzbekistan</t>
  </si>
  <si>
    <t>Vanuatu</t>
  </si>
  <si>
    <t>Vatican City (Holy See)</t>
  </si>
  <si>
    <t>Venezuela</t>
  </si>
  <si>
    <t>Vietnam</t>
  </si>
  <si>
    <t>Yemen</t>
  </si>
  <si>
    <t>Zambia</t>
  </si>
  <si>
    <t>Unknown</t>
  </si>
  <si>
    <t>Expertise Lung</t>
  </si>
  <si>
    <t>Centre</t>
  </si>
  <si>
    <t xml:space="preserve">Reg.-No. </t>
  </si>
  <si>
    <t>CR</t>
  </si>
  <si>
    <t>Indicator definition</t>
  </si>
  <si>
    <t>Definition number</t>
  </si>
  <si>
    <t>Target value</t>
  </si>
  <si>
    <t>Service provider / Cooperation partner</t>
  </si>
  <si>
    <t>Number</t>
  </si>
  <si>
    <t>Data quality</t>
  </si>
  <si>
    <t>Data quality overall</t>
  </si>
  <si>
    <t>Verification Centre</t>
  </si>
  <si>
    <t>Clinic-, Practice-, Facility name</t>
  </si>
  <si>
    <t>House number street</t>
  </si>
  <si>
    <t>Postal code</t>
  </si>
  <si>
    <t>Place</t>
  </si>
  <si>
    <r>
      <t xml:space="preserve">Action taken / planned
</t>
    </r>
    <r>
      <rPr>
        <sz val="8"/>
        <color indexed="8"/>
        <rFont val="Arial"/>
        <family val="2"/>
      </rPr>
      <t>(when reasons are plausible, no action is required)</t>
    </r>
  </si>
  <si>
    <t>OK</t>
  </si>
  <si>
    <t>OK (Plausibility unclear)</t>
  </si>
  <si>
    <t>Target value not met</t>
  </si>
  <si>
    <t>Incomplete</t>
  </si>
  <si>
    <t>Incorrect</t>
  </si>
  <si>
    <t>Sum</t>
  </si>
  <si>
    <t>Exception (Plausibility unclear)</t>
  </si>
  <si>
    <t>Data Sheet Lung</t>
  </si>
  <si>
    <t>Erroneous</t>
  </si>
  <si>
    <t>The numerator is always a subset of the denominator (exception: Indicator 6 - Share of study patients).
Please fill out first the denominator and then the numerator.</t>
  </si>
  <si>
    <t>IN</t>
  </si>
  <si>
    <t>Indicator target</t>
  </si>
  <si>
    <t>Numerator</t>
  </si>
  <si>
    <t>Population 
(= denominator)</t>
  </si>
  <si>
    <t>Plausi unclear</t>
  </si>
  <si>
    <t>Current values</t>
  </si>
  <si>
    <t>If target value is not met please give reasons / cause
(min. 30 characters / max. 500 characters)</t>
  </si>
  <si>
    <t xml:space="preserve">Primary cases </t>
  </si>
  <si>
    <t>See target value</t>
  </si>
  <si>
    <t>Denominator</t>
  </si>
  <si>
    <t>Patients with new recurrence and/or remote metastases after prior curative treatment</t>
  </si>
  <si>
    <t>No target value</t>
  </si>
  <si>
    <t>Counselling social services</t>
  </si>
  <si>
    <t>Inclusion of as many patients as possible in studies</t>
  </si>
  <si>
    <t>Patients who were included in a study</t>
  </si>
  <si>
    <t xml:space="preserve">Flexible bronchoscopy </t>
  </si>
  <si>
    <t>Flexible bronchoscopies for each service provider</t>
  </si>
  <si>
    <t>Interventional bronchoscopy (thermal procedures and stenting)</t>
  </si>
  <si>
    <t>Lung resections</t>
  </si>
  <si>
    <t>30d lethality after resections</t>
  </si>
  <si>
    <t>Post-operative bronchial stump/anastomotic insufficiency</t>
  </si>
  <si>
    <t>Local R0 resections in stages IA/B and IIA/B</t>
  </si>
  <si>
    <t xml:space="preserve">Local R0 resections in stages IIIA/B </t>
  </si>
  <si>
    <t>Thoracic radiotherapy</t>
  </si>
  <si>
    <t>Pathology reports</t>
  </si>
  <si>
    <t>Examined malignant lung cases</t>
  </si>
  <si>
    <t>≥ 200 malignant lung cases 
(for each specialist 100 L.)</t>
  </si>
  <si>
    <r>
      <t>Adjuvant cisplatin-based chemotherapy stages II-IIIA</t>
    </r>
    <r>
      <rPr>
        <vertAlign val="subscript"/>
        <sz val="8"/>
        <rFont val="Arial"/>
        <family val="2"/>
      </rPr>
      <t xml:space="preserve">1/2 </t>
    </r>
  </si>
  <si>
    <r>
      <t>R0 and lymph node-resected NSCLC primary cases with anatomical lung resection
stages II-IIIA</t>
    </r>
    <r>
      <rPr>
        <vertAlign val="subscript"/>
        <sz val="8"/>
        <rFont val="Arial"/>
        <family val="2"/>
      </rPr>
      <t xml:space="preserve">1/2 </t>
    </r>
    <r>
      <rPr>
        <sz val="8"/>
        <rFont val="Arial"/>
        <family val="2"/>
      </rPr>
      <t>with ECOG 0/1</t>
    </r>
  </si>
  <si>
    <r>
      <t>Combined radio-chemotherapy in stages IIIA</t>
    </r>
    <r>
      <rPr>
        <vertAlign val="subscript"/>
        <sz val="8"/>
        <rFont val="Arial"/>
        <family val="2"/>
      </rPr>
      <t>4</t>
    </r>
    <r>
      <rPr>
        <sz val="8"/>
        <rFont val="Arial"/>
        <family val="2"/>
      </rPr>
      <t>/IIIB/IIIC</t>
    </r>
  </si>
  <si>
    <r>
      <t>NSCLC primary cases
stages IIIA</t>
    </r>
    <r>
      <rPr>
        <vertAlign val="subscript"/>
        <sz val="8"/>
        <rFont val="Arial"/>
        <family val="2"/>
      </rPr>
      <t>4</t>
    </r>
    <r>
      <rPr>
        <sz val="8"/>
        <rFont val="Arial"/>
        <family val="2"/>
      </rPr>
      <t>/IIIB/IIIC with ECOG 0/1</t>
    </r>
  </si>
  <si>
    <t>CTCAE stage V on systemic therapy</t>
  </si>
  <si>
    <t>Primary cases stages III or IV on systemic therapy</t>
  </si>
  <si>
    <t>Primary cases</t>
  </si>
  <si>
    <t>Patients of the denominator who received counselling from social services in an inpatient or outpatient setting</t>
  </si>
  <si>
    <t>Share of study patients</t>
  </si>
  <si>
    <t xml:space="preserve">Primary cases of the denominator with post-operative bronchial stump/anastomotic insufficiency </t>
  </si>
  <si>
    <t>Primary cases of the denominator with local R0 resections after completion of surgical treatment</t>
  </si>
  <si>
    <t>Surgical primary cases of anatomical lung resection in stages IA/B and IIA/B</t>
  </si>
  <si>
    <t xml:space="preserve">Primary cases of the denominator with commencement of first-line therapy with EGFR-TKI </t>
  </si>
  <si>
    <t>Primary cases of the denominator with radiochemotherapy</t>
  </si>
  <si>
    <t xml:space="preserve">Primary cases of the denominator with CTCAE stage V on systemic therapy </t>
  </si>
  <si>
    <t>Processing remarks:</t>
  </si>
  <si>
    <r>
      <t>1) Plausibility unclear 
In comparison to other Centres, the indicator value given is an unusual value. The classification "plausibility unclear" does not automatically mean a negative assessment. The indicator value is to be checked for correctness because of its unusual character. In individual cases a positive indicator value, when viewed in detail, may also present a negative care situation (e.g. surplus care). The result of this check is to be explained in more detail by the Centre in th</t>
    </r>
    <r>
      <rPr>
        <sz val="8"/>
        <rFont val="Arial"/>
        <family val="2"/>
      </rPr>
      <t>e Data Sheet</t>
    </r>
    <r>
      <rPr>
        <sz val="8"/>
        <color indexed="8"/>
        <rFont val="Arial"/>
        <family val="2"/>
      </rPr>
      <t xml:space="preserve"> in the column "Reasons/Cause". Where appropriate, specific actions should be defined and carried out in line with the procedure "Failure to meet the target value" for the purpose of improvement.
2) Target value not met
The relevant indicators are to be analysed. The result is to be documented in the indicator spreadsheet_(IS). The document "Specifications Data Quality" contains more detailed information about this.
3) Incomplete
If any indicators have the status "incomplete", then they are to be supplied at a later stage or a clear statement is to be made about the possibility of future presentation ("incomplete indicators" always constitute a potential deviation).</t>
    </r>
  </si>
  <si>
    <t>Interventional surgery (thermal procedures and stenting) for each service provider (OPS: 5-319.14, 5-319.15, 5-320.0)</t>
  </si>
  <si>
    <t>Primary cases of the denominator who died post-operative within 30d</t>
  </si>
  <si>
    <t>Primary cases of the denominator with cisplatin-based chemotherapy</t>
  </si>
  <si>
    <t>Primary cases of the denominator with combined radio-chemotherapy</t>
  </si>
  <si>
    <t>In-house development (MS Excel, MS Access etc.)</t>
  </si>
  <si>
    <t>1a</t>
  </si>
  <si>
    <t>1b</t>
  </si>
  <si>
    <t>Patients with recent recurrence and/or distant metastases</t>
  </si>
  <si>
    <t>Pretherapeutic tumour board</t>
  </si>
  <si>
    <t>As often as possible presentation in pretherapeutic tumour board</t>
  </si>
  <si>
    <t>Primary cases of the denominator presented in the pretherapeutic tumour board</t>
  </si>
  <si>
    <t>Tumour board after surgical treatment of primary cases stages IB-IIIB</t>
  </si>
  <si>
    <t xml:space="preserve">As often as possible presentation of primary cases in stages IB-IIIB in the tumour board after surgical treatment </t>
  </si>
  <si>
    <t>Primary cases of the denominator that were presented in the tumour board</t>
  </si>
  <si>
    <t>Primary cases (= indicator 1a) + 
patients with recent recurrence and/or distant metastases 
(= indicator 1b)</t>
  </si>
  <si>
    <t>Surgical primary cases stages IB-IIIB with anatomical lung resection</t>
  </si>
  <si>
    <r>
      <t>Primary cases
(= indicator 1</t>
    </r>
    <r>
      <rPr>
        <sz val="8"/>
        <rFont val="Arial"/>
        <family val="2"/>
        <charset val="238"/>
      </rPr>
      <t>a</t>
    </r>
    <r>
      <rPr>
        <sz val="8"/>
        <rFont val="Arial"/>
        <family val="2"/>
      </rPr>
      <t>)</t>
    </r>
  </si>
  <si>
    <t>Surgical primary cases with anatomical lung resection
(OPS: 5-323 to 5-328, 6-digits, only with ICD-10 C34)</t>
  </si>
  <si>
    <t>Rate of post-operative patients who died after resection as low as possible</t>
  </si>
  <si>
    <t>Rate of post-operative bronchial stump/anastomotic insufficiency as low as possible</t>
  </si>
  <si>
    <t>Rate of local R0 resections as high as possible</t>
  </si>
  <si>
    <r>
      <t>As often as possible adjuvant cisplatin-based chemotherapy in the case of R0 and lymph node resected NSCLC primary cases
stages II-IIIA</t>
    </r>
    <r>
      <rPr>
        <vertAlign val="subscript"/>
        <sz val="8"/>
        <rFont val="Arial"/>
        <family val="2"/>
      </rPr>
      <t>1/2</t>
    </r>
  </si>
  <si>
    <r>
      <t>As often as possible combined radio-chemotherapy in the case of NSCLC primary cases stages IIIA</t>
    </r>
    <r>
      <rPr>
        <vertAlign val="subscript"/>
        <sz val="8"/>
        <rFont val="Arial"/>
        <family val="2"/>
      </rPr>
      <t>4</t>
    </r>
    <r>
      <rPr>
        <sz val="8"/>
        <rFont val="Arial"/>
        <family val="2"/>
      </rPr>
      <t>/IIIB/IIIC</t>
    </r>
  </si>
  <si>
    <t>≥ 75%</t>
  </si>
  <si>
    <t>If possible radiochemotherapy for SCLC stages IIB-IIIC, ECOG 0/1</t>
  </si>
  <si>
    <t>As often as possible recording of symptoms using MIDOS or IPOS</t>
  </si>
  <si>
    <t>&lt; 60%</t>
  </si>
  <si>
    <t>PD-L1 testing as often as possible before starting radio-chemotherapy</t>
  </si>
  <si>
    <t>Primary cases of the denominator with PD-L1 testing before starting radio-chemotherapy</t>
  </si>
  <si>
    <t>PD-L1 testing as often as possible</t>
  </si>
  <si>
    <t>Primary cases of the denominator with PD-L1 testing</t>
  </si>
  <si>
    <r>
      <t>Primary cases 
(= indicator 1</t>
    </r>
    <r>
      <rPr>
        <sz val="8"/>
        <rFont val="Arial"/>
        <family val="2"/>
        <charset val="238"/>
      </rPr>
      <t>a</t>
    </r>
    <r>
      <rPr>
        <sz val="8"/>
        <rFont val="Arial"/>
        <family val="2"/>
      </rPr>
      <t>)</t>
    </r>
  </si>
  <si>
    <t>GL QI</t>
  </si>
  <si>
    <t>CTCAE stage V on systemic therapy  as rarely as possible</t>
  </si>
  <si>
    <t>optional - OK</t>
  </si>
  <si>
    <t>optional - OK (Plausibility unclear)</t>
  </si>
  <si>
    <t>optional - Target value not met</t>
  </si>
  <si>
    <t>optional - Incomplete</t>
  </si>
  <si>
    <t>optional - Incorrect</t>
  </si>
  <si>
    <r>
      <rPr>
        <sz val="8"/>
        <rFont val="Calibri"/>
        <family val="2"/>
        <charset val="238"/>
      </rPr>
      <t>≥</t>
    </r>
    <r>
      <rPr>
        <sz val="8"/>
        <rFont val="Arial Narrow"/>
        <family val="2"/>
      </rPr>
      <t xml:space="preserve"> 25%</t>
    </r>
  </si>
  <si>
    <t xml:space="preserve">Primary cases with NSCLC stage III with radio-chemotherapy </t>
  </si>
  <si>
    <t xml:space="preserve">Primary cases with NSCLC stage IV </t>
  </si>
  <si>
    <t>PD-L1 testing for NSCLC in stage IV</t>
  </si>
  <si>
    <t>CR/ GL</t>
  </si>
  <si>
    <t>Presentation of new recurrences and/or distant metastases after prior curative treatment in the tumour board</t>
  </si>
  <si>
    <t>As often as possible presentation in the tumour board</t>
  </si>
  <si>
    <t>Patients of the denominator who were presented in the tumour board</t>
  </si>
  <si>
    <t>Note:</t>
  </si>
  <si>
    <t xml:space="preserve">For reasons of easy readability, the term “patient” expressly covers all gender attributions (female, male, other). </t>
  </si>
  <si>
    <t>Plausible</t>
  </si>
  <si>
    <r>
      <rPr>
        <b/>
        <sz val="10"/>
        <color theme="1"/>
        <rFont val="Arial"/>
        <family val="2"/>
      </rPr>
      <t>Primary cases (ICD-10 C34 all histologies)</t>
    </r>
    <r>
      <rPr>
        <sz val="11"/>
        <color theme="1"/>
        <rFont val="Arial"/>
        <family val="2"/>
      </rPr>
      <t xml:space="preserve">
   </t>
    </r>
    <r>
      <rPr>
        <sz val="10"/>
        <color theme="1"/>
        <rFont val="Arial"/>
        <family val="2"/>
      </rPr>
      <t>Def. according to CR 1.2.1</t>
    </r>
  </si>
  <si>
    <t>Teilmenge Primärfälle - nichtkleinzellige Tumoren (optionale Angabe)</t>
  </si>
  <si>
    <t>PD-L1 testing for NSCLC in stage III with radiochemotherapy</t>
  </si>
  <si>
    <t>Combined radiochemotherapy for SCLC stages IIB – IIIC</t>
  </si>
  <si>
    <t>Data quality indicators</t>
  </si>
  <si>
    <t xml:space="preserve">                      Target value not met</t>
  </si>
  <si>
    <t xml:space="preserve">Processing quality   </t>
  </si>
  <si>
    <r>
      <rPr>
        <b/>
        <sz val="10"/>
        <color theme="0" tint="-0.499984740745262"/>
        <rFont val="Arial"/>
        <family val="2"/>
      </rPr>
      <t>Subset of primary cases - non-small cell tumours</t>
    </r>
    <r>
      <rPr>
        <sz val="10"/>
        <color theme="0" tint="-0.499984740745262"/>
        <rFont val="Arial"/>
        <family val="2"/>
      </rPr>
      <t xml:space="preserve">
(optional specification) </t>
    </r>
    <r>
      <rPr>
        <vertAlign val="superscript"/>
        <sz val="10"/>
        <color theme="0" tint="-0.499984740745262"/>
        <rFont val="Arial"/>
        <family val="2"/>
      </rPr>
      <t>3)</t>
    </r>
  </si>
  <si>
    <t xml:space="preserve">                       OK</t>
  </si>
  <si>
    <t>Not listed</t>
  </si>
  <si>
    <t>Duration of final tumor board decision until start of therapy</t>
  </si>
  <si>
    <t>As often as possible, short duration (≤ 14d) from final tumor board decision to start of therapy</t>
  </si>
  <si>
    <t>Primary cases of the denominator with time span ≤ 14d between tumour board decision and start of therapy</t>
  </si>
  <si>
    <t>Primary cases NSCLC stage I-III with final, pretherapeutic tumour board recommendation for therapy</t>
  </si>
  <si>
    <t>Psycho-oncological Distress Screening</t>
  </si>
  <si>
    <t>Adequate rate of psycho-oncology distress screening</t>
  </si>
  <si>
    <t>Pat. of the denominator who were screened psycho-oncologically</t>
  </si>
  <si>
    <t>Primary cases (= indicator 1a) + patients with new recurrence and/or distant metastases 
(= indicator 1b)</t>
  </si>
  <si>
    <t xml:space="preserve"> ≥ 65%</t>
  </si>
  <si>
    <t>Adequate rate of counseling by social service</t>
  </si>
  <si>
    <t>FDG-PET/CT for staging</t>
  </si>
  <si>
    <t xml:space="preserve">Whole-body FDG-PET/CT for staging as frequently as possible </t>
  </si>
  <si>
    <t>Denominator patients with whole-body FDG-PET/CT for staging</t>
  </si>
  <si>
    <t>Primary cases with NSCLC clinical stage IB-IIIB</t>
  </si>
  <si>
    <t>11a</t>
  </si>
  <si>
    <t>11b</t>
  </si>
  <si>
    <t>Surgical primary cases (=indicator 11a)</t>
  </si>
  <si>
    <t>Surgical primary cases in stages IIIA/B with anatomic lung resection</t>
  </si>
  <si>
    <t>Number of patients with lung cancer and thoracic radiotherapy as primary treatment* (no restriction to primary cases of the center)</t>
  </si>
  <si>
    <t>Stereotactic radiotherapy for inoperability</t>
  </si>
  <si>
    <t>Stereotactic radiotherapy as often as possible for generally or functionally inoperable primary cases with stage IA, IB, IIA NSCLC</t>
  </si>
  <si>
    <t>Primary cases of the denominator with stereotactic radiotherapy</t>
  </si>
  <si>
    <t>Primary cases NSCLC stage IA, IB, IIA with tumor board recommendation against resection</t>
  </si>
  <si>
    <t>As often as possible maintenance therapy with PD-L1 antibody durvalumab after definitive radiochemotherapy without progression and PD-L1 expresson ≥1% on tumour cells</t>
  </si>
  <si>
    <t>Primary cases of the denominator with durvalumab therapy started</t>
  </si>
  <si>
    <t xml:space="preserve">Primary cases after definitive radiochemotherapy without progression and with PD-L1 expression of ≥ 1% on tumour cells </t>
  </si>
  <si>
    <t>If possible, frequent investigation of at least EGFR mutations in exons 18-21 and BRAF V600 mutations and ALK fusions and ROS1 fusions and RET fusions and NTREK1-3 fusions in primary cases with NSCLC stage IV</t>
  </si>
  <si>
    <t>Primary cases of the denominator with investigation of at least EGFR mutations in exons 18-21 and BRAF V600 mutations and ALK fusions and ROS1 fusions and RET fusions and NTRK 1-3 fusions</t>
  </si>
  <si>
    <t>Primary cases with NSCLC stage IV</t>
  </si>
  <si>
    <t>First-line therapy with EGFR-TKI in pat. stage IV NSCLC with common activating EGFR mutation (del 19, L858R) and ECOG 0-2.</t>
  </si>
  <si>
    <t>First-line therapy with EGFR TKIs as frequently as possible for typical activating EGFR mutation (del 19, L858R) in stage IV NSCLC with ECOG 0-2.</t>
  </si>
  <si>
    <t>Primary cases with stage IV NSCLC, typical activating EGFR mutation (del 19, L858R) and ECOG 0-2.</t>
  </si>
  <si>
    <t>First-line therapy with CNS-active ALK-specific TKI therapy for patients with ALK positive NSCLC in stage IV</t>
  </si>
  <si>
    <t>As often as possible CNS-active ALK-specific TKI therapy as first-line treatment for ALK-positive NSCLC stage IV</t>
  </si>
  <si>
    <t>Primary cases of the denominator with commencement of CNS-active ALK-specific TKI therapy</t>
  </si>
  <si>
    <t>Primary cases with SCLC stages IIB[T3] – IIIC [TNM: cT1/2 N2-3 M0, cT3/4 N0-3 M0] and ECOG 0/1</t>
  </si>
  <si>
    <t>Prophylactic cranial irradiation for SCLC (limited disease)</t>
  </si>
  <si>
    <t xml:space="preserve">Chemo-immunotherapy in SCLC </t>
  </si>
  <si>
    <t>Prophylactic cranial irradiation as often as possible for SCLC T3-4 N0-1 M0 and T1-4 N2-3 M0 and remission</t>
  </si>
  <si>
    <t>As often as possible chemo-immunotherapy with platinum/etoposide and a PD-L1 antibody (atezolizumab or durvalumab) in stage IV SCLC</t>
  </si>
  <si>
    <t>Primary cases of denominator with prophylactic cranial irradiation after end of chemoradiation therapy</t>
  </si>
  <si>
    <t>Primary cases of denominator with combination with PD-L1 antibody therapy (atezolizumab or durvalumab)</t>
  </si>
  <si>
    <t>Primary cases with SCLC in tumor stages T3-4 N0-1 M0 and T1-4 N2-3 M0 (limited disease) 
and remission after chemo-radiotherapy</t>
  </si>
  <si>
    <t>Primary cases with SCLC stad. IV and chemotherapy (platinum/etoposide)</t>
  </si>
  <si>
    <t>Primary cases stage IV and patients with new recurrence and/or distant metastases</t>
  </si>
  <si>
    <t xml:space="preserve">Ratio of broncho-/angioplasty surgeries to pneumonectomies </t>
  </si>
  <si>
    <t>Adequate ratio of broncho-/angioplasty surgeries to pneumonectomies</t>
  </si>
  <si>
    <t>Primary cases of denominator with broncho-/angioplasty surgeries</t>
  </si>
  <si>
    <t>Primary cases with pneumonectomies and primary cases with broncho-/angioplasty surgeries.</t>
  </si>
  <si>
    <t>Videothoracoscopic (VATS) and robotic-assisted (RATS) anatomic resections.</t>
  </si>
  <si>
    <t>Documentation of videothoracoscopic (VATS) and robotic-assisted (RATS) anatomic resections.</t>
  </si>
  <si>
    <t>Operations of the denominator performed videothoracoscopically (VATS) and robot-assisted (RATS)</t>
  </si>
  <si>
    <t xml:space="preserve">Molecular pathological examination after curative tumor resection. </t>
  </si>
  <si>
    <t>If possible, frequent molecular pathology testing for EGFR mutations after curative tumor resection, NSCLC stage IB-IIIA</t>
  </si>
  <si>
    <t>Primary cases of the denominator with testing for EGFR mutations in exons 19 and 21</t>
  </si>
  <si>
    <t>Primary cases with NSCLC stage IB-IIIA and curative tumor resection (anatomic resection, R0)</t>
  </si>
  <si>
    <t xml:space="preserve">Molecular-pathological examination of patients NSCLC stage IV </t>
  </si>
  <si>
    <t>optional - Exception (Plausibility unclear)</t>
  </si>
  <si>
    <r>
      <t xml:space="preserve">Data quality pro </t>
    </r>
    <r>
      <rPr>
        <b/>
        <sz val="8"/>
        <rFont val="Arial"/>
        <family val="2"/>
      </rPr>
      <t>PNEU/STR/PAT</t>
    </r>
  </si>
  <si>
    <r>
      <t xml:space="preserve">If target value is not met please give reasons / cause
</t>
    </r>
    <r>
      <rPr>
        <sz val="8"/>
        <rFont val="Arial"/>
        <family val="2"/>
      </rPr>
      <t>(min. 30 characters / max. 500 characters)</t>
    </r>
  </si>
  <si>
    <r>
      <t xml:space="preserve">Action taken / planned
</t>
    </r>
    <r>
      <rPr>
        <sz val="8"/>
        <rFont val="Arial"/>
        <family val="2"/>
      </rPr>
      <t>(when reasons are plausible, no action is required)</t>
    </r>
  </si>
  <si>
    <t>Number/
Numerator</t>
  </si>
  <si>
    <t>Deno-minator</t>
  </si>
  <si>
    <t>Thoracic surgery 1</t>
  </si>
  <si>
    <t>Thoracic surgery 2</t>
  </si>
  <si>
    <t>Thoracic surgery 3</t>
  </si>
  <si>
    <r>
      <t xml:space="preserve">Surgical expertise - Number anatomical resections
</t>
    </r>
    <r>
      <rPr>
        <sz val="10"/>
        <color theme="1"/>
        <rFont val="Arial"/>
        <family val="2"/>
      </rPr>
      <t xml:space="preserve">    (OPS: 5-323 to 5-328 for ICD-10 C34.0-.9, C78.0)</t>
    </r>
    <r>
      <rPr>
        <sz val="9"/>
        <color theme="1"/>
        <rFont val="Arial"/>
        <family val="2"/>
      </rPr>
      <t xml:space="preserve"> </t>
    </r>
    <r>
      <rPr>
        <vertAlign val="superscript"/>
        <sz val="9"/>
        <color theme="1"/>
        <rFont val="Arial"/>
        <family val="2"/>
      </rPr>
      <t>1)</t>
    </r>
  </si>
  <si>
    <t>Surgical expertise   Number anatomical resections (OPS: 
5-323 to 5-328, for  ICD-10 
 C34.0-.9, C78.0</t>
  </si>
  <si>
    <t>Surgical primary cases 
(= indicator 11a)</t>
  </si>
  <si>
    <t>Recording of symptoms using MIDOS/ IPOS</t>
  </si>
  <si>
    <t>Total number</t>
  </si>
  <si>
    <r>
      <rPr>
        <b/>
        <u/>
        <sz val="8"/>
        <rFont val="Arial"/>
        <family val="2"/>
      </rPr>
      <t xml:space="preserve">Processing remarks:
</t>
    </r>
    <r>
      <rPr>
        <sz val="8"/>
        <rFont val="Arial"/>
        <family val="2"/>
      </rPr>
      <t>In case that cooperation partner(s) is/are not able to fulfill target value(s), it is important to immediately consult with OnkoZert, as in this case the approval of a cooperation partner is as a matter of principle at risk.</t>
    </r>
  </si>
  <si>
    <t>Expertise thoracic surgery (TSUR) multi-site lung cancer centre</t>
  </si>
  <si>
    <t>Primary cases with NSCLC stage IV, ALK pos.</t>
  </si>
  <si>
    <t>Maintenance therapy after definitive radiochemotherapy for stage III NSCLC</t>
  </si>
  <si>
    <t>Pat. of the denominator with symptom recording by means of MIDOS or IPOS</t>
  </si>
  <si>
    <t>*OPS-Codes 5-323 to 5-328 correspondance to OPS (1) segment resection and bi-segment resection of the lung, (2) simple/extended lobectomy and bi-lobectomy of the lung, (3) simple/extended (pleuro-)pneum(on)ectomy)</t>
  </si>
  <si>
    <t>Number of patients with lung cancer and thoracic radiotherapy as primary treatment* (no restriction to primary cases of the center)
* first time thoracic radiotherapy</t>
  </si>
  <si>
    <t xml:space="preserve">
4
</t>
  </si>
  <si>
    <t xml:space="preserve">
5
</t>
  </si>
  <si>
    <t xml:space="preserve">
10
</t>
  </si>
  <si>
    <t xml:space="preserve">
19
</t>
  </si>
  <si>
    <t xml:space="preserve">
23
</t>
  </si>
  <si>
    <t xml:space="preserve">
25
</t>
  </si>
  <si>
    <t xml:space="preserve">
29
</t>
  </si>
  <si>
    <t xml:space="preserve">
30
</t>
  </si>
  <si>
    <r>
      <rPr>
        <sz val="8"/>
        <color theme="1"/>
        <rFont val="Arial"/>
        <family val="2"/>
      </rPr>
      <t>4</t>
    </r>
    <r>
      <rPr>
        <sz val="8"/>
        <color theme="1" tint="0.34998626667073579"/>
        <rFont val="Arial"/>
        <family val="2"/>
      </rPr>
      <t xml:space="preserve">
</t>
    </r>
    <r>
      <rPr>
        <strike/>
        <sz val="7"/>
        <color rgb="FF00B050"/>
        <rFont val="Arial"/>
        <family val="2"/>
      </rPr>
      <t>Optional indication</t>
    </r>
  </si>
  <si>
    <r>
      <rPr>
        <sz val="8"/>
        <color theme="1"/>
        <rFont val="Arial"/>
        <family val="2"/>
      </rPr>
      <t>5</t>
    </r>
    <r>
      <rPr>
        <sz val="8"/>
        <color theme="1" tint="0.34998626667073579"/>
        <rFont val="Arial"/>
        <family val="2"/>
      </rPr>
      <t xml:space="preserve">
</t>
    </r>
    <r>
      <rPr>
        <strike/>
        <sz val="7"/>
        <color rgb="FF00B050"/>
        <rFont val="Arial"/>
        <family val="2"/>
      </rPr>
      <t>Optional indication</t>
    </r>
  </si>
  <si>
    <t>Social service counselling</t>
  </si>
  <si>
    <t>Patients enrolled in a study</t>
  </si>
  <si>
    <t>Interventional surgery (thermal procedures and stenting) for each service provider (OPS: 5-319.14, 5-319.15, 5-320.0**)</t>
  </si>
  <si>
    <r>
      <rPr>
        <sz val="8"/>
        <color theme="1"/>
        <rFont val="Arial"/>
        <family val="2"/>
      </rPr>
      <t>10</t>
    </r>
    <r>
      <rPr>
        <sz val="8"/>
        <color theme="1" tint="0.34998626667073579"/>
        <rFont val="Arial"/>
        <family val="2"/>
      </rPr>
      <t xml:space="preserve">
</t>
    </r>
    <r>
      <rPr>
        <strike/>
        <sz val="7"/>
        <color rgb="FF00B050"/>
        <rFont val="Arial"/>
        <family val="2"/>
      </rPr>
      <t>Optional indication</t>
    </r>
  </si>
  <si>
    <t>Surgical primary cases with anatomical lung resection
(OPS: 5-323 to 5-328*, 6-digits, only with ICD-10 C34)</t>
  </si>
  <si>
    <t>Surgical expertise   Number anatomical resections (OPS: 
5-323 to 5-328*, for  ICD-10 
 C34.0-.9, C78.0</t>
  </si>
  <si>
    <r>
      <rPr>
        <sz val="8"/>
        <color theme="1"/>
        <rFont val="Arial"/>
        <family val="2"/>
      </rPr>
      <t>19</t>
    </r>
    <r>
      <rPr>
        <sz val="8"/>
        <color theme="1" tint="0.34998626667073579"/>
        <rFont val="Arial"/>
        <family val="2"/>
      </rPr>
      <t xml:space="preserve">
</t>
    </r>
    <r>
      <rPr>
        <strike/>
        <sz val="7"/>
        <color rgb="FF00B050"/>
        <rFont val="Arial"/>
        <family val="2"/>
      </rPr>
      <t>Optional indication</t>
    </r>
  </si>
  <si>
    <r>
      <rPr>
        <sz val="8"/>
        <color theme="1"/>
        <rFont val="Arial"/>
        <family val="2"/>
      </rPr>
      <t>23</t>
    </r>
    <r>
      <rPr>
        <sz val="8"/>
        <color theme="1" tint="0.34998626667073579"/>
        <rFont val="Arial"/>
        <family val="2"/>
      </rPr>
      <t xml:space="preserve">
</t>
    </r>
    <r>
      <rPr>
        <strike/>
        <sz val="7"/>
        <color rgb="FF00B050"/>
        <rFont val="Arial"/>
        <family val="2"/>
      </rPr>
      <t>Optional indication</t>
    </r>
  </si>
  <si>
    <r>
      <rPr>
        <sz val="8"/>
        <color theme="1"/>
        <rFont val="Arial"/>
        <family val="2"/>
      </rPr>
      <t>25</t>
    </r>
    <r>
      <rPr>
        <sz val="8"/>
        <color theme="1" tint="0.34998626667073579"/>
        <rFont val="Arial"/>
        <family val="2"/>
      </rPr>
      <t xml:space="preserve">
</t>
    </r>
    <r>
      <rPr>
        <strike/>
        <sz val="7"/>
        <color rgb="FF00B050"/>
        <rFont val="Arial"/>
        <family val="2"/>
      </rPr>
      <t>Optional indication</t>
    </r>
  </si>
  <si>
    <r>
      <rPr>
        <b/>
        <sz val="8"/>
        <color theme="1" tint="0.34998626667073579"/>
        <rFont val="Arial"/>
        <family val="2"/>
      </rPr>
      <t>29</t>
    </r>
    <r>
      <rPr>
        <sz val="8"/>
        <color theme="1" tint="0.34998626667073579"/>
        <rFont val="Arial"/>
        <family val="2"/>
      </rPr>
      <t xml:space="preserve">
</t>
    </r>
    <r>
      <rPr>
        <strike/>
        <sz val="7"/>
        <color rgb="FF00B050"/>
        <rFont val="Arial"/>
        <family val="2"/>
      </rPr>
      <t>Optional indication</t>
    </r>
  </si>
  <si>
    <r>
      <rPr>
        <b/>
        <sz val="8"/>
        <color theme="1" tint="0.34998626667073579"/>
        <rFont val="Arial"/>
        <family val="2"/>
      </rPr>
      <t>30</t>
    </r>
    <r>
      <rPr>
        <sz val="8"/>
        <color theme="1" tint="0.34998626667073579"/>
        <rFont val="Arial"/>
        <family val="2"/>
      </rPr>
      <t xml:space="preserve">
</t>
    </r>
    <r>
      <rPr>
        <strike/>
        <sz val="7"/>
        <color rgb="FF00B050"/>
        <rFont val="Arial"/>
        <family val="2"/>
      </rPr>
      <t>Optional indication</t>
    </r>
  </si>
  <si>
    <t>Surgical expertise   Number anatomical resections (OPS: 
5-323 to 5-328*, for  ICD-10  C34.0-.9, C78.0</t>
  </si>
  <si>
    <t>*OPS-Codes 5-323 to 5-328 correspondance to OPS  (1) segment resection and bi-segment resection of the lung, (2) simple/extended lobectomy and bi-lobectomy of the lung, (3) simple/extended 
(pleuro-)pneum(on)ectomy)</t>
  </si>
  <si>
    <t>**OPS-Codes 5-319.14, 5-319.15, 5-320.0 correspondance to OPS (1) bronchoscopic dilation of the trachea with insertion of a synthetic splint (stent), (2) bronchoscopic dilation of the trachea with insertion of a metal 
splint (stent) (3) bronchoscopic excision or destruction of diseased tissue</t>
  </si>
  <si>
    <t xml:space="preserve">   Institution identification (II) 
   number</t>
  </si>
  <si>
    <t xml:space="preserve">   Clinical sites number</t>
  </si>
  <si>
    <t>No</t>
  </si>
  <si>
    <t>Lung Cancer Centre Bydgoszcz</t>
  </si>
  <si>
    <t>Oncology Centre Bydgoszcz</t>
  </si>
  <si>
    <t>Zimbabwe</t>
  </si>
  <si>
    <t>8a</t>
  </si>
  <si>
    <t>8b</t>
  </si>
  <si>
    <r>
      <rPr>
        <b/>
        <sz val="8"/>
        <rFont val="Arial"/>
        <family val="2"/>
      </rPr>
      <t xml:space="preserve">Expertise cooperating treatment unit
</t>
    </r>
    <r>
      <rPr>
        <sz val="8"/>
        <rFont val="Arial"/>
        <family val="2"/>
      </rPr>
      <t xml:space="preserve">Cross-centre data: this means that all cases in a treatment unit are counted. This applies in particular when a treatment unit is the cooperation partner of several centres (e.g. pathology: cooperation with 2 independent cancer centres). For these indicators the emphasis is on the expertise of the treatment unit and not on the indicator.
</t>
    </r>
  </si>
  <si>
    <t>aaaaaaaaaaaaaaaaaaaaaaaaaaaaaaaaaaaaaaaaaaaaaaaaaaaaaa</t>
  </si>
  <si>
    <t>Radiotherapy 1</t>
  </si>
  <si>
    <t>Radiotherapy 2</t>
  </si>
  <si>
    <t>Radiotherapy 3</t>
  </si>
  <si>
    <t>Radiotherapy 4</t>
  </si>
  <si>
    <t>Patients with recent recurrence and/or distant metastases (for definition see CR LC 1.2.6.a)</t>
  </si>
  <si>
    <t>Presentation of new recurrences and/or distant metastases in the tumour board</t>
  </si>
  <si>
    <t>Patients with new recurrence and/or remote metastases after prior curative treatment (for definition see CR LC 1.2.6.a)
(= indicator 1b)</t>
  </si>
  <si>
    <t>Videothoracoscopic (VATS) and/or robotic-assisted (RATS) anatomic resections</t>
  </si>
  <si>
    <t>Documentation of videothoracoscopic (VATS) and/or robotic-assisted (RATS) anatomic resections</t>
  </si>
  <si>
    <t>Operations of the denominator performed videothoracoscopically (VATS) and/or robot-assisted (RATS)</t>
  </si>
  <si>
    <t>Neoadjuvant or perioperative systemic therapy in pre-therapeutic / clinical stage IIB-IIIA</t>
  </si>
  <si>
    <t>Neoadjuvant or perioperative systemic therapy as frequently as possible in pre-therapeutic / clinical stage IIB -IIIA</t>
  </si>
  <si>
    <t>Primary cases of the denominator with neoadjuvant or perioperative systemic therapy</t>
  </si>
  <si>
    <t>Primary surgical cases in pre-therapeutic / clinical stage IIB -IIIA</t>
  </si>
  <si>
    <t>Optional</t>
  </si>
  <si>
    <t xml:space="preserve">Molecular pathological examination for curative tumor resection. </t>
  </si>
  <si>
    <t>If possible, frequent molecular pathology testing for EGFR mutations for curative tumor resection, NSCLC stage IB-IIIA</t>
  </si>
  <si>
    <t xml:space="preserve">27
</t>
  </si>
  <si>
    <t xml:space="preserve">28
</t>
  </si>
  <si>
    <t>Name der Studie</t>
  </si>
  <si>
    <t xml:space="preserve">           Total:</t>
  </si>
  <si>
    <t>List of Studies</t>
  </si>
  <si>
    <r>
      <rPr>
        <u/>
        <sz val="8"/>
        <color theme="1"/>
        <rFont val="Arial"/>
        <family val="2"/>
      </rPr>
      <t>Please note:</t>
    </r>
    <r>
      <rPr>
        <sz val="8"/>
        <color theme="1"/>
        <rFont val="Arial"/>
        <family val="2"/>
      </rPr>
      <t xml:space="preserve"> Study patients can be counted for 2 centers, provided that the sending center itself conducts at least one study for patients of the Lung Cancer Center. If this counting method is chosen (optional), the center must show how many patients are included in studies in its own center, sent to other centers/clinics for study participation and transferred from other centers/clinics for study participation.</t>
    </r>
    <r>
      <rPr>
        <sz val="9"/>
        <color theme="1"/>
        <rFont val="Arial"/>
        <family val="2"/>
      </rPr>
      <t xml:space="preserve">
</t>
    </r>
    <r>
      <rPr>
        <b/>
        <sz val="9"/>
        <color rgb="FFFF0000"/>
        <rFont val="Arial"/>
        <family val="2"/>
      </rPr>
      <t>This regulation does not apply to patients who are sent to another clinical site within a multi-site Lung Cancer Center.</t>
    </r>
  </si>
  <si>
    <t>Responsible co-operation partner</t>
  </si>
  <si>
    <t>Name of the study</t>
  </si>
  <si>
    <t>Number of centre patients recruited in the indicator year</t>
  </si>
  <si>
    <t>Verantwortlicher Kooperationspartner</t>
  </si>
  <si>
    <t>im eigenen Zentrum in eine Studie eingeschlossen wurden</t>
  </si>
  <si>
    <t>von anderen Zentren/ Kliniken in eine Studie im eigenen Zentrum eingeschlossen wurden</t>
  </si>
  <si>
    <t>in anderen Zentren/ Kliniken in eine Studie eingeschlossen wurden</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</si>
  <si>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</si>
  <si>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</si>
  <si>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</si>
  <si>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</si>
  <si>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</si>
  <si>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</si>
  <si>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</si>
  <si>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</si>
  <si>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 xml:space="preserve">    Institution identification (II) number</t>
  </si>
  <si>
    <t xml:space="preserve">     Clinical sites number</t>
  </si>
  <si>
    <r>
      <rPr>
        <b/>
        <u/>
        <sz val="8"/>
        <rFont val="Arial"/>
        <family val="2"/>
      </rPr>
      <t>Note:</t>
    </r>
    <r>
      <rPr>
        <sz val="8"/>
        <rFont val="Arial"/>
        <family val="2"/>
      </rPr>
      <t xml:space="preserve">
**OPS-Codes 5-319.14, 5-319.15, 5-320.0 correspondance to OPS  (1) bronchoscopic dilation of the trachea with insertion of a synthetic splint (stent), (2) bronchoscopic dilation of the trachea with insertion of a metal splint (stent) (3) bronchoscopic excision or destruction of diseased tissue</t>
    </r>
  </si>
  <si>
    <t>FAL-Z-075</t>
  </si>
  <si>
    <t>EBUS with TBNA</t>
  </si>
  <si>
    <t>Endobronchial ultrasound with TBNA - per service provider</t>
  </si>
  <si>
    <r>
      <t xml:space="preserve">who were included in a study at their own clinical sites </t>
    </r>
    <r>
      <rPr>
        <b/>
        <sz val="9"/>
        <color theme="1"/>
        <rFont val="Arial"/>
        <family val="2"/>
      </rPr>
      <t>(mandatory for all LCs)</t>
    </r>
  </si>
  <si>
    <r>
      <t xml:space="preserve">who have been included in a study at another clinical site of their own center </t>
    </r>
    <r>
      <rPr>
        <b/>
        <sz val="9"/>
        <color theme="1"/>
        <rFont val="Arial"/>
        <family val="2"/>
      </rPr>
      <t>(obligatory for multiple clinical sites)</t>
    </r>
  </si>
  <si>
    <r>
      <t xml:space="preserve">who were included in a study at their own center by other centres/ clinics </t>
    </r>
    <r>
      <rPr>
        <b/>
        <sz val="9"/>
        <color theme="1"/>
        <rFont val="Arial"/>
        <family val="2"/>
      </rPr>
      <t>(optional)</t>
    </r>
  </si>
  <si>
    <r>
      <t xml:space="preserve">who were included in a study in other centers/ clinics </t>
    </r>
    <r>
      <rPr>
        <b/>
        <sz val="9"/>
        <color theme="1"/>
        <rFont val="Arial"/>
        <family val="2"/>
      </rPr>
      <t>(optional)</t>
    </r>
  </si>
  <si>
    <t>Annex CR Version J2.1 (Audit year 2026 / Indicator year 2025)</t>
  </si>
  <si>
    <t xml:space="preserve">   Surgical primary cases with
   anatomical lung resection
   (OPS [German procedure
   classification]: 5-323 to 
   5-328)</t>
  </si>
  <si>
    <t>**OPS-Codes 5-339.04, 5-339.05, 5-339.06,5-339.07, 5-339.08, 5-339.09,5-339.0a, 5-339.0b correspondance to OPS (1) Dilatation of a bronchus, bronchoscopic with insertion of a guard (stent), synthetic, (2) Dilatation of a bronchus, bronchoscopic with insertion of a guard (stent), metal, (3) Dilatation of a bronchus, bronchoscopic with placement or replacement of a bifurcation stent, (4) Dilatation of a bronchus, bronchoscopic with implantation of 2 stents, plastic, (5) Dilatation of a bronchus, bronchoscopic with implantation of 2 stents, metal, (6) Dilatation of a bronchus, bronchoscopic with implantation of 3 or more stents, plastic, (7) Dilatation of a bronchus, bronchoscopic with implantation of 3 or more stents, metal, (8) Dilatation of a bronchus, bronchoscopic with implantation or replacement of 2 or more bifurcation stents</t>
  </si>
  <si>
    <t>Primary cases of the denominator that were presented in the postoperative tumour board</t>
  </si>
  <si>
    <t>If possible, frequent investigation of at least EGFR mutations in exons 18-21 and BRAF V600 mutations and ALK fusions and ROS1 fusions and RET fusions and NTRK1-3 fusions in primary cases with NSCLC stage IV</t>
  </si>
  <si>
    <t>Interventional surgery (thermal procedures and stenting) for each service provider 
(OPS: 5-319.14, 5-319.15, 5-320.0,
5-339.04, 5-339.05, 5-339.06,
5-339.07, 5-339.08, 5-339.09,
5-339.0a, 5-339.0b)</t>
  </si>
  <si>
    <t>Interventional surgery (thermal procedures and stenting) for each service provider 
(OPS: 5-319.14, 5-319.15,
5-320.0, 5-339.04, 
5-339.05, 5-339.06,
5-339.07, 5-339.08,
5-339.09, 5-339.0a,
5-339.0b)</t>
  </si>
  <si>
    <t>&lt; 75%</t>
  </si>
  <si>
    <r>
      <rPr>
        <b/>
        <u/>
        <sz val="8"/>
        <rFont val="Arial"/>
        <family val="2"/>
      </rPr>
      <t>Processing remarks:</t>
    </r>
    <r>
      <rPr>
        <sz val="8"/>
        <rFont val="Arial"/>
        <family val="2"/>
      </rPr>
      <t xml:space="preserve">
1) Per operation date 1 procedure (= 1 OPS-Code) can be counted (also in the case of a bilateral procedure); for sequential or metachronous procedures 1 additional procedure can be counted.
2) Non-surgical primary cases are primary cases without surgery and primary cases which were operated on without anatomical lung resection.
3) The optional survey of non-small cell lung carcinomas (NSCLC) serves to improve the coverage of the patient collective that is eligible for molecular pathological examinations.               
The fields are inter-dependent. Each line should, therefore, be completely processed from left to right and continuously from top to bottom. Grey fields must be processed. The processing of the Excel template should be done with Microsoft Office 2010 or one of the later versions. Microsoft Office 2007 can be used with some constraints (e.g. information buttons are not displayed). Earlier versions of Microsoft Office 2007 are not suitable for processing the Excel template. All numbers and texts must be entered manually (not using copy/ paste function; the exception are data which are imported from OncoBox. Each change to the basic data leads to a change in the Indicator Sheet. The document "Specifications Data Quality" sets out the basic principles for data assessment as part of the audit process. In particular details are given of how to deal with indicators where the target value is not met (download from www.onkozert.de; section Remarks).</t>
    </r>
  </si>
  <si>
    <t>Pathology 1</t>
  </si>
  <si>
    <t>Pathology 2</t>
  </si>
  <si>
    <t>Pathology 3</t>
  </si>
  <si>
    <t>Pathology 4</t>
  </si>
  <si>
    <t>Pulmonology 1</t>
  </si>
  <si>
    <t>Pulmonology 2</t>
  </si>
  <si>
    <t>Pulmonology 3</t>
  </si>
  <si>
    <t>Pulmonology 4</t>
  </si>
  <si>
    <r>
      <rPr>
        <b/>
        <u/>
        <sz val="8"/>
        <rFont val="Arial"/>
        <family val="2"/>
      </rPr>
      <t xml:space="preserve">Editing note: </t>
    </r>
    <r>
      <rPr>
        <sz val="8"/>
        <rFont val="Arial"/>
        <family val="2"/>
      </rPr>
      <t xml:space="preserve">This spreadsheet is only to be edited by multi-site lung cancer centres with 2 or 3 thoracic surgery departments.
</t>
    </r>
    <r>
      <rPr>
        <b/>
        <sz val="8"/>
        <rFont val="Arial"/>
        <family val="2"/>
      </rPr>
      <t xml:space="preserve">Operative expertise TSUR multi-site lung cancer centres:
</t>
    </r>
    <r>
      <rPr>
        <sz val="8"/>
        <rFont val="Arial"/>
        <family val="2"/>
      </rPr>
      <t xml:space="preserve">The Indicators for the assessment of the operative quality are to be presented separately by each thoracic surgery/ location.  </t>
    </r>
  </si>
  <si>
    <t>Total %</t>
  </si>
  <si>
    <r>
      <t xml:space="preserve">If target value is not met please give reasons / cause per TSUR
</t>
    </r>
    <r>
      <rPr>
        <sz val="8"/>
        <rFont val="Arial"/>
        <family val="2"/>
      </rPr>
      <t>(min. 30 characters / max. 500 characters)</t>
    </r>
  </si>
  <si>
    <t>Data quality per TSUR</t>
  </si>
  <si>
    <t>The Catalogue of Requirements is based on the TNM classification of malignant tumours, 8th edition 2017, ICD classification ICD-10-GM 2025 (BfARM) and the OPS classification OPS 2025 (BfARM).</t>
  </si>
  <si>
    <t>D-Flow Onco (vormals OncoAssist)</t>
  </si>
  <si>
    <t>Stand: 26.09.2025</t>
  </si>
  <si>
    <t>Countable OPS codes for indicator 12
(“Ratio of bronchial/angioplasty operations to pneumonectomies”)</t>
  </si>
  <si>
    <t>For indicator 12 (“Ratio of bronchial/angioplasty operations to pneumonectomies”), the OPS codes listed below can be counted for primary cases:</t>
  </si>
  <si>
    <t>5-324 Simple lobectomy and bilobectomy of lung</t>
  </si>
  <si>
    <t>Bilobectomy without radical lymphadenectomy, open surgical with bronchoplasty extension</t>
  </si>
  <si>
    <t>Bilobectomy without radical lymphadenectomy, open surgical with angioplasty extension</t>
  </si>
  <si>
    <t>Bilobectomy with radical lymphadenectomy, open surgical with bronchoplasty extension</t>
  </si>
  <si>
    <t>Bilobectomy with radical lymphadenectomy, open surgical with angioplasty extension</t>
  </si>
  <si>
    <t>Bilobectomy with radical lymphadenectomy, open surgical with bronchoplasty and angioplasty extension</t>
  </si>
  <si>
    <t>Lobectomy, unilateral without radical lymphadenectomy, thoracoscopic: With bronchoplasty extension</t>
  </si>
  <si>
    <t xml:space="preserve">5-324.72 </t>
  </si>
  <si>
    <t>Lobectomy, unilateral with radical lymphadenectomy, thoracoscopic, with bronchoplastic 
dilatation</t>
  </si>
  <si>
    <t>5-324.73</t>
  </si>
  <si>
    <t>Lobectomy, unilateral with radical lymphadenectomy, thoracoscopic, with angioplastic
dilatation</t>
  </si>
  <si>
    <t>5-324.74</t>
  </si>
  <si>
    <t>Lobectomy, unilateral with radical lymphadenectomy, thoracoscopic, with bronchoplastic and 
angioplastic dilation</t>
  </si>
  <si>
    <t>Lobectomy without radical lymphadenectomy, open surgical with bronchoplasty extension</t>
  </si>
  <si>
    <t>Lobectomy without radical lymphadenectomy, open surgical with angioplasty extension</t>
  </si>
  <si>
    <t>Lobectomy without radical lymphadenectomy, open surgical with bronchoplasty and angioplasty extension</t>
  </si>
  <si>
    <t>Lobectomy with radical lymphadenectomy, open surgical with bronchoplasty extension</t>
  </si>
  <si>
    <t>Lobectomy with radical lymphadenectomy, open surgical with angioplasty extension</t>
  </si>
  <si>
    <t>Lobectomy with radical lymphadenectomy, open surgical with bronchoplasty and angioplasty extension</t>
  </si>
  <si>
    <t>Other: With bronchoplasty extension</t>
  </si>
  <si>
    <t xml:space="preserve"> Other: With angioplasty extension</t>
  </si>
  <si>
    <t xml:space="preserve"> Other: With bronchoplasty and angioplasty extension</t>
  </si>
  <si>
    <t>5-325 Extended lobectomy and bilobectomy of lung</t>
  </si>
  <si>
    <t>Lobectomy with bronchoplasty extension (bronchial sleeve)</t>
  </si>
  <si>
    <t>Lobectomy with angioplasty extension (vascular sleeve)</t>
  </si>
  <si>
    <t>Lobectomy with bronchoplasty and angioplasty extension (bronchial and vascular sleeve)</t>
  </si>
  <si>
    <t>Lobectomy with bifurcation resection</t>
  </si>
  <si>
    <t>Bilobectomy with bronchoplasty extension (bronchial sleeve)</t>
  </si>
  <si>
    <t>Bilobectomy with angioplasty extension (vascular sleeve)</t>
  </si>
  <si>
    <t>Bilobectomy with bronchoplasty and angioplasty extension (bronchial and vascular sleeve)</t>
  </si>
  <si>
    <t>Bilobectomy with bifurcation resection</t>
  </si>
  <si>
    <t>5-327 Simple (pleuro-)pneum(on)ectomy</t>
  </si>
  <si>
    <t xml:space="preserve">Pneum(on)ectomy without radical lymphadenectomy </t>
  </si>
  <si>
    <t xml:space="preserve">Pneum(on)ectomy with radical lymphadenectomy </t>
  </si>
  <si>
    <t xml:space="preserve">Pneum(on)ectomy with contralateral pulmonary resection, without radical lymphadenectomy </t>
  </si>
  <si>
    <t xml:space="preserve">Pneum(on)ectomy with contralateral pulmonary resection, with radical lymphadenectomy </t>
  </si>
  <si>
    <t xml:space="preserve">Pleuropneum(on)ectomy without radical lymphadenectomy </t>
  </si>
  <si>
    <t xml:space="preserve">Pleuropneum(on)ectomy with radical lymphadenectomy </t>
  </si>
  <si>
    <t xml:space="preserve">Pleuropneum(on)ectomy with contralateral pulmonary resection, with radical lymphadenectomy </t>
  </si>
  <si>
    <t xml:space="preserve">Other </t>
  </si>
  <si>
    <t xml:space="preserve">Unspecified </t>
  </si>
  <si>
    <t>5-328 Extended (pleuro-)pneum(on)ectomy</t>
  </si>
  <si>
    <t xml:space="preserve">Pneum(on)ectomy </t>
  </si>
  <si>
    <t xml:space="preserve">Pneum(on)ectomy as sleeve pneumectomy </t>
  </si>
  <si>
    <t xml:space="preserve"> Pneum(on)ectomy with contralateral pulmonary resection </t>
  </si>
  <si>
    <t xml:space="preserve"> Pleuropneum(on)ectomy </t>
  </si>
  <si>
    <t xml:space="preserve">Pleuropneum(on)ectomy as sleeve pneumectomy </t>
  </si>
  <si>
    <t xml:space="preserve">Pleuropneum(on)ectomy with contralateral pulmonary resection </t>
  </si>
  <si>
    <t xml:space="preserve">Pleuropneum(on)ectomy with diaphragm and pericardial resection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</si>
</sst>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0.0%"/>
    <numFmt numFmtId="166" formatCode="0.0"/>
    <numFmt numFmtId="167" formatCode="0.000%"/>
  </numFmts>
  <fonts count="170" x14ac:knownFonts="1">
    <font>
      <sz val="11"/>
      <color theme="1"/>
      <name val="Calibri"/>
      <family val="2"/>
      <scheme val="minor"/>
    </font>
    <font>
      <sz val="10"/>
      <color theme="1"/>
      <name val="Arial"/>
      <family val="2"/>
    </font>
    <font>
      <sz val="10"/>
      <color theme="1"/>
      <name val="Arial"/>
      <family val="2"/>
    </font>
    <font>
      <sz val="11"/>
      <color indexed="8"/>
      <name val="Calibri"/>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vertAlign val="superscript"/>
      <sz val="8"/>
      <name val="Arial"/>
      <family val="2"/>
    </font>
    <font>
      <sz val="7"/>
      <name val="Arial"/>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8"/>
      <color indexed="8"/>
      <name val="Calibri"/>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sz val="6"/>
      <color indexed="8"/>
      <name val="Arial"/>
      <family val="2"/>
    </font>
    <font>
      <sz val="6"/>
      <name val="Arial"/>
      <family val="2"/>
    </font>
    <font>
      <sz val="9"/>
      <color indexed="81"/>
      <name val="Arial"/>
      <family val="2"/>
    </font>
    <font>
      <sz val="8"/>
      <name val="Calibri"/>
      <family val="2"/>
    </font>
    <font>
      <sz val="11"/>
      <color indexed="8"/>
      <name val="Calibri"/>
      <family val="2"/>
    </font>
    <font>
      <sz val="11"/>
      <color indexed="10"/>
      <name val="Arial"/>
      <family val="2"/>
    </font>
    <font>
      <b/>
      <sz val="18"/>
      <color indexed="56"/>
      <name val="Cambria"/>
      <family val="2"/>
    </font>
    <font>
      <b/>
      <sz val="15"/>
      <color indexed="56"/>
      <name val="Calibri"/>
      <family val="2"/>
    </font>
    <font>
      <b/>
      <sz val="11"/>
      <color indexed="56"/>
      <name val="Calibri"/>
      <family val="2"/>
    </font>
    <font>
      <sz val="11"/>
      <color indexed="10"/>
      <name val="Calibri"/>
      <family val="2"/>
    </font>
    <font>
      <b/>
      <sz val="13"/>
      <color indexed="56"/>
      <name val="Calibri"/>
      <family val="2"/>
    </font>
    <font>
      <b/>
      <u/>
      <sz val="8"/>
      <color indexed="8"/>
      <name val="Arial"/>
      <family val="2"/>
    </font>
    <font>
      <b/>
      <sz val="14"/>
      <color indexed="53"/>
      <name val="Arial"/>
      <family val="2"/>
    </font>
    <font>
      <sz val="8"/>
      <color indexed="81"/>
      <name val="Arial"/>
      <family val="2"/>
    </font>
    <font>
      <b/>
      <sz val="8"/>
      <color indexed="8"/>
      <name val="Calibri"/>
      <family val="2"/>
    </font>
    <font>
      <sz val="11"/>
      <color indexed="23"/>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
      <color indexed="9"/>
      <name val="Arial"/>
      <family val="2"/>
    </font>
    <font>
      <b/>
      <sz val="8"/>
      <color indexed="10"/>
      <name val="Arial"/>
      <family val="2"/>
    </font>
    <font>
      <strike/>
      <sz val="8"/>
      <name val="Arial"/>
      <family val="2"/>
    </font>
    <font>
      <u/>
      <sz val="8"/>
      <color indexed="8"/>
      <name val="Arial"/>
      <family val="2"/>
    </font>
    <font>
      <sz val="8"/>
      <color indexed="10"/>
      <name val="Calibri"/>
      <family val="2"/>
    </font>
    <font>
      <vertAlign val="subscript"/>
      <sz val="8"/>
      <name val="Arial"/>
      <family val="2"/>
    </font>
    <font>
      <b/>
      <u/>
      <sz val="8"/>
      <name val="Arial"/>
      <family val="2"/>
    </font>
    <font>
      <sz val="11"/>
      <color indexed="8"/>
      <name val="Calibri"/>
      <family val="2"/>
    </font>
    <font>
      <b/>
      <sz val="11"/>
      <color indexed="8"/>
      <name val="Calibri"/>
      <family val="2"/>
    </font>
    <font>
      <b/>
      <sz val="10"/>
      <color indexed="53"/>
      <name val="Arial"/>
      <family val="2"/>
    </font>
    <font>
      <sz val="10"/>
      <color indexed="8"/>
      <name val="Arial"/>
      <family val="2"/>
    </font>
    <font>
      <sz val="11"/>
      <name val="Calibri"/>
      <family val="2"/>
    </font>
    <font>
      <sz val="9"/>
      <color indexed="8"/>
      <name val="Arial"/>
      <family val="2"/>
    </font>
    <font>
      <sz val="8"/>
      <color indexed="8"/>
      <name val="Arial"/>
      <family val="2"/>
    </font>
    <font>
      <sz val="8"/>
      <color indexed="30"/>
      <name val="Arial"/>
      <family val="2"/>
    </font>
    <font>
      <sz val="11"/>
      <color indexed="8"/>
      <name val="Arial"/>
      <family val="2"/>
    </font>
    <font>
      <sz val="8"/>
      <color indexed="53"/>
      <name val="Arial"/>
      <family val="2"/>
    </font>
    <font>
      <b/>
      <sz val="10"/>
      <color indexed="8"/>
      <name val="Arial"/>
      <family val="2"/>
    </font>
    <font>
      <b/>
      <sz val="9"/>
      <color indexed="8"/>
      <name val="Arial"/>
      <family val="2"/>
    </font>
    <font>
      <sz val="6"/>
      <name val="Calibri"/>
      <family val="2"/>
    </font>
    <font>
      <sz val="9"/>
      <color indexed="8"/>
      <name val="Calibri"/>
      <family val="2"/>
    </font>
    <font>
      <sz val="8"/>
      <name val="Arial Narrow"/>
      <family val="2"/>
    </font>
    <font>
      <b/>
      <sz val="8"/>
      <color indexed="8"/>
      <name val="Arial Narrow"/>
      <family val="2"/>
    </font>
    <font>
      <b/>
      <sz val="8"/>
      <color indexed="8"/>
      <name val="Arial"/>
      <family val="2"/>
    </font>
    <font>
      <b/>
      <sz val="8"/>
      <color indexed="53"/>
      <name val="Arial"/>
      <family val="2"/>
    </font>
    <font>
      <sz val="8"/>
      <color indexed="8"/>
      <name val="Arial"/>
      <family val="2"/>
    </font>
    <font>
      <sz val="11"/>
      <name val="Arial Narrow"/>
      <family val="2"/>
    </font>
    <font>
      <sz val="8"/>
      <color indexed="23"/>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sz val="10"/>
      <color indexed="8"/>
      <name val="Arial"/>
      <family val="2"/>
    </font>
    <font>
      <sz val="8"/>
      <color indexed="8"/>
      <name val="Arial"/>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sz val="11"/>
      <color rgb="FFFF0000"/>
      <name val="Calibri"/>
      <family val="2"/>
      <scheme val="minor"/>
    </font>
    <font>
      <sz val="8"/>
      <color theme="1"/>
      <name val="Arial"/>
      <family val="2"/>
    </font>
    <font>
      <sz val="10"/>
      <color theme="1"/>
      <name val="Arial"/>
      <family val="2"/>
    </font>
    <font>
      <sz val="9"/>
      <color rgb="FFFF0000"/>
      <name val="Arial"/>
      <family val="2"/>
    </font>
    <font>
      <sz val="8"/>
      <color theme="1"/>
      <name val="Arial Narrow"/>
      <family val="2"/>
    </font>
    <font>
      <sz val="11"/>
      <color theme="1"/>
      <name val="Arial Narrow"/>
      <family val="2"/>
    </font>
    <font>
      <strike/>
      <sz val="8"/>
      <color theme="1"/>
      <name val="Arial"/>
      <family val="2"/>
    </font>
    <font>
      <b/>
      <sz val="12"/>
      <color indexed="8"/>
      <name val="Arial"/>
      <family val="2"/>
    </font>
    <font>
      <sz val="8"/>
      <color indexed="55"/>
      <name val="Arial"/>
      <family val="2"/>
    </font>
    <font>
      <sz val="11"/>
      <color theme="1"/>
      <name val="Arial"/>
      <family val="2"/>
    </font>
    <font>
      <sz val="8"/>
      <color rgb="FFFF0000"/>
      <name val="Arial"/>
      <family val="2"/>
    </font>
    <font>
      <sz val="10"/>
      <color rgb="FFFF0000"/>
      <name val="Arial"/>
      <family val="2"/>
    </font>
    <font>
      <b/>
      <sz val="10"/>
      <color theme="1"/>
      <name val="Arial"/>
      <family val="2"/>
    </font>
    <font>
      <b/>
      <sz val="11"/>
      <color theme="1"/>
      <name val="Arial"/>
      <family val="2"/>
    </font>
    <font>
      <sz val="9"/>
      <color theme="1"/>
      <name val="Arial"/>
      <family val="2"/>
    </font>
    <font>
      <vertAlign val="superscript"/>
      <sz val="9"/>
      <color theme="1"/>
      <name val="Arial"/>
      <family val="2"/>
    </font>
    <font>
      <b/>
      <u/>
      <sz val="8"/>
      <color theme="1"/>
      <name val="Arial"/>
      <family val="2"/>
    </font>
    <font>
      <vertAlign val="superscript"/>
      <sz val="9"/>
      <name val="Arial"/>
      <family val="2"/>
    </font>
    <font>
      <vertAlign val="superscript"/>
      <sz val="7"/>
      <name val="Arial"/>
      <family val="2"/>
    </font>
    <font>
      <vertAlign val="superscript"/>
      <sz val="10"/>
      <color theme="1"/>
      <name val="Arial"/>
      <family val="2"/>
    </font>
    <font>
      <sz val="8"/>
      <color rgb="FFFF0000"/>
      <name val="Arial Narrow"/>
      <family val="2"/>
    </font>
    <font>
      <strike/>
      <sz val="8"/>
      <color rgb="FFFF0000"/>
      <name val="Arial Narrow"/>
      <family val="2"/>
    </font>
    <font>
      <strike/>
      <sz val="8"/>
      <color rgb="FFFF0000"/>
      <name val="Arial Narrow"/>
      <family val="2"/>
      <charset val="238"/>
    </font>
    <font>
      <sz val="8"/>
      <name val="Arial Narrow"/>
      <family val="2"/>
      <charset val="238"/>
    </font>
    <font>
      <sz val="8"/>
      <name val="Arial"/>
      <family val="2"/>
      <charset val="238"/>
    </font>
    <font>
      <sz val="8"/>
      <name val="Calibri"/>
      <family val="2"/>
      <charset val="238"/>
    </font>
    <font>
      <b/>
      <sz val="11"/>
      <color indexed="8"/>
      <name val="Calibri"/>
      <family val="2"/>
      <scheme val="minor"/>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11"/>
      <color indexed="53"/>
      <name val="Calibri"/>
      <family val="2"/>
      <scheme val="minor"/>
    </font>
    <font>
      <b/>
      <sz val="12"/>
      <color theme="1"/>
      <name val="Arial"/>
      <family val="2"/>
    </font>
    <font>
      <sz val="10"/>
      <color theme="0" tint="-0.499984740745262"/>
      <name val="Arial"/>
      <family val="2"/>
    </font>
    <font>
      <vertAlign val="superscript"/>
      <sz val="10"/>
      <color theme="0" tint="-0.499984740745262"/>
      <name val="Arial"/>
      <family val="2"/>
    </font>
    <font>
      <b/>
      <sz val="10"/>
      <color theme="0" tint="-0.499984740745262"/>
      <name val="Arial"/>
      <family val="2"/>
    </font>
    <font>
      <sz val="8"/>
      <color theme="1" tint="0.34998626667073579"/>
      <name val="Arial"/>
      <family val="2"/>
    </font>
    <font>
      <sz val="6"/>
      <color theme="1" tint="0.34998626667073579"/>
      <name val="Arial"/>
      <family val="2"/>
    </font>
    <font>
      <sz val="11"/>
      <color theme="1" tint="0.34998626667073579"/>
      <name val="Calibri"/>
      <family val="2"/>
    </font>
    <font>
      <sz val="8"/>
      <color theme="1" tint="0.34998626667073579"/>
      <name val="Arial Narrow"/>
      <family val="2"/>
    </font>
    <font>
      <b/>
      <sz val="8"/>
      <color theme="1" tint="0.34998626667073579"/>
      <name val="Arial"/>
      <family val="2"/>
    </font>
    <font>
      <sz val="6"/>
      <color theme="1" tint="0.34998626667073579"/>
      <name val="Calibri"/>
      <family val="2"/>
    </font>
    <font>
      <strike/>
      <sz val="8"/>
      <color theme="1" tint="0.34998626667073579"/>
      <name val="Arial Narrow"/>
      <family val="2"/>
    </font>
    <font>
      <strike/>
      <sz val="8"/>
      <color theme="1" tint="0.34998626667073579"/>
      <name val="Arial Narrow"/>
      <family val="2"/>
      <charset val="238"/>
    </font>
    <font>
      <sz val="9"/>
      <name val="Calibri"/>
      <family val="2"/>
    </font>
    <font>
      <sz val="6"/>
      <color indexed="8"/>
      <name val="Calibri"/>
      <family val="2"/>
    </font>
    <font>
      <sz val="6"/>
      <color theme="1"/>
      <name val="Arial"/>
      <family val="2"/>
    </font>
    <font>
      <sz val="11"/>
      <color theme="1"/>
      <name val="Calibri"/>
      <family val="2"/>
    </font>
    <font>
      <sz val="6"/>
      <color theme="1"/>
      <name val="Calibri"/>
      <family val="2"/>
    </font>
    <font>
      <b/>
      <sz val="9"/>
      <color indexed="81"/>
      <name val="Arial"/>
      <family val="2"/>
    </font>
    <font>
      <strike/>
      <sz val="8"/>
      <name val="Arial Narrow"/>
      <family val="2"/>
      <charset val="238"/>
    </font>
    <font>
      <strike/>
      <sz val="7"/>
      <color rgb="FF00B050"/>
      <name val="Arial"/>
      <family val="2"/>
    </font>
    <font>
      <strike/>
      <sz val="8"/>
      <color theme="1"/>
      <name val="Arial Narrow"/>
      <family val="2"/>
    </font>
    <font>
      <strike/>
      <sz val="8"/>
      <color theme="1"/>
      <name val="Arial Narrow"/>
      <family val="2"/>
      <charset val="238"/>
    </font>
    <font>
      <sz val="8"/>
      <name val="Calibri"/>
      <family val="2"/>
      <scheme val="minor"/>
    </font>
    <font>
      <b/>
      <sz val="9"/>
      <color rgb="FFFF0000"/>
      <name val="Arial"/>
      <family val="2"/>
    </font>
    <font>
      <sz val="9"/>
      <color theme="1"/>
      <name val="Calibri"/>
      <family val="2"/>
      <scheme val="minor"/>
    </font>
    <font>
      <u/>
      <sz val="8"/>
      <color theme="1"/>
      <name val="Arial"/>
      <family val="2"/>
    </font>
    <font>
      <b/>
      <sz val="9"/>
      <color theme="1"/>
      <name val="Arial"/>
      <family val="2"/>
    </font>
    <font>
      <sz val="10"/>
      <color indexed="81"/>
      <name val="Arial"/>
      <family val="2"/>
    </font>
  </fonts>
  <fills count="94">
    <fill>
      <patternFill patternType="none"/>
    </fill>
    <fill>
      <patternFill patternType="gray125"/>
    </fill>
    <fill>
      <patternFill patternType="solid">
        <fgColor indexed="31"/>
      </patternFill>
    </fill>
    <fill>
      <patternFill patternType="solid">
        <fgColor indexed="44"/>
      </patternFill>
    </fill>
    <fill>
      <patternFill patternType="solid">
        <fgColor indexed="41"/>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29"/>
      </patternFill>
    </fill>
    <fill>
      <patternFill patternType="solid">
        <fgColor indexed="11"/>
      </patternFill>
    </fill>
    <fill>
      <patternFill patternType="solid">
        <fgColor indexed="43"/>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3"/>
      </patternFill>
    </fill>
    <fill>
      <patternFill patternType="solid">
        <fgColor indexed="10"/>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gray0625">
        <fgColor indexed="23"/>
        <bgColor indexed="9"/>
      </patternFill>
    </fill>
    <fill>
      <patternFill patternType="solid">
        <fgColor indexed="43"/>
        <bgColor indexed="64"/>
      </patternFill>
    </fill>
    <fill>
      <patternFill patternType="solid">
        <fgColor indexed="44"/>
        <bgColor indexed="64"/>
      </patternFill>
    </fill>
    <fill>
      <patternFill patternType="solid">
        <fgColor indexed="10"/>
        <bgColor indexed="64"/>
      </patternFill>
    </fill>
    <fill>
      <patternFill patternType="solid">
        <fgColor indexed="42"/>
        <bgColor indexed="64"/>
      </patternFill>
    </fill>
    <fill>
      <patternFill patternType="solid">
        <fgColor indexed="55"/>
        <bgColor indexed="64"/>
      </patternFill>
    </fill>
    <fill>
      <patternFill patternType="solid">
        <fgColor indexed="11"/>
        <bgColor indexed="64"/>
      </patternFill>
    </fill>
    <fill>
      <patternFill patternType="solid">
        <fgColor indexed="13"/>
        <bgColor indexed="64"/>
      </patternFill>
    </fill>
    <fill>
      <patternFill patternType="solid">
        <fgColor indexed="44"/>
        <bgColor indexed="9"/>
      </patternFill>
    </fill>
    <fill>
      <patternFill patternType="solid">
        <fgColor indexed="22"/>
        <bgColor indexed="64"/>
      </patternFill>
    </fill>
    <fill>
      <patternFill patternType="solid">
        <fgColor indexed="45"/>
        <bgColor indexed="64"/>
      </patternFill>
    </fill>
    <fill>
      <patternFill patternType="solid">
        <fgColor indexed="47"/>
        <bgColor indexed="64"/>
      </patternFill>
    </fill>
    <fill>
      <patternFill patternType="solid">
        <fgColor indexed="26"/>
        <bgColor indexed="64"/>
      </patternFill>
    </fill>
    <fill>
      <patternFill patternType="gray0625">
        <bgColor indexed="44"/>
      </patternFill>
    </fill>
    <fill>
      <patternFill patternType="solid">
        <fgColor indexed="23"/>
        <bgColor indexed="64"/>
      </patternFill>
    </fill>
    <fill>
      <patternFill patternType="gray0625">
        <fgColor indexed="23"/>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C000"/>
        <bgColor indexed="64"/>
      </patternFill>
    </fill>
    <fill>
      <patternFill patternType="solid">
        <fgColor rgb="FFC0C0C0"/>
        <bgColor indexed="64"/>
      </patternFill>
    </fill>
    <fill>
      <patternFill patternType="solid">
        <fgColor theme="0" tint="-0.14999847407452621"/>
        <bgColor indexed="64"/>
      </patternFill>
    </fill>
    <fill>
      <patternFill patternType="lightUp"/>
    </fill>
    <fill>
      <patternFill patternType="solid">
        <fgColor rgb="FF00B050"/>
        <bgColor indexed="64"/>
      </patternFill>
    </fill>
    <fill>
      <patternFill patternType="solid">
        <fgColor theme="9" tint="0.79998168889431442"/>
        <bgColor indexed="64"/>
      </patternFill>
    </fill>
    <fill>
      <patternFill patternType="solid">
        <fgColor rgb="FFFFFFCC"/>
        <bgColor indexed="64"/>
      </patternFill>
    </fill>
    <fill>
      <patternFill patternType="lightDown"/>
    </fill>
    <fill>
      <patternFill patternType="lightDown">
        <bgColor indexed="42"/>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DCE6F1"/>
        <bgColor indexed="64"/>
      </patternFill>
    </fill>
    <fill>
      <patternFill patternType="lightUp">
        <fgColor theme="1"/>
      </patternFill>
    </fill>
    <fill>
      <patternFill patternType="solid">
        <fgColor rgb="FFDCE6F1"/>
        <bgColor indexed="9"/>
      </patternFill>
    </fill>
  </fills>
  <borders count="97">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49"/>
      </bottom>
      <diagonal/>
    </border>
    <border>
      <left/>
      <right/>
      <top/>
      <bottom style="thick">
        <color indexed="62"/>
      </bottom>
      <diagonal/>
    </border>
    <border>
      <left/>
      <right/>
      <top/>
      <bottom style="thick">
        <color indexed="44"/>
      </bottom>
      <diagonal/>
    </border>
    <border>
      <left/>
      <right/>
      <top/>
      <bottom style="thick">
        <color indexed="41"/>
      </bottom>
      <diagonal/>
    </border>
    <border>
      <left/>
      <right/>
      <top/>
      <bottom style="thick">
        <color indexed="22"/>
      </bottom>
      <diagonal/>
    </border>
    <border>
      <left/>
      <right/>
      <top/>
      <bottom style="medium">
        <color indexed="44"/>
      </bottom>
      <diagonal/>
    </border>
    <border>
      <left/>
      <right/>
      <top/>
      <bottom style="medium">
        <color indexed="41"/>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ck">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thin">
        <color indexed="64"/>
      </bottom>
      <diagonal/>
    </border>
    <border>
      <left style="thick">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ck">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ck">
        <color indexed="64"/>
      </top>
      <bottom/>
      <diagonal/>
    </border>
    <border>
      <left/>
      <right/>
      <top style="thick">
        <color indexed="64"/>
      </top>
      <bottom/>
      <diagonal/>
    </border>
    <border>
      <left/>
      <right style="medium">
        <color indexed="64"/>
      </right>
      <top style="medium">
        <color indexed="64"/>
      </top>
      <bottom style="thick">
        <color indexed="64"/>
      </bottom>
      <diagonal/>
    </border>
    <border>
      <left/>
      <right style="thin">
        <color indexed="64"/>
      </right>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thin">
        <color indexed="64"/>
      </left>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style="thin">
        <color indexed="64"/>
      </top>
      <bottom/>
      <diagonal/>
    </border>
    <border>
      <left style="thick">
        <color indexed="64"/>
      </left>
      <right style="medium">
        <color indexed="64"/>
      </right>
      <top style="medium">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medium">
        <color indexed="64"/>
      </left>
      <right style="thick">
        <color indexed="64"/>
      </right>
      <top style="medium">
        <color indexed="64"/>
      </top>
      <bottom/>
      <diagonal/>
    </border>
    <border>
      <left style="medium">
        <color indexed="64"/>
      </left>
      <right style="thick">
        <color indexed="64"/>
      </right>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top style="medium">
        <color indexed="64"/>
      </top>
      <bottom style="thick">
        <color indexed="64"/>
      </bottom>
      <diagonal/>
    </border>
    <border>
      <left style="medium">
        <color indexed="64"/>
      </left>
      <right/>
      <top style="medium">
        <color indexed="64"/>
      </top>
      <bottom style="thick">
        <color indexed="64"/>
      </bottom>
      <diagonal/>
    </border>
    <border>
      <left/>
      <right style="thick">
        <color indexed="64"/>
      </right>
      <top style="medium">
        <color indexed="64"/>
      </top>
      <bottom style="thick">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264">
    <xf numFmtId="0" fontId="0" fillId="0" borderId="0"/>
    <xf numFmtId="0" fontId="93" fillId="2" borderId="0" applyNumberFormat="0" applyBorder="0" applyAlignment="0" applyProtection="0"/>
    <xf numFmtId="0" fontId="93" fillId="2" borderId="0" applyNumberFormat="0" applyBorder="0" applyAlignment="0" applyProtection="0"/>
    <xf numFmtId="0" fontId="93" fillId="3" borderId="0" applyNumberFormat="0" applyBorder="0" applyAlignment="0" applyProtection="0"/>
    <xf numFmtId="0" fontId="93" fillId="44" borderId="0" applyNumberFormat="0" applyBorder="0" applyAlignment="0" applyProtection="0"/>
    <xf numFmtId="0" fontId="93" fillId="3" borderId="0" applyNumberFormat="0" applyBorder="0" applyAlignment="0" applyProtection="0"/>
    <xf numFmtId="0" fontId="93" fillId="4" borderId="0" applyNumberFormat="0" applyBorder="0" applyAlignment="0" applyProtection="0"/>
    <xf numFmtId="0" fontId="93" fillId="44" borderId="0" applyNumberFormat="0" applyBorder="0" applyAlignment="0" applyProtection="0"/>
    <xf numFmtId="0" fontId="93" fillId="4"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93" fillId="5" borderId="0" applyNumberFormat="0" applyBorder="0" applyAlignment="0" applyProtection="0"/>
    <xf numFmtId="0" fontId="93" fillId="5" borderId="0" applyNumberFormat="0" applyBorder="0" applyAlignment="0" applyProtection="0"/>
    <xf numFmtId="0" fontId="93" fillId="6" borderId="0" applyNumberFormat="0" applyBorder="0" applyAlignment="0" applyProtection="0"/>
    <xf numFmtId="0" fontId="93" fillId="45" borderId="0" applyNumberFormat="0" applyBorder="0" applyAlignment="0" applyProtection="0"/>
    <xf numFmtId="0" fontId="93" fillId="6" borderId="0" applyNumberFormat="0" applyBorder="0" applyAlignment="0" applyProtection="0"/>
    <xf numFmtId="0" fontId="93" fillId="6" borderId="0" applyNumberFormat="0" applyBorder="0" applyAlignment="0" applyProtection="0"/>
    <xf numFmtId="0" fontId="93" fillId="45" borderId="0" applyNumberFormat="0" applyBorder="0" applyAlignment="0" applyProtection="0"/>
    <xf numFmtId="0" fontId="9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93" fillId="7" borderId="0" applyNumberFormat="0" applyBorder="0" applyAlignment="0" applyProtection="0"/>
    <xf numFmtId="0" fontId="93" fillId="7" borderId="0" applyNumberFormat="0" applyBorder="0" applyAlignment="0" applyProtection="0"/>
    <xf numFmtId="0" fontId="93" fillId="8" borderId="0" applyNumberFormat="0" applyBorder="0" applyAlignment="0" applyProtection="0"/>
    <xf numFmtId="0" fontId="93" fillId="46"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46" borderId="0" applyNumberFormat="0" applyBorder="0" applyAlignment="0" applyProtection="0"/>
    <xf numFmtId="0" fontId="9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93" fillId="9" borderId="0" applyNumberFormat="0" applyBorder="0" applyAlignment="0" applyProtection="0"/>
    <xf numFmtId="0" fontId="93" fillId="9" borderId="0" applyNumberFormat="0" applyBorder="0" applyAlignment="0" applyProtection="0"/>
    <xf numFmtId="0" fontId="93" fillId="10" borderId="0" applyNumberFormat="0" applyBorder="0" applyAlignment="0" applyProtection="0"/>
    <xf numFmtId="0" fontId="93" fillId="47" borderId="0" applyNumberFormat="0" applyBorder="0" applyAlignment="0" applyProtection="0"/>
    <xf numFmtId="0" fontId="93" fillId="10" borderId="0" applyNumberFormat="0" applyBorder="0" applyAlignment="0" applyProtection="0"/>
    <xf numFmtId="0" fontId="93" fillId="10" borderId="0" applyNumberFormat="0" applyBorder="0" applyAlignment="0" applyProtection="0"/>
    <xf numFmtId="0" fontId="93" fillId="47" borderId="0" applyNumberFormat="0" applyBorder="0" applyAlignment="0" applyProtection="0"/>
    <xf numFmtId="0" fontId="93" fillId="1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93" fillId="3" borderId="0" applyNumberFormat="0" applyBorder="0" applyAlignment="0" applyProtection="0"/>
    <xf numFmtId="0" fontId="93" fillId="48" borderId="0" applyNumberFormat="0" applyBorder="0" applyAlignment="0" applyProtection="0"/>
    <xf numFmtId="0" fontId="93" fillId="3" borderId="0" applyNumberFormat="0" applyBorder="0" applyAlignment="0" applyProtection="0"/>
    <xf numFmtId="0" fontId="93" fillId="4" borderId="0" applyNumberFormat="0" applyBorder="0" applyAlignment="0" applyProtection="0"/>
    <xf numFmtId="0" fontId="93" fillId="48"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3" fillId="4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93" fillId="50" borderId="0" applyNumberFormat="0" applyBorder="0" applyAlignment="0" applyProtection="0"/>
    <xf numFmtId="0" fontId="93" fillId="50" borderId="0" applyNumberFormat="0" applyBorder="0" applyAlignment="0" applyProtection="0"/>
    <xf numFmtId="0" fontId="9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93" fillId="5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93" fillId="13" borderId="0" applyNumberFormat="0" applyBorder="0" applyAlignment="0" applyProtection="0"/>
    <xf numFmtId="0" fontId="93" fillId="13" borderId="0" applyNumberFormat="0" applyBorder="0" applyAlignment="0" applyProtection="0"/>
    <xf numFmtId="0" fontId="93" fillId="14" borderId="0" applyNumberFormat="0" applyBorder="0" applyAlignment="0" applyProtection="0"/>
    <xf numFmtId="0" fontId="93" fillId="52" borderId="0" applyNumberFormat="0" applyBorder="0" applyAlignment="0" applyProtection="0"/>
    <xf numFmtId="0" fontId="93" fillId="14" borderId="0" applyNumberFormat="0" applyBorder="0" applyAlignment="0" applyProtection="0"/>
    <xf numFmtId="0" fontId="93" fillId="14" borderId="0" applyNumberFormat="0" applyBorder="0" applyAlignment="0" applyProtection="0"/>
    <xf numFmtId="0" fontId="93" fillId="52" borderId="0" applyNumberFormat="0" applyBorder="0" applyAlignment="0" applyProtection="0"/>
    <xf numFmtId="0" fontId="93" fillId="1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93" fillId="15" borderId="0" applyNumberFormat="0" applyBorder="0" applyAlignment="0" applyProtection="0"/>
    <xf numFmtId="0" fontId="93" fillId="53" borderId="0" applyNumberFormat="0" applyBorder="0" applyAlignment="0" applyProtection="0"/>
    <xf numFmtId="0" fontId="93" fillId="15" borderId="0" applyNumberFormat="0" applyBorder="0" applyAlignment="0" applyProtection="0"/>
    <xf numFmtId="0" fontId="93" fillId="15" borderId="0" applyNumberFormat="0" applyBorder="0" applyAlignment="0" applyProtection="0"/>
    <xf numFmtId="0" fontId="93" fillId="5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93" fillId="54" borderId="0" applyNumberFormat="0" applyBorder="0" applyAlignment="0" applyProtection="0"/>
    <xf numFmtId="0" fontId="93" fillId="54" borderId="0" applyNumberFormat="0" applyBorder="0" applyAlignment="0" applyProtection="0"/>
    <xf numFmtId="0" fontId="9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93" fillId="6" borderId="0" applyNumberFormat="0" applyBorder="0" applyAlignment="0" applyProtection="0"/>
    <xf numFmtId="0" fontId="93" fillId="55" borderId="0" applyNumberFormat="0" applyBorder="0" applyAlignment="0" applyProtection="0"/>
    <xf numFmtId="0" fontId="93" fillId="6" borderId="0" applyNumberFormat="0" applyBorder="0" applyAlignment="0" applyProtection="0"/>
    <xf numFmtId="0" fontId="93" fillId="6" borderId="0" applyNumberFormat="0" applyBorder="0" applyAlignment="0" applyProtection="0"/>
    <xf numFmtId="0" fontId="93" fillId="5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94" fillId="3" borderId="0" applyNumberFormat="0" applyBorder="0" applyAlignment="0" applyProtection="0"/>
    <xf numFmtId="0" fontId="94" fillId="56" borderId="0" applyNumberFormat="0" applyBorder="0" applyAlignment="0" applyProtection="0"/>
    <xf numFmtId="0" fontId="94" fillId="3" borderId="0" applyNumberFormat="0" applyBorder="0" applyAlignment="0" applyProtection="0"/>
    <xf numFmtId="0" fontId="94" fillId="4" borderId="0" applyNumberFormat="0" applyBorder="0" applyAlignment="0" applyProtection="0"/>
    <xf numFmtId="0" fontId="94" fillId="56"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94" fillId="57"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94" fillId="58"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94" fillId="18" borderId="0" applyNumberFormat="0" applyBorder="0" applyAlignment="0" applyProtection="0"/>
    <xf numFmtId="0" fontId="94" fillId="18" borderId="0" applyNumberFormat="0" applyBorder="0" applyAlignment="0" applyProtection="0"/>
    <xf numFmtId="0" fontId="94" fillId="15" borderId="0" applyNumberFormat="0" applyBorder="0" applyAlignment="0" applyProtection="0"/>
    <xf numFmtId="0" fontId="94" fillId="59" borderId="0" applyNumberFormat="0" applyBorder="0" applyAlignment="0" applyProtection="0"/>
    <xf numFmtId="0" fontId="94" fillId="15" borderId="0" applyNumberFormat="0" applyBorder="0" applyAlignment="0" applyProtection="0"/>
    <xf numFmtId="0" fontId="94" fillId="15" borderId="0" applyNumberFormat="0" applyBorder="0" applyAlignment="0" applyProtection="0"/>
    <xf numFmtId="0" fontId="94" fillId="59" borderId="0" applyNumberFormat="0" applyBorder="0" applyAlignment="0" applyProtection="0"/>
    <xf numFmtId="0" fontId="94" fillId="15"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94" fillId="3" borderId="0" applyNumberFormat="0" applyBorder="0" applyAlignment="0" applyProtection="0"/>
    <xf numFmtId="0" fontId="94" fillId="60" borderId="0" applyNumberFormat="0" applyBorder="0" applyAlignment="0" applyProtection="0"/>
    <xf numFmtId="0" fontId="94" fillId="3" borderId="0" applyNumberFormat="0" applyBorder="0" applyAlignment="0" applyProtection="0"/>
    <xf numFmtId="0" fontId="94" fillId="4" borderId="0" applyNumberFormat="0" applyBorder="0" applyAlignment="0" applyProtection="0"/>
    <xf numFmtId="0" fontId="94" fillId="60" borderId="0" applyNumberFormat="0" applyBorder="0" applyAlignment="0" applyProtection="0"/>
    <xf numFmtId="0" fontId="49" fillId="19" borderId="0" applyNumberFormat="0" applyBorder="0" applyAlignment="0" applyProtection="0"/>
    <xf numFmtId="0" fontId="49" fillId="19" borderId="0" applyNumberFormat="0" applyBorder="0" applyAlignment="0" applyProtection="0"/>
    <xf numFmtId="0" fontId="49" fillId="19" borderId="0" applyNumberFormat="0" applyBorder="0" applyAlignment="0" applyProtection="0"/>
    <xf numFmtId="0" fontId="49" fillId="19" borderId="0" applyNumberFormat="0" applyBorder="0" applyAlignment="0" applyProtection="0"/>
    <xf numFmtId="0" fontId="94" fillId="20" borderId="0" applyNumberFormat="0" applyBorder="0" applyAlignment="0" applyProtection="0"/>
    <xf numFmtId="0" fontId="94" fillId="20" borderId="0" applyNumberFormat="0" applyBorder="0" applyAlignment="0" applyProtection="0"/>
    <xf numFmtId="0" fontId="94" fillId="6" borderId="0" applyNumberFormat="0" applyBorder="0" applyAlignment="0" applyProtection="0"/>
    <xf numFmtId="0" fontId="94" fillId="61" borderId="0" applyNumberFormat="0" applyBorder="0" applyAlignment="0" applyProtection="0"/>
    <xf numFmtId="0" fontId="94" fillId="6" borderId="0" applyNumberFormat="0" applyBorder="0" applyAlignment="0" applyProtection="0"/>
    <xf numFmtId="0" fontId="94" fillId="6" borderId="0" applyNumberFormat="0" applyBorder="0" applyAlignment="0" applyProtection="0"/>
    <xf numFmtId="0" fontId="94" fillId="61" borderId="0" applyNumberFormat="0" applyBorder="0" applyAlignment="0" applyProtection="0"/>
    <xf numFmtId="0" fontId="94" fillId="6"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94" fillId="62" borderId="0" applyNumberFormat="0" applyBorder="0" applyAlignment="0" applyProtection="0"/>
    <xf numFmtId="0" fontId="94" fillId="19" borderId="0" applyNumberFormat="0" applyBorder="0" applyAlignment="0" applyProtection="0"/>
    <xf numFmtId="0" fontId="94" fillId="19" borderId="0" applyNumberFormat="0" applyBorder="0" applyAlignment="0" applyProtection="0"/>
    <xf numFmtId="0" fontId="94" fillId="62" borderId="0" applyNumberFormat="0" applyBorder="0" applyAlignment="0" applyProtection="0"/>
    <xf numFmtId="0" fontId="94" fillId="21" borderId="0" applyNumberFormat="0" applyBorder="0" applyAlignment="0" applyProtection="0"/>
    <xf numFmtId="0" fontId="49" fillId="23" borderId="0" applyNumberFormat="0" applyBorder="0" applyAlignment="0" applyProtection="0"/>
    <xf numFmtId="0" fontId="94" fillId="22" borderId="0" applyNumberFormat="0" applyBorder="0" applyAlignment="0" applyProtection="0"/>
    <xf numFmtId="0" fontId="94" fillId="63" borderId="0" applyNumberFormat="0" applyBorder="0" applyAlignment="0" applyProtection="0"/>
    <xf numFmtId="0" fontId="94" fillId="23" borderId="0" applyNumberFormat="0" applyBorder="0" applyAlignment="0" applyProtection="0"/>
    <xf numFmtId="0" fontId="49" fillId="24" borderId="0" applyNumberFormat="0" applyBorder="0" applyAlignment="0" applyProtection="0"/>
    <xf numFmtId="0" fontId="94" fillId="64" borderId="0" applyNumberFormat="0" applyBorder="0" applyAlignment="0" applyProtection="0"/>
    <xf numFmtId="0" fontId="49" fillId="18" borderId="0" applyNumberFormat="0" applyBorder="0" applyAlignment="0" applyProtection="0"/>
    <xf numFmtId="0" fontId="94" fillId="65" borderId="0" applyNumberFormat="0" applyBorder="0" applyAlignment="0" applyProtection="0"/>
    <xf numFmtId="0" fontId="94" fillId="25" borderId="0" applyNumberFormat="0" applyBorder="0" applyAlignment="0" applyProtection="0"/>
    <xf numFmtId="0" fontId="94" fillId="25" borderId="0" applyNumberFormat="0" applyBorder="0" applyAlignment="0" applyProtection="0"/>
    <xf numFmtId="0" fontId="94" fillId="65" borderId="0" applyNumberFormat="0" applyBorder="0" applyAlignment="0" applyProtection="0"/>
    <xf numFmtId="0" fontId="94" fillId="18" borderId="0" applyNumberFormat="0" applyBorder="0" applyAlignment="0" applyProtection="0"/>
    <xf numFmtId="0" fontId="49" fillId="19" borderId="0" applyNumberFormat="0" applyBorder="0" applyAlignment="0" applyProtection="0"/>
    <xf numFmtId="0" fontId="94" fillId="66" borderId="0" applyNumberFormat="0" applyBorder="0" applyAlignment="0" applyProtection="0"/>
    <xf numFmtId="0" fontId="49" fillId="22" borderId="0" applyNumberFormat="0" applyBorder="0" applyAlignment="0" applyProtection="0"/>
    <xf numFmtId="0" fontId="94" fillId="67" borderId="0" applyNumberFormat="0" applyBorder="0" applyAlignment="0" applyProtection="0"/>
    <xf numFmtId="0" fontId="94" fillId="21" borderId="0" applyNumberFormat="0" applyBorder="0" applyAlignment="0" applyProtection="0"/>
    <xf numFmtId="0" fontId="94" fillId="21" borderId="0" applyNumberFormat="0" applyBorder="0" applyAlignment="0" applyProtection="0"/>
    <xf numFmtId="0" fontId="94" fillId="21" borderId="0" applyNumberFormat="0" applyBorder="0" applyAlignment="0" applyProtection="0"/>
    <xf numFmtId="0" fontId="94" fillId="23" borderId="0" applyNumberFormat="0" applyBorder="0" applyAlignment="0" applyProtection="0"/>
    <xf numFmtId="0" fontId="94" fillId="23" borderId="0" applyNumberFormat="0" applyBorder="0" applyAlignment="0" applyProtection="0"/>
    <xf numFmtId="0" fontId="94" fillId="23"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64" borderId="0" applyNumberFormat="0" applyBorder="0" applyAlignment="0" applyProtection="0"/>
    <xf numFmtId="0" fontId="94" fillId="18" borderId="0" applyNumberFormat="0" applyBorder="0" applyAlignment="0" applyProtection="0"/>
    <xf numFmtId="0" fontId="94" fillId="18" borderId="0" applyNumberFormat="0" applyBorder="0" applyAlignment="0" applyProtection="0"/>
    <xf numFmtId="0" fontId="94" fillId="18"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6"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4" fillId="67" borderId="0" applyNumberFormat="0" applyBorder="0" applyAlignment="0" applyProtection="0"/>
    <xf numFmtId="0" fontId="95" fillId="15" borderId="69" applyNumberFormat="0" applyAlignment="0" applyProtection="0"/>
    <xf numFmtId="0" fontId="95" fillId="15" borderId="69" applyNumberFormat="0" applyAlignment="0" applyProtection="0"/>
    <xf numFmtId="0" fontId="95" fillId="15" borderId="69" applyNumberFormat="0" applyAlignment="0" applyProtection="0"/>
    <xf numFmtId="0" fontId="15" fillId="15" borderId="2" applyNumberFormat="0" applyAlignment="0" applyProtection="0"/>
    <xf numFmtId="0" fontId="95" fillId="10" borderId="69" applyNumberFormat="0" applyAlignment="0" applyProtection="0"/>
    <xf numFmtId="0" fontId="95" fillId="68" borderId="69" applyNumberFormat="0" applyAlignment="0" applyProtection="0"/>
    <xf numFmtId="0" fontId="95" fillId="10" borderId="69" applyNumberFormat="0" applyAlignment="0" applyProtection="0"/>
    <xf numFmtId="0" fontId="15" fillId="10" borderId="2" applyNumberFormat="0" applyAlignment="0" applyProtection="0"/>
    <xf numFmtId="0" fontId="95" fillId="68" borderId="69" applyNumberFormat="0" applyAlignment="0" applyProtection="0"/>
    <xf numFmtId="0" fontId="95" fillId="15" borderId="69" applyNumberFormat="0" applyAlignment="0" applyProtection="0"/>
    <xf numFmtId="0" fontId="15" fillId="10" borderId="2" applyNumberFormat="0" applyAlignment="0" applyProtection="0"/>
    <xf numFmtId="0" fontId="95" fillId="15" borderId="69" applyNumberFormat="0" applyAlignment="0" applyProtection="0"/>
    <xf numFmtId="0" fontId="95" fillId="15" borderId="69" applyNumberFormat="0" applyAlignment="0" applyProtection="0"/>
    <xf numFmtId="0" fontId="15" fillId="15" borderId="2" applyNumberFormat="0" applyAlignment="0" applyProtection="0"/>
    <xf numFmtId="0" fontId="50" fillId="15" borderId="1" applyNumberFormat="0" applyAlignment="0" applyProtection="0"/>
    <xf numFmtId="0" fontId="50" fillId="15" borderId="1" applyNumberFormat="0" applyAlignment="0" applyProtection="0"/>
    <xf numFmtId="0" fontId="50" fillId="15" borderId="1" applyNumberFormat="0" applyAlignment="0" applyProtection="0"/>
    <xf numFmtId="0" fontId="95" fillId="15" borderId="69" applyNumberFormat="0" applyAlignment="0" applyProtection="0"/>
    <xf numFmtId="0" fontId="50" fillId="15" borderId="1" applyNumberFormat="0" applyAlignment="0" applyProtection="0"/>
    <xf numFmtId="0" fontId="15" fillId="15" borderId="2" applyNumberFormat="0" applyAlignment="0" applyProtection="0"/>
    <xf numFmtId="0" fontId="95" fillId="15" borderId="69" applyNumberFormat="0" applyAlignment="0" applyProtection="0"/>
    <xf numFmtId="0" fontId="95" fillId="15" borderId="69" applyNumberFormat="0" applyAlignment="0" applyProtection="0"/>
    <xf numFmtId="0" fontId="95" fillId="15" borderId="69" applyNumberFormat="0" applyAlignment="0" applyProtection="0"/>
    <xf numFmtId="0" fontId="50" fillId="15" borderId="1" applyNumberFormat="0" applyAlignment="0" applyProtection="0"/>
    <xf numFmtId="0" fontId="55" fillId="5" borderId="0" applyNumberFormat="0" applyBorder="0" applyAlignment="0" applyProtection="0"/>
    <xf numFmtId="0" fontId="96" fillId="69" borderId="0" applyNumberFormat="0" applyBorder="0" applyAlignment="0" applyProtection="0"/>
    <xf numFmtId="0" fontId="97" fillId="15" borderId="70" applyNumberFormat="0" applyAlignment="0" applyProtection="0"/>
    <xf numFmtId="0" fontId="97" fillId="15" borderId="70" applyNumberFormat="0" applyAlignment="0" applyProtection="0"/>
    <xf numFmtId="0" fontId="97" fillId="10" borderId="70" applyNumberFormat="0" applyAlignment="0" applyProtection="0"/>
    <xf numFmtId="0" fontId="97" fillId="68" borderId="70" applyNumberFormat="0" applyAlignment="0" applyProtection="0"/>
    <xf numFmtId="0" fontId="97" fillId="10" borderId="70" applyNumberFormat="0" applyAlignment="0" applyProtection="0"/>
    <xf numFmtId="0" fontId="97" fillId="10" borderId="70" applyNumberFormat="0" applyAlignment="0" applyProtection="0"/>
    <xf numFmtId="0" fontId="97" fillId="68" borderId="70" applyNumberFormat="0" applyAlignment="0" applyProtection="0"/>
    <xf numFmtId="0" fontId="97" fillId="10" borderId="70" applyNumberFormat="0" applyAlignment="0" applyProtection="0"/>
    <xf numFmtId="0" fontId="97" fillId="15" borderId="70" applyNumberFormat="0" applyAlignment="0" applyProtection="0"/>
    <xf numFmtId="0" fontId="51" fillId="15" borderId="3" applyNumberFormat="0" applyAlignment="0" applyProtection="0"/>
    <xf numFmtId="0" fontId="51" fillId="15" borderId="3" applyNumberFormat="0" applyAlignment="0" applyProtection="0"/>
    <xf numFmtId="0" fontId="51" fillId="15" borderId="3" applyNumberFormat="0" applyAlignment="0" applyProtection="0"/>
    <xf numFmtId="0" fontId="97" fillId="15" borderId="70" applyNumberFormat="0" applyAlignment="0" applyProtection="0"/>
    <xf numFmtId="0" fontId="51" fillId="15" borderId="3" applyNumberFormat="0" applyAlignment="0" applyProtection="0"/>
    <xf numFmtId="0" fontId="97" fillId="15" borderId="70" applyNumberFormat="0" applyAlignment="0" applyProtection="0"/>
    <xf numFmtId="0" fontId="51" fillId="15" borderId="3" applyNumberFormat="0" applyAlignment="0" applyProtection="0"/>
    <xf numFmtId="0" fontId="51" fillId="15" borderId="3" applyNumberFormat="0" applyAlignment="0" applyProtection="0"/>
    <xf numFmtId="0" fontId="57" fillId="26" borderId="4" applyNumberFormat="0" applyAlignment="0" applyProtection="0"/>
    <xf numFmtId="0" fontId="98" fillId="70" borderId="71" applyNumberFormat="0" applyAlignment="0" applyProtection="0"/>
    <xf numFmtId="0" fontId="98" fillId="70" borderId="5" applyNumberFormat="0" applyAlignment="0" applyProtection="0"/>
    <xf numFmtId="0" fontId="99" fillId="71" borderId="70" applyNumberFormat="0" applyAlignment="0" applyProtection="0"/>
    <xf numFmtId="0" fontId="52" fillId="6" borderId="3" applyNumberFormat="0" applyAlignment="0" applyProtection="0"/>
    <xf numFmtId="0" fontId="52" fillId="6" borderId="3" applyNumberFormat="0" applyAlignment="0" applyProtection="0"/>
    <xf numFmtId="0" fontId="52" fillId="6" borderId="3" applyNumberFormat="0" applyAlignment="0" applyProtection="0"/>
    <xf numFmtId="0" fontId="52" fillId="6" borderId="3" applyNumberFormat="0" applyAlignment="0" applyProtection="0"/>
    <xf numFmtId="0" fontId="52" fillId="6" borderId="3" applyNumberFormat="0" applyAlignment="0" applyProtection="0"/>
    <xf numFmtId="0" fontId="100" fillId="0" borderId="6" applyNumberFormat="0" applyFill="0" applyAlignment="0" applyProtection="0"/>
    <xf numFmtId="0" fontId="100" fillId="0" borderId="6" applyNumberFormat="0" applyFill="0" applyAlignment="0" applyProtection="0"/>
    <xf numFmtId="0" fontId="100" fillId="0" borderId="6" applyNumberFormat="0" applyFill="0" applyAlignment="0" applyProtection="0"/>
    <xf numFmtId="0" fontId="100" fillId="0" borderId="6" applyNumberFormat="0" applyFill="0" applyAlignment="0" applyProtection="0"/>
    <xf numFmtId="0" fontId="100" fillId="0" borderId="7" applyNumberFormat="0" applyFill="0" applyAlignment="0" applyProtection="0"/>
    <xf numFmtId="0" fontId="100" fillId="0" borderId="72" applyNumberFormat="0" applyFill="0" applyAlignment="0" applyProtection="0"/>
    <xf numFmtId="0" fontId="100" fillId="0" borderId="7" applyNumberFormat="0" applyFill="0" applyAlignment="0" applyProtection="0"/>
    <xf numFmtId="0" fontId="100" fillId="0" borderId="7" applyNumberFormat="0" applyFill="0" applyAlignment="0" applyProtection="0"/>
    <xf numFmtId="0" fontId="100" fillId="0" borderId="72" applyNumberFormat="0" applyFill="0" applyAlignment="0" applyProtection="0"/>
    <xf numFmtId="0" fontId="100" fillId="0" borderId="7" applyNumberFormat="0" applyFill="0" applyAlignment="0" applyProtection="0"/>
    <xf numFmtId="0" fontId="100" fillId="0" borderId="6" applyNumberFormat="0" applyFill="0" applyAlignment="0" applyProtection="0"/>
    <xf numFmtId="0" fontId="100"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00"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00" fillId="0" borderId="6" applyNumberFormat="0" applyFill="0" applyAlignment="0" applyProtection="0"/>
    <xf numFmtId="0" fontId="15" fillId="0" borderId="6" applyNumberFormat="0" applyFill="0" applyAlignment="0" applyProtection="0"/>
    <xf numFmtId="0" fontId="100" fillId="0" borderId="6" applyNumberFormat="0" applyFill="0" applyAlignment="0" applyProtection="0"/>
    <xf numFmtId="0" fontId="15" fillId="0" borderId="6" applyNumberFormat="0" applyFill="0" applyAlignment="0" applyProtection="0"/>
    <xf numFmtId="0" fontId="101"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4" fillId="7"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3" fillId="0" borderId="73" applyNumberFormat="0" applyFill="0" applyAlignment="0" applyProtection="0"/>
    <xf numFmtId="0" fontId="86" fillId="0" borderId="8" applyNumberFormat="0" applyFill="0" applyAlignment="0" applyProtection="0"/>
    <xf numFmtId="0" fontId="86" fillId="0" borderId="8" applyNumberFormat="0" applyFill="0" applyAlignment="0" applyProtection="0"/>
    <xf numFmtId="0" fontId="103" fillId="0" borderId="73" applyNumberFormat="0" applyFill="0" applyAlignment="0" applyProtection="0"/>
    <xf numFmtId="0" fontId="40" fillId="0" borderId="9" applyNumberFormat="0" applyFill="0" applyAlignment="0" applyProtection="0"/>
    <xf numFmtId="0" fontId="104" fillId="0" borderId="74" applyNumberFormat="0" applyFill="0" applyAlignment="0" applyProtection="0"/>
    <xf numFmtId="0" fontId="87" fillId="0" borderId="10" applyNumberFormat="0" applyFill="0" applyAlignment="0" applyProtection="0"/>
    <xf numFmtId="0" fontId="87" fillId="0" borderId="11" applyNumberFormat="0" applyFill="0" applyAlignment="0" applyProtection="0"/>
    <xf numFmtId="0" fontId="104" fillId="0" borderId="74" applyNumberFormat="0" applyFill="0" applyAlignment="0" applyProtection="0"/>
    <xf numFmtId="0" fontId="43" fillId="0" borderId="12" applyNumberFormat="0" applyFill="0" applyAlignment="0" applyProtection="0"/>
    <xf numFmtId="0" fontId="105" fillId="0" borderId="75" applyNumberFormat="0" applyFill="0" applyAlignment="0" applyProtection="0"/>
    <xf numFmtId="0" fontId="88" fillId="0" borderId="13" applyNumberFormat="0" applyFill="0" applyAlignment="0" applyProtection="0"/>
    <xf numFmtId="0" fontId="88" fillId="0" borderId="14" applyNumberFormat="0" applyFill="0" applyAlignment="0" applyProtection="0"/>
    <xf numFmtId="0" fontId="105" fillId="0" borderId="75" applyNumberFormat="0" applyFill="0" applyAlignment="0" applyProtection="0"/>
    <xf numFmtId="0" fontId="41" fillId="0" borderId="15" applyNumberFormat="0" applyFill="0" applyAlignment="0" applyProtection="0"/>
    <xf numFmtId="0" fontId="105"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105" fillId="0" borderId="0" applyNumberFormat="0" applyFill="0" applyBorder="0" applyAlignment="0" applyProtection="0"/>
    <xf numFmtId="0" fontId="41" fillId="0" borderId="0" applyNumberFormat="0" applyFill="0" applyBorder="0" applyAlignment="0" applyProtection="0"/>
    <xf numFmtId="0" fontId="52" fillId="6" borderId="3" applyNumberFormat="0" applyAlignment="0" applyProtection="0"/>
    <xf numFmtId="0" fontId="56" fillId="0" borderId="16" applyNumberFormat="0" applyFill="0" applyAlignment="0" applyProtection="0"/>
    <xf numFmtId="0" fontId="106" fillId="0" borderId="76" applyNumberFormat="0" applyFill="0" applyAlignment="0" applyProtection="0"/>
    <xf numFmtId="0" fontId="107" fillId="73" borderId="0" applyNumberFormat="0" applyBorder="0" applyAlignment="0" applyProtection="0"/>
    <xf numFmtId="0" fontId="93" fillId="0" borderId="0"/>
    <xf numFmtId="0" fontId="5" fillId="8" borderId="17" applyNumberFormat="0" applyFont="0" applyAlignment="0" applyProtection="0"/>
    <xf numFmtId="0" fontId="5" fillId="8" borderId="1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14" fillId="74" borderId="77" applyNumberFormat="0" applyFont="0" applyAlignment="0" applyProtection="0"/>
    <xf numFmtId="0" fontId="14" fillId="74" borderId="77" applyNumberFormat="0" applyFont="0" applyAlignment="0" applyProtection="0"/>
    <xf numFmtId="0" fontId="37"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65" fillId="74" borderId="77" applyNumberFormat="0" applyFont="0" applyAlignment="0" applyProtection="0"/>
    <xf numFmtId="0" fontId="3" fillId="74" borderId="77" applyNumberFormat="0" applyFont="0" applyAlignment="0" applyProtection="0"/>
    <xf numFmtId="0" fontId="65"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65"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7"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50" fillId="15" borderId="1" applyNumberFormat="0" applyAlignment="0" applyProtection="0"/>
    <xf numFmtId="9" fontId="14" fillId="0" borderId="0" applyFont="0" applyFill="0" applyBorder="0" applyAlignment="0" applyProtection="0"/>
    <xf numFmtId="9" fontId="3" fillId="0" borderId="0" applyFont="0" applyFill="0" applyBorder="0" applyAlignment="0" applyProtection="0"/>
    <xf numFmtId="9" fontId="6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1"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4" fillId="0" borderId="0" applyFont="0" applyFill="0" applyBorder="0" applyAlignment="0" applyProtection="0"/>
    <xf numFmtId="9" fontId="3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5" fillId="0" borderId="0" applyFont="0" applyFill="0" applyBorder="0" applyAlignment="0" applyProtection="0"/>
    <xf numFmtId="9" fontId="3" fillId="0" borderId="0" applyFont="0" applyFill="0" applyBorder="0" applyAlignment="0" applyProtection="0"/>
    <xf numFmtId="9" fontId="6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5" fillId="0" borderId="0"/>
    <xf numFmtId="0" fontId="93" fillId="0" borderId="0"/>
    <xf numFmtId="0" fontId="93" fillId="0" borderId="0"/>
    <xf numFmtId="0" fontId="108" fillId="0" borderId="0"/>
    <xf numFmtId="0" fontId="5" fillId="0" borderId="0"/>
    <xf numFmtId="0" fontId="93" fillId="0" borderId="0"/>
    <xf numFmtId="0" fontId="93" fillId="0" borderId="0"/>
    <xf numFmtId="0" fontId="108" fillId="0" borderId="0"/>
    <xf numFmtId="0" fontId="31"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93" fillId="0" borderId="0"/>
    <xf numFmtId="0" fontId="5" fillId="0" borderId="0"/>
    <xf numFmtId="0" fontId="5" fillId="0" borderId="0"/>
    <xf numFmtId="0" fontId="5" fillId="0" borderId="0"/>
    <xf numFmtId="0" fontId="5" fillId="0" borderId="0"/>
    <xf numFmtId="0" fontId="10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109" fillId="0" borderId="0" applyNumberFormat="0" applyFill="0" applyBorder="0" applyAlignment="0" applyProtection="0"/>
    <xf numFmtId="0" fontId="39" fillId="0" borderId="0" applyNumberFormat="0" applyFill="0" applyBorder="0" applyAlignment="0" applyProtection="0"/>
    <xf numFmtId="0" fontId="15" fillId="0" borderId="6" applyNumberFormat="0" applyFill="0" applyAlignment="0" applyProtection="0"/>
    <xf numFmtId="0" fontId="39" fillId="0" borderId="0" applyNumberFormat="0" applyFill="0" applyBorder="0" applyAlignment="0" applyProtection="0"/>
    <xf numFmtId="0" fontId="40" fillId="0" borderId="9" applyNumberFormat="0" applyFill="0" applyAlignment="0" applyProtection="0"/>
    <xf numFmtId="0" fontId="40" fillId="0" borderId="9" applyNumberFormat="0" applyFill="0" applyAlignment="0" applyProtection="0"/>
    <xf numFmtId="0" fontId="40" fillId="0" borderId="9"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06" fillId="0" borderId="76" applyNumberFormat="0" applyFill="0" applyAlignment="0" applyProtection="0"/>
    <xf numFmtId="0" fontId="106" fillId="0" borderId="76" applyNumberFormat="0" applyFill="0" applyAlignment="0" applyProtection="0"/>
    <xf numFmtId="0" fontId="106" fillId="0" borderId="76" applyNumberFormat="0" applyFill="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10"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98" fillId="70" borderId="71" applyNumberFormat="0" applyAlignment="0" applyProtection="0"/>
    <xf numFmtId="0" fontId="98" fillId="70" borderId="71" applyNumberFormat="0" applyAlignment="0" applyProtection="0"/>
    <xf numFmtId="0" fontId="98" fillId="70" borderId="71" applyNumberFormat="0" applyAlignment="0" applyProtection="0"/>
    <xf numFmtId="0" fontId="98" fillId="70" borderId="5" applyNumberFormat="0" applyAlignment="0" applyProtection="0"/>
    <xf numFmtId="0" fontId="98" fillId="70" borderId="71" applyNumberFormat="0" applyAlignment="0" applyProtection="0"/>
    <xf numFmtId="0" fontId="98" fillId="70" borderId="5" applyNumberFormat="0" applyAlignment="0" applyProtection="0"/>
    <xf numFmtId="0" fontId="94" fillId="21" borderId="0" applyNumberFormat="0" applyBorder="0" applyAlignment="0" applyProtection="0"/>
    <xf numFmtId="0" fontId="94" fillId="23" borderId="0" applyNumberFormat="0" applyBorder="0" applyAlignment="0" applyProtection="0"/>
    <xf numFmtId="0" fontId="94" fillId="18" borderId="0" applyNumberFormat="0" applyBorder="0" applyAlignment="0" applyProtection="0"/>
    <xf numFmtId="164" fontId="3" fillId="0" borderId="0" applyFont="0" applyFill="0" applyBorder="0" applyAlignment="0" applyProtection="0"/>
    <xf numFmtId="0" fontId="40" fillId="0" borderId="9" applyNumberFormat="0" applyFill="0" applyAlignment="0" applyProtection="0"/>
    <xf numFmtId="0" fontId="43" fillId="0" borderId="12" applyNumberFormat="0" applyFill="0" applyAlignment="0" applyProtection="0"/>
    <xf numFmtId="0" fontId="41" fillId="0" borderId="15" applyNumberFormat="0" applyFill="0" applyAlignment="0" applyProtection="0"/>
    <xf numFmtId="0" fontId="41" fillId="0" borderId="0" applyNumberFormat="0" applyFill="0" applyBorder="0" applyAlignment="0" applyProtection="0"/>
    <xf numFmtId="0" fontId="69" fillId="0" borderId="0"/>
    <xf numFmtId="0" fontId="69" fillId="0" borderId="0"/>
    <xf numFmtId="0" fontId="39" fillId="0" borderId="0" applyNumberFormat="0" applyFill="0" applyBorder="0" applyAlignment="0" applyProtection="0"/>
    <xf numFmtId="0" fontId="15" fillId="15" borderId="2" applyNumberFormat="0" applyAlignment="0" applyProtection="0"/>
    <xf numFmtId="0" fontId="15" fillId="10" borderId="2" applyNumberFormat="0" applyAlignment="0" applyProtection="0"/>
    <xf numFmtId="0" fontId="15" fillId="10" borderId="2" applyNumberFormat="0" applyAlignment="0" applyProtection="0"/>
    <xf numFmtId="0" fontId="15" fillId="15" borderId="2" applyNumberFormat="0" applyAlignment="0" applyProtection="0"/>
    <xf numFmtId="0" fontId="15" fillId="15" borderId="2" applyNumberFormat="0" applyAlignment="0" applyProtection="0"/>
    <xf numFmtId="164" fontId="3" fillId="0" borderId="0" applyFont="0" applyFill="0" applyBorder="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9"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19" borderId="0" applyNumberFormat="0" applyBorder="0" applyAlignment="0" applyProtection="0"/>
    <xf numFmtId="0" fontId="94" fillId="65" borderId="0" applyNumberFormat="0" applyBorder="0" applyAlignment="0" applyProtection="0"/>
    <xf numFmtId="0" fontId="94" fillId="65" borderId="0" applyNumberFormat="0" applyBorder="0" applyAlignment="0" applyProtection="0"/>
    <xf numFmtId="0" fontId="94" fillId="25" borderId="0" applyNumberFormat="0" applyBorder="0" applyAlignment="0" applyProtection="0"/>
    <xf numFmtId="0" fontId="94" fillId="19" borderId="0" applyNumberFormat="0" applyBorder="0" applyAlignment="0" applyProtection="0"/>
    <xf numFmtId="0" fontId="94" fillId="19" borderId="0" applyNumberFormat="0" applyBorder="0" applyAlignment="0" applyProtection="0"/>
    <xf numFmtId="0" fontId="94" fillId="63" borderId="0" applyNumberFormat="0" applyBorder="0" applyAlignment="0" applyProtection="0"/>
    <xf numFmtId="0" fontId="94" fillId="63" borderId="0" applyNumberFormat="0" applyBorder="0" applyAlignment="0" applyProtection="0"/>
    <xf numFmtId="0" fontId="94" fillId="64" borderId="0" applyNumberFormat="0" applyBorder="0" applyAlignment="0" applyProtection="0"/>
    <xf numFmtId="0" fontId="94" fillId="25" borderId="0" applyNumberFormat="0" applyBorder="0" applyAlignment="0" applyProtection="0"/>
    <xf numFmtId="0" fontId="94" fillId="25" borderId="0" applyNumberFormat="0" applyBorder="0" applyAlignment="0" applyProtection="0"/>
    <xf numFmtId="0" fontId="94" fillId="66" borderId="0" applyNumberFormat="0" applyBorder="0" applyAlignment="0" applyProtection="0"/>
    <xf numFmtId="0" fontId="94" fillId="67" borderId="0" applyNumberFormat="0" applyBorder="0" applyAlignment="0" applyProtection="0"/>
    <xf numFmtId="0" fontId="136" fillId="10" borderId="2" applyNumberFormat="0" applyAlignment="0" applyProtection="0"/>
    <xf numFmtId="0" fontId="136" fillId="15" borderId="2" applyNumberFormat="0" applyAlignment="0" applyProtection="0"/>
    <xf numFmtId="0" fontId="136" fillId="15" borderId="2" applyNumberFormat="0" applyAlignment="0" applyProtection="0"/>
    <xf numFmtId="0" fontId="15" fillId="15" borderId="2" applyNumberFormat="0" applyAlignment="0" applyProtection="0"/>
    <xf numFmtId="0" fontId="136" fillId="10" borderId="2" applyNumberFormat="0" applyAlignment="0" applyProtection="0"/>
    <xf numFmtId="0" fontId="15" fillId="10" borderId="2" applyNumberFormat="0" applyAlignment="0" applyProtection="0"/>
    <xf numFmtId="0" fontId="136" fillId="10" borderId="2" applyNumberFormat="0" applyAlignment="0" applyProtection="0"/>
    <xf numFmtId="0" fontId="15" fillId="10" borderId="2" applyNumberFormat="0" applyAlignment="0" applyProtection="0"/>
    <xf numFmtId="0" fontId="136" fillId="15" borderId="2" applyNumberFormat="0" applyAlignment="0" applyProtection="0"/>
    <xf numFmtId="0" fontId="136" fillId="15" borderId="2" applyNumberFormat="0" applyAlignment="0" applyProtection="0"/>
    <xf numFmtId="0" fontId="15" fillId="15" borderId="2" applyNumberFormat="0" applyAlignment="0" applyProtection="0"/>
    <xf numFmtId="0" fontId="136" fillId="15" borderId="2" applyNumberFormat="0" applyAlignment="0" applyProtection="0"/>
    <xf numFmtId="0" fontId="15" fillId="15" borderId="2" applyNumberFormat="0" applyAlignment="0" applyProtection="0"/>
    <xf numFmtId="0" fontId="55" fillId="5" borderId="0" applyNumberFormat="0" applyBorder="0" applyAlignment="0" applyProtection="0"/>
    <xf numFmtId="0" fontId="57" fillId="26" borderId="4" applyNumberFormat="0" applyAlignment="0" applyProtection="0"/>
    <xf numFmtId="0" fontId="98" fillId="70" borderId="5" applyNumberFormat="0" applyAlignment="0" applyProtection="0"/>
    <xf numFmtId="0" fontId="98" fillId="70" borderId="71" applyNumberFormat="0" applyAlignment="0" applyProtection="0"/>
    <xf numFmtId="0" fontId="98" fillId="70" borderId="71" applyNumberFormat="0" applyAlignment="0" applyProtection="0"/>
    <xf numFmtId="0" fontId="98" fillId="70" borderId="5" applyNumberFormat="0" applyAlignment="0" applyProtection="0"/>
    <xf numFmtId="0" fontId="98" fillId="70" borderId="4" applyNumberFormat="0" applyAlignment="0" applyProtection="0"/>
    <xf numFmtId="0" fontId="54" fillId="7" borderId="0" applyNumberFormat="0" applyBorder="0" applyAlignment="0" applyProtection="0"/>
    <xf numFmtId="0" fontId="102" fillId="72" borderId="0" applyNumberFormat="0" applyBorder="0" applyAlignment="0" applyProtection="0"/>
    <xf numFmtId="0" fontId="137" fillId="0" borderId="8" applyNumberFormat="0" applyFill="0" applyAlignment="0" applyProtection="0"/>
    <xf numFmtId="0" fontId="137" fillId="0" borderId="8" applyNumberFormat="0" applyFill="0" applyAlignment="0" applyProtection="0"/>
    <xf numFmtId="0" fontId="86" fillId="0" borderId="8" applyNumberFormat="0" applyFill="0" applyAlignment="0" applyProtection="0"/>
    <xf numFmtId="0" fontId="103" fillId="0" borderId="73" applyNumberFormat="0" applyFill="0" applyAlignment="0" applyProtection="0"/>
    <xf numFmtId="0" fontId="103" fillId="0" borderId="73" applyNumberFormat="0" applyFill="0" applyAlignment="0" applyProtection="0"/>
    <xf numFmtId="0" fontId="86" fillId="0" borderId="8" applyNumberFormat="0" applyFill="0" applyAlignment="0" applyProtection="0"/>
    <xf numFmtId="0" fontId="138" fillId="0" borderId="11" applyNumberFormat="0" applyFill="0" applyAlignment="0" applyProtection="0"/>
    <xf numFmtId="0" fontId="138" fillId="0" borderId="10" applyNumberFormat="0" applyFill="0" applyAlignment="0" applyProtection="0"/>
    <xf numFmtId="0" fontId="87" fillId="0" borderId="10" applyNumberFormat="0" applyFill="0" applyAlignment="0" applyProtection="0"/>
    <xf numFmtId="0" fontId="104" fillId="0" borderId="74" applyNumberFormat="0" applyFill="0" applyAlignment="0" applyProtection="0"/>
    <xf numFmtId="0" fontId="104" fillId="0" borderId="74" applyNumberFormat="0" applyFill="0" applyAlignment="0" applyProtection="0"/>
    <xf numFmtId="0" fontId="87" fillId="0" borderId="11" applyNumberFormat="0" applyFill="0" applyAlignment="0" applyProtection="0"/>
    <xf numFmtId="0" fontId="139" fillId="0" borderId="14" applyNumberFormat="0" applyFill="0" applyAlignment="0" applyProtection="0"/>
    <xf numFmtId="0" fontId="139" fillId="0" borderId="13" applyNumberFormat="0" applyFill="0" applyAlignment="0" applyProtection="0"/>
    <xf numFmtId="0" fontId="88" fillId="0" borderId="13" applyNumberFormat="0" applyFill="0" applyAlignment="0" applyProtection="0"/>
    <xf numFmtId="0" fontId="105" fillId="0" borderId="75" applyNumberFormat="0" applyFill="0" applyAlignment="0" applyProtection="0"/>
    <xf numFmtId="0" fontId="105" fillId="0" borderId="75" applyNumberFormat="0" applyFill="0" applyAlignment="0" applyProtection="0"/>
    <xf numFmtId="0" fontId="88" fillId="0" borderId="14" applyNumberFormat="0" applyFill="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88"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88" fillId="0" borderId="0" applyNumberFormat="0" applyFill="0" applyBorder="0" applyAlignment="0" applyProtection="0"/>
    <xf numFmtId="0" fontId="56" fillId="0" borderId="16" applyNumberFormat="0" applyFill="0" applyAlignment="0" applyProtection="0"/>
    <xf numFmtId="0" fontId="3" fillId="74" borderId="77" applyNumberFormat="0" applyFont="0" applyAlignment="0" applyProtection="0"/>
    <xf numFmtId="0" fontId="93" fillId="74" borderId="77" applyNumberFormat="0" applyFont="0" applyAlignment="0" applyProtection="0"/>
    <xf numFmtId="0" fontId="3" fillId="74" borderId="77" applyNumberFormat="0" applyFont="0" applyAlignment="0" applyProtection="0"/>
    <xf numFmtId="0" fontId="9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9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9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9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9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0" fontId="3" fillId="74" borderId="77" applyNumberFormat="0" applyFont="0" applyAlignment="0" applyProtection="0"/>
    <xf numFmtId="9" fontId="3" fillId="0" borderId="0" applyFont="0" applyFill="0" applyBorder="0" applyAlignment="0" applyProtection="0"/>
    <xf numFmtId="9" fontId="93" fillId="0" borderId="0" applyFont="0" applyFill="0" applyBorder="0" applyAlignment="0" applyProtection="0"/>
    <xf numFmtId="9" fontId="3" fillId="0" borderId="0" applyFont="0" applyFill="0" applyBorder="0" applyAlignment="0" applyProtection="0"/>
    <xf numFmtId="9" fontId="9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6" fillId="6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140" fillId="0" borderId="0" applyNumberFormat="0" applyFill="0" applyBorder="0" applyAlignment="0" applyProtection="0"/>
    <xf numFmtId="0" fontId="140" fillId="0" borderId="0" applyNumberFormat="0" applyFill="0" applyBorder="0" applyAlignment="0" applyProtection="0"/>
    <xf numFmtId="0" fontId="8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89" fillId="0" borderId="0" applyNumberFormat="0" applyFill="0" applyBorder="0" applyAlignment="0" applyProtection="0"/>
    <xf numFmtId="0" fontId="137" fillId="0" borderId="8" applyNumberFormat="0" applyFill="0" applyAlignment="0" applyProtection="0"/>
    <xf numFmtId="0" fontId="137" fillId="0" borderId="8" applyNumberFormat="0" applyFill="0" applyAlignment="0" applyProtection="0"/>
    <xf numFmtId="0" fontId="138" fillId="0" borderId="11" applyNumberFormat="0" applyFill="0" applyAlignment="0" applyProtection="0"/>
    <xf numFmtId="0" fontId="138" fillId="0" borderId="11" applyNumberFormat="0" applyFill="0" applyAlignment="0" applyProtection="0"/>
    <xf numFmtId="0" fontId="139" fillId="0" borderId="14" applyNumberFormat="0" applyFill="0" applyAlignment="0" applyProtection="0"/>
    <xf numFmtId="0" fontId="139" fillId="0" borderId="14" applyNumberFormat="0" applyFill="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06" fillId="0" borderId="76" applyNumberFormat="0" applyFill="0" applyAlignment="0" applyProtection="0"/>
    <xf numFmtId="0" fontId="141" fillId="0" borderId="0" applyNumberFormat="0" applyFill="0" applyBorder="0" applyAlignment="0" applyProtection="0"/>
    <xf numFmtId="0" fontId="90" fillId="0" borderId="0" applyNumberFormat="0" applyFill="0" applyBorder="0" applyAlignment="0" applyProtection="0"/>
    <xf numFmtId="0" fontId="98" fillId="70" borderId="5" applyNumberFormat="0" applyAlignment="0" applyProtection="0"/>
    <xf numFmtId="0" fontId="98" fillId="70" borderId="71" applyNumberFormat="0" applyAlignment="0" applyProtection="0"/>
    <xf numFmtId="9" fontId="93" fillId="0" borderId="0" applyFont="0" applyFill="0" applyBorder="0" applyAlignment="0" applyProtection="0"/>
    <xf numFmtId="0" fontId="87" fillId="0" borderId="11" applyNumberFormat="0" applyFill="0" applyAlignment="0" applyProtection="0"/>
    <xf numFmtId="0" fontId="88" fillId="0" borderId="14" applyNumberFormat="0" applyFill="0" applyAlignment="0" applyProtection="0"/>
    <xf numFmtId="0" fontId="86" fillId="0" borderId="8" applyNumberFormat="0" applyFill="0" applyAlignment="0" applyProtection="0"/>
    <xf numFmtId="0" fontId="87" fillId="0" borderId="11" applyNumberFormat="0" applyFill="0" applyAlignment="0" applyProtection="0"/>
    <xf numFmtId="0" fontId="88" fillId="0" borderId="14" applyNumberFormat="0" applyFill="0" applyAlignment="0" applyProtection="0"/>
    <xf numFmtId="0" fontId="88" fillId="0" borderId="0" applyNumberFormat="0" applyFill="0" applyBorder="0" applyAlignment="0" applyProtection="0"/>
    <xf numFmtId="0" fontId="89" fillId="0" borderId="0" applyNumberFormat="0" applyFill="0" applyBorder="0" applyAlignment="0" applyProtection="0"/>
    <xf numFmtId="164" fontId="3" fillId="0" borderId="0" applyFont="0" applyFill="0" applyBorder="0" applyAlignment="0" applyProtection="0"/>
  </cellStyleXfs>
  <cellXfs count="969">
    <xf numFmtId="0" fontId="0" fillId="0" borderId="0" xfId="0"/>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21" fillId="0" borderId="0" xfId="0" applyFont="1"/>
    <xf numFmtId="0" fontId="25" fillId="0" borderId="0" xfId="0" applyFont="1"/>
    <xf numFmtId="0" fontId="21" fillId="27" borderId="0" xfId="0" applyFont="1" applyFill="1"/>
    <xf numFmtId="0" fontId="6" fillId="0" borderId="0" xfId="515" applyFont="1"/>
    <xf numFmtId="0" fontId="16" fillId="0" borderId="0" xfId="0" applyFont="1"/>
    <xf numFmtId="0" fontId="25" fillId="0" borderId="0" xfId="0" applyFont="1" applyAlignment="1">
      <alignment vertical="center"/>
    </xf>
    <xf numFmtId="0" fontId="24" fillId="0" borderId="0" xfId="0" applyFont="1"/>
    <xf numFmtId="0" fontId="21" fillId="0" borderId="0" xfId="0" applyFont="1" applyAlignment="1">
      <alignment horizontal="center"/>
    </xf>
    <xf numFmtId="0" fontId="21" fillId="0" borderId="0" xfId="0" applyFont="1" applyAlignment="1">
      <alignment horizontal="center" vertical="center"/>
    </xf>
    <xf numFmtId="0" fontId="9" fillId="0" borderId="20" xfId="0" applyFont="1" applyBorder="1" applyAlignment="1">
      <alignment horizontal="center" vertical="center" wrapText="1"/>
    </xf>
    <xf numFmtId="0" fontId="5" fillId="0" borderId="0" xfId="0" applyFont="1"/>
    <xf numFmtId="0" fontId="23" fillId="0" borderId="0" xfId="0" applyFont="1"/>
    <xf numFmtId="0" fontId="7" fillId="0" borderId="0" xfId="0" applyFont="1"/>
    <xf numFmtId="0" fontId="8" fillId="0" borderId="0" xfId="0" applyFont="1"/>
    <xf numFmtId="0" fontId="5" fillId="0" borderId="0" xfId="515"/>
    <xf numFmtId="0" fontId="27" fillId="0" borderId="0" xfId="0" applyFont="1"/>
    <xf numFmtId="0" fontId="17" fillId="0" borderId="0" xfId="0" applyFont="1"/>
    <xf numFmtId="0" fontId="30" fillId="0" borderId="0" xfId="0" applyFont="1"/>
    <xf numFmtId="0" fontId="5" fillId="0" borderId="0" xfId="515" applyAlignment="1">
      <alignment horizontal="left"/>
    </xf>
    <xf numFmtId="0" fontId="18" fillId="0" borderId="0" xfId="0" applyFont="1"/>
    <xf numFmtId="0" fontId="20" fillId="0" borderId="0" xfId="515" applyFont="1"/>
    <xf numFmtId="0" fontId="6" fillId="0" borderId="0" xfId="515" applyFont="1" applyAlignment="1">
      <alignment horizontal="left"/>
    </xf>
    <xf numFmtId="0" fontId="20" fillId="0" borderId="0" xfId="515" applyFont="1" applyAlignment="1">
      <alignment vertical="center"/>
    </xf>
    <xf numFmtId="0" fontId="25" fillId="27" borderId="0" xfId="0" applyFont="1" applyFill="1"/>
    <xf numFmtId="0" fontId="5" fillId="0" borderId="0" xfId="0" applyFont="1" applyAlignment="1">
      <alignment wrapText="1"/>
    </xf>
    <xf numFmtId="0" fontId="22" fillId="0" borderId="0" xfId="0" applyFont="1"/>
    <xf numFmtId="0" fontId="16" fillId="0" borderId="22" xfId="0" applyFont="1" applyBorder="1" applyAlignment="1">
      <alignment horizontal="center" vertical="center" wrapText="1"/>
    </xf>
    <xf numFmtId="0" fontId="16" fillId="0" borderId="22" xfId="0" applyFont="1" applyBorder="1"/>
    <xf numFmtId="0" fontId="16" fillId="0" borderId="0" xfId="0" applyFont="1" applyAlignment="1">
      <alignment vertical="center"/>
    </xf>
    <xf numFmtId="0" fontId="9" fillId="0" borderId="0" xfId="0" applyFont="1" applyAlignment="1">
      <alignment horizontal="center" wrapText="1"/>
    </xf>
    <xf numFmtId="0" fontId="9" fillId="0" borderId="0" xfId="0" applyFont="1" applyAlignment="1">
      <alignment wrapText="1"/>
    </xf>
    <xf numFmtId="0" fontId="9" fillId="0" borderId="23" xfId="0" applyFont="1" applyBorder="1" applyAlignment="1">
      <alignment horizontal="center" vertical="center" wrapText="1"/>
    </xf>
    <xf numFmtId="14" fontId="32" fillId="28" borderId="22" xfId="0" applyNumberFormat="1" applyFont="1" applyFill="1" applyBorder="1" applyAlignment="1">
      <alignment horizontal="center" vertical="center"/>
    </xf>
    <xf numFmtId="0" fontId="13" fillId="28" borderId="22" xfId="515" applyFont="1" applyFill="1" applyBorder="1" applyAlignment="1">
      <alignment vertical="center"/>
    </xf>
    <xf numFmtId="0" fontId="25" fillId="29" borderId="24" xfId="0" applyFont="1" applyFill="1" applyBorder="1" applyAlignment="1">
      <alignment horizontal="center" vertical="center"/>
    </xf>
    <xf numFmtId="0" fontId="21" fillId="0" borderId="0" xfId="0" applyFont="1" applyAlignment="1">
      <alignment horizontal="center" vertical="center" wrapText="1"/>
    </xf>
    <xf numFmtId="0" fontId="38" fillId="0" borderId="0" xfId="0" applyFont="1"/>
    <xf numFmtId="1" fontId="29" fillId="30" borderId="18" xfId="0" applyNumberFormat="1" applyFont="1" applyFill="1" applyBorder="1" applyAlignment="1" applyProtection="1">
      <alignment horizontal="center" vertical="center"/>
      <protection locked="0"/>
    </xf>
    <xf numFmtId="0" fontId="33" fillId="0" borderId="0" xfId="0" applyFont="1"/>
    <xf numFmtId="166" fontId="33" fillId="0" borderId="0" xfId="0" applyNumberFormat="1" applyFont="1"/>
    <xf numFmtId="0" fontId="25" fillId="31" borderId="24" xfId="0" applyFont="1" applyFill="1" applyBorder="1" applyAlignment="1">
      <alignment horizontal="center" vertical="center"/>
    </xf>
    <xf numFmtId="0" fontId="25" fillId="31" borderId="25" xfId="0" applyFont="1" applyFill="1" applyBorder="1" applyAlignment="1">
      <alignment horizontal="center" vertical="center"/>
    </xf>
    <xf numFmtId="0" fontId="16" fillId="0" borderId="22" xfId="0" applyFont="1" applyBorder="1" applyAlignment="1">
      <alignment horizontal="center" vertical="center"/>
    </xf>
    <xf numFmtId="0" fontId="67" fillId="0" borderId="0" xfId="515" applyFont="1"/>
    <xf numFmtId="0" fontId="9" fillId="0" borderId="26" xfId="0" applyFont="1" applyBorder="1" applyAlignment="1">
      <alignment horizontal="center" vertical="center" wrapText="1"/>
    </xf>
    <xf numFmtId="165" fontId="9" fillId="0" borderId="23" xfId="436" applyNumberFormat="1" applyFont="1" applyFill="1" applyBorder="1" applyAlignment="1" applyProtection="1">
      <alignment horizontal="center" vertical="center"/>
    </xf>
    <xf numFmtId="0" fontId="11" fillId="0" borderId="0" xfId="515" applyFont="1" applyAlignment="1">
      <alignment horizontal="left"/>
    </xf>
    <xf numFmtId="165" fontId="5" fillId="0" borderId="0" xfId="515" applyNumberFormat="1"/>
    <xf numFmtId="165" fontId="33" fillId="0" borderId="0" xfId="436" applyNumberFormat="1" applyFont="1" applyProtection="1"/>
    <xf numFmtId="10" fontId="33" fillId="0" borderId="0" xfId="436" applyNumberFormat="1" applyFont="1" applyProtection="1"/>
    <xf numFmtId="9" fontId="33" fillId="0" borderId="0" xfId="0" applyNumberFormat="1" applyFont="1"/>
    <xf numFmtId="165" fontId="20" fillId="32" borderId="24" xfId="436" applyNumberFormat="1" applyFont="1" applyFill="1" applyBorder="1" applyAlignment="1" applyProtection="1">
      <alignment horizontal="center" vertical="center" wrapText="1"/>
    </xf>
    <xf numFmtId="0" fontId="48" fillId="0" borderId="0" xfId="0" applyFont="1"/>
    <xf numFmtId="49" fontId="16" fillId="33" borderId="22" xfId="0" applyNumberFormat="1" applyFont="1" applyFill="1" applyBorder="1" applyAlignment="1">
      <alignment horizontal="center"/>
    </xf>
    <xf numFmtId="0" fontId="16" fillId="33" borderId="22" xfId="0" applyFont="1" applyFill="1" applyBorder="1" applyAlignment="1">
      <alignment horizontal="center"/>
    </xf>
    <xf numFmtId="0" fontId="45" fillId="0" borderId="0" xfId="0" applyFont="1" applyAlignment="1">
      <alignment horizontal="left" vertical="top"/>
    </xf>
    <xf numFmtId="0" fontId="25" fillId="32" borderId="28" xfId="0" applyFont="1" applyFill="1" applyBorder="1" applyAlignment="1">
      <alignment horizontal="center" vertical="center" wrapText="1"/>
    </xf>
    <xf numFmtId="0" fontId="25" fillId="29" borderId="28" xfId="0" applyFont="1" applyFill="1" applyBorder="1" applyAlignment="1">
      <alignment horizontal="center" vertical="center"/>
    </xf>
    <xf numFmtId="0" fontId="5" fillId="0" borderId="22" xfId="515" applyBorder="1" applyAlignment="1">
      <alignment horizontal="center" vertical="center"/>
    </xf>
    <xf numFmtId="1" fontId="29" fillId="28" borderId="18" xfId="0" applyNumberFormat="1" applyFont="1" applyFill="1" applyBorder="1" applyAlignment="1">
      <alignment horizontal="center" vertical="center" wrapText="1"/>
    </xf>
    <xf numFmtId="0" fontId="28" fillId="0" borderId="0" xfId="0" applyFont="1"/>
    <xf numFmtId="0" fontId="28" fillId="0" borderId="0" xfId="0" applyFont="1" applyAlignment="1">
      <alignment vertical="center"/>
    </xf>
    <xf numFmtId="0" fontId="34" fillId="0" borderId="29" xfId="0" applyFont="1" applyBorder="1" applyAlignment="1">
      <alignment horizontal="center" vertical="center" wrapText="1"/>
    </xf>
    <xf numFmtId="0" fontId="18" fillId="0" borderId="22" xfId="0" applyFont="1" applyBorder="1" applyAlignment="1">
      <alignment horizontal="left" vertical="center" wrapText="1"/>
    </xf>
    <xf numFmtId="0" fontId="23" fillId="0" borderId="0" xfId="0" applyFont="1" applyAlignment="1">
      <alignment horizontal="center"/>
    </xf>
    <xf numFmtId="0" fontId="69" fillId="0" borderId="0" xfId="0" applyFont="1"/>
    <xf numFmtId="0" fontId="6" fillId="0" borderId="0" xfId="0" applyFont="1"/>
    <xf numFmtId="0" fontId="70" fillId="34" borderId="24" xfId="0" applyFont="1" applyFill="1" applyBorder="1" applyAlignment="1">
      <alignment horizontal="center" vertical="center"/>
    </xf>
    <xf numFmtId="0" fontId="9" fillId="35" borderId="0" xfId="0" applyFont="1" applyFill="1" applyAlignment="1">
      <alignment wrapText="1"/>
    </xf>
    <xf numFmtId="1" fontId="16" fillId="30" borderId="18" xfId="0" applyNumberFormat="1" applyFont="1" applyFill="1" applyBorder="1" applyAlignment="1" applyProtection="1">
      <alignment horizontal="center" vertical="center"/>
      <protection locked="0"/>
    </xf>
    <xf numFmtId="0" fontId="26" fillId="0" borderId="0" xfId="0" applyFont="1"/>
    <xf numFmtId="1" fontId="9" fillId="36" borderId="18" xfId="515" applyNumberFormat="1" applyFont="1" applyFill="1" applyBorder="1" applyAlignment="1" applyProtection="1">
      <alignment horizontal="center" vertical="center"/>
      <protection locked="0"/>
    </xf>
    <xf numFmtId="0" fontId="16" fillId="30" borderId="30" xfId="0" applyFont="1" applyFill="1" applyBorder="1" applyAlignment="1" applyProtection="1">
      <alignment horizontal="left" vertical="center" wrapText="1"/>
      <protection locked="0"/>
    </xf>
    <xf numFmtId="0" fontId="16" fillId="30" borderId="18" xfId="0" applyFont="1" applyFill="1" applyBorder="1" applyAlignment="1" applyProtection="1">
      <alignment horizontal="left" vertical="center" wrapText="1"/>
      <protection locked="0"/>
    </xf>
    <xf numFmtId="0" fontId="29" fillId="35" borderId="22" xfId="0" applyFont="1" applyFill="1" applyBorder="1" applyAlignment="1">
      <alignment horizontal="center"/>
    </xf>
    <xf numFmtId="0" fontId="29" fillId="0" borderId="22" xfId="0" applyFont="1" applyBorder="1" applyAlignment="1">
      <alignment horizontal="center"/>
    </xf>
    <xf numFmtId="1" fontId="29" fillId="0" borderId="22" xfId="0" applyNumberFormat="1" applyFont="1" applyBorder="1" applyAlignment="1">
      <alignment horizontal="center"/>
    </xf>
    <xf numFmtId="49" fontId="16" fillId="0" borderId="22" xfId="0" applyNumberFormat="1" applyFont="1" applyBorder="1" applyAlignment="1">
      <alignment horizontal="center"/>
    </xf>
    <xf numFmtId="0" fontId="16" fillId="0" borderId="22" xfId="0" applyFont="1" applyBorder="1" applyAlignment="1">
      <alignment horizontal="center"/>
    </xf>
    <xf numFmtId="0" fontId="29" fillId="0" borderId="0" xfId="0" applyFont="1"/>
    <xf numFmtId="0" fontId="58" fillId="0" borderId="0" xfId="0" applyFont="1"/>
    <xf numFmtId="0" fontId="29" fillId="35" borderId="0" xfId="0" applyFont="1" applyFill="1"/>
    <xf numFmtId="0" fontId="16" fillId="0" borderId="0" xfId="0" applyFont="1" applyAlignment="1">
      <alignment horizontal="center"/>
    </xf>
    <xf numFmtId="0" fontId="9" fillId="0" borderId="0" xfId="0" applyFont="1"/>
    <xf numFmtId="0" fontId="16" fillId="0" borderId="0" xfId="0" applyFont="1" applyAlignment="1">
      <alignment horizontal="center" vertical="center"/>
    </xf>
    <xf numFmtId="0" fontId="69" fillId="0" borderId="22" xfId="0" applyFont="1" applyBorder="1"/>
    <xf numFmtId="0" fontId="9" fillId="0" borderId="0" xfId="515" applyFont="1"/>
    <xf numFmtId="0" fontId="9" fillId="0" borderId="0" xfId="515" applyFont="1" applyAlignment="1">
      <alignment horizontal="left"/>
    </xf>
    <xf numFmtId="0" fontId="60" fillId="0" borderId="0" xfId="515" applyFont="1" applyAlignment="1">
      <alignment horizontal="left"/>
    </xf>
    <xf numFmtId="0" fontId="72" fillId="0" borderId="0" xfId="0" applyFont="1"/>
    <xf numFmtId="0" fontId="61" fillId="0" borderId="0" xfId="0" applyFont="1"/>
    <xf numFmtId="0" fontId="16" fillId="27" borderId="0" xfId="0" applyFont="1" applyFill="1" applyAlignment="1">
      <alignment horizontal="right" vertical="center"/>
    </xf>
    <xf numFmtId="0" fontId="16" fillId="27" borderId="0" xfId="0" applyFont="1" applyFill="1"/>
    <xf numFmtId="0" fontId="16" fillId="0" borderId="0" xfId="0" applyFont="1" applyAlignment="1">
      <alignment horizontal="right" vertical="center"/>
    </xf>
    <xf numFmtId="0" fontId="16" fillId="0" borderId="0" xfId="0" applyFont="1" applyAlignment="1">
      <alignment horizontal="right"/>
    </xf>
    <xf numFmtId="0" fontId="29" fillId="0" borderId="0" xfId="0" applyFont="1" applyAlignment="1">
      <alignment vertical="center"/>
    </xf>
    <xf numFmtId="0" fontId="16" fillId="0" borderId="35" xfId="0" applyFont="1" applyBorder="1" applyAlignment="1">
      <alignment vertical="center"/>
    </xf>
    <xf numFmtId="0" fontId="16" fillId="0" borderId="35" xfId="0" applyFont="1" applyBorder="1"/>
    <xf numFmtId="0" fontId="16" fillId="0" borderId="36" xfId="0" applyFont="1" applyBorder="1"/>
    <xf numFmtId="0" fontId="9" fillId="0" borderId="0" xfId="515" applyFont="1" applyAlignment="1">
      <alignment horizontal="left" indent="1"/>
    </xf>
    <xf numFmtId="0" fontId="16" fillId="0" borderId="32" xfId="0" applyFont="1" applyBorder="1" applyAlignment="1">
      <alignment vertical="center"/>
    </xf>
    <xf numFmtId="0" fontId="16" fillId="0" borderId="36" xfId="0" applyFont="1" applyBorder="1" applyAlignment="1">
      <alignment vertical="center"/>
    </xf>
    <xf numFmtId="0" fontId="29" fillId="0" borderId="22" xfId="0" applyFont="1" applyBorder="1" applyAlignment="1">
      <alignment horizontal="center" vertical="center"/>
    </xf>
    <xf numFmtId="9" fontId="29" fillId="0" borderId="22" xfId="436" applyFont="1" applyBorder="1" applyAlignment="1" applyProtection="1">
      <alignment horizontal="center" vertical="center"/>
    </xf>
    <xf numFmtId="0" fontId="33" fillId="0" borderId="0" xfId="436" applyNumberFormat="1" applyFont="1" applyProtection="1"/>
    <xf numFmtId="0" fontId="70" fillId="31" borderId="28" xfId="0" applyFont="1" applyFill="1" applyBorder="1" applyAlignment="1">
      <alignment horizontal="center" vertical="center"/>
    </xf>
    <xf numFmtId="0" fontId="70" fillId="31" borderId="37" xfId="0" applyFont="1" applyFill="1" applyBorder="1" applyAlignment="1">
      <alignment horizontal="center" vertical="center"/>
    </xf>
    <xf numFmtId="0" fontId="28" fillId="34" borderId="28" xfId="0" applyFont="1" applyFill="1" applyBorder="1" applyAlignment="1">
      <alignment horizontal="center" wrapText="1"/>
    </xf>
    <xf numFmtId="0" fontId="71" fillId="0" borderId="22" xfId="0" applyFont="1" applyBorder="1"/>
    <xf numFmtId="9" fontId="29" fillId="0" borderId="22" xfId="436" applyFont="1" applyFill="1" applyBorder="1" applyAlignment="1" applyProtection="1">
      <alignment horizontal="center" vertical="center"/>
    </xf>
    <xf numFmtId="9" fontId="16" fillId="0" borderId="22" xfId="436" applyFont="1" applyFill="1" applyBorder="1" applyAlignment="1" applyProtection="1">
      <alignment horizontal="center" vertical="center"/>
    </xf>
    <xf numFmtId="0" fontId="71" fillId="0" borderId="22" xfId="0" applyFont="1" applyBorder="1" applyAlignment="1">
      <alignment horizontal="center" vertical="center"/>
    </xf>
    <xf numFmtId="167" fontId="71" fillId="0" borderId="22" xfId="0" applyNumberFormat="1" applyFont="1" applyBorder="1" applyAlignment="1">
      <alignment horizontal="center" vertical="center"/>
    </xf>
    <xf numFmtId="167" fontId="16" fillId="0" borderId="22" xfId="436" applyNumberFormat="1" applyFont="1" applyFill="1" applyBorder="1" applyAlignment="1" applyProtection="1">
      <alignment horizontal="center" vertical="center"/>
    </xf>
    <xf numFmtId="9" fontId="71" fillId="0" borderId="22" xfId="0" applyNumberFormat="1" applyFont="1" applyBorder="1" applyAlignment="1">
      <alignment horizontal="center" vertical="center"/>
    </xf>
    <xf numFmtId="10" fontId="16" fillId="30" borderId="18" xfId="436" applyNumberFormat="1" applyFont="1" applyFill="1" applyBorder="1" applyAlignment="1" applyProtection="1">
      <alignment horizontal="center" vertical="center"/>
      <protection locked="0"/>
    </xf>
    <xf numFmtId="10" fontId="16" fillId="30" borderId="20" xfId="436" applyNumberFormat="1" applyFont="1" applyFill="1" applyBorder="1" applyAlignment="1" applyProtection="1">
      <alignment horizontal="center" vertical="center"/>
      <protection locked="0"/>
    </xf>
    <xf numFmtId="0" fontId="34" fillId="0" borderId="18" xfId="0" applyFont="1" applyBorder="1" applyAlignment="1">
      <alignment horizontal="center" vertical="center" wrapText="1"/>
    </xf>
    <xf numFmtId="0" fontId="68" fillId="0" borderId="22" xfId="0" applyFont="1" applyBorder="1" applyAlignment="1">
      <alignment horizontal="left" vertical="center"/>
    </xf>
    <xf numFmtId="14" fontId="68" fillId="0" borderId="22" xfId="0" applyNumberFormat="1" applyFont="1" applyBorder="1" applyAlignment="1">
      <alignment horizontal="left" vertical="center"/>
    </xf>
    <xf numFmtId="0" fontId="9" fillId="0" borderId="22" xfId="0" applyFont="1" applyBorder="1" applyAlignment="1">
      <alignment horizontal="center" vertical="center" wrapText="1"/>
    </xf>
    <xf numFmtId="0" fontId="25" fillId="0" borderId="22" xfId="0" applyFont="1" applyBorder="1" applyAlignment="1">
      <alignment horizontal="left" vertical="center"/>
    </xf>
    <xf numFmtId="0" fontId="17" fillId="0" borderId="22" xfId="0" applyFont="1" applyBorder="1" applyAlignment="1">
      <alignment horizontal="center" vertical="center"/>
    </xf>
    <xf numFmtId="0" fontId="68" fillId="0" borderId="22" xfId="0" applyFont="1" applyBorder="1"/>
    <xf numFmtId="0" fontId="6" fillId="0" borderId="22" xfId="515" applyFont="1" applyBorder="1"/>
    <xf numFmtId="0" fontId="71" fillId="0" borderId="0" xfId="0" applyFont="1" applyAlignment="1">
      <alignment vertical="center" wrapText="1"/>
    </xf>
    <xf numFmtId="0" fontId="71" fillId="0" borderId="22" xfId="0" applyFont="1" applyBorder="1" applyAlignment="1">
      <alignment vertical="center"/>
    </xf>
    <xf numFmtId="0" fontId="71" fillId="0" borderId="0" xfId="0" applyFont="1" applyAlignment="1">
      <alignment vertical="center"/>
    </xf>
    <xf numFmtId="0" fontId="0" fillId="0" borderId="0" xfId="0" applyAlignment="1">
      <alignment vertical="center"/>
    </xf>
    <xf numFmtId="0" fontId="16" fillId="34" borderId="24" xfId="0" applyFont="1" applyFill="1" applyBorder="1" applyAlignment="1">
      <alignment horizontal="center" vertical="center"/>
    </xf>
    <xf numFmtId="165" fontId="9" fillId="32" borderId="24" xfId="436" applyNumberFormat="1" applyFont="1" applyFill="1" applyBorder="1" applyAlignment="1" applyProtection="1">
      <alignment horizontal="center" vertical="center" wrapText="1"/>
    </xf>
    <xf numFmtId="0" fontId="16" fillId="29" borderId="24" xfId="0" applyFont="1" applyFill="1" applyBorder="1" applyAlignment="1">
      <alignment horizontal="center" vertical="center"/>
    </xf>
    <xf numFmtId="0" fontId="16" fillId="38" borderId="24" xfId="0" applyFont="1" applyFill="1" applyBorder="1" applyAlignment="1">
      <alignment horizontal="center" vertical="center"/>
    </xf>
    <xf numFmtId="0" fontId="16" fillId="38" borderId="25" xfId="0" applyFont="1" applyFill="1" applyBorder="1" applyAlignment="1">
      <alignment horizontal="center" vertical="center"/>
    </xf>
    <xf numFmtId="0" fontId="16" fillId="32" borderId="28" xfId="0" applyFont="1" applyFill="1" applyBorder="1" applyAlignment="1">
      <alignment horizontal="center" vertical="center" wrapText="1"/>
    </xf>
    <xf numFmtId="0" fontId="16" fillId="29" borderId="28" xfId="0" applyFont="1" applyFill="1" applyBorder="1" applyAlignment="1">
      <alignment horizontal="center" vertical="center"/>
    </xf>
    <xf numFmtId="0" fontId="16" fillId="38" borderId="28" xfId="0" applyFont="1" applyFill="1" applyBorder="1" applyAlignment="1">
      <alignment horizontal="center" vertical="center"/>
    </xf>
    <xf numFmtId="0" fontId="16" fillId="38" borderId="37" xfId="0" applyFont="1" applyFill="1" applyBorder="1" applyAlignment="1">
      <alignment horizontal="center" vertical="center"/>
    </xf>
    <xf numFmtId="0" fontId="16" fillId="29" borderId="21" xfId="0" applyFont="1" applyFill="1" applyBorder="1" applyAlignment="1">
      <alignment horizontal="center" vertical="center" wrapText="1"/>
    </xf>
    <xf numFmtId="49" fontId="16" fillId="0" borderId="0" xfId="0" applyNumberFormat="1" applyFont="1" applyAlignment="1">
      <alignment horizontal="center" vertical="center"/>
    </xf>
    <xf numFmtId="0" fontId="16" fillId="34" borderId="28" xfId="0" applyFont="1" applyFill="1" applyBorder="1" applyAlignment="1">
      <alignment horizontal="center" vertical="center" wrapText="1"/>
    </xf>
    <xf numFmtId="0" fontId="16" fillId="0" borderId="39" xfId="0" applyFont="1" applyBorder="1" applyAlignment="1">
      <alignment horizontal="center" vertical="center"/>
    </xf>
    <xf numFmtId="0" fontId="16" fillId="0" borderId="40" xfId="0" applyFont="1" applyBorder="1" applyAlignment="1">
      <alignment horizontal="center" vertical="center"/>
    </xf>
    <xf numFmtId="0" fontId="16" fillId="0" borderId="38" xfId="0" applyFont="1" applyBorder="1" applyAlignment="1">
      <alignment vertical="center"/>
    </xf>
    <xf numFmtId="0" fontId="58" fillId="0" borderId="0" xfId="0" applyFont="1" applyAlignment="1">
      <alignment vertical="center"/>
    </xf>
    <xf numFmtId="0" fontId="9" fillId="0" borderId="0" xfId="0" applyFont="1" applyAlignment="1">
      <alignment vertical="center"/>
    </xf>
    <xf numFmtId="0" fontId="16" fillId="0" borderId="39" xfId="0" applyFont="1" applyBorder="1" applyAlignment="1">
      <alignment vertical="center"/>
    </xf>
    <xf numFmtId="0" fontId="16" fillId="0" borderId="40" xfId="0" applyFont="1" applyBorder="1" applyAlignment="1">
      <alignment vertical="center"/>
    </xf>
    <xf numFmtId="0" fontId="16" fillId="32" borderId="21" xfId="0" applyFont="1" applyFill="1" applyBorder="1" applyAlignment="1">
      <alignment horizontal="center" vertical="center" wrapText="1"/>
    </xf>
    <xf numFmtId="0" fontId="16" fillId="32" borderId="41" xfId="0" applyFont="1" applyFill="1" applyBorder="1" applyAlignment="1">
      <alignment horizontal="center" vertical="center"/>
    </xf>
    <xf numFmtId="0" fontId="16" fillId="32" borderId="42" xfId="0" applyFont="1" applyFill="1" applyBorder="1" applyAlignment="1">
      <alignment horizontal="center" vertical="center" wrapText="1"/>
    </xf>
    <xf numFmtId="49" fontId="16" fillId="39" borderId="42" xfId="0" applyNumberFormat="1" applyFont="1" applyFill="1" applyBorder="1" applyAlignment="1">
      <alignment horizontal="center" vertical="center"/>
    </xf>
    <xf numFmtId="0" fontId="16" fillId="0" borderId="22" xfId="0" applyFont="1" applyBorder="1" applyAlignment="1">
      <alignment vertical="center"/>
    </xf>
    <xf numFmtId="0" fontId="16" fillId="0" borderId="0" xfId="0" applyFont="1" applyAlignment="1">
      <alignment horizontal="left" vertical="center"/>
    </xf>
    <xf numFmtId="0" fontId="25" fillId="0" borderId="22" xfId="0" applyFont="1" applyBorder="1" applyAlignment="1">
      <alignment vertical="center"/>
    </xf>
    <xf numFmtId="0" fontId="25" fillId="0" borderId="22" xfId="0" applyFont="1" applyBorder="1" applyAlignment="1">
      <alignment vertical="center" wrapText="1"/>
    </xf>
    <xf numFmtId="0" fontId="10" fillId="0" borderId="0" xfId="0" applyFont="1" applyAlignment="1">
      <alignment horizontal="center" vertical="center"/>
    </xf>
    <xf numFmtId="0" fontId="9" fillId="0" borderId="0" xfId="0" applyFont="1" applyAlignment="1">
      <alignment horizontal="center" vertical="center" wrapText="1"/>
    </xf>
    <xf numFmtId="0" fontId="9" fillId="0" borderId="0" xfId="0" applyFont="1" applyAlignment="1">
      <alignment horizontal="center" vertical="center"/>
    </xf>
    <xf numFmtId="0" fontId="29" fillId="0" borderId="22" xfId="0" applyFont="1" applyBorder="1" applyAlignment="1">
      <alignment vertical="center"/>
    </xf>
    <xf numFmtId="0" fontId="16" fillId="0" borderId="0" xfId="0" applyFont="1" applyAlignment="1">
      <alignment horizontal="center" vertical="center" wrapText="1"/>
    </xf>
    <xf numFmtId="0" fontId="16" fillId="0" borderId="0" xfId="0" applyFont="1" applyAlignment="1">
      <alignment vertical="center" wrapText="1"/>
    </xf>
    <xf numFmtId="0" fontId="16" fillId="0" borderId="22" xfId="0" applyFont="1" applyBorder="1" applyAlignment="1">
      <alignment vertical="center" wrapText="1"/>
    </xf>
    <xf numFmtId="167" fontId="29" fillId="0" borderId="22" xfId="0" applyNumberFormat="1" applyFont="1" applyBorder="1" applyAlignment="1">
      <alignment horizontal="center" vertical="center" wrapText="1"/>
    </xf>
    <xf numFmtId="167" fontId="71" fillId="0" borderId="22" xfId="0" applyNumberFormat="1" applyFont="1" applyBorder="1" applyAlignment="1">
      <alignment horizontal="center" vertical="center" wrapText="1"/>
    </xf>
    <xf numFmtId="167" fontId="16" fillId="0" borderId="22" xfId="436" applyNumberFormat="1" applyFont="1" applyFill="1" applyBorder="1" applyAlignment="1" applyProtection="1">
      <alignment horizontal="center" vertical="center" wrapText="1"/>
    </xf>
    <xf numFmtId="0" fontId="71" fillId="0" borderId="22" xfId="0" applyFont="1" applyBorder="1" applyAlignment="1">
      <alignment horizontal="center" vertical="center" wrapText="1"/>
    </xf>
    <xf numFmtId="9" fontId="16" fillId="0" borderId="22" xfId="436" applyFont="1" applyFill="1" applyBorder="1" applyAlignment="1" applyProtection="1">
      <alignment horizontal="center" vertical="center" wrapText="1"/>
    </xf>
    <xf numFmtId="0" fontId="16" fillId="0" borderId="43" xfId="0" applyFont="1" applyBorder="1" applyAlignment="1">
      <alignment horizontal="center" vertical="center"/>
    </xf>
    <xf numFmtId="0" fontId="16" fillId="0" borderId="44" xfId="0" applyFont="1" applyBorder="1" applyAlignment="1">
      <alignment horizontal="center" vertical="center"/>
    </xf>
    <xf numFmtId="0" fontId="16" fillId="0" borderId="45" xfId="0" applyFont="1" applyBorder="1" applyAlignment="1">
      <alignment horizontal="center" vertical="center"/>
    </xf>
    <xf numFmtId="0" fontId="16" fillId="0" borderId="46" xfId="0" applyFont="1" applyBorder="1" applyAlignment="1">
      <alignment horizontal="center" vertical="center"/>
    </xf>
    <xf numFmtId="0" fontId="10" fillId="0" borderId="22" xfId="515" applyFont="1" applyBorder="1" applyAlignment="1">
      <alignment horizontal="center" vertical="center" wrapText="1"/>
    </xf>
    <xf numFmtId="0" fontId="10" fillId="0" borderId="22" xfId="0" quotePrefix="1" applyFont="1" applyBorder="1" applyAlignment="1">
      <alignment horizontal="center" vertical="center" wrapText="1"/>
    </xf>
    <xf numFmtId="0" fontId="70" fillId="0" borderId="22" xfId="0" applyFont="1" applyBorder="1" applyAlignment="1">
      <alignment horizontal="center"/>
    </xf>
    <xf numFmtId="0" fontId="70" fillId="0" borderId="22" xfId="0" applyFont="1" applyBorder="1" applyAlignment="1">
      <alignment horizontal="center" vertical="center"/>
    </xf>
    <xf numFmtId="0" fontId="70" fillId="0" borderId="22" xfId="0" applyFont="1" applyBorder="1"/>
    <xf numFmtId="0" fontId="68" fillId="0" borderId="0" xfId="0" applyFont="1" applyAlignment="1">
      <alignment horizontal="center" vertical="center"/>
    </xf>
    <xf numFmtId="0" fontId="68" fillId="0" borderId="0" xfId="0" applyFont="1"/>
    <xf numFmtId="0" fontId="75" fillId="0" borderId="25" xfId="0" applyFont="1" applyBorder="1" applyAlignment="1">
      <alignment horizontal="center" vertical="center"/>
    </xf>
    <xf numFmtId="0" fontId="17" fillId="0" borderId="25" xfId="0" applyFont="1" applyBorder="1" applyAlignment="1">
      <alignment horizontal="center" vertical="center" wrapText="1"/>
    </xf>
    <xf numFmtId="4" fontId="71" fillId="0" borderId="22" xfId="0" applyNumberFormat="1" applyFont="1" applyBorder="1" applyAlignment="1">
      <alignment horizontal="center" vertical="center"/>
    </xf>
    <xf numFmtId="0" fontId="70" fillId="0" borderId="0" xfId="0" applyFont="1" applyAlignment="1">
      <alignment horizontal="left" vertical="center"/>
    </xf>
    <xf numFmtId="0" fontId="25" fillId="29" borderId="22" xfId="0" applyFont="1" applyFill="1" applyBorder="1" applyAlignment="1">
      <alignment horizontal="center" vertical="center"/>
    </xf>
    <xf numFmtId="0" fontId="18" fillId="29" borderId="22" xfId="0" applyFont="1" applyFill="1" applyBorder="1" applyAlignment="1">
      <alignment horizontal="right" vertical="center"/>
    </xf>
    <xf numFmtId="0" fontId="25" fillId="34" borderId="22" xfId="0" applyFont="1" applyFill="1" applyBorder="1" applyAlignment="1">
      <alignment horizontal="center" vertical="center"/>
    </xf>
    <xf numFmtId="0" fontId="18" fillId="34" borderId="22" xfId="0" applyFont="1" applyFill="1" applyBorder="1" applyAlignment="1">
      <alignment horizontal="right" vertical="center"/>
    </xf>
    <xf numFmtId="0" fontId="25" fillId="39" borderId="22" xfId="0" applyFont="1" applyFill="1" applyBorder="1" applyAlignment="1">
      <alignment horizontal="center" vertical="center"/>
    </xf>
    <xf numFmtId="0" fontId="18" fillId="39" borderId="22" xfId="0" applyFont="1" applyFill="1" applyBorder="1" applyAlignment="1">
      <alignment horizontal="right" vertical="center"/>
    </xf>
    <xf numFmtId="0" fontId="70" fillId="39" borderId="22" xfId="0" applyFont="1" applyFill="1" applyBorder="1" applyAlignment="1">
      <alignment horizontal="center" vertical="center"/>
    </xf>
    <xf numFmtId="0" fontId="18" fillId="39" borderId="22" xfId="0" applyFont="1" applyFill="1" applyBorder="1" applyAlignment="1">
      <alignment horizontal="right"/>
    </xf>
    <xf numFmtId="0" fontId="9" fillId="0" borderId="38" xfId="0" applyFont="1" applyBorder="1" applyAlignment="1">
      <alignment vertical="center"/>
    </xf>
    <xf numFmtId="0" fontId="16" fillId="0" borderId="38" xfId="0" applyFont="1" applyBorder="1" applyAlignment="1">
      <alignment horizontal="center" vertical="center"/>
    </xf>
    <xf numFmtId="0" fontId="9" fillId="0" borderId="39" xfId="0" applyFont="1" applyBorder="1" applyAlignment="1">
      <alignment vertical="center"/>
    </xf>
    <xf numFmtId="0" fontId="9" fillId="0" borderId="40" xfId="0" applyFont="1" applyBorder="1" applyAlignment="1">
      <alignment vertical="center"/>
    </xf>
    <xf numFmtId="0" fontId="9" fillId="0" borderId="22" xfId="0" applyFont="1" applyBorder="1" applyAlignment="1">
      <alignment vertical="center"/>
    </xf>
    <xf numFmtId="0" fontId="66" fillId="0" borderId="22" xfId="0" applyFont="1" applyBorder="1" applyAlignment="1">
      <alignment horizontal="center" vertical="center" wrapText="1"/>
    </xf>
    <xf numFmtId="0" fontId="16" fillId="0" borderId="39" xfId="0" applyFont="1" applyBorder="1" applyAlignment="1">
      <alignment horizontal="center" vertical="center" wrapText="1"/>
    </xf>
    <xf numFmtId="0" fontId="76" fillId="0" borderId="22" xfId="0" applyFont="1" applyBorder="1" applyAlignment="1">
      <alignment horizontal="center" vertical="center" wrapText="1"/>
    </xf>
    <xf numFmtId="0" fontId="10" fillId="0" borderId="22" xfId="0" applyFont="1" applyBorder="1" applyAlignment="1">
      <alignment horizontal="center" vertical="center" wrapText="1"/>
    </xf>
    <xf numFmtId="0" fontId="76" fillId="0" borderId="22" xfId="0" applyFont="1" applyBorder="1" applyAlignment="1">
      <alignment horizontal="center" vertical="center"/>
    </xf>
    <xf numFmtId="0" fontId="70" fillId="0" borderId="0" xfId="0" applyFont="1" applyAlignment="1">
      <alignment horizontal="center" vertical="center"/>
    </xf>
    <xf numFmtId="0" fontId="16" fillId="0" borderId="35" xfId="0" applyFont="1" applyBorder="1" applyAlignment="1">
      <alignment horizontal="left" vertical="center"/>
    </xf>
    <xf numFmtId="0" fontId="29" fillId="35" borderId="22" xfId="0" applyFont="1" applyFill="1" applyBorder="1" applyAlignment="1">
      <alignment horizontal="center" vertical="center" wrapText="1"/>
    </xf>
    <xf numFmtId="0" fontId="85" fillId="0" borderId="0" xfId="0" applyFont="1" applyAlignment="1">
      <alignment vertical="center"/>
    </xf>
    <xf numFmtId="14" fontId="71" fillId="40" borderId="22" xfId="0" applyNumberFormat="1" applyFont="1" applyFill="1" applyBorder="1" applyAlignment="1">
      <alignment vertical="center"/>
    </xf>
    <xf numFmtId="0" fontId="71" fillId="40" borderId="22" xfId="0" applyFont="1" applyFill="1" applyBorder="1" applyAlignment="1">
      <alignment vertical="center"/>
    </xf>
    <xf numFmtId="14" fontId="9" fillId="40" borderId="22" xfId="0" applyNumberFormat="1" applyFont="1" applyFill="1" applyBorder="1" applyAlignment="1">
      <alignment horizontal="left" vertical="center"/>
    </xf>
    <xf numFmtId="0" fontId="29" fillId="40" borderId="22" xfId="0" applyFont="1" applyFill="1" applyBorder="1" applyAlignment="1">
      <alignment vertical="center"/>
    </xf>
    <xf numFmtId="14" fontId="71" fillId="0" borderId="0" xfId="0" applyNumberFormat="1" applyFont="1" applyAlignment="1">
      <alignment horizontal="center" vertical="center"/>
    </xf>
    <xf numFmtId="0" fontId="16" fillId="0" borderId="0" xfId="0" quotePrefix="1" applyFont="1" applyAlignment="1">
      <alignment vertical="center"/>
    </xf>
    <xf numFmtId="14" fontId="16" fillId="0" borderId="22" xfId="0" quotePrefix="1" applyNumberFormat="1" applyFont="1" applyBorder="1" applyAlignment="1">
      <alignment horizontal="center" vertical="center"/>
    </xf>
    <xf numFmtId="0" fontId="16" fillId="0" borderId="22" xfId="0" quotePrefix="1" applyFont="1" applyBorder="1" applyAlignment="1">
      <alignment vertical="center"/>
    </xf>
    <xf numFmtId="14" fontId="16" fillId="0" borderId="0" xfId="0" applyNumberFormat="1" applyFont="1" applyAlignment="1">
      <alignment vertical="center"/>
    </xf>
    <xf numFmtId="14" fontId="71" fillId="0" borderId="0" xfId="0" applyNumberFormat="1" applyFont="1" applyAlignment="1">
      <alignment vertical="center"/>
    </xf>
    <xf numFmtId="0" fontId="9" fillId="0" borderId="22" xfId="0" applyFont="1" applyBorder="1" applyAlignment="1">
      <alignment vertical="center" wrapText="1"/>
    </xf>
    <xf numFmtId="0" fontId="9" fillId="0" borderId="0" xfId="0" applyFont="1" applyAlignment="1">
      <alignment vertical="center" wrapText="1"/>
    </xf>
    <xf numFmtId="0" fontId="9" fillId="0" borderId="47" xfId="0" applyFont="1" applyBorder="1" applyAlignment="1">
      <alignment vertical="center"/>
    </xf>
    <xf numFmtId="0" fontId="71" fillId="0" borderId="32" xfId="0" applyFont="1" applyBorder="1" applyAlignment="1">
      <alignment vertical="center"/>
    </xf>
    <xf numFmtId="0" fontId="83" fillId="0" borderId="22" xfId="0" applyFont="1" applyBorder="1" applyAlignment="1">
      <alignment vertical="center"/>
    </xf>
    <xf numFmtId="1" fontId="9" fillId="0" borderId="0" xfId="0" applyNumberFormat="1" applyFont="1" applyAlignment="1">
      <alignment vertical="center"/>
    </xf>
    <xf numFmtId="0" fontId="9" fillId="0" borderId="32" xfId="0" applyFont="1" applyBorder="1" applyAlignment="1">
      <alignment vertical="center"/>
    </xf>
    <xf numFmtId="0" fontId="9" fillId="0" borderId="36" xfId="0" applyFont="1" applyBorder="1" applyAlignment="1">
      <alignment vertical="center"/>
    </xf>
    <xf numFmtId="0" fontId="10" fillId="0" borderId="0" xfId="0" applyFont="1" applyAlignment="1">
      <alignment vertical="center"/>
    </xf>
    <xf numFmtId="0" fontId="10" fillId="0" borderId="28" xfId="0" applyFont="1" applyBorder="1" applyAlignment="1">
      <alignment vertical="center"/>
    </xf>
    <xf numFmtId="0" fontId="10" fillId="0" borderId="37" xfId="0" applyFont="1" applyBorder="1" applyAlignment="1">
      <alignment vertical="center"/>
    </xf>
    <xf numFmtId="0" fontId="10" fillId="0" borderId="48" xfId="0" applyFont="1" applyBorder="1" applyAlignment="1">
      <alignment vertical="center"/>
    </xf>
    <xf numFmtId="0" fontId="10" fillId="0" borderId="0" xfId="0" applyFont="1" applyAlignment="1">
      <alignment horizontal="left" vertical="center"/>
    </xf>
    <xf numFmtId="1" fontId="71" fillId="0" borderId="0" xfId="0" applyNumberFormat="1" applyFont="1" applyAlignment="1">
      <alignment vertical="center"/>
    </xf>
    <xf numFmtId="0" fontId="16" fillId="0" borderId="22" xfId="0" applyFont="1" applyBorder="1" applyAlignment="1">
      <alignment horizontal="left" vertical="center"/>
    </xf>
    <xf numFmtId="0" fontId="10" fillId="0" borderId="0" xfId="548" applyFont="1" applyAlignment="1">
      <alignment vertical="center"/>
    </xf>
    <xf numFmtId="0" fontId="9" fillId="0" borderId="0" xfId="548" applyFont="1" applyAlignment="1">
      <alignment vertical="center"/>
    </xf>
    <xf numFmtId="0" fontId="9" fillId="0" borderId="0" xfId="547" applyFont="1" applyAlignment="1">
      <alignment horizontal="center" vertical="center"/>
    </xf>
    <xf numFmtId="0" fontId="71" fillId="0" borderId="24" xfId="0" applyFont="1" applyBorder="1" applyAlignment="1">
      <alignment vertical="center"/>
    </xf>
    <xf numFmtId="0" fontId="71" fillId="0" borderId="25" xfId="0" applyFont="1" applyBorder="1" applyAlignment="1">
      <alignment vertical="center"/>
    </xf>
    <xf numFmtId="10" fontId="29" fillId="27" borderId="18" xfId="425" applyNumberFormat="1" applyFont="1" applyFill="1" applyBorder="1" applyAlignment="1" applyProtection="1">
      <alignment horizontal="center" vertical="center" wrapText="1"/>
    </xf>
    <xf numFmtId="10" fontId="16" fillId="0" borderId="22" xfId="425" applyNumberFormat="1" applyFont="1" applyBorder="1" applyAlignment="1">
      <alignment horizontal="center" vertical="center" wrapText="1"/>
    </xf>
    <xf numFmtId="0" fontId="81" fillId="0" borderId="22" xfId="0" applyFont="1" applyBorder="1" applyAlignment="1">
      <alignment horizontal="center" vertical="center" wrapText="1"/>
    </xf>
    <xf numFmtId="0" fontId="82" fillId="0" borderId="22" xfId="0" applyFont="1" applyBorder="1" applyAlignment="1">
      <alignment horizontal="center" vertical="center" wrapText="1"/>
    </xf>
    <xf numFmtId="0" fontId="0" fillId="0" borderId="0" xfId="0" applyAlignment="1">
      <alignment horizontal="center"/>
    </xf>
    <xf numFmtId="9" fontId="74" fillId="0" borderId="22" xfId="0" applyNumberFormat="1" applyFont="1" applyBorder="1" applyAlignment="1">
      <alignment horizontal="center" vertical="center" wrapText="1"/>
    </xf>
    <xf numFmtId="0" fontId="9" fillId="34" borderId="22" xfId="0" applyFont="1" applyFill="1" applyBorder="1" applyAlignment="1">
      <alignment horizontal="center" vertical="center" wrapText="1"/>
    </xf>
    <xf numFmtId="1" fontId="16" fillId="0" borderId="22" xfId="0" applyNumberFormat="1" applyFont="1" applyBorder="1" applyAlignment="1">
      <alignment horizontal="center" vertical="center" wrapText="1"/>
    </xf>
    <xf numFmtId="0" fontId="71" fillId="0" borderId="22" xfId="0" applyFont="1" applyBorder="1" applyAlignment="1">
      <alignment vertical="center" wrapText="1"/>
    </xf>
    <xf numFmtId="0" fontId="9" fillId="0" borderId="22" xfId="0" applyFont="1" applyBorder="1" applyAlignment="1">
      <alignment horizontal="left" vertical="center" wrapText="1"/>
    </xf>
    <xf numFmtId="0" fontId="71" fillId="0" borderId="25" xfId="0" applyFont="1" applyBorder="1" applyAlignment="1">
      <alignment horizontal="center" vertical="center" wrapText="1"/>
    </xf>
    <xf numFmtId="0" fontId="71" fillId="0" borderId="0" xfId="0" applyFont="1" applyAlignment="1">
      <alignment horizontal="center" vertical="center" wrapText="1"/>
    </xf>
    <xf numFmtId="0" fontId="71" fillId="0" borderId="0" xfId="0" applyFont="1" applyAlignment="1">
      <alignment horizontal="center" vertical="center"/>
    </xf>
    <xf numFmtId="0" fontId="81" fillId="0" borderId="0" xfId="0" applyFont="1" applyAlignment="1">
      <alignment vertical="center"/>
    </xf>
    <xf numFmtId="0" fontId="25" fillId="35" borderId="22" xfId="0" applyFont="1" applyFill="1" applyBorder="1" applyAlignment="1">
      <alignment horizontal="center" vertical="center"/>
    </xf>
    <xf numFmtId="0" fontId="25" fillId="0" borderId="0" xfId="0" applyFont="1" applyAlignment="1">
      <alignment horizontal="left"/>
    </xf>
    <xf numFmtId="0" fontId="81" fillId="0" borderId="25" xfId="0" applyFont="1" applyBorder="1" applyAlignment="1">
      <alignment horizontal="center" vertical="center" wrapText="1"/>
    </xf>
    <xf numFmtId="0" fontId="16" fillId="0" borderId="0" xfId="0" applyFont="1" applyAlignment="1">
      <alignment horizontal="left" vertical="center" wrapText="1"/>
    </xf>
    <xf numFmtId="0" fontId="91" fillId="35" borderId="0" xfId="0" applyFont="1" applyFill="1" applyAlignment="1">
      <alignment horizontal="center"/>
    </xf>
    <xf numFmtId="10" fontId="16" fillId="0" borderId="0" xfId="0" applyNumberFormat="1" applyFont="1" applyAlignment="1">
      <alignment horizontal="center" vertical="center" wrapText="1"/>
    </xf>
    <xf numFmtId="9" fontId="16" fillId="0" borderId="0" xfId="0" applyNumberFormat="1" applyFont="1" applyAlignment="1">
      <alignment horizontal="center" vertical="center" wrapText="1"/>
    </xf>
    <xf numFmtId="0" fontId="9" fillId="37" borderId="50" xfId="0" applyFont="1" applyFill="1" applyBorder="1" applyAlignment="1">
      <alignment horizontal="center" wrapText="1"/>
    </xf>
    <xf numFmtId="0" fontId="9" fillId="37" borderId="0" xfId="0" applyFont="1" applyFill="1" applyAlignment="1">
      <alignment horizontal="center" wrapText="1"/>
    </xf>
    <xf numFmtId="1" fontId="9" fillId="37" borderId="0" xfId="0" applyNumberFormat="1" applyFont="1" applyFill="1" applyAlignment="1">
      <alignment horizontal="center" wrapText="1"/>
    </xf>
    <xf numFmtId="0" fontId="9" fillId="0" borderId="34" xfId="0" applyFont="1" applyBorder="1" applyAlignment="1">
      <alignment horizontal="center" vertical="center" wrapText="1"/>
    </xf>
    <xf numFmtId="0" fontId="9" fillId="0" borderId="34" xfId="0" applyFont="1" applyBorder="1" applyAlignment="1">
      <alignment horizontal="center" vertical="center"/>
    </xf>
    <xf numFmtId="0" fontId="9" fillId="37" borderId="52" xfId="0" applyFont="1" applyFill="1" applyBorder="1" applyAlignment="1">
      <alignment horizontal="center" wrapText="1"/>
    </xf>
    <xf numFmtId="0" fontId="12" fillId="0" borderId="34" xfId="0" applyFont="1" applyBorder="1" applyAlignment="1">
      <alignment horizontal="center" vertical="center"/>
    </xf>
    <xf numFmtId="0" fontId="9" fillId="0" borderId="53" xfId="0" applyFont="1" applyBorder="1" applyAlignment="1">
      <alignment textRotation="90" wrapText="1"/>
    </xf>
    <xf numFmtId="0" fontId="21" fillId="0" borderId="54" xfId="0" applyFont="1" applyBorder="1"/>
    <xf numFmtId="0" fontId="34" fillId="0" borderId="55" xfId="0" applyFont="1" applyBorder="1" applyAlignment="1">
      <alignment horizontal="center" vertical="center" wrapText="1"/>
    </xf>
    <xf numFmtId="0" fontId="12" fillId="0" borderId="33" xfId="0" applyFont="1" applyBorder="1" applyAlignment="1">
      <alignment horizontal="center" vertical="center"/>
    </xf>
    <xf numFmtId="0" fontId="9" fillId="37" borderId="0" xfId="0" applyFont="1" applyFill="1" applyAlignment="1">
      <alignment horizontal="center" vertical="center" wrapText="1"/>
    </xf>
    <xf numFmtId="0" fontId="9" fillId="37" borderId="56" xfId="0" applyFont="1" applyFill="1" applyBorder="1" applyAlignment="1">
      <alignment horizontal="center" vertical="center" wrapText="1"/>
    </xf>
    <xf numFmtId="10" fontId="9" fillId="0" borderId="18" xfId="436" applyNumberFormat="1" applyFont="1" applyFill="1" applyBorder="1" applyAlignment="1" applyProtection="1">
      <alignment horizontal="center" vertical="center"/>
    </xf>
    <xf numFmtId="10" fontId="29" fillId="0" borderId="22" xfId="436" applyNumberFormat="1" applyFont="1" applyFill="1" applyBorder="1" applyAlignment="1" applyProtection="1">
      <alignment horizontal="center" vertical="center"/>
    </xf>
    <xf numFmtId="0" fontId="18" fillId="0" borderId="22" xfId="0" applyFont="1" applyBorder="1" applyAlignment="1">
      <alignment horizontal="center" vertical="top"/>
    </xf>
    <xf numFmtId="0" fontId="9" fillId="0" borderId="18" xfId="0" applyFont="1" applyBorder="1" applyAlignment="1">
      <alignment horizontal="left" vertical="center" wrapText="1"/>
    </xf>
    <xf numFmtId="0" fontId="81" fillId="0" borderId="24" xfId="0" applyFont="1" applyBorder="1" applyAlignment="1">
      <alignment horizontal="center" vertical="center" wrapText="1"/>
    </xf>
    <xf numFmtId="0" fontId="29" fillId="0" borderId="22" xfId="0" applyFont="1" applyBorder="1" applyAlignment="1">
      <alignment vertical="center" wrapText="1"/>
    </xf>
    <xf numFmtId="0" fontId="81" fillId="0" borderId="36" xfId="0" applyFont="1" applyBorder="1" applyAlignment="1">
      <alignment vertical="center" wrapText="1"/>
    </xf>
    <xf numFmtId="0" fontId="81" fillId="0" borderId="32" xfId="0" applyFont="1" applyBorder="1" applyAlignment="1">
      <alignment horizontal="right" vertical="center" wrapText="1"/>
    </xf>
    <xf numFmtId="0" fontId="33" fillId="0" borderId="0" xfId="0" applyFont="1" applyAlignment="1">
      <alignment horizontal="left"/>
    </xf>
    <xf numFmtId="167" fontId="33" fillId="0" borderId="0" xfId="0" applyNumberFormat="1" applyFont="1"/>
    <xf numFmtId="167" fontId="33" fillId="0" borderId="0" xfId="425" applyNumberFormat="1" applyFont="1" applyProtection="1"/>
    <xf numFmtId="0" fontId="29" fillId="0" borderId="22" xfId="0" applyFont="1" applyBorder="1" applyAlignment="1">
      <alignment horizontal="center" vertical="center" wrapText="1"/>
    </xf>
    <xf numFmtId="0" fontId="44" fillId="0" borderId="0" xfId="0" applyFont="1" applyAlignment="1">
      <alignment vertical="center"/>
    </xf>
    <xf numFmtId="0" fontId="10" fillId="0" borderId="32" xfId="548" applyFont="1" applyBorder="1" applyAlignment="1">
      <alignment vertical="center"/>
    </xf>
    <xf numFmtId="0" fontId="10" fillId="0" borderId="32" xfId="0" applyFont="1" applyBorder="1" applyAlignment="1">
      <alignment vertical="center" wrapText="1"/>
    </xf>
    <xf numFmtId="1" fontId="29" fillId="28" borderId="18" xfId="0" quotePrefix="1" applyNumberFormat="1" applyFont="1" applyFill="1" applyBorder="1" applyAlignment="1">
      <alignment horizontal="center" vertical="center" wrapText="1"/>
    </xf>
    <xf numFmtId="0" fontId="16" fillId="76" borderId="0" xfId="0" applyFont="1" applyFill="1" applyAlignment="1">
      <alignment vertical="center"/>
    </xf>
    <xf numFmtId="0" fontId="71" fillId="76" borderId="22" xfId="0" applyFont="1" applyFill="1" applyBorder="1" applyAlignment="1">
      <alignment vertical="center"/>
    </xf>
    <xf numFmtId="0" fontId="71" fillId="76" borderId="22" xfId="0" applyFont="1" applyFill="1" applyBorder="1" applyAlignment="1">
      <alignment horizontal="center" vertical="center"/>
    </xf>
    <xf numFmtId="167" fontId="16" fillId="76" borderId="22" xfId="436" applyNumberFormat="1" applyFont="1" applyFill="1" applyBorder="1" applyAlignment="1" applyProtection="1">
      <alignment horizontal="center" vertical="center"/>
    </xf>
    <xf numFmtId="167" fontId="16" fillId="76" borderId="22" xfId="436" applyNumberFormat="1" applyFont="1" applyFill="1" applyBorder="1" applyAlignment="1" applyProtection="1">
      <alignment horizontal="center" vertical="center" wrapText="1"/>
    </xf>
    <xf numFmtId="0" fontId="16" fillId="76" borderId="22" xfId="0" applyFont="1" applyFill="1" applyBorder="1" applyAlignment="1">
      <alignment vertical="center"/>
    </xf>
    <xf numFmtId="0" fontId="16" fillId="76" borderId="22" xfId="0" applyFont="1" applyFill="1" applyBorder="1" applyAlignment="1">
      <alignment vertical="center" wrapText="1"/>
    </xf>
    <xf numFmtId="0" fontId="71" fillId="76" borderId="0" xfId="0" applyFont="1" applyFill="1" applyAlignment="1">
      <alignment vertical="center"/>
    </xf>
    <xf numFmtId="0" fontId="20" fillId="0" borderId="22" xfId="0" applyFont="1" applyBorder="1" applyAlignment="1">
      <alignment vertical="center"/>
    </xf>
    <xf numFmtId="0" fontId="16" fillId="0" borderId="37" xfId="0" applyFont="1" applyBorder="1" applyAlignment="1">
      <alignment vertical="center"/>
    </xf>
    <xf numFmtId="1" fontId="9" fillId="0" borderId="23" xfId="0" applyNumberFormat="1" applyFont="1" applyBorder="1" applyAlignment="1">
      <alignment horizontal="center" vertical="center"/>
    </xf>
    <xf numFmtId="0" fontId="92" fillId="0" borderId="28" xfId="0" applyFont="1" applyBorder="1" applyAlignment="1">
      <alignment vertical="center"/>
    </xf>
    <xf numFmtId="1" fontId="16" fillId="0" borderId="0" xfId="0" applyNumberFormat="1" applyFont="1" applyAlignment="1">
      <alignment vertical="center"/>
    </xf>
    <xf numFmtId="49" fontId="16" fillId="37" borderId="30" xfId="0" applyNumberFormat="1" applyFont="1" applyFill="1" applyBorder="1" applyAlignment="1" applyProtection="1">
      <alignment horizontal="center" vertical="center" wrapText="1"/>
      <protection locked="0"/>
    </xf>
    <xf numFmtId="49" fontId="16" fillId="30" borderId="30" xfId="0" applyNumberFormat="1" applyFont="1" applyFill="1" applyBorder="1" applyAlignment="1" applyProtection="1">
      <alignment horizontal="center" vertical="center" wrapText="1"/>
      <protection locked="0"/>
    </xf>
    <xf numFmtId="49" fontId="9" fillId="0" borderId="18" xfId="0" applyNumberFormat="1" applyFont="1" applyBorder="1" applyAlignment="1">
      <alignment horizontal="center" vertical="center" wrapText="1"/>
    </xf>
    <xf numFmtId="49" fontId="16" fillId="30" borderId="18" xfId="0" applyNumberFormat="1" applyFont="1" applyFill="1" applyBorder="1" applyAlignment="1" applyProtection="1">
      <alignment horizontal="center" vertical="center" wrapText="1"/>
      <protection locked="0"/>
    </xf>
    <xf numFmtId="10" fontId="16" fillId="0" borderId="0" xfId="0" applyNumberFormat="1" applyFont="1"/>
    <xf numFmtId="0" fontId="71" fillId="0" borderId="22" xfId="0" applyFont="1" applyBorder="1" applyAlignment="1">
      <alignment horizontal="left" vertical="center"/>
    </xf>
    <xf numFmtId="0" fontId="112" fillId="0" borderId="0" xfId="0" applyFont="1"/>
    <xf numFmtId="0" fontId="111" fillId="0" borderId="0" xfId="0" applyFont="1"/>
    <xf numFmtId="0" fontId="111" fillId="0" borderId="52" xfId="0" applyFont="1" applyBorder="1"/>
    <xf numFmtId="0" fontId="5" fillId="77" borderId="22" xfId="515" applyFill="1" applyBorder="1" applyAlignment="1">
      <alignment horizontal="center" vertical="center"/>
    </xf>
    <xf numFmtId="0" fontId="17" fillId="0" borderId="22" xfId="0" applyFont="1" applyBorder="1" applyAlignment="1">
      <alignment vertical="center"/>
    </xf>
    <xf numFmtId="0" fontId="17" fillId="0" borderId="22" xfId="525" applyFont="1" applyBorder="1"/>
    <xf numFmtId="0" fontId="0" fillId="0" borderId="22" xfId="0" applyBorder="1" applyAlignment="1">
      <alignment horizontal="center" vertical="center"/>
    </xf>
    <xf numFmtId="0" fontId="2" fillId="0" borderId="0" xfId="0" applyFont="1"/>
    <xf numFmtId="0" fontId="16" fillId="78" borderId="0" xfId="0" applyFont="1" applyFill="1"/>
    <xf numFmtId="0" fontId="119" fillId="0" borderId="0" xfId="0" applyFont="1"/>
    <xf numFmtId="0" fontId="121" fillId="0" borderId="0" xfId="0" applyFont="1" applyAlignment="1">
      <alignment horizontal="left" vertical="center" wrapText="1"/>
    </xf>
    <xf numFmtId="0" fontId="5" fillId="0" borderId="0" xfId="515" applyAlignment="1">
      <alignment horizontal="left" indent="5"/>
    </xf>
    <xf numFmtId="0" fontId="5" fillId="0" borderId="0" xfId="515" applyAlignment="1">
      <alignment vertical="center"/>
    </xf>
    <xf numFmtId="0" fontId="5" fillId="0" borderId="0" xfId="0" applyFont="1" applyAlignment="1">
      <alignment horizontal="left" indent="7"/>
    </xf>
    <xf numFmtId="0" fontId="5" fillId="0" borderId="0" xfId="0" applyFont="1" applyAlignment="1">
      <alignment horizontal="left" indent="1"/>
    </xf>
    <xf numFmtId="0" fontId="18" fillId="27" borderId="0" xfId="0" applyFont="1" applyFill="1" applyAlignment="1">
      <alignment horizontal="center" vertical="center" wrapText="1"/>
    </xf>
    <xf numFmtId="0" fontId="25" fillId="0" borderId="0" xfId="0" quotePrefix="1" applyFont="1"/>
    <xf numFmtId="1" fontId="5" fillId="0" borderId="0" xfId="515" applyNumberFormat="1" applyAlignment="1">
      <alignment horizontal="center" vertical="center"/>
    </xf>
    <xf numFmtId="0" fontId="5" fillId="0" borderId="0" xfId="515" applyAlignment="1">
      <alignment horizontal="center" vertical="center"/>
    </xf>
    <xf numFmtId="0" fontId="118" fillId="0" borderId="0" xfId="0" applyFont="1" applyAlignment="1">
      <alignment horizontal="left" vertical="center"/>
    </xf>
    <xf numFmtId="0" fontId="71" fillId="75" borderId="22" xfId="0" applyFont="1" applyFill="1" applyBorder="1" applyAlignment="1">
      <alignment vertical="center"/>
    </xf>
    <xf numFmtId="0" fontId="12" fillId="0" borderId="18" xfId="0" applyFont="1" applyBorder="1" applyAlignment="1">
      <alignment horizontal="center" vertical="center"/>
    </xf>
    <xf numFmtId="1" fontId="9" fillId="0" borderId="51" xfId="0" applyNumberFormat="1" applyFont="1" applyBorder="1" applyAlignment="1">
      <alignment horizontal="center" vertical="center"/>
    </xf>
    <xf numFmtId="0" fontId="16" fillId="77" borderId="21" xfId="0" applyFont="1" applyFill="1" applyBorder="1" applyAlignment="1">
      <alignment horizontal="center" vertical="center" wrapText="1"/>
    </xf>
    <xf numFmtId="0" fontId="16" fillId="77" borderId="38" xfId="0" applyFont="1" applyFill="1" applyBorder="1" applyAlignment="1">
      <alignment horizontal="center" vertical="center" wrapText="1"/>
    </xf>
    <xf numFmtId="0" fontId="16" fillId="77" borderId="38" xfId="0" applyFont="1" applyFill="1" applyBorder="1" applyAlignment="1">
      <alignment horizontal="center" vertical="center"/>
    </xf>
    <xf numFmtId="0" fontId="9" fillId="77" borderId="38" xfId="0" applyFont="1" applyFill="1" applyBorder="1" applyAlignment="1">
      <alignment vertical="center"/>
    </xf>
    <xf numFmtId="0" fontId="16" fillId="77" borderId="38" xfId="0" applyFont="1" applyFill="1" applyBorder="1" applyAlignment="1">
      <alignment vertical="center"/>
    </xf>
    <xf numFmtId="0" fontId="16" fillId="77" borderId="46" xfId="0" applyFont="1" applyFill="1" applyBorder="1" applyAlignment="1">
      <alignment horizontal="center" vertical="center"/>
    </xf>
    <xf numFmtId="0" fontId="12" fillId="0" borderId="30" xfId="0" applyFont="1" applyBorder="1" applyAlignment="1">
      <alignment horizontal="center" vertical="center"/>
    </xf>
    <xf numFmtId="0" fontId="16" fillId="0" borderId="38" xfId="0" applyFont="1" applyBorder="1" applyAlignment="1">
      <alignment horizontal="center" vertical="center" wrapText="1"/>
    </xf>
    <xf numFmtId="0" fontId="9" fillId="79" borderId="0" xfId="0" applyFont="1" applyFill="1" applyAlignment="1">
      <alignment horizontal="center" vertical="top" wrapText="1"/>
    </xf>
    <xf numFmtId="0" fontId="9" fillId="79" borderId="0" xfId="0" applyFont="1" applyFill="1" applyAlignment="1">
      <alignment horizontal="center" wrapText="1"/>
    </xf>
    <xf numFmtId="0" fontId="9" fillId="79" borderId="79" xfId="0" applyFont="1" applyFill="1" applyBorder="1" applyAlignment="1">
      <alignment horizontal="center" wrapText="1"/>
    </xf>
    <xf numFmtId="0" fontId="9" fillId="79" borderId="79" xfId="0" applyFont="1" applyFill="1" applyBorder="1" applyAlignment="1">
      <alignment horizontal="center" vertical="top" wrapText="1"/>
    </xf>
    <xf numFmtId="1" fontId="9" fillId="79" borderId="79" xfId="0" applyNumberFormat="1" applyFont="1" applyFill="1" applyBorder="1" applyAlignment="1">
      <alignment horizontal="center" wrapText="1"/>
    </xf>
    <xf numFmtId="1" fontId="9" fillId="79" borderId="0" xfId="0" applyNumberFormat="1" applyFont="1" applyFill="1" applyAlignment="1">
      <alignment horizontal="center" wrapText="1"/>
    </xf>
    <xf numFmtId="0" fontId="9" fillId="79" borderId="0" xfId="0" applyFont="1" applyFill="1" applyAlignment="1">
      <alignment horizontal="center" vertical="center" wrapText="1"/>
    </xf>
    <xf numFmtId="0" fontId="9" fillId="79" borderId="49" xfId="0" applyFont="1" applyFill="1" applyBorder="1" applyAlignment="1">
      <alignment horizontal="center" vertical="top" wrapText="1"/>
    </xf>
    <xf numFmtId="0" fontId="9" fillId="79" borderId="52" xfId="0" applyFont="1" applyFill="1" applyBorder="1" applyAlignment="1">
      <alignment horizontal="center" wrapText="1"/>
    </xf>
    <xf numFmtId="0" fontId="44" fillId="0" borderId="0" xfId="0" applyFont="1"/>
    <xf numFmtId="9" fontId="16" fillId="33" borderId="22" xfId="0" applyNumberFormat="1" applyFont="1" applyFill="1" applyBorder="1" applyAlignment="1">
      <alignment horizontal="center"/>
    </xf>
    <xf numFmtId="10" fontId="16" fillId="33" borderId="22" xfId="0" applyNumberFormat="1" applyFont="1" applyFill="1" applyBorder="1" applyAlignment="1">
      <alignment horizontal="center"/>
    </xf>
    <xf numFmtId="1" fontId="21" fillId="0" borderId="0" xfId="0" applyNumberFormat="1" applyFont="1"/>
    <xf numFmtId="0" fontId="124" fillId="0" borderId="0" xfId="0" applyFont="1"/>
    <xf numFmtId="0" fontId="124" fillId="0" borderId="0" xfId="0" applyFont="1" applyAlignment="1">
      <alignment horizontal="left"/>
    </xf>
    <xf numFmtId="0" fontId="1" fillId="0" borderId="0" xfId="0" applyFont="1"/>
    <xf numFmtId="1" fontId="10" fillId="30" borderId="18" xfId="0" applyNumberFormat="1" applyFont="1" applyFill="1" applyBorder="1" applyAlignment="1" applyProtection="1">
      <alignment horizontal="center" vertical="center"/>
      <protection locked="0"/>
    </xf>
    <xf numFmtId="10" fontId="10" fillId="27" borderId="18" xfId="425" applyNumberFormat="1" applyFont="1" applyFill="1" applyBorder="1" applyAlignment="1" applyProtection="1">
      <alignment horizontal="center" vertical="center" wrapText="1"/>
    </xf>
    <xf numFmtId="0" fontId="16" fillId="0" borderId="0" xfId="0" applyFont="1" applyAlignment="1">
      <alignment wrapText="1"/>
    </xf>
    <xf numFmtId="0" fontId="16" fillId="32" borderId="93" xfId="0" applyFont="1" applyFill="1" applyBorder="1" applyAlignment="1">
      <alignment horizontal="center" vertical="center"/>
    </xf>
    <xf numFmtId="0" fontId="16" fillId="32" borderId="93" xfId="0" applyFont="1" applyFill="1" applyBorder="1" applyAlignment="1">
      <alignment horizontal="center" vertical="center" wrapText="1"/>
    </xf>
    <xf numFmtId="0" fontId="16" fillId="39" borderId="93" xfId="0" applyFont="1" applyFill="1" applyBorder="1" applyAlignment="1">
      <alignment horizontal="center" vertical="center"/>
    </xf>
    <xf numFmtId="49" fontId="16" fillId="39" borderId="92" xfId="0" applyNumberFormat="1" applyFont="1" applyFill="1" applyBorder="1" applyAlignment="1">
      <alignment horizontal="center" vertical="center"/>
    </xf>
    <xf numFmtId="49" fontId="16" fillId="39" borderId="57" xfId="0" applyNumberFormat="1" applyFont="1" applyFill="1" applyBorder="1" applyAlignment="1">
      <alignment horizontal="center" vertical="center"/>
    </xf>
    <xf numFmtId="1" fontId="16" fillId="81" borderId="18" xfId="0" applyNumberFormat="1" applyFont="1" applyFill="1" applyBorder="1" applyAlignment="1">
      <alignment horizontal="center" vertical="center"/>
    </xf>
    <xf numFmtId="0" fontId="16" fillId="32" borderId="41" xfId="0" applyFont="1" applyFill="1" applyBorder="1" applyAlignment="1">
      <alignment horizontal="center" vertical="center" wrapText="1"/>
    </xf>
    <xf numFmtId="0" fontId="34" fillId="0" borderId="61" xfId="0" applyFont="1" applyBorder="1" applyAlignment="1">
      <alignment horizontal="center" vertical="center" wrapText="1"/>
    </xf>
    <xf numFmtId="1" fontId="9" fillId="0" borderId="58" xfId="0" applyNumberFormat="1" applyFont="1" applyBorder="1" applyAlignment="1">
      <alignment horizontal="center" vertical="center"/>
    </xf>
    <xf numFmtId="1" fontId="16" fillId="30" borderId="30" xfId="0" applyNumberFormat="1" applyFont="1" applyFill="1" applyBorder="1" applyAlignment="1" applyProtection="1">
      <alignment horizontal="center" vertical="center"/>
      <protection locked="0"/>
    </xf>
    <xf numFmtId="0" fontId="16" fillId="76" borderId="22" xfId="0" applyFont="1" applyFill="1" applyBorder="1" applyAlignment="1">
      <alignment horizontal="center" vertical="center" wrapText="1"/>
    </xf>
    <xf numFmtId="0" fontId="16" fillId="76" borderId="22" xfId="0" applyFont="1" applyFill="1" applyBorder="1" applyAlignment="1">
      <alignment horizontal="center" vertical="center"/>
    </xf>
    <xf numFmtId="0" fontId="9" fillId="76" borderId="22" xfId="0" applyFont="1" applyFill="1" applyBorder="1" applyAlignment="1">
      <alignment vertical="center"/>
    </xf>
    <xf numFmtId="0" fontId="16" fillId="76" borderId="43" xfId="0" applyFont="1" applyFill="1" applyBorder="1" applyAlignment="1">
      <alignment horizontal="center" vertical="center"/>
    </xf>
    <xf numFmtId="0" fontId="16" fillId="76" borderId="40" xfId="0" applyFont="1" applyFill="1" applyBorder="1" applyAlignment="1">
      <alignment horizontal="center" vertical="center"/>
    </xf>
    <xf numFmtId="0" fontId="9" fillId="76" borderId="40" xfId="0" applyFont="1" applyFill="1" applyBorder="1" applyAlignment="1">
      <alignment vertical="center"/>
    </xf>
    <xf numFmtId="0" fontId="16" fillId="76" borderId="40" xfId="0" applyFont="1" applyFill="1" applyBorder="1" applyAlignment="1">
      <alignment vertical="center"/>
    </xf>
    <xf numFmtId="0" fontId="16" fillId="76" borderId="45" xfId="0" applyFont="1" applyFill="1" applyBorder="1" applyAlignment="1">
      <alignment horizontal="center" vertical="center"/>
    </xf>
    <xf numFmtId="0" fontId="9" fillId="84" borderId="22" xfId="0" applyFont="1" applyFill="1" applyBorder="1" applyAlignment="1">
      <alignment vertical="center"/>
    </xf>
    <xf numFmtId="0" fontId="9" fillId="84" borderId="40" xfId="0" applyFont="1" applyFill="1" applyBorder="1" applyAlignment="1">
      <alignment vertical="center"/>
    </xf>
    <xf numFmtId="0" fontId="16" fillId="76" borderId="0" xfId="0" applyFont="1" applyFill="1" applyAlignment="1">
      <alignment horizontal="center" vertical="center"/>
    </xf>
    <xf numFmtId="1" fontId="16" fillId="30" borderId="33" xfId="0" applyNumberFormat="1" applyFont="1" applyFill="1" applyBorder="1" applyAlignment="1">
      <alignment horizontal="center" vertical="center"/>
    </xf>
    <xf numFmtId="10" fontId="16" fillId="83" borderId="22" xfId="0" applyNumberFormat="1" applyFont="1" applyFill="1" applyBorder="1" applyAlignment="1">
      <alignment horizontal="center"/>
    </xf>
    <xf numFmtId="9" fontId="16" fillId="83" borderId="22" xfId="0" applyNumberFormat="1" applyFont="1" applyFill="1" applyBorder="1" applyAlignment="1">
      <alignment horizontal="center"/>
    </xf>
    <xf numFmtId="0" fontId="16" fillId="83" borderId="22" xfId="0" applyFont="1" applyFill="1" applyBorder="1" applyAlignment="1">
      <alignment horizontal="center"/>
    </xf>
    <xf numFmtId="10" fontId="16" fillId="0" borderId="0" xfId="0" applyNumberFormat="1" applyFont="1" applyAlignment="1">
      <alignment horizontal="center"/>
    </xf>
    <xf numFmtId="0" fontId="29" fillId="0" borderId="0" xfId="0" applyFont="1" applyAlignment="1">
      <alignment vertical="top" wrapText="1"/>
    </xf>
    <xf numFmtId="0" fontId="34" fillId="81" borderId="61" xfId="0" applyFont="1" applyFill="1" applyBorder="1" applyAlignment="1">
      <alignment horizontal="center" vertical="center" wrapText="1"/>
    </xf>
    <xf numFmtId="0" fontId="24" fillId="0" borderId="0" xfId="0" applyFont="1" applyAlignment="1">
      <alignment horizontal="left" vertical="center"/>
    </xf>
    <xf numFmtId="0" fontId="16" fillId="75" borderId="22" xfId="0" applyFont="1" applyFill="1" applyBorder="1" applyAlignment="1">
      <alignment vertical="center"/>
    </xf>
    <xf numFmtId="0" fontId="9" fillId="81" borderId="61" xfId="0" applyFont="1" applyFill="1" applyBorder="1" applyAlignment="1">
      <alignment horizontal="center" vertical="center" wrapText="1"/>
    </xf>
    <xf numFmtId="0" fontId="12" fillId="81" borderId="61" xfId="0" applyFont="1" applyFill="1" applyBorder="1" applyAlignment="1">
      <alignment horizontal="center" vertical="center" wrapText="1"/>
    </xf>
    <xf numFmtId="0" fontId="16" fillId="85" borderId="32" xfId="0" applyFont="1" applyFill="1" applyBorder="1" applyAlignment="1">
      <alignment vertical="center"/>
    </xf>
    <xf numFmtId="0" fontId="16" fillId="85" borderId="35" xfId="0" applyFont="1" applyFill="1" applyBorder="1" applyAlignment="1">
      <alignment vertical="center"/>
    </xf>
    <xf numFmtId="0" fontId="16" fillId="85" borderId="35" xfId="0" applyFont="1" applyFill="1" applyBorder="1" applyAlignment="1">
      <alignment horizontal="left" vertical="center"/>
    </xf>
    <xf numFmtId="0" fontId="16" fillId="85" borderId="36" xfId="0" applyFont="1" applyFill="1" applyBorder="1" applyAlignment="1">
      <alignment vertical="center"/>
    </xf>
    <xf numFmtId="1" fontId="16" fillId="75" borderId="0" xfId="0" applyNumberFormat="1" applyFont="1" applyFill="1" applyAlignment="1">
      <alignment vertical="center"/>
    </xf>
    <xf numFmtId="0" fontId="71" fillId="75" borderId="0" xfId="0" applyFont="1" applyFill="1" applyAlignment="1">
      <alignment vertical="center"/>
    </xf>
    <xf numFmtId="0" fontId="117" fillId="0" borderId="0" xfId="0" applyFont="1" applyAlignment="1">
      <alignment horizontal="left" vertical="center"/>
    </xf>
    <xf numFmtId="0" fontId="5" fillId="0" borderId="0" xfId="515" applyAlignment="1">
      <alignment horizontal="left" vertical="center"/>
    </xf>
    <xf numFmtId="0" fontId="18" fillId="0" borderId="0" xfId="0" applyFont="1" applyAlignment="1">
      <alignment horizontal="left"/>
    </xf>
    <xf numFmtId="0" fontId="18" fillId="0" borderId="0" xfId="0" applyFont="1" applyAlignment="1">
      <alignment horizontal="left" vertical="center"/>
    </xf>
    <xf numFmtId="0" fontId="5" fillId="0" borderId="0" xfId="515" applyAlignment="1">
      <alignment horizontal="left" vertical="center" indent="5"/>
    </xf>
    <xf numFmtId="0" fontId="5" fillId="0" borderId="0" xfId="515" applyAlignment="1">
      <alignment horizontal="left" indent="1"/>
    </xf>
    <xf numFmtId="0" fontId="5" fillId="0" borderId="0" xfId="0" applyFont="1" applyAlignment="1">
      <alignment horizontal="left" indent="5"/>
    </xf>
    <xf numFmtId="0" fontId="1" fillId="0" borderId="22" xfId="0" applyFont="1" applyBorder="1" applyAlignment="1">
      <alignment horizontal="left" vertical="center" wrapText="1"/>
    </xf>
    <xf numFmtId="0" fontId="1" fillId="0" borderId="25" xfId="0" applyFont="1" applyBorder="1" applyAlignment="1">
      <alignment horizontal="left" vertical="center" wrapText="1"/>
    </xf>
    <xf numFmtId="0" fontId="1" fillId="0" borderId="32" xfId="0" applyFont="1" applyBorder="1" applyAlignment="1">
      <alignment horizontal="left" vertical="center" wrapText="1"/>
    </xf>
    <xf numFmtId="0" fontId="18" fillId="0" borderId="25" xfId="0" applyFont="1" applyBorder="1" applyAlignment="1">
      <alignment horizontal="center" vertical="center"/>
    </xf>
    <xf numFmtId="0" fontId="5" fillId="0" borderId="25" xfId="0" applyFont="1" applyBorder="1" applyAlignment="1">
      <alignment horizontal="center" vertical="center"/>
    </xf>
    <xf numFmtId="0" fontId="9" fillId="0" borderId="22" xfId="0" applyFont="1" applyBorder="1" applyAlignment="1">
      <alignment horizontal="center" vertical="center"/>
    </xf>
    <xf numFmtId="1" fontId="5" fillId="36" borderId="22" xfId="515" applyNumberFormat="1" applyFill="1" applyBorder="1" applyAlignment="1" applyProtection="1">
      <alignment horizontal="center" vertical="center"/>
      <protection locked="0"/>
    </xf>
    <xf numFmtId="0" fontId="34" fillId="0" borderId="34" xfId="0" applyFont="1" applyBorder="1" applyAlignment="1">
      <alignment vertical="center"/>
    </xf>
    <xf numFmtId="0" fontId="13" fillId="0" borderId="31" xfId="0" applyFont="1" applyBorder="1" applyAlignment="1">
      <alignment horizontal="center" vertical="center" wrapText="1"/>
    </xf>
    <xf numFmtId="0" fontId="10" fillId="0" borderId="31" xfId="0" applyFont="1" applyBorder="1" applyAlignment="1">
      <alignment horizontal="center" vertical="center" wrapText="1"/>
    </xf>
    <xf numFmtId="0" fontId="29" fillId="0" borderId="18" xfId="0" applyFont="1" applyBorder="1" applyAlignment="1">
      <alignment horizontal="center" vertical="center" wrapText="1"/>
    </xf>
    <xf numFmtId="0" fontId="34" fillId="0" borderId="18" xfId="0" applyFont="1" applyBorder="1" applyAlignment="1">
      <alignment vertical="center"/>
    </xf>
    <xf numFmtId="0" fontId="16" fillId="37" borderId="30" xfId="0" applyFont="1" applyFill="1" applyBorder="1" applyAlignment="1" applyProtection="1">
      <alignment horizontal="left" vertical="center" wrapText="1"/>
      <protection locked="0"/>
    </xf>
    <xf numFmtId="0" fontId="27" fillId="0" borderId="0" xfId="0" applyFont="1" applyAlignment="1">
      <alignment vertical="center"/>
    </xf>
    <xf numFmtId="0" fontId="6" fillId="0" borderId="0" xfId="515" applyFont="1" applyAlignment="1">
      <alignment vertical="center"/>
    </xf>
    <xf numFmtId="0" fontId="24" fillId="0" borderId="0" xfId="0" applyFont="1" applyAlignment="1">
      <alignment vertical="center"/>
    </xf>
    <xf numFmtId="0" fontId="16" fillId="0" borderId="18" xfId="0" applyFont="1" applyBorder="1" applyAlignment="1">
      <alignment vertical="center" wrapText="1"/>
    </xf>
    <xf numFmtId="0" fontId="9" fillId="0" borderId="18" xfId="0" applyFont="1" applyBorder="1" applyAlignment="1">
      <alignment vertical="center" wrapText="1"/>
    </xf>
    <xf numFmtId="0" fontId="44" fillId="0" borderId="0" xfId="0" applyFont="1" applyAlignment="1">
      <alignment horizontal="left" vertical="center"/>
    </xf>
    <xf numFmtId="0" fontId="0" fillId="0" borderId="0" xfId="0" applyAlignment="1">
      <alignment horizontal="left"/>
    </xf>
    <xf numFmtId="0" fontId="0" fillId="0" borderId="0" xfId="0" applyAlignment="1">
      <alignment horizontal="left" vertical="center"/>
    </xf>
    <xf numFmtId="0" fontId="126" fillId="0" borderId="0" xfId="0" applyFont="1"/>
    <xf numFmtId="1" fontId="10" fillId="28" borderId="18" xfId="0" applyNumberFormat="1" applyFont="1" applyFill="1" applyBorder="1" applyAlignment="1">
      <alignment horizontal="center" vertical="center" wrapText="1"/>
    </xf>
    <xf numFmtId="0" fontId="142" fillId="0" borderId="0" xfId="0" applyFont="1"/>
    <xf numFmtId="165" fontId="9" fillId="88" borderId="58" xfId="426" applyNumberFormat="1" applyFont="1" applyFill="1" applyBorder="1" applyAlignment="1" applyProtection="1">
      <alignment horizontal="center" vertical="center" wrapText="1"/>
    </xf>
    <xf numFmtId="165" fontId="9" fillId="0" borderId="0" xfId="426" applyNumberFormat="1" applyFont="1" applyFill="1" applyBorder="1" applyAlignment="1" applyProtection="1">
      <alignment horizontal="center" vertical="center"/>
    </xf>
    <xf numFmtId="165" fontId="9" fillId="87" borderId="19" xfId="426" applyNumberFormat="1" applyFont="1" applyFill="1" applyBorder="1" applyAlignment="1" applyProtection="1">
      <alignment horizontal="center" vertical="center"/>
    </xf>
    <xf numFmtId="9" fontId="9" fillId="87" borderId="18" xfId="426" applyFont="1" applyFill="1" applyBorder="1" applyAlignment="1" applyProtection="1">
      <alignment horizontal="center" vertical="center"/>
    </xf>
    <xf numFmtId="165" fontId="9" fillId="88" borderId="30" xfId="426" applyNumberFormat="1" applyFont="1" applyFill="1" applyBorder="1" applyAlignment="1" applyProtection="1">
      <alignment horizontal="center" vertical="center"/>
    </xf>
    <xf numFmtId="165" fontId="9" fillId="0" borderId="19" xfId="426" applyNumberFormat="1" applyFont="1" applyFill="1" applyBorder="1" applyAlignment="1" applyProtection="1">
      <alignment horizontal="center" vertical="center"/>
    </xf>
    <xf numFmtId="165" fontId="9" fillId="90" borderId="23" xfId="426" applyNumberFormat="1" applyFont="1" applyFill="1" applyBorder="1" applyAlignment="1" applyProtection="1">
      <alignment horizontal="center" vertical="center"/>
    </xf>
    <xf numFmtId="165" fontId="9" fillId="90" borderId="34" xfId="426" applyNumberFormat="1" applyFont="1" applyFill="1" applyBorder="1" applyAlignment="1" applyProtection="1">
      <alignment horizontal="center" vertical="center"/>
    </xf>
    <xf numFmtId="165" fontId="9" fillId="90" borderId="19" xfId="426" applyNumberFormat="1" applyFont="1" applyFill="1" applyBorder="1" applyAlignment="1" applyProtection="1">
      <alignment horizontal="center" vertical="center"/>
    </xf>
    <xf numFmtId="165" fontId="9" fillId="90" borderId="18" xfId="426" applyNumberFormat="1" applyFont="1" applyFill="1" applyBorder="1" applyAlignment="1" applyProtection="1">
      <alignment horizontal="center" vertical="center"/>
    </xf>
    <xf numFmtId="165" fontId="9" fillId="0" borderId="34" xfId="426" applyNumberFormat="1" applyFont="1" applyFill="1" applyBorder="1" applyAlignment="1" applyProtection="1">
      <alignment horizontal="center" vertical="top" wrapText="1"/>
    </xf>
    <xf numFmtId="0" fontId="143" fillId="0" borderId="32" xfId="0" applyFont="1" applyBorder="1" applyAlignment="1">
      <alignment horizontal="left" vertical="center" wrapText="1"/>
    </xf>
    <xf numFmtId="1" fontId="143" fillId="36" borderId="22" xfId="515" applyNumberFormat="1" applyFont="1" applyFill="1" applyBorder="1" applyAlignment="1" applyProtection="1">
      <alignment horizontal="center" vertical="center"/>
      <protection locked="0"/>
    </xf>
    <xf numFmtId="0" fontId="143" fillId="0" borderId="22" xfId="515" applyFont="1" applyBorder="1" applyAlignment="1">
      <alignment horizontal="center" vertical="center"/>
    </xf>
    <xf numFmtId="0" fontId="34" fillId="34" borderId="18" xfId="0" applyFont="1" applyFill="1" applyBorder="1" applyAlignment="1">
      <alignment horizontal="center" vertical="center" wrapText="1"/>
    </xf>
    <xf numFmtId="0" fontId="13" fillId="0" borderId="30" xfId="0" applyFont="1" applyBorder="1" applyAlignment="1">
      <alignment horizontal="center" vertical="center" wrapText="1"/>
    </xf>
    <xf numFmtId="10" fontId="9" fillId="0" borderId="0" xfId="426" applyNumberFormat="1" applyFont="1" applyFill="1" applyBorder="1" applyAlignment="1" applyProtection="1">
      <alignment horizontal="center" wrapText="1"/>
    </xf>
    <xf numFmtId="165" fontId="9" fillId="0" borderId="0" xfId="426" applyNumberFormat="1" applyFont="1" applyFill="1" applyBorder="1" applyAlignment="1" applyProtection="1">
      <alignment horizontal="center" wrapText="1"/>
    </xf>
    <xf numFmtId="9" fontId="16" fillId="33" borderId="22" xfId="455" applyFont="1" applyFill="1" applyBorder="1" applyAlignment="1" applyProtection="1">
      <alignment horizontal="center"/>
    </xf>
    <xf numFmtId="0" fontId="16" fillId="33" borderId="22" xfId="455" applyNumberFormat="1" applyFont="1" applyFill="1" applyBorder="1" applyAlignment="1" applyProtection="1">
      <alignment horizontal="center"/>
    </xf>
    <xf numFmtId="1" fontId="16" fillId="33" borderId="22" xfId="455" applyNumberFormat="1" applyFont="1" applyFill="1" applyBorder="1" applyAlignment="1" applyProtection="1">
      <alignment horizontal="center"/>
    </xf>
    <xf numFmtId="9" fontId="16" fillId="0" borderId="22" xfId="455" applyFont="1" applyBorder="1" applyAlignment="1" applyProtection="1">
      <alignment horizontal="center"/>
    </xf>
    <xf numFmtId="1" fontId="16" fillId="0" borderId="22" xfId="455" applyNumberFormat="1" applyFont="1" applyBorder="1" applyAlignment="1" applyProtection="1">
      <alignment horizontal="center"/>
    </xf>
    <xf numFmtId="9" fontId="16" fillId="83" borderId="22" xfId="455" applyFont="1" applyFill="1" applyBorder="1" applyAlignment="1" applyProtection="1">
      <alignment horizontal="center"/>
    </xf>
    <xf numFmtId="9" fontId="16" fillId="83" borderId="22" xfId="426" applyFont="1" applyFill="1" applyBorder="1" applyAlignment="1" applyProtection="1">
      <alignment horizontal="center"/>
    </xf>
    <xf numFmtId="1" fontId="16" fillId="83" borderId="22" xfId="0" applyNumberFormat="1" applyFont="1" applyFill="1" applyBorder="1" applyAlignment="1">
      <alignment horizontal="center"/>
    </xf>
    <xf numFmtId="1" fontId="16" fillId="83" borderId="22" xfId="455" applyNumberFormat="1" applyFont="1" applyFill="1" applyBorder="1" applyAlignment="1" applyProtection="1">
      <alignment horizontal="center"/>
    </xf>
    <xf numFmtId="1" fontId="16" fillId="77" borderId="22" xfId="455" applyNumberFormat="1" applyFont="1" applyFill="1" applyBorder="1" applyAlignment="1" applyProtection="1">
      <alignment horizontal="center"/>
    </xf>
    <xf numFmtId="9" fontId="16" fillId="0" borderId="22" xfId="455" applyFont="1" applyFill="1" applyBorder="1" applyAlignment="1" applyProtection="1">
      <alignment horizontal="center"/>
    </xf>
    <xf numFmtId="0" fontId="16" fillId="0" borderId="22" xfId="455" applyNumberFormat="1" applyFont="1" applyFill="1" applyBorder="1" applyAlignment="1" applyProtection="1">
      <alignment horizontal="center"/>
    </xf>
    <xf numFmtId="1" fontId="16" fillId="0" borderId="22" xfId="455" applyNumberFormat="1" applyFont="1" applyFill="1" applyBorder="1" applyAlignment="1" applyProtection="1">
      <alignment horizontal="center"/>
    </xf>
    <xf numFmtId="10" fontId="16" fillId="33" borderId="22" xfId="455" applyNumberFormat="1" applyFont="1" applyFill="1" applyBorder="1" applyAlignment="1" applyProtection="1">
      <alignment horizontal="center"/>
    </xf>
    <xf numFmtId="10" fontId="16" fillId="0" borderId="22" xfId="455" applyNumberFormat="1" applyFont="1" applyBorder="1" applyAlignment="1" applyProtection="1">
      <alignment horizontal="center"/>
    </xf>
    <xf numFmtId="9" fontId="16" fillId="33" borderId="22" xfId="426" applyFont="1" applyFill="1" applyBorder="1" applyAlignment="1" applyProtection="1">
      <alignment horizontal="center"/>
    </xf>
    <xf numFmtId="0" fontId="18" fillId="0" borderId="22" xfId="0" applyFont="1" applyBorder="1" applyAlignment="1">
      <alignment horizontal="left" vertical="center"/>
    </xf>
    <xf numFmtId="14" fontId="18" fillId="0" borderId="22" xfId="0" applyNumberFormat="1" applyFont="1" applyBorder="1" applyAlignment="1">
      <alignment horizontal="left" vertical="center"/>
    </xf>
    <xf numFmtId="0" fontId="21" fillId="0" borderId="22" xfId="0" applyFont="1" applyBorder="1"/>
    <xf numFmtId="1" fontId="18" fillId="0" borderId="22" xfId="0" applyNumberFormat="1" applyFont="1" applyBorder="1" applyAlignment="1">
      <alignment horizontal="center" vertical="center"/>
    </xf>
    <xf numFmtId="1" fontId="18" fillId="37" borderId="22" xfId="0" applyNumberFormat="1" applyFont="1" applyFill="1" applyBorder="1" applyAlignment="1">
      <alignment horizontal="center" vertical="center"/>
    </xf>
    <xf numFmtId="166" fontId="18" fillId="37" borderId="22" xfId="0" applyNumberFormat="1" applyFont="1" applyFill="1" applyBorder="1" applyAlignment="1">
      <alignment horizontal="center" vertical="center"/>
    </xf>
    <xf numFmtId="1" fontId="18" fillId="0" borderId="22" xfId="0" applyNumberFormat="1" applyFont="1" applyBorder="1" applyAlignment="1">
      <alignment horizontal="center"/>
    </xf>
    <xf numFmtId="0" fontId="18" fillId="0" borderId="22" xfId="0" applyFont="1" applyBorder="1"/>
    <xf numFmtId="1" fontId="18" fillId="83" borderId="22" xfId="0" applyNumberFormat="1" applyFont="1" applyFill="1" applyBorder="1" applyAlignment="1">
      <alignment horizontal="center" vertical="center"/>
    </xf>
    <xf numFmtId="2" fontId="18" fillId="0" borderId="22" xfId="0" applyNumberFormat="1" applyFont="1" applyBorder="1" applyAlignment="1">
      <alignment horizontal="center" vertical="center"/>
    </xf>
    <xf numFmtId="0" fontId="21" fillId="0" borderId="22" xfId="0" applyFont="1" applyBorder="1" applyAlignment="1">
      <alignment horizontal="left" vertical="center"/>
    </xf>
    <xf numFmtId="166" fontId="18" fillId="0" borderId="22" xfId="0" applyNumberFormat="1" applyFont="1" applyBorder="1" applyAlignment="1">
      <alignment horizontal="center" vertical="center"/>
    </xf>
    <xf numFmtId="2" fontId="18" fillId="83" borderId="22" xfId="0" applyNumberFormat="1" applyFont="1" applyFill="1" applyBorder="1" applyAlignment="1">
      <alignment horizontal="center" vertical="center"/>
    </xf>
    <xf numFmtId="0" fontId="25" fillId="30" borderId="18" xfId="0" applyFont="1" applyFill="1" applyBorder="1" applyAlignment="1" applyProtection="1">
      <alignment vertical="center" wrapText="1"/>
      <protection locked="0"/>
    </xf>
    <xf numFmtId="0" fontId="20" fillId="30" borderId="18" xfId="0" applyFont="1" applyFill="1" applyBorder="1" applyAlignment="1" applyProtection="1">
      <alignment vertical="center" wrapText="1"/>
      <protection locked="0"/>
    </xf>
    <xf numFmtId="0" fontId="16" fillId="37" borderId="30" xfId="0" applyFont="1" applyFill="1" applyBorder="1" applyAlignment="1" applyProtection="1">
      <alignment horizontal="center" vertical="center" wrapText="1"/>
      <protection locked="0"/>
    </xf>
    <xf numFmtId="1" fontId="9" fillId="92" borderId="18" xfId="515" applyNumberFormat="1" applyFont="1" applyFill="1" applyBorder="1" applyAlignment="1">
      <alignment horizontal="center" vertical="center"/>
    </xf>
    <xf numFmtId="0" fontId="25" fillId="30" borderId="30" xfId="0" applyFont="1" applyFill="1" applyBorder="1" applyAlignment="1" applyProtection="1">
      <alignment vertical="center" wrapText="1"/>
      <protection locked="0"/>
    </xf>
    <xf numFmtId="0" fontId="20" fillId="30" borderId="30" xfId="0" applyFont="1" applyFill="1" applyBorder="1" applyAlignment="1" applyProtection="1">
      <alignment vertical="center" wrapText="1"/>
      <protection locked="0"/>
    </xf>
    <xf numFmtId="0" fontId="16" fillId="91" borderId="30" xfId="0" applyFont="1" applyFill="1" applyBorder="1" applyAlignment="1" applyProtection="1">
      <alignment horizontal="left" vertical="center" wrapText="1"/>
      <protection locked="0"/>
    </xf>
    <xf numFmtId="49" fontId="16" fillId="91" borderId="30" xfId="0" applyNumberFormat="1" applyFont="1" applyFill="1" applyBorder="1" applyAlignment="1" applyProtection="1">
      <alignment horizontal="center" vertical="center" wrapText="1"/>
      <protection locked="0"/>
    </xf>
    <xf numFmtId="1" fontId="9" fillId="93" borderId="18" xfId="515" applyNumberFormat="1" applyFont="1" applyFill="1" applyBorder="1" applyAlignment="1" applyProtection="1">
      <alignment horizontal="center" vertical="center"/>
      <protection locked="0"/>
    </xf>
    <xf numFmtId="10" fontId="9" fillId="0" borderId="18" xfId="515" applyNumberFormat="1" applyFont="1" applyBorder="1" applyAlignment="1">
      <alignment horizontal="center" vertical="center"/>
    </xf>
    <xf numFmtId="0" fontId="34" fillId="0" borderId="18" xfId="0" quotePrefix="1" applyFont="1" applyBorder="1" applyAlignment="1">
      <alignment horizontal="center" vertical="center" wrapText="1"/>
    </xf>
    <xf numFmtId="2" fontId="16" fillId="33" borderId="22" xfId="455" applyNumberFormat="1" applyFont="1" applyFill="1" applyBorder="1" applyAlignment="1" applyProtection="1">
      <alignment horizontal="center"/>
    </xf>
    <xf numFmtId="0" fontId="13" fillId="28" borderId="22" xfId="515" applyFont="1" applyFill="1" applyBorder="1" applyAlignment="1">
      <alignment horizontal="left" vertical="center"/>
    </xf>
    <xf numFmtId="1" fontId="10" fillId="28" borderId="18" xfId="0" quotePrefix="1" applyNumberFormat="1" applyFont="1" applyFill="1" applyBorder="1" applyAlignment="1">
      <alignment horizontal="center" vertical="center" wrapText="1"/>
    </xf>
    <xf numFmtId="1" fontId="5" fillId="36" borderId="32" xfId="515" applyNumberFormat="1" applyFill="1" applyBorder="1" applyAlignment="1" applyProtection="1">
      <alignment horizontal="center" vertical="center"/>
      <protection locked="0"/>
    </xf>
    <xf numFmtId="10" fontId="10" fillId="27" borderId="18" xfId="426" applyNumberFormat="1" applyFont="1" applyFill="1" applyBorder="1" applyAlignment="1" applyProtection="1">
      <alignment horizontal="center" vertical="center" wrapText="1"/>
    </xf>
    <xf numFmtId="0" fontId="29" fillId="0" borderId="47" xfId="0" applyFont="1" applyBorder="1" applyAlignment="1">
      <alignment vertical="center"/>
    </xf>
    <xf numFmtId="14" fontId="16" fillId="0" borderId="36" xfId="0" applyNumberFormat="1" applyFont="1" applyBorder="1" applyAlignment="1">
      <alignment horizontal="left" vertical="center"/>
    </xf>
    <xf numFmtId="14" fontId="16" fillId="82" borderId="48" xfId="0" applyNumberFormat="1" applyFont="1" applyFill="1" applyBorder="1" applyAlignment="1">
      <alignment horizontal="left" vertical="center"/>
    </xf>
    <xf numFmtId="0" fontId="20" fillId="0" borderId="0" xfId="0" applyFont="1" applyAlignment="1">
      <alignment vertical="center"/>
    </xf>
    <xf numFmtId="14" fontId="29" fillId="0" borderId="22" xfId="0" applyNumberFormat="1" applyFont="1" applyBorder="1" applyAlignment="1">
      <alignment vertical="center"/>
    </xf>
    <xf numFmtId="0" fontId="1" fillId="0" borderId="0" xfId="0" applyFont="1" applyAlignment="1">
      <alignment wrapText="1"/>
    </xf>
    <xf numFmtId="0" fontId="34" fillId="0" borderId="31" xfId="0" applyFont="1" applyBorder="1" applyAlignment="1">
      <alignment vertical="center"/>
    </xf>
    <xf numFmtId="0" fontId="69" fillId="0" borderId="0" xfId="0" applyFont="1" applyAlignment="1">
      <alignment horizontal="left" vertical="center"/>
    </xf>
    <xf numFmtId="0" fontId="111" fillId="0" borderId="0" xfId="0" applyFont="1" applyAlignment="1">
      <alignment horizontal="center" vertical="center"/>
    </xf>
    <xf numFmtId="0" fontId="122" fillId="0" borderId="0" xfId="0" applyFont="1" applyAlignment="1">
      <alignment vertical="center"/>
    </xf>
    <xf numFmtId="0" fontId="122" fillId="0" borderId="18" xfId="0" applyFont="1" applyBorder="1" applyAlignment="1">
      <alignment horizontal="center" vertical="center"/>
    </xf>
    <xf numFmtId="49" fontId="20" fillId="36" borderId="84" xfId="515" applyNumberFormat="1" applyFont="1" applyFill="1" applyBorder="1" applyAlignment="1" applyProtection="1">
      <alignment vertical="center" wrapText="1"/>
      <protection locked="0"/>
    </xf>
    <xf numFmtId="49" fontId="20" fillId="36" borderId="40" xfId="515" applyNumberFormat="1" applyFont="1" applyFill="1" applyBorder="1" applyAlignment="1" applyProtection="1">
      <alignment vertical="center" wrapText="1"/>
      <protection locked="0"/>
    </xf>
    <xf numFmtId="1" fontId="20" fillId="36" borderId="40" xfId="515" applyNumberFormat="1" applyFont="1" applyFill="1" applyBorder="1" applyAlignment="1" applyProtection="1">
      <alignment horizontal="center" vertical="center"/>
      <protection locked="0"/>
    </xf>
    <xf numFmtId="1" fontId="20" fillId="36" borderId="94" xfId="515" applyNumberFormat="1" applyFont="1" applyFill="1" applyBorder="1" applyAlignment="1" applyProtection="1">
      <alignment horizontal="center" vertical="center"/>
      <protection locked="0"/>
    </xf>
    <xf numFmtId="1" fontId="20" fillId="36" borderId="45" xfId="515" applyNumberFormat="1" applyFont="1" applyFill="1" applyBorder="1" applyAlignment="1" applyProtection="1">
      <alignment horizontal="center" vertical="center"/>
      <protection locked="0"/>
    </xf>
    <xf numFmtId="49" fontId="20" fillId="36" borderId="89" xfId="515" applyNumberFormat="1" applyFont="1" applyFill="1" applyBorder="1" applyAlignment="1" applyProtection="1">
      <alignment vertical="center" wrapText="1"/>
      <protection locked="0"/>
    </xf>
    <xf numFmtId="49" fontId="20" fillId="36" borderId="39" xfId="515" applyNumberFormat="1" applyFont="1" applyFill="1" applyBorder="1" applyAlignment="1" applyProtection="1">
      <alignment vertical="center" wrapText="1"/>
      <protection locked="0"/>
    </xf>
    <xf numFmtId="1" fontId="20" fillId="36" borderId="39" xfId="515" applyNumberFormat="1" applyFont="1" applyFill="1" applyBorder="1" applyAlignment="1" applyProtection="1">
      <alignment horizontal="center" vertical="center"/>
      <protection locked="0"/>
    </xf>
    <xf numFmtId="1" fontId="20" fillId="36" borderId="90" xfId="515" applyNumberFormat="1" applyFont="1" applyFill="1" applyBorder="1" applyAlignment="1" applyProtection="1">
      <alignment horizontal="center" vertical="center"/>
      <protection locked="0"/>
    </xf>
    <xf numFmtId="1" fontId="20" fillId="36" borderId="44" xfId="515" applyNumberFormat="1" applyFont="1" applyFill="1" applyBorder="1" applyAlignment="1" applyProtection="1">
      <alignment horizontal="center" vertical="center"/>
      <protection locked="0"/>
    </xf>
    <xf numFmtId="0" fontId="124" fillId="0" borderId="39" xfId="0" applyFont="1" applyBorder="1" applyAlignment="1">
      <alignment horizontal="center" vertical="center" wrapText="1"/>
    </xf>
    <xf numFmtId="0" fontId="124" fillId="0" borderId="90" xfId="0" applyFont="1" applyBorder="1" applyAlignment="1">
      <alignment horizontal="center" vertical="center" wrapText="1"/>
    </xf>
    <xf numFmtId="0" fontId="124" fillId="0" borderId="44" xfId="0" applyFont="1" applyBorder="1" applyAlignment="1">
      <alignment horizontal="center" vertical="center" wrapText="1"/>
    </xf>
    <xf numFmtId="0" fontId="124" fillId="0" borderId="22" xfId="0" applyFont="1" applyBorder="1" applyAlignment="1">
      <alignment horizontal="left" vertical="center" wrapText="1"/>
    </xf>
    <xf numFmtId="0" fontId="124" fillId="0" borderId="22" xfId="0" applyFont="1" applyBorder="1" applyAlignment="1">
      <alignment horizontal="left" wrapText="1"/>
    </xf>
    <xf numFmtId="0" fontId="124" fillId="76" borderId="22" xfId="0" applyFont="1" applyFill="1" applyBorder="1" applyAlignment="1">
      <alignment horizontal="left" vertical="center" wrapText="1"/>
    </xf>
    <xf numFmtId="0" fontId="124" fillId="0" borderId="22" xfId="0" applyFont="1" applyBorder="1" applyAlignment="1">
      <alignment horizontal="left"/>
    </xf>
    <xf numFmtId="0" fontId="124" fillId="76" borderId="22" xfId="0" applyFont="1" applyFill="1" applyBorder="1" applyAlignment="1">
      <alignment horizontal="left"/>
    </xf>
    <xf numFmtId="0" fontId="124" fillId="76" borderId="22" xfId="0" applyFont="1" applyFill="1" applyBorder="1" applyAlignment="1">
      <alignment horizontal="left" wrapText="1"/>
    </xf>
    <xf numFmtId="0" fontId="124" fillId="0" borderId="0" xfId="0" applyFont="1" applyAlignment="1">
      <alignment horizontal="left" wrapText="1"/>
    </xf>
    <xf numFmtId="49" fontId="20" fillId="36" borderId="95" xfId="515" applyNumberFormat="1" applyFont="1" applyFill="1" applyBorder="1" applyAlignment="1" applyProtection="1">
      <alignment vertical="center" wrapText="1"/>
      <protection locked="0"/>
    </xf>
    <xf numFmtId="49" fontId="20" fillId="36" borderId="37" xfId="515" applyNumberFormat="1" applyFont="1" applyFill="1" applyBorder="1" applyAlignment="1" applyProtection="1">
      <alignment vertical="center" wrapText="1"/>
      <protection locked="0"/>
    </xf>
    <xf numFmtId="1" fontId="20" fillId="36" borderId="37" xfId="515" applyNumberFormat="1" applyFont="1" applyFill="1" applyBorder="1" applyAlignment="1" applyProtection="1">
      <alignment horizontal="center" vertical="center"/>
      <protection locked="0"/>
    </xf>
    <xf numFmtId="1" fontId="20" fillId="36" borderId="28" xfId="515" applyNumberFormat="1" applyFont="1" applyFill="1" applyBorder="1" applyAlignment="1" applyProtection="1">
      <alignment horizontal="center" vertical="center"/>
      <protection locked="0"/>
    </xf>
    <xf numFmtId="1" fontId="20" fillId="36" borderId="96" xfId="515" applyNumberFormat="1" applyFont="1" applyFill="1" applyBorder="1" applyAlignment="1" applyProtection="1">
      <alignment horizontal="center" vertical="center"/>
      <protection locked="0"/>
    </xf>
    <xf numFmtId="0" fontId="10" fillId="75" borderId="0" xfId="548" applyFont="1" applyFill="1" applyAlignment="1">
      <alignment vertical="center"/>
    </xf>
    <xf numFmtId="0" fontId="1" fillId="0" borderId="0" xfId="0" applyFont="1" applyAlignment="1">
      <alignment horizontal="left"/>
    </xf>
    <xf numFmtId="0" fontId="20" fillId="0" borderId="0" xfId="0" applyFont="1" applyAlignment="1">
      <alignment horizontal="left"/>
    </xf>
    <xf numFmtId="0" fontId="20" fillId="0" borderId="0" xfId="0" applyFont="1"/>
    <xf numFmtId="0" fontId="20" fillId="0" borderId="86" xfId="0" applyFont="1" applyBorder="1" applyAlignment="1">
      <alignment horizontal="left" vertical="center"/>
    </xf>
    <xf numFmtId="0" fontId="20" fillId="0" borderId="89" xfId="0" applyFont="1" applyBorder="1" applyAlignment="1">
      <alignment horizontal="left" vertical="center"/>
    </xf>
    <xf numFmtId="0" fontId="16" fillId="0" borderId="0" xfId="0" applyFont="1" applyAlignment="1">
      <alignment horizontal="justify" vertical="justify" wrapText="1"/>
    </xf>
    <xf numFmtId="0" fontId="16" fillId="0" borderId="0" xfId="0" applyFont="1" applyAlignment="1">
      <alignment horizontal="justify" vertical="justify"/>
    </xf>
    <xf numFmtId="0" fontId="16" fillId="0" borderId="0" xfId="0" applyFont="1"/>
    <xf numFmtId="0" fontId="1" fillId="0" borderId="25" xfId="0" applyFont="1" applyBorder="1" applyAlignment="1">
      <alignment horizontal="center" vertical="center" wrapText="1"/>
    </xf>
    <xf numFmtId="0" fontId="119" fillId="0" borderId="37" xfId="0" applyFont="1" applyBorder="1"/>
    <xf numFmtId="0" fontId="9" fillId="0" borderId="0" xfId="0" applyFont="1" applyAlignment="1">
      <alignment horizontal="justify" vertical="justify" wrapText="1"/>
    </xf>
    <xf numFmtId="0" fontId="23" fillId="0" borderId="0" xfId="0" applyFont="1" applyAlignment="1">
      <alignment horizontal="justify" vertical="justify"/>
    </xf>
    <xf numFmtId="0" fontId="18" fillId="0" borderId="22" xfId="0" applyFont="1" applyBorder="1" applyAlignment="1">
      <alignment horizontal="center" vertical="center"/>
    </xf>
    <xf numFmtId="0" fontId="18" fillId="0" borderId="22" xfId="0" applyFont="1" applyBorder="1" applyAlignment="1">
      <alignment vertical="center"/>
    </xf>
    <xf numFmtId="0" fontId="122" fillId="0" borderId="32" xfId="0" applyFont="1" applyBorder="1" applyAlignment="1">
      <alignment horizontal="left" vertical="center" wrapText="1"/>
    </xf>
    <xf numFmtId="0" fontId="122" fillId="0" borderId="35" xfId="0" applyFont="1" applyBorder="1" applyAlignment="1">
      <alignment horizontal="left" vertical="center" wrapText="1"/>
    </xf>
    <xf numFmtId="0" fontId="122" fillId="0" borderId="36" xfId="0" applyFont="1" applyBorder="1" applyAlignment="1">
      <alignment horizontal="left" vertical="center" wrapText="1"/>
    </xf>
    <xf numFmtId="0" fontId="9" fillId="0" borderId="0" xfId="0" applyFont="1" applyAlignment="1">
      <alignment horizontal="left" vertical="center" wrapText="1"/>
    </xf>
    <xf numFmtId="0" fontId="111" fillId="0" borderId="0" xfId="0" applyFont="1" applyAlignment="1">
      <alignment horizontal="left" wrapText="1"/>
    </xf>
    <xf numFmtId="0" fontId="120" fillId="0" borderId="78" xfId="0" applyFont="1" applyBorder="1" applyAlignment="1">
      <alignment horizontal="left" vertical="center" wrapText="1"/>
    </xf>
    <xf numFmtId="0" fontId="120" fillId="0" borderId="78" xfId="0" applyFont="1" applyBorder="1" applyAlignment="1">
      <alignment horizontal="left" vertical="center"/>
    </xf>
    <xf numFmtId="49" fontId="5" fillId="36" borderId="32" xfId="515" applyNumberFormat="1" applyFill="1" applyBorder="1" applyAlignment="1" applyProtection="1">
      <alignment horizontal="left" vertical="center"/>
      <protection locked="0"/>
    </xf>
    <xf numFmtId="49" fontId="5" fillId="36" borderId="35" xfId="515" applyNumberFormat="1" applyFill="1" applyBorder="1" applyAlignment="1" applyProtection="1">
      <alignment horizontal="left" vertical="center"/>
      <protection locked="0"/>
    </xf>
    <xf numFmtId="0" fontId="119" fillId="0" borderId="36" xfId="0" applyFont="1" applyBorder="1" applyAlignment="1" applyProtection="1">
      <alignment horizontal="left"/>
      <protection locked="0"/>
    </xf>
    <xf numFmtId="14" fontId="5" fillId="36" borderId="32" xfId="515" applyNumberFormat="1" applyFill="1" applyBorder="1" applyAlignment="1" applyProtection="1">
      <alignment horizontal="center" vertical="center"/>
      <protection locked="0"/>
    </xf>
    <xf numFmtId="14" fontId="5" fillId="36" borderId="35" xfId="515" applyNumberFormat="1" applyFill="1" applyBorder="1" applyAlignment="1" applyProtection="1">
      <alignment horizontal="center" vertical="center"/>
      <protection locked="0"/>
    </xf>
    <xf numFmtId="0" fontId="18" fillId="0" borderId="36" xfId="0" applyFont="1" applyBorder="1" applyProtection="1">
      <protection locked="0"/>
    </xf>
    <xf numFmtId="0" fontId="5" fillId="0" borderId="22" xfId="515" applyBorder="1" applyAlignment="1">
      <alignment horizontal="center" vertical="center" wrapText="1"/>
    </xf>
    <xf numFmtId="0" fontId="5" fillId="36" borderId="22" xfId="515" applyFill="1" applyBorder="1" applyAlignment="1" applyProtection="1">
      <alignment horizontal="center" vertical="center"/>
      <protection locked="0"/>
    </xf>
    <xf numFmtId="0" fontId="5" fillId="0" borderId="32" xfId="515" applyBorder="1" applyAlignment="1">
      <alignment horizontal="center" vertical="center"/>
    </xf>
    <xf numFmtId="0" fontId="5" fillId="0" borderId="35" xfId="515" applyBorder="1" applyAlignment="1">
      <alignment horizontal="center" vertical="center"/>
    </xf>
    <xf numFmtId="0" fontId="5" fillId="0" borderId="36" xfId="515" applyBorder="1" applyAlignment="1">
      <alignment horizontal="center" vertical="center"/>
    </xf>
    <xf numFmtId="0" fontId="18" fillId="0" borderId="32" xfId="0" applyFont="1" applyBorder="1" applyAlignment="1">
      <alignment horizontal="center" vertical="center"/>
    </xf>
    <xf numFmtId="0" fontId="18" fillId="0" borderId="35" xfId="0" applyFont="1" applyBorder="1" applyAlignment="1">
      <alignment horizontal="center" vertical="center"/>
    </xf>
    <xf numFmtId="0" fontId="18" fillId="0" borderId="36" xfId="0" applyFont="1" applyBorder="1" applyAlignment="1">
      <alignment horizontal="center" vertical="center"/>
    </xf>
    <xf numFmtId="0" fontId="18" fillId="0" borderId="0" xfId="0" applyFont="1" applyAlignment="1">
      <alignment horizontal="left" vertical="center" wrapText="1"/>
    </xf>
    <xf numFmtId="14" fontId="5" fillId="36" borderId="32" xfId="515" applyNumberFormat="1" applyFill="1" applyBorder="1" applyAlignment="1" applyProtection="1">
      <alignment horizontal="left" vertical="center"/>
      <protection locked="0"/>
    </xf>
    <xf numFmtId="14" fontId="5" fillId="36" borderId="36" xfId="515" applyNumberFormat="1" applyFill="1" applyBorder="1" applyAlignment="1" applyProtection="1">
      <alignment horizontal="left" vertical="center"/>
      <protection locked="0"/>
    </xf>
    <xf numFmtId="0" fontId="118" fillId="0" borderId="0" xfId="0" applyFont="1" applyAlignment="1">
      <alignment horizontal="left" vertical="center"/>
    </xf>
    <xf numFmtId="0" fontId="16" fillId="0" borderId="0" xfId="0" applyFont="1" applyAlignment="1">
      <alignment horizontal="left" vertical="center"/>
    </xf>
    <xf numFmtId="14" fontId="18" fillId="27" borderId="32" xfId="0" applyNumberFormat="1" applyFont="1" applyFill="1" applyBorder="1" applyAlignment="1">
      <alignment horizontal="center" vertical="center" wrapText="1"/>
    </xf>
    <xf numFmtId="14" fontId="18" fillId="27" borderId="35" xfId="0" applyNumberFormat="1" applyFont="1" applyFill="1" applyBorder="1" applyAlignment="1">
      <alignment horizontal="center" vertical="center" wrapText="1"/>
    </xf>
    <xf numFmtId="14" fontId="18" fillId="0" borderId="36" xfId="0" applyNumberFormat="1" applyFont="1" applyBorder="1"/>
    <xf numFmtId="0" fontId="18" fillId="27" borderId="32" xfId="0" applyFont="1" applyFill="1" applyBorder="1" applyAlignment="1">
      <alignment horizontal="center" vertical="center" wrapText="1"/>
    </xf>
    <xf numFmtId="0" fontId="18" fillId="27" borderId="35" xfId="0" applyFont="1" applyFill="1" applyBorder="1" applyAlignment="1">
      <alignment horizontal="center" vertical="center" wrapText="1"/>
    </xf>
    <xf numFmtId="0" fontId="18" fillId="0" borderId="36" xfId="0" applyFont="1" applyBorder="1"/>
    <xf numFmtId="0" fontId="5" fillId="0" borderId="32" xfId="515" applyBorder="1" applyAlignment="1">
      <alignment vertical="center"/>
    </xf>
    <xf numFmtId="0" fontId="18" fillId="0" borderId="35" xfId="0" applyFont="1" applyBorder="1" applyAlignment="1">
      <alignment vertical="center"/>
    </xf>
    <xf numFmtId="0" fontId="34" fillId="34" borderId="30" xfId="0" applyFont="1" applyFill="1" applyBorder="1" applyAlignment="1">
      <alignment horizontal="center" vertical="center" wrapText="1"/>
    </xf>
    <xf numFmtId="0" fontId="155" fillId="34" borderId="31" xfId="0" applyFont="1" applyFill="1" applyBorder="1" applyAlignment="1">
      <alignment horizontal="center" vertical="center" wrapText="1"/>
    </xf>
    <xf numFmtId="0" fontId="155" fillId="34" borderId="34" xfId="0" applyFont="1" applyFill="1" applyBorder="1" applyAlignment="1">
      <alignment horizontal="center" vertical="center" wrapText="1"/>
    </xf>
    <xf numFmtId="0" fontId="9" fillId="0" borderId="30"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34" xfId="0" applyFont="1" applyBorder="1" applyAlignment="1">
      <alignment horizontal="center" vertical="center" wrapText="1"/>
    </xf>
    <xf numFmtId="49" fontId="34" fillId="0" borderId="30" xfId="0" applyNumberFormat="1" applyFont="1" applyBorder="1" applyAlignment="1">
      <alignment horizontal="center" vertical="center" wrapText="1"/>
    </xf>
    <xf numFmtId="49" fontId="34" fillId="0" borderId="31" xfId="0" applyNumberFormat="1" applyFont="1" applyBorder="1" applyAlignment="1">
      <alignment horizontal="center" vertical="center" wrapText="1"/>
    </xf>
    <xf numFmtId="49" fontId="34" fillId="0" borderId="34" xfId="0" applyNumberFormat="1" applyFont="1" applyBorder="1" applyAlignment="1">
      <alignment horizontal="center" vertical="center" wrapText="1"/>
    </xf>
    <xf numFmtId="0" fontId="9" fillId="0" borderId="42" xfId="0" applyFont="1" applyBorder="1" applyAlignment="1">
      <alignment horizontal="left" vertical="center" wrapText="1"/>
    </xf>
    <xf numFmtId="0" fontId="69" fillId="0" borderId="57" xfId="0" applyFont="1" applyBorder="1" applyAlignment="1">
      <alignment horizontal="left" vertical="center" wrapText="1"/>
    </xf>
    <xf numFmtId="0" fontId="69" fillId="0" borderId="41" xfId="0" applyFont="1" applyBorder="1" applyAlignment="1">
      <alignment horizontal="left" vertical="center" wrapText="1"/>
    </xf>
    <xf numFmtId="0" fontId="69" fillId="0" borderId="58" xfId="0" applyFont="1" applyBorder="1" applyAlignment="1">
      <alignment horizontal="left" vertical="center" wrapText="1"/>
    </xf>
    <xf numFmtId="0" fontId="69" fillId="0" borderId="27" xfId="0" applyFont="1" applyBorder="1" applyAlignment="1">
      <alignment horizontal="left" vertical="center" wrapText="1"/>
    </xf>
    <xf numFmtId="0" fontId="69" fillId="0" borderId="23" xfId="0" applyFont="1" applyBorder="1" applyAlignment="1">
      <alignment horizontal="left" vertical="center" wrapText="1"/>
    </xf>
    <xf numFmtId="0" fontId="79" fillId="0" borderId="42" xfId="0" applyFont="1" applyBorder="1" applyAlignment="1">
      <alignment horizontal="center" vertical="center" wrapText="1"/>
    </xf>
    <xf numFmtId="0" fontId="84" fillId="0" borderId="58" xfId="0" applyFont="1" applyBorder="1" applyAlignment="1">
      <alignment horizontal="center" vertical="center" wrapText="1"/>
    </xf>
    <xf numFmtId="0" fontId="84" fillId="0" borderId="57" xfId="0" applyFont="1" applyBorder="1" applyAlignment="1">
      <alignment horizontal="center" vertical="center" wrapText="1"/>
    </xf>
    <xf numFmtId="0" fontId="84" fillId="0" borderId="27" xfId="0" applyFont="1" applyBorder="1" applyAlignment="1">
      <alignment horizontal="center" vertical="center" wrapText="1"/>
    </xf>
    <xf numFmtId="0" fontId="84" fillId="0" borderId="41" xfId="0" applyFont="1" applyBorder="1" applyAlignment="1">
      <alignment horizontal="center" vertical="center" wrapText="1"/>
    </xf>
    <xf numFmtId="0" fontId="84" fillId="0" borderId="23" xfId="0" applyFont="1" applyBorder="1" applyAlignment="1">
      <alignment horizontal="center" vertical="center" wrapText="1"/>
    </xf>
    <xf numFmtId="0" fontId="9" fillId="0" borderId="59" xfId="0" applyFont="1" applyBorder="1" applyAlignment="1">
      <alignment horizontal="justify" vertical="center" wrapText="1"/>
    </xf>
    <xf numFmtId="0" fontId="69" fillId="0" borderId="59" xfId="0" applyFont="1" applyBorder="1" applyAlignment="1">
      <alignment horizontal="justify" vertical="center" wrapText="1"/>
    </xf>
    <xf numFmtId="0" fontId="69" fillId="0" borderId="59" xfId="0" applyFont="1" applyBorder="1" applyAlignment="1">
      <alignment vertical="center"/>
    </xf>
    <xf numFmtId="0" fontId="69" fillId="0" borderId="34" xfId="0" applyFont="1" applyBorder="1" applyAlignment="1">
      <alignment horizontal="center" vertical="center" wrapText="1"/>
    </xf>
    <xf numFmtId="49" fontId="77" fillId="0" borderId="34" xfId="0" applyNumberFormat="1" applyFont="1" applyBorder="1" applyAlignment="1">
      <alignment horizontal="center" vertical="center" wrapText="1"/>
    </xf>
    <xf numFmtId="0" fontId="9" fillId="0" borderId="57" xfId="0" applyFont="1" applyBorder="1" applyAlignment="1">
      <alignment horizontal="left" vertical="center" wrapText="1"/>
    </xf>
    <xf numFmtId="0" fontId="79" fillId="0" borderId="57" xfId="0" applyFont="1" applyBorder="1" applyAlignment="1">
      <alignment horizontal="center" vertical="center" wrapText="1"/>
    </xf>
    <xf numFmtId="0" fontId="69" fillId="0" borderId="31" xfId="0" applyFont="1" applyBorder="1" applyAlignment="1">
      <alignment horizontal="center" vertical="center" wrapText="1"/>
    </xf>
    <xf numFmtId="49" fontId="77" fillId="0" borderId="31" xfId="0" applyNumberFormat="1" applyFont="1" applyBorder="1" applyAlignment="1">
      <alignment horizontal="center" vertical="center" wrapText="1"/>
    </xf>
    <xf numFmtId="0" fontId="114" fillId="0" borderId="42" xfId="0" applyFont="1" applyBorder="1" applyAlignment="1">
      <alignment horizontal="center" vertical="center" wrapText="1"/>
    </xf>
    <xf numFmtId="0" fontId="115" fillId="0" borderId="58" xfId="0" applyFont="1" applyBorder="1" applyAlignment="1">
      <alignment horizontal="center" vertical="center" wrapText="1"/>
    </xf>
    <xf numFmtId="0" fontId="115" fillId="0" borderId="57" xfId="0" applyFont="1" applyBorder="1" applyAlignment="1">
      <alignment horizontal="center" vertical="center" wrapText="1"/>
    </xf>
    <xf numFmtId="0" fontId="115" fillId="0" borderId="27" xfId="0" applyFont="1" applyBorder="1" applyAlignment="1">
      <alignment horizontal="center" vertical="center" wrapText="1"/>
    </xf>
    <xf numFmtId="0" fontId="13" fillId="0" borderId="21" xfId="0" applyFont="1" applyBorder="1" applyAlignment="1">
      <alignment horizontal="center" vertical="center"/>
    </xf>
    <xf numFmtId="0" fontId="13" fillId="0" borderId="19" xfId="0" applyFont="1" applyBorder="1" applyAlignment="1">
      <alignment horizontal="center" vertical="center"/>
    </xf>
    <xf numFmtId="0" fontId="9" fillId="0" borderId="0" xfId="0" applyFont="1" applyAlignment="1">
      <alignment horizontal="justify" vertical="center" wrapText="1"/>
    </xf>
    <xf numFmtId="0" fontId="69" fillId="0" borderId="0" xfId="0" applyFont="1" applyAlignment="1">
      <alignment horizontal="justify" vertical="center" wrapText="1"/>
    </xf>
    <xf numFmtId="0" fontId="69" fillId="0" borderId="0" xfId="0" applyFont="1" applyAlignment="1">
      <alignment vertical="center"/>
    </xf>
    <xf numFmtId="0" fontId="13" fillId="28" borderId="32" xfId="515" applyFont="1" applyFill="1" applyBorder="1" applyAlignment="1">
      <alignment vertical="center"/>
    </xf>
    <xf numFmtId="0" fontId="69" fillId="0" borderId="36" xfId="0" applyFont="1" applyBorder="1"/>
    <xf numFmtId="0" fontId="9" fillId="0" borderId="0" xfId="0" applyFont="1" applyAlignment="1">
      <alignment horizontal="justify" vertical="top" wrapText="1"/>
    </xf>
    <xf numFmtId="0" fontId="36" fillId="0" borderId="0" xfId="0" applyFont="1" applyAlignment="1">
      <alignment horizontal="justify" vertical="top"/>
    </xf>
    <xf numFmtId="0" fontId="69" fillId="0" borderId="0" xfId="0" applyFont="1" applyAlignment="1">
      <alignment horizontal="justify" vertical="top"/>
    </xf>
    <xf numFmtId="0" fontId="13" fillId="0" borderId="30"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42" xfId="0" applyFont="1" applyBorder="1" applyAlignment="1">
      <alignment horizontal="center" vertical="center" wrapText="1"/>
    </xf>
    <xf numFmtId="0" fontId="13" fillId="0" borderId="58" xfId="0" applyFont="1" applyBorder="1" applyAlignment="1">
      <alignment horizontal="center" vertical="center" wrapText="1"/>
    </xf>
    <xf numFmtId="0" fontId="13" fillId="0" borderId="57"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18" xfId="0" applyFont="1" applyBorder="1" applyAlignment="1">
      <alignment horizontal="center" vertical="center" wrapText="1"/>
    </xf>
    <xf numFmtId="0" fontId="69" fillId="0" borderId="18" xfId="0" applyFont="1" applyBorder="1" applyAlignment="1">
      <alignment horizontal="center" vertical="center" wrapText="1"/>
    </xf>
    <xf numFmtId="0" fontId="20" fillId="0" borderId="30" xfId="0" applyFont="1" applyBorder="1" applyAlignment="1">
      <alignment horizontal="center" vertical="center" wrapText="1"/>
    </xf>
    <xf numFmtId="0" fontId="69" fillId="0" borderId="30" xfId="0" applyFont="1" applyBorder="1" applyAlignment="1">
      <alignment horizontal="center" vertical="center" wrapText="1"/>
    </xf>
    <xf numFmtId="0" fontId="13" fillId="0" borderId="59" xfId="0" applyFont="1" applyBorder="1" applyAlignment="1">
      <alignment horizontal="center" vertical="center" wrapText="1"/>
    </xf>
    <xf numFmtId="0" fontId="69" fillId="0" borderId="59" xfId="0" applyFont="1" applyBorder="1" applyAlignment="1">
      <alignment horizontal="center" vertical="center" wrapText="1"/>
    </xf>
    <xf numFmtId="0" fontId="69" fillId="0" borderId="58" xfId="0" applyFont="1" applyBorder="1" applyAlignment="1">
      <alignment horizontal="center" vertical="center" wrapText="1"/>
    </xf>
    <xf numFmtId="0" fontId="20" fillId="0" borderId="31" xfId="0" applyFont="1" applyBorder="1" applyAlignment="1">
      <alignment horizontal="center" vertical="center" wrapText="1"/>
    </xf>
    <xf numFmtId="0" fontId="154" fillId="0" borderId="31" xfId="0" applyFont="1" applyBorder="1" applyAlignment="1">
      <alignment horizontal="center" vertical="center" wrapText="1"/>
    </xf>
    <xf numFmtId="0" fontId="13" fillId="0" borderId="34" xfId="0" applyFont="1" applyBorder="1" applyAlignment="1">
      <alignment horizontal="center" vertical="center" wrapText="1"/>
    </xf>
    <xf numFmtId="0" fontId="13" fillId="28" borderId="32" xfId="515" applyFont="1" applyFill="1" applyBorder="1" applyAlignment="1">
      <alignment horizontal="left" vertical="center"/>
    </xf>
    <xf numFmtId="0" fontId="69" fillId="0" borderId="35" xfId="0" applyFont="1" applyBorder="1" applyAlignment="1">
      <alignment horizontal="left"/>
    </xf>
    <xf numFmtId="0" fontId="69" fillId="0" borderId="36" xfId="0" applyFont="1" applyBorder="1" applyAlignment="1">
      <alignment horizontal="left"/>
    </xf>
    <xf numFmtId="10" fontId="9" fillId="0" borderId="30" xfId="0" applyNumberFormat="1" applyFont="1" applyBorder="1" applyAlignment="1">
      <alignment horizontal="center" vertical="center" wrapText="1"/>
    </xf>
    <xf numFmtId="0" fontId="9" fillId="0" borderId="0" xfId="0" applyFont="1" applyAlignment="1">
      <alignment horizontal="justify" wrapText="1"/>
    </xf>
    <xf numFmtId="0" fontId="69" fillId="0" borderId="0" xfId="0" applyFont="1" applyAlignment="1">
      <alignment horizontal="justify" wrapText="1"/>
    </xf>
    <xf numFmtId="0" fontId="69" fillId="0" borderId="59" xfId="0" applyFont="1" applyBorder="1"/>
    <xf numFmtId="0" fontId="111" fillId="0" borderId="30" xfId="0" applyFont="1" applyBorder="1" applyAlignment="1">
      <alignment horizontal="center" vertical="center" wrapText="1"/>
    </xf>
    <xf numFmtId="0" fontId="157" fillId="0" borderId="31" xfId="0" applyFont="1" applyBorder="1" applyAlignment="1">
      <alignment horizontal="center" vertical="center" wrapText="1"/>
    </xf>
    <xf numFmtId="0" fontId="157" fillId="0" borderId="34" xfId="0" applyFont="1" applyBorder="1" applyAlignment="1">
      <alignment horizontal="center" vertical="center" wrapText="1"/>
    </xf>
    <xf numFmtId="49" fontId="156" fillId="0" borderId="30" xfId="0" applyNumberFormat="1" applyFont="1" applyBorder="1" applyAlignment="1">
      <alignment horizontal="center" vertical="center" wrapText="1"/>
    </xf>
    <xf numFmtId="49" fontId="158" fillId="0" borderId="31" xfId="0" applyNumberFormat="1" applyFont="1" applyBorder="1" applyAlignment="1">
      <alignment horizontal="center" vertical="center" wrapText="1"/>
    </xf>
    <xf numFmtId="49" fontId="158" fillId="0" borderId="34" xfId="0" applyNumberFormat="1" applyFont="1" applyBorder="1" applyAlignment="1">
      <alignment horizontal="center" vertical="center" wrapText="1"/>
    </xf>
    <xf numFmtId="0" fontId="111" fillId="0" borderId="42" xfId="0" applyFont="1" applyBorder="1" applyAlignment="1">
      <alignment horizontal="left" vertical="center" wrapText="1"/>
    </xf>
    <xf numFmtId="0" fontId="157" fillId="0" borderId="57" xfId="0" applyFont="1" applyBorder="1" applyAlignment="1">
      <alignment horizontal="left" vertical="center" wrapText="1"/>
    </xf>
    <xf numFmtId="0" fontId="157" fillId="0" borderId="41" xfId="0" applyFont="1" applyBorder="1" applyAlignment="1">
      <alignment horizontal="left" vertical="center" wrapText="1"/>
    </xf>
    <xf numFmtId="0" fontId="157" fillId="0" borderId="58" xfId="0" applyFont="1" applyBorder="1" applyAlignment="1">
      <alignment horizontal="left" vertical="center" wrapText="1"/>
    </xf>
    <xf numFmtId="0" fontId="157" fillId="0" borderId="27" xfId="0" applyFont="1" applyBorder="1" applyAlignment="1">
      <alignment horizontal="left" vertical="center" wrapText="1"/>
    </xf>
    <xf numFmtId="0" fontId="157" fillId="0" borderId="23" xfId="0" applyFont="1" applyBorder="1" applyAlignment="1">
      <alignment horizontal="left" vertical="center" wrapText="1"/>
    </xf>
    <xf numFmtId="0" fontId="111" fillId="0" borderId="57" xfId="0" applyFont="1" applyBorder="1" applyAlignment="1">
      <alignment horizontal="left" vertical="center" wrapText="1"/>
    </xf>
    <xf numFmtId="0" fontId="111" fillId="0" borderId="41" xfId="0" applyFont="1" applyBorder="1" applyAlignment="1">
      <alignment horizontal="left" vertical="center" wrapText="1"/>
    </xf>
    <xf numFmtId="0" fontId="111" fillId="0" borderId="30" xfId="0" applyFont="1" applyBorder="1" applyAlignment="1">
      <alignment horizontal="left" vertical="center" wrapText="1"/>
    </xf>
    <xf numFmtId="0" fontId="111" fillId="0" borderId="31" xfId="0" applyFont="1" applyBorder="1" applyAlignment="1">
      <alignment horizontal="left" vertical="center" wrapText="1"/>
    </xf>
    <xf numFmtId="0" fontId="111" fillId="0" borderId="34" xfId="0" applyFont="1" applyBorder="1" applyAlignment="1">
      <alignment horizontal="left" vertical="center" wrapText="1"/>
    </xf>
    <xf numFmtId="0" fontId="111" fillId="0" borderId="31" xfId="0" applyFont="1" applyBorder="1" applyAlignment="1">
      <alignment horizontal="center" vertical="center" wrapText="1"/>
    </xf>
    <xf numFmtId="0" fontId="111" fillId="0" borderId="34" xfId="0" applyFont="1" applyBorder="1" applyAlignment="1">
      <alignment horizontal="center" vertical="center" wrapText="1"/>
    </xf>
    <xf numFmtId="0" fontId="9" fillId="0" borderId="41" xfId="0" applyFont="1" applyBorder="1" applyAlignment="1">
      <alignment horizontal="left" vertical="center" wrapText="1"/>
    </xf>
    <xf numFmtId="0" fontId="9" fillId="0" borderId="30" xfId="0" applyFont="1" applyBorder="1" applyAlignment="1">
      <alignment horizontal="left" vertical="center" wrapText="1"/>
    </xf>
    <xf numFmtId="0" fontId="9" fillId="0" borderId="31" xfId="0" applyFont="1" applyBorder="1" applyAlignment="1">
      <alignment horizontal="left" vertical="center" wrapText="1"/>
    </xf>
    <xf numFmtId="0" fontId="9" fillId="0" borderId="34" xfId="0" applyFont="1" applyBorder="1" applyAlignment="1">
      <alignment horizontal="left" vertical="center" wrapText="1"/>
    </xf>
    <xf numFmtId="0" fontId="79" fillId="0" borderId="41" xfId="0" applyFont="1" applyBorder="1" applyAlignment="1">
      <alignment horizontal="center" vertical="center" wrapText="1"/>
    </xf>
    <xf numFmtId="0" fontId="34" fillId="34" borderId="18" xfId="0" applyFont="1" applyFill="1" applyBorder="1" applyAlignment="1">
      <alignment horizontal="center" vertical="center" wrapText="1"/>
    </xf>
    <xf numFmtId="0" fontId="77" fillId="34" borderId="18" xfId="0" applyFont="1" applyFill="1" applyBorder="1" applyAlignment="1">
      <alignment horizontal="center" vertical="center" wrapText="1"/>
    </xf>
    <xf numFmtId="0" fontId="69" fillId="0" borderId="30" xfId="0" quotePrefix="1" applyFont="1" applyBorder="1" applyAlignment="1">
      <alignment horizontal="left" vertical="center" wrapText="1"/>
    </xf>
    <xf numFmtId="0" fontId="69" fillId="0" borderId="31" xfId="0" applyFont="1" applyBorder="1" applyAlignment="1">
      <alignment horizontal="left" vertical="center" wrapText="1"/>
    </xf>
    <xf numFmtId="0" fontId="69" fillId="0" borderId="34" xfId="0" applyFont="1" applyBorder="1" applyAlignment="1">
      <alignment horizontal="left" vertical="center" wrapText="1"/>
    </xf>
    <xf numFmtId="0" fontId="13" fillId="0" borderId="41" xfId="0" applyFont="1" applyBorder="1" applyAlignment="1">
      <alignment horizontal="center" vertical="center" wrapText="1"/>
    </xf>
    <xf numFmtId="0" fontId="13" fillId="0" borderId="23" xfId="0" applyFont="1" applyBorder="1" applyAlignment="1">
      <alignment horizontal="center" vertical="center" wrapText="1"/>
    </xf>
    <xf numFmtId="0" fontId="20" fillId="0" borderId="18" xfId="0" applyFont="1" applyBorder="1" applyAlignment="1">
      <alignment horizontal="center" vertical="center" wrapText="1"/>
    </xf>
    <xf numFmtId="0" fontId="69" fillId="0" borderId="35" xfId="0" applyFont="1" applyBorder="1" applyAlignment="1">
      <alignment horizontal="left" vertical="center"/>
    </xf>
    <xf numFmtId="0" fontId="69" fillId="0" borderId="36" xfId="0" applyFont="1" applyBorder="1" applyAlignment="1">
      <alignment horizontal="left" vertical="center"/>
    </xf>
    <xf numFmtId="0" fontId="20" fillId="0" borderId="32" xfId="0" applyFont="1" applyBorder="1" applyAlignment="1">
      <alignment horizontal="left" vertical="center"/>
    </xf>
    <xf numFmtId="0" fontId="20" fillId="0" borderId="87" xfId="0" applyFont="1" applyBorder="1" applyAlignment="1">
      <alignment horizontal="left" vertical="center"/>
    </xf>
    <xf numFmtId="0" fontId="121" fillId="0" borderId="0" xfId="0" applyFont="1" applyAlignment="1">
      <alignment horizontal="left" vertical="center"/>
    </xf>
    <xf numFmtId="0" fontId="1" fillId="0" borderId="0" xfId="0" applyFont="1" applyAlignment="1">
      <alignment horizontal="left" vertical="center"/>
    </xf>
    <xf numFmtId="0" fontId="6" fillId="0" borderId="0" xfId="0" applyFont="1" applyAlignment="1">
      <alignment horizontal="left" wrapText="1"/>
    </xf>
    <xf numFmtId="0" fontId="6" fillId="0" borderId="0" xfId="0" applyFont="1" applyAlignment="1">
      <alignment horizontal="left"/>
    </xf>
    <xf numFmtId="0" fontId="20" fillId="0" borderId="0" xfId="0" applyFont="1" applyAlignment="1">
      <alignment horizontal="left" vertical="center" wrapText="1"/>
    </xf>
    <xf numFmtId="0" fontId="6" fillId="80" borderId="82" xfId="0" applyFont="1" applyFill="1" applyBorder="1" applyAlignment="1">
      <alignment horizontal="center" vertical="center"/>
    </xf>
    <xf numFmtId="0" fontId="6" fillId="80" borderId="83" xfId="0" applyFont="1" applyFill="1" applyBorder="1" applyAlignment="1">
      <alignment horizontal="center" vertical="center"/>
    </xf>
    <xf numFmtId="0" fontId="6" fillId="80" borderId="46" xfId="0" applyFont="1" applyFill="1" applyBorder="1" applyAlignment="1">
      <alignment horizontal="center" vertical="center"/>
    </xf>
    <xf numFmtId="0" fontId="13" fillId="0" borderId="84" xfId="0" applyFont="1" applyBorder="1" applyAlignment="1">
      <alignment horizontal="left" vertical="center"/>
    </xf>
    <xf numFmtId="0" fontId="13" fillId="0" borderId="85" xfId="0" applyFont="1" applyBorder="1" applyAlignment="1">
      <alignment horizontal="left" vertical="center"/>
    </xf>
    <xf numFmtId="0" fontId="13" fillId="0" borderId="45" xfId="0" applyFont="1" applyBorder="1" applyAlignment="1">
      <alignment horizontal="left" vertical="center"/>
    </xf>
    <xf numFmtId="0" fontId="20" fillId="0" borderId="32" xfId="0" applyFont="1" applyBorder="1" applyAlignment="1">
      <alignment horizontal="left" vertical="center" wrapText="1"/>
    </xf>
    <xf numFmtId="0" fontId="20" fillId="0" borderId="87" xfId="0" applyFont="1" applyBorder="1" applyAlignment="1">
      <alignment horizontal="left" vertical="center" wrapText="1"/>
    </xf>
    <xf numFmtId="0" fontId="13" fillId="0" borderId="88" xfId="0" applyFont="1" applyBorder="1" applyAlignment="1">
      <alignment horizontal="left" vertical="center"/>
    </xf>
    <xf numFmtId="0" fontId="13" fillId="0" borderId="35" xfId="0" applyFont="1" applyBorder="1" applyAlignment="1">
      <alignment horizontal="left" vertical="center"/>
    </xf>
    <xf numFmtId="0" fontId="13" fillId="0" borderId="87" xfId="0" applyFont="1" applyBorder="1" applyAlignment="1">
      <alignment horizontal="left" vertical="center"/>
    </xf>
    <xf numFmtId="0" fontId="20" fillId="0" borderId="90" xfId="0" applyFont="1" applyBorder="1" applyAlignment="1">
      <alignment horizontal="left" vertical="center"/>
    </xf>
    <xf numFmtId="0" fontId="20" fillId="0" borderId="91" xfId="0" applyFont="1" applyBorder="1" applyAlignment="1">
      <alignment horizontal="left" vertical="center"/>
    </xf>
    <xf numFmtId="0" fontId="124" fillId="0" borderId="0" xfId="0" applyFont="1" applyAlignment="1">
      <alignment horizontal="justify" wrapText="1"/>
    </xf>
    <xf numFmtId="0" fontId="166" fillId="0" borderId="0" xfId="0" applyFont="1" applyAlignment="1">
      <alignment horizontal="justify" wrapText="1"/>
    </xf>
    <xf numFmtId="0" fontId="124" fillId="0" borderId="84" xfId="0" applyFont="1" applyBorder="1" applyAlignment="1">
      <alignment horizontal="center" vertical="center" wrapText="1"/>
    </xf>
    <xf numFmtId="0" fontId="124" fillId="0" borderId="89" xfId="0" applyFont="1" applyBorder="1" applyAlignment="1">
      <alignment horizontal="center" vertical="center" wrapText="1"/>
    </xf>
    <xf numFmtId="0" fontId="124" fillId="0" borderId="40" xfId="0" applyFont="1" applyBorder="1" applyAlignment="1">
      <alignment horizontal="center" vertical="center" wrapText="1"/>
    </xf>
    <xf numFmtId="0" fontId="124" fillId="0" borderId="39" xfId="0" applyFont="1" applyBorder="1" applyAlignment="1">
      <alignment horizontal="center" vertical="center" wrapText="1"/>
    </xf>
    <xf numFmtId="0" fontId="124" fillId="0" borderId="94" xfId="0" applyFont="1" applyBorder="1" applyAlignment="1">
      <alignment horizontal="center" vertical="center" wrapText="1"/>
    </xf>
    <xf numFmtId="0" fontId="124" fillId="0" borderId="45" xfId="0" applyFont="1" applyBorder="1" applyAlignment="1">
      <alignment horizontal="center" vertical="center" wrapText="1"/>
    </xf>
    <xf numFmtId="0" fontId="25" fillId="30" borderId="30" xfId="0" applyFont="1" applyFill="1" applyBorder="1" applyAlignment="1">
      <alignment horizontal="left" vertical="center" wrapText="1"/>
    </xf>
    <xf numFmtId="0" fontId="25" fillId="30" borderId="31" xfId="0" applyFont="1" applyFill="1" applyBorder="1" applyAlignment="1">
      <alignment horizontal="left" vertical="center" wrapText="1"/>
    </xf>
    <xf numFmtId="0" fontId="25" fillId="30" borderId="34" xfId="0" applyFont="1" applyFill="1" applyBorder="1" applyAlignment="1">
      <alignment horizontal="left" vertical="center" wrapText="1"/>
    </xf>
    <xf numFmtId="0" fontId="9" fillId="0" borderId="42" xfId="0" quotePrefix="1" applyFont="1" applyBorder="1" applyAlignment="1">
      <alignment horizontal="left" vertical="center" wrapText="1"/>
    </xf>
    <xf numFmtId="0" fontId="79" fillId="0" borderId="30"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8" xfId="0" applyFont="1" applyBorder="1" applyAlignment="1">
      <alignment horizontal="center" vertical="center" wrapText="1"/>
    </xf>
    <xf numFmtId="0" fontId="79" fillId="0" borderId="27" xfId="0" applyFont="1" applyBorder="1" applyAlignment="1">
      <alignment horizontal="center" vertical="center" wrapText="1"/>
    </xf>
    <xf numFmtId="0" fontId="79" fillId="0" borderId="23" xfId="0" applyFont="1" applyBorder="1" applyAlignment="1">
      <alignment horizontal="center" vertical="center" wrapText="1"/>
    </xf>
    <xf numFmtId="1" fontId="29" fillId="28" borderId="30" xfId="0" applyNumberFormat="1" applyFont="1" applyFill="1" applyBorder="1" applyAlignment="1">
      <alignment horizontal="center" vertical="center" wrapText="1"/>
    </xf>
    <xf numFmtId="1" fontId="29" fillId="28" borderId="31" xfId="0" applyNumberFormat="1" applyFont="1" applyFill="1" applyBorder="1" applyAlignment="1">
      <alignment horizontal="center" vertical="center" wrapText="1"/>
    </xf>
    <xf numFmtId="1" fontId="29" fillId="28" borderId="34" xfId="0" applyNumberFormat="1" applyFont="1" applyFill="1" applyBorder="1" applyAlignment="1">
      <alignment horizontal="center" vertical="center" wrapText="1"/>
    </xf>
    <xf numFmtId="0" fontId="16" fillId="0" borderId="18" xfId="0" applyFont="1" applyBorder="1" applyAlignment="1">
      <alignment vertical="center" wrapText="1"/>
    </xf>
    <xf numFmtId="0" fontId="33" fillId="34" borderId="30" xfId="0" applyFont="1" applyFill="1" applyBorder="1" applyAlignment="1">
      <alignment horizontal="center" vertical="center" wrapText="1"/>
    </xf>
    <xf numFmtId="0" fontId="33" fillId="34" borderId="31" xfId="0" applyFont="1" applyFill="1" applyBorder="1" applyAlignment="1">
      <alignment horizontal="center" vertical="center" wrapText="1"/>
    </xf>
    <xf numFmtId="0" fontId="33" fillId="34" borderId="34" xfId="0" applyFont="1" applyFill="1" applyBorder="1" applyAlignment="1">
      <alignment horizontal="center" vertical="center" wrapText="1"/>
    </xf>
    <xf numFmtId="0" fontId="114" fillId="0" borderId="30" xfId="0" applyFont="1" applyBorder="1" applyAlignment="1">
      <alignment horizontal="center" vertical="center" wrapText="1"/>
    </xf>
    <xf numFmtId="0" fontId="114" fillId="0" borderId="31" xfId="0" applyFont="1" applyBorder="1" applyAlignment="1">
      <alignment horizontal="center" vertical="center" wrapText="1"/>
    </xf>
    <xf numFmtId="0" fontId="114" fillId="0" borderId="34" xfId="0" applyFont="1" applyBorder="1" applyAlignment="1">
      <alignment horizontal="center" vertical="center" wrapText="1"/>
    </xf>
    <xf numFmtId="0" fontId="0" fillId="0" borderId="31" xfId="0" applyBorder="1" applyAlignment="1">
      <alignment horizontal="center" vertical="center" wrapText="1"/>
    </xf>
    <xf numFmtId="0" fontId="0" fillId="0" borderId="34" xfId="0" applyBorder="1" applyAlignment="1">
      <alignment horizontal="center" vertical="center" wrapText="1"/>
    </xf>
    <xf numFmtId="0" fontId="20" fillId="30" borderId="30" xfId="0" applyFont="1" applyFill="1" applyBorder="1" applyAlignment="1" applyProtection="1">
      <alignment horizontal="left" vertical="center" wrapText="1"/>
      <protection locked="0"/>
    </xf>
    <xf numFmtId="0" fontId="20" fillId="30" borderId="31" xfId="0" applyFont="1" applyFill="1" applyBorder="1" applyAlignment="1" applyProtection="1">
      <alignment horizontal="left" vertical="center" wrapText="1"/>
      <protection locked="0"/>
    </xf>
    <xf numFmtId="0" fontId="20" fillId="30" borderId="34" xfId="0" applyFont="1" applyFill="1" applyBorder="1" applyAlignment="1" applyProtection="1">
      <alignment horizontal="left" vertical="center" wrapText="1"/>
      <protection locked="0"/>
    </xf>
    <xf numFmtId="0" fontId="13" fillId="28" borderId="35" xfId="515" applyFont="1" applyFill="1" applyBorder="1" applyAlignment="1">
      <alignment horizontal="left" vertical="center"/>
    </xf>
    <xf numFmtId="0" fontId="13" fillId="28" borderId="36" xfId="515" applyFont="1" applyFill="1" applyBorder="1" applyAlignment="1">
      <alignment horizontal="left" vertical="center"/>
    </xf>
    <xf numFmtId="0" fontId="111" fillId="0" borderId="0" xfId="0" applyFont="1" applyAlignment="1">
      <alignment horizontal="left"/>
    </xf>
    <xf numFmtId="0" fontId="9" fillId="0" borderId="0" xfId="0" applyFont="1" applyAlignment="1">
      <alignment horizontal="left" wrapText="1"/>
    </xf>
    <xf numFmtId="0" fontId="9" fillId="0" borderId="0" xfId="0" applyFont="1" applyAlignment="1">
      <alignment horizontal="left"/>
    </xf>
    <xf numFmtId="165" fontId="9" fillId="87" borderId="42" xfId="426" applyNumberFormat="1" applyFont="1" applyFill="1" applyBorder="1" applyAlignment="1" applyProtection="1">
      <alignment horizontal="left" vertical="center"/>
    </xf>
    <xf numFmtId="165" fontId="9" fillId="87" borderId="58" xfId="426" applyNumberFormat="1" applyFont="1" applyFill="1" applyBorder="1" applyAlignment="1" applyProtection="1">
      <alignment horizontal="left" vertical="center"/>
    </xf>
    <xf numFmtId="165" fontId="9" fillId="87" borderId="57" xfId="426" applyNumberFormat="1" applyFont="1" applyFill="1" applyBorder="1" applyAlignment="1" applyProtection="1">
      <alignment horizontal="left" vertical="center"/>
    </xf>
    <xf numFmtId="165" fontId="9" fillId="87" borderId="27" xfId="426" applyNumberFormat="1" applyFont="1" applyFill="1" applyBorder="1" applyAlignment="1" applyProtection="1">
      <alignment horizontal="left" vertical="center"/>
    </xf>
    <xf numFmtId="165" fontId="9" fillId="0" borderId="18" xfId="426" applyNumberFormat="1" applyFont="1" applyFill="1" applyBorder="1" applyAlignment="1" applyProtection="1">
      <alignment horizontal="center" vertical="center"/>
    </xf>
    <xf numFmtId="165" fontId="9" fillId="89" borderId="21" xfId="426" applyNumberFormat="1" applyFont="1" applyFill="1" applyBorder="1" applyAlignment="1" applyProtection="1">
      <alignment horizontal="left" vertical="center" wrapText="1"/>
    </xf>
    <xf numFmtId="165" fontId="9" fillId="89" borderId="83" xfId="426" applyNumberFormat="1" applyFont="1" applyFill="1" applyBorder="1" applyAlignment="1" applyProtection="1">
      <alignment horizontal="left" vertical="center" wrapText="1"/>
    </xf>
    <xf numFmtId="165" fontId="9" fillId="89" borderId="19" xfId="426" applyNumberFormat="1" applyFont="1" applyFill="1" applyBorder="1" applyAlignment="1" applyProtection="1">
      <alignment horizontal="left" vertical="center" wrapText="1"/>
    </xf>
    <xf numFmtId="165" fontId="9" fillId="90" borderId="42" xfId="426" applyNumberFormat="1" applyFont="1" applyFill="1" applyBorder="1" applyAlignment="1" applyProtection="1">
      <alignment horizontal="center" vertical="center"/>
    </xf>
    <xf numFmtId="165" fontId="9" fillId="90" borderId="58" xfId="426" applyNumberFormat="1" applyFont="1" applyFill="1" applyBorder="1" applyAlignment="1" applyProtection="1">
      <alignment horizontal="center" vertical="center"/>
    </xf>
    <xf numFmtId="165" fontId="9" fillId="90" borderId="41" xfId="426" applyNumberFormat="1" applyFont="1" applyFill="1" applyBorder="1" applyAlignment="1" applyProtection="1">
      <alignment horizontal="center" vertical="center"/>
    </xf>
    <xf numFmtId="165" fontId="9" fillId="90" borderId="23" xfId="426" applyNumberFormat="1" applyFont="1" applyFill="1" applyBorder="1" applyAlignment="1" applyProtection="1">
      <alignment horizontal="center" vertical="center"/>
    </xf>
    <xf numFmtId="165" fontId="9" fillId="0" borderId="30" xfId="426" applyNumberFormat="1" applyFont="1" applyFill="1" applyBorder="1" applyAlignment="1" applyProtection="1">
      <alignment horizontal="center" wrapText="1"/>
    </xf>
    <xf numFmtId="165" fontId="9" fillId="0" borderId="31" xfId="426" applyNumberFormat="1" applyFont="1" applyFill="1" applyBorder="1" applyAlignment="1" applyProtection="1">
      <alignment horizontal="center" wrapText="1"/>
    </xf>
    <xf numFmtId="0" fontId="9" fillId="0" borderId="58" xfId="0" applyFont="1" applyBorder="1" applyAlignment="1">
      <alignment horizontal="left" vertical="center" wrapText="1"/>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49" fontId="77" fillId="0" borderId="30" xfId="0" applyNumberFormat="1" applyFont="1" applyBorder="1" applyAlignment="1">
      <alignment horizontal="center" vertical="center" wrapText="1"/>
    </xf>
    <xf numFmtId="0" fontId="80" fillId="0" borderId="30" xfId="0" applyFont="1" applyBorder="1" applyAlignment="1">
      <alignment horizontal="center" vertical="center" wrapText="1"/>
    </xf>
    <xf numFmtId="0" fontId="80" fillId="0" borderId="34" xfId="0" applyFont="1" applyBorder="1" applyAlignment="1">
      <alignment horizontal="center" vertical="center" wrapText="1"/>
    </xf>
    <xf numFmtId="0" fontId="80" fillId="0" borderId="18" xfId="0" applyFont="1" applyBorder="1" applyAlignment="1">
      <alignment horizontal="center" vertical="center" wrapText="1"/>
    </xf>
    <xf numFmtId="0" fontId="32" fillId="0" borderId="18" xfId="0" applyFont="1" applyBorder="1" applyAlignment="1">
      <alignment horizontal="center" vertical="center" wrapText="1"/>
    </xf>
    <xf numFmtId="0" fontId="0" fillId="0" borderId="18" xfId="0" applyBorder="1" applyAlignment="1">
      <alignment horizontal="center" vertical="center" wrapText="1"/>
    </xf>
    <xf numFmtId="0" fontId="25" fillId="0" borderId="18" xfId="0" applyFont="1" applyBorder="1" applyAlignment="1">
      <alignment horizontal="center" vertical="center" wrapText="1"/>
    </xf>
    <xf numFmtId="0" fontId="32" fillId="0" borderId="30" xfId="0" applyFont="1" applyBorder="1" applyAlignment="1">
      <alignment horizontal="center" vertical="center" wrapText="1"/>
    </xf>
    <xf numFmtId="0" fontId="32" fillId="0" borderId="3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58" xfId="0" applyFont="1" applyBorder="1" applyAlignment="1">
      <alignment horizontal="center" vertical="center" wrapText="1"/>
    </xf>
    <xf numFmtId="0" fontId="32" fillId="0" borderId="41" xfId="0" applyFont="1" applyBorder="1" applyAlignment="1">
      <alignment horizontal="center" vertical="center" wrapText="1"/>
    </xf>
    <xf numFmtId="0" fontId="32" fillId="0" borderId="23" xfId="0" applyFont="1" applyBorder="1" applyAlignment="1">
      <alignment horizontal="center" vertical="center" wrapText="1"/>
    </xf>
    <xf numFmtId="0" fontId="25" fillId="30" borderId="30" xfId="0" applyFont="1" applyFill="1" applyBorder="1" applyAlignment="1" applyProtection="1">
      <alignment horizontal="left" vertical="center" wrapText="1"/>
      <protection locked="0"/>
    </xf>
    <xf numFmtId="0" fontId="25" fillId="30" borderId="31" xfId="0" applyFont="1" applyFill="1" applyBorder="1" applyAlignment="1" applyProtection="1">
      <alignment horizontal="left" vertical="center" wrapText="1"/>
      <protection locked="0"/>
    </xf>
    <xf numFmtId="0" fontId="25" fillId="30" borderId="34" xfId="0" applyFont="1" applyFill="1" applyBorder="1" applyAlignment="1" applyProtection="1">
      <alignment horizontal="left" vertical="center" wrapText="1"/>
      <protection locked="0"/>
    </xf>
    <xf numFmtId="0" fontId="33" fillId="34" borderId="18" xfId="0" applyFont="1" applyFill="1" applyBorder="1" applyAlignment="1">
      <alignment horizontal="center" vertical="center" wrapText="1"/>
    </xf>
    <xf numFmtId="0" fontId="25" fillId="30" borderId="30" xfId="0" quotePrefix="1" applyFont="1" applyFill="1" applyBorder="1" applyAlignment="1" applyProtection="1">
      <alignment horizontal="left" vertical="center" wrapText="1"/>
      <protection locked="0"/>
    </xf>
    <xf numFmtId="0" fontId="25" fillId="30" borderId="31" xfId="0" quotePrefix="1" applyFont="1" applyFill="1" applyBorder="1" applyAlignment="1" applyProtection="1">
      <alignment horizontal="left" vertical="center" wrapText="1"/>
      <protection locked="0"/>
    </xf>
    <xf numFmtId="0" fontId="25" fillId="30" borderId="34" xfId="0" quotePrefix="1" applyFont="1" applyFill="1" applyBorder="1" applyAlignment="1" applyProtection="1">
      <alignment horizontal="left" vertical="center" wrapText="1"/>
      <protection locked="0"/>
    </xf>
    <xf numFmtId="0" fontId="32" fillId="0" borderId="21" xfId="0" applyFont="1" applyBorder="1" applyAlignment="1">
      <alignment horizontal="center" vertical="center"/>
    </xf>
    <xf numFmtId="0" fontId="32" fillId="0" borderId="19" xfId="0" applyFont="1" applyBorder="1" applyAlignment="1">
      <alignment horizontal="center" vertical="center"/>
    </xf>
    <xf numFmtId="9" fontId="79" fillId="0" borderId="42" xfId="0" applyNumberFormat="1" applyFont="1" applyBorder="1" applyAlignment="1">
      <alignment horizontal="center" vertical="center" wrapText="1"/>
    </xf>
    <xf numFmtId="0" fontId="13" fillId="41" borderId="18" xfId="0" applyFont="1" applyFill="1" applyBorder="1" applyAlignment="1" applyProtection="1">
      <alignment horizontal="left" vertical="center" wrapText="1"/>
      <protection locked="0"/>
    </xf>
    <xf numFmtId="0" fontId="25" fillId="0" borderId="34" xfId="0" applyFont="1" applyBorder="1" applyAlignment="1">
      <alignment horizontal="center" vertical="center" wrapText="1"/>
    </xf>
    <xf numFmtId="0" fontId="25" fillId="0" borderId="58" xfId="0" applyFont="1" applyBorder="1" applyAlignment="1">
      <alignment horizontal="center" vertical="center" wrapText="1"/>
    </xf>
    <xf numFmtId="0" fontId="25" fillId="0" borderId="41" xfId="0" applyFont="1" applyBorder="1" applyAlignment="1">
      <alignment horizontal="center" vertical="center" wrapText="1"/>
    </xf>
    <xf numFmtId="0" fontId="25" fillId="0" borderId="23" xfId="0" applyFont="1" applyBorder="1" applyAlignment="1">
      <alignment horizontal="center" vertical="center" wrapText="1"/>
    </xf>
    <xf numFmtId="0" fontId="16" fillId="0" borderId="30" xfId="0" applyFont="1" applyBorder="1" applyAlignment="1">
      <alignment horizontal="left" vertical="center" wrapText="1"/>
    </xf>
    <xf numFmtId="0" fontId="16" fillId="0" borderId="31" xfId="0" applyFont="1" applyBorder="1" applyAlignment="1">
      <alignment horizontal="left" vertical="center" wrapText="1"/>
    </xf>
    <xf numFmtId="0" fontId="16" fillId="0" borderId="34" xfId="0" applyFont="1" applyBorder="1" applyAlignment="1">
      <alignment horizontal="left" vertical="center" wrapText="1"/>
    </xf>
    <xf numFmtId="1" fontId="29" fillId="30" borderId="30" xfId="0" applyNumberFormat="1" applyFont="1" applyFill="1" applyBorder="1" applyAlignment="1" applyProtection="1">
      <alignment horizontal="center" vertical="center"/>
      <protection locked="0"/>
    </xf>
    <xf numFmtId="1" fontId="29" fillId="30" borderId="31" xfId="0" applyNumberFormat="1" applyFont="1" applyFill="1" applyBorder="1" applyAlignment="1" applyProtection="1">
      <alignment horizontal="center" vertical="center"/>
      <protection locked="0"/>
    </xf>
    <xf numFmtId="1" fontId="29" fillId="30" borderId="34" xfId="0" applyNumberFormat="1" applyFont="1" applyFill="1" applyBorder="1" applyAlignment="1" applyProtection="1">
      <alignment horizontal="center" vertical="center"/>
      <protection locked="0"/>
    </xf>
    <xf numFmtId="0" fontId="133" fillId="0" borderId="30" xfId="0" applyFont="1" applyBorder="1" applyAlignment="1">
      <alignment horizontal="center" vertical="center" wrapText="1"/>
    </xf>
    <xf numFmtId="0" fontId="34" fillId="34" borderId="31" xfId="0" applyFont="1" applyFill="1" applyBorder="1" applyAlignment="1">
      <alignment horizontal="center" vertical="center" wrapText="1"/>
    </xf>
    <xf numFmtId="0" fontId="34" fillId="34" borderId="34" xfId="0" applyFont="1" applyFill="1" applyBorder="1" applyAlignment="1">
      <alignment horizontal="center" vertical="center" wrapText="1"/>
    </xf>
    <xf numFmtId="0" fontId="132" fillId="0" borderId="30" xfId="0" applyFont="1" applyBorder="1" applyAlignment="1">
      <alignment horizontal="center" vertical="center" wrapText="1"/>
    </xf>
    <xf numFmtId="0" fontId="130" fillId="0" borderId="31" xfId="0" applyFont="1" applyBorder="1" applyAlignment="1">
      <alignment horizontal="center" vertical="center" wrapText="1"/>
    </xf>
    <xf numFmtId="0" fontId="130" fillId="0" borderId="34" xfId="0" applyFont="1" applyBorder="1" applyAlignment="1">
      <alignment horizontal="center" vertical="center" wrapText="1"/>
    </xf>
    <xf numFmtId="0" fontId="131" fillId="0" borderId="30" xfId="0" applyFont="1" applyBorder="1" applyAlignment="1">
      <alignment horizontal="center" vertical="center" wrapText="1"/>
    </xf>
    <xf numFmtId="0" fontId="131" fillId="0" borderId="31" xfId="0" applyFont="1" applyBorder="1" applyAlignment="1">
      <alignment horizontal="center" vertical="center" wrapText="1"/>
    </xf>
    <xf numFmtId="0" fontId="131" fillId="0" borderId="34" xfId="0" applyFont="1" applyBorder="1" applyAlignment="1">
      <alignment horizontal="center" vertical="center" wrapText="1"/>
    </xf>
    <xf numFmtId="9" fontId="79" fillId="0" borderId="30" xfId="0" applyNumberFormat="1" applyFont="1" applyBorder="1" applyAlignment="1">
      <alignment horizontal="center" vertical="center" wrapText="1"/>
    </xf>
    <xf numFmtId="9" fontId="79" fillId="0" borderId="31" xfId="0" applyNumberFormat="1" applyFont="1" applyBorder="1" applyAlignment="1">
      <alignment horizontal="center" vertical="center" wrapText="1"/>
    </xf>
    <xf numFmtId="9" fontId="79" fillId="0" borderId="34" xfId="0" applyNumberFormat="1" applyFont="1" applyBorder="1" applyAlignment="1">
      <alignment horizontal="center" vertical="center" wrapText="1"/>
    </xf>
    <xf numFmtId="0" fontId="77" fillId="0" borderId="31" xfId="0" applyFont="1" applyBorder="1" applyAlignment="1">
      <alignment horizontal="center" vertical="center" wrapText="1"/>
    </xf>
    <xf numFmtId="0" fontId="77" fillId="0" borderId="34" xfId="0" applyFont="1" applyBorder="1" applyAlignment="1">
      <alignment horizontal="center" vertical="center" wrapText="1"/>
    </xf>
    <xf numFmtId="0" fontId="9" fillId="0" borderId="42" xfId="0" applyFont="1" applyBorder="1" applyAlignment="1">
      <alignment horizontal="center" vertical="center" wrapText="1"/>
    </xf>
    <xf numFmtId="0" fontId="9" fillId="0" borderId="58"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23" xfId="0" applyFont="1" applyBorder="1" applyAlignment="1">
      <alignment horizontal="center" vertical="center" wrapText="1"/>
    </xf>
    <xf numFmtId="0" fontId="16" fillId="0" borderId="0" xfId="0" applyFont="1" applyAlignment="1">
      <alignment horizontal="left" vertical="center" wrapText="1"/>
    </xf>
    <xf numFmtId="49" fontId="9" fillId="0" borderId="30" xfId="0" applyNumberFormat="1" applyFont="1" applyBorder="1" applyAlignment="1">
      <alignment horizontal="center" vertical="center" wrapText="1"/>
    </xf>
    <xf numFmtId="49" fontId="9" fillId="0" borderId="31" xfId="0" applyNumberFormat="1" applyFont="1" applyBorder="1" applyAlignment="1">
      <alignment horizontal="center" vertical="center" wrapText="1"/>
    </xf>
    <xf numFmtId="49" fontId="9" fillId="0" borderId="34" xfId="0" applyNumberFormat="1" applyFont="1" applyBorder="1" applyAlignment="1">
      <alignment horizontal="center" vertical="center" wrapText="1"/>
    </xf>
    <xf numFmtId="0" fontId="20" fillId="30" borderId="30" xfId="0" quotePrefix="1" applyFont="1" applyFill="1" applyBorder="1" applyAlignment="1" applyProtection="1">
      <alignment horizontal="left" vertical="center" wrapText="1"/>
      <protection locked="0"/>
    </xf>
    <xf numFmtId="0" fontId="34" fillId="0" borderId="18" xfId="0" applyFont="1" applyBorder="1" applyAlignment="1">
      <alignment horizontal="center" vertical="center" wrapText="1"/>
    </xf>
    <xf numFmtId="0" fontId="146" fillId="0" borderId="30" xfId="0" applyFont="1" applyBorder="1" applyAlignment="1">
      <alignment horizontal="center" vertical="center" wrapText="1"/>
    </xf>
    <xf numFmtId="0" fontId="148" fillId="0" borderId="31" xfId="0" applyFont="1" applyBorder="1" applyAlignment="1">
      <alignment horizontal="center" vertical="center" wrapText="1"/>
    </xf>
    <xf numFmtId="0" fontId="148" fillId="0" borderId="34" xfId="0" applyFont="1" applyBorder="1" applyAlignment="1">
      <alignment horizontal="center" vertical="center" wrapText="1"/>
    </xf>
    <xf numFmtId="49" fontId="151" fillId="0" borderId="30" xfId="0" applyNumberFormat="1" applyFont="1" applyBorder="1" applyAlignment="1">
      <alignment horizontal="center" vertical="center" wrapText="1"/>
    </xf>
    <xf numFmtId="49" fontId="151" fillId="0" borderId="31" xfId="0" applyNumberFormat="1" applyFont="1" applyBorder="1" applyAlignment="1">
      <alignment horizontal="center" vertical="center" wrapText="1"/>
    </xf>
    <xf numFmtId="49" fontId="151" fillId="0" borderId="34" xfId="0" applyNumberFormat="1" applyFont="1" applyBorder="1" applyAlignment="1">
      <alignment horizontal="center" vertical="center" wrapText="1"/>
    </xf>
    <xf numFmtId="0" fontId="157" fillId="0" borderId="31" xfId="0" applyFont="1" applyBorder="1" applyAlignment="1">
      <alignment horizontal="left" vertical="center" wrapText="1"/>
    </xf>
    <xf numFmtId="0" fontId="157" fillId="0" borderId="34" xfId="0" applyFont="1" applyBorder="1" applyAlignment="1">
      <alignment horizontal="left" vertical="center" wrapText="1"/>
    </xf>
    <xf numFmtId="0" fontId="149" fillId="0" borderId="30" xfId="0" applyFont="1" applyBorder="1" applyAlignment="1">
      <alignment horizontal="center" vertical="center" wrapText="1"/>
    </xf>
    <xf numFmtId="0" fontId="149" fillId="0" borderId="31" xfId="0" applyFont="1" applyBorder="1" applyAlignment="1">
      <alignment horizontal="center" vertical="center" wrapText="1"/>
    </xf>
    <xf numFmtId="0" fontId="149" fillId="0" borderId="34" xfId="0" applyFont="1" applyBorder="1" applyAlignment="1">
      <alignment horizontal="center" vertical="center" wrapText="1"/>
    </xf>
    <xf numFmtId="0" fontId="114" fillId="0" borderId="58" xfId="0" applyFont="1" applyBorder="1" applyAlignment="1">
      <alignment horizontal="center" vertical="center" wrapText="1"/>
    </xf>
    <xf numFmtId="0" fontId="114" fillId="0" borderId="57" xfId="0" applyFont="1" applyBorder="1" applyAlignment="1">
      <alignment horizontal="center" vertical="center" wrapText="1"/>
    </xf>
    <xf numFmtId="0" fontId="114" fillId="0" borderId="27" xfId="0" applyFont="1" applyBorder="1" applyAlignment="1">
      <alignment horizontal="center" vertical="center" wrapText="1"/>
    </xf>
    <xf numFmtId="0" fontId="114" fillId="0" borderId="41" xfId="0" applyFont="1" applyBorder="1" applyAlignment="1">
      <alignment horizontal="center" vertical="center" wrapText="1"/>
    </xf>
    <xf numFmtId="0" fontId="114" fillId="0" borderId="23" xfId="0" applyFont="1" applyBorder="1" applyAlignment="1">
      <alignment horizontal="center" vertical="center" wrapText="1"/>
    </xf>
    <xf numFmtId="0" fontId="163" fillId="0" borderId="30" xfId="0" applyFont="1" applyBorder="1" applyAlignment="1">
      <alignment horizontal="center" vertical="center" wrapText="1"/>
    </xf>
    <xf numFmtId="49" fontId="147" fillId="0" borderId="30" xfId="0" applyNumberFormat="1" applyFont="1" applyBorder="1" applyAlignment="1">
      <alignment horizontal="center" vertical="center" wrapText="1"/>
    </xf>
    <xf numFmtId="0" fontId="162" fillId="0" borderId="30" xfId="0" applyFont="1" applyBorder="1" applyAlignment="1">
      <alignment horizontal="center" vertical="center" wrapText="1"/>
    </xf>
    <xf numFmtId="0" fontId="162" fillId="0" borderId="31" xfId="0" applyFont="1" applyBorder="1" applyAlignment="1">
      <alignment horizontal="center" vertical="center" wrapText="1"/>
    </xf>
    <xf numFmtId="0" fontId="162" fillId="0" borderId="34" xfId="0" applyFont="1" applyBorder="1" applyAlignment="1">
      <alignment horizontal="center" vertical="center" wrapText="1"/>
    </xf>
    <xf numFmtId="0" fontId="153" fillId="0" borderId="30" xfId="0" applyFont="1" applyBorder="1" applyAlignment="1">
      <alignment horizontal="center" vertical="center" wrapText="1"/>
    </xf>
    <xf numFmtId="0" fontId="146" fillId="0" borderId="31" xfId="0" applyFont="1" applyBorder="1" applyAlignment="1">
      <alignment horizontal="center" vertical="center" wrapText="1"/>
    </xf>
    <xf numFmtId="49" fontId="147" fillId="0" borderId="31" xfId="0" applyNumberFormat="1" applyFont="1" applyBorder="1" applyAlignment="1">
      <alignment horizontal="center" vertical="center" wrapText="1"/>
    </xf>
    <xf numFmtId="0" fontId="160" fillId="0" borderId="30" xfId="0" applyFont="1" applyBorder="1" applyAlignment="1">
      <alignment horizontal="center" vertical="center" wrapText="1"/>
    </xf>
    <xf numFmtId="0" fontId="146" fillId="0" borderId="30" xfId="0" applyFont="1" applyBorder="1" applyAlignment="1">
      <alignment horizontal="left" vertical="center" wrapText="1"/>
    </xf>
    <xf numFmtId="0" fontId="148" fillId="0" borderId="31" xfId="0" applyFont="1" applyBorder="1" applyAlignment="1">
      <alignment horizontal="left" vertical="center" wrapText="1"/>
    </xf>
    <xf numFmtId="0" fontId="148" fillId="0" borderId="34" xfId="0" applyFont="1" applyBorder="1" applyAlignment="1">
      <alignment horizontal="left" vertical="center" wrapText="1"/>
    </xf>
    <xf numFmtId="0" fontId="146" fillId="0" borderId="42" xfId="0" applyFont="1" applyBorder="1" applyAlignment="1">
      <alignment horizontal="left" vertical="center" wrapText="1"/>
    </xf>
    <xf numFmtId="0" fontId="148" fillId="0" borderId="58" xfId="0" applyFont="1" applyBorder="1" applyAlignment="1">
      <alignment horizontal="left" vertical="center" wrapText="1"/>
    </xf>
    <xf numFmtId="0" fontId="148" fillId="0" borderId="57" xfId="0" applyFont="1" applyBorder="1" applyAlignment="1">
      <alignment horizontal="left" vertical="center" wrapText="1"/>
    </xf>
    <xf numFmtId="0" fontId="148" fillId="0" borderId="27" xfId="0" applyFont="1" applyBorder="1" applyAlignment="1">
      <alignment horizontal="left" vertical="center" wrapText="1"/>
    </xf>
    <xf numFmtId="0" fontId="148" fillId="0" borderId="41" xfId="0" applyFont="1" applyBorder="1" applyAlignment="1">
      <alignment horizontal="left" vertical="center" wrapText="1"/>
    </xf>
    <xf numFmtId="0" fontId="148" fillId="0" borderId="23" xfId="0" applyFont="1" applyBorder="1" applyAlignment="1">
      <alignment horizontal="left" vertical="center" wrapText="1"/>
    </xf>
    <xf numFmtId="0" fontId="152" fillId="0" borderId="30" xfId="0" applyFont="1" applyBorder="1" applyAlignment="1">
      <alignment horizontal="center" vertical="center" wrapText="1"/>
    </xf>
    <xf numFmtId="0" fontId="152" fillId="0" borderId="31" xfId="0" applyFont="1" applyBorder="1" applyAlignment="1">
      <alignment horizontal="center" vertical="center" wrapText="1"/>
    </xf>
    <xf numFmtId="0" fontId="152" fillId="0" borderId="34" xfId="0" applyFont="1" applyBorder="1" applyAlignment="1">
      <alignment horizontal="center" vertical="center" wrapText="1"/>
    </xf>
    <xf numFmtId="0" fontId="149" fillId="0" borderId="42" xfId="0" applyFont="1" applyBorder="1" applyAlignment="1">
      <alignment horizontal="center" vertical="center" wrapText="1"/>
    </xf>
    <xf numFmtId="0" fontId="149" fillId="0" borderId="58" xfId="0" applyFont="1" applyBorder="1" applyAlignment="1">
      <alignment horizontal="center" vertical="center" wrapText="1"/>
    </xf>
    <xf numFmtId="0" fontId="149" fillId="0" borderId="57" xfId="0" applyFont="1" applyBorder="1" applyAlignment="1">
      <alignment horizontal="center" vertical="center" wrapText="1"/>
    </xf>
    <xf numFmtId="0" fontId="149" fillId="0" borderId="27" xfId="0" applyFont="1" applyBorder="1" applyAlignment="1">
      <alignment horizontal="center" vertical="center" wrapText="1"/>
    </xf>
    <xf numFmtId="0" fontId="149" fillId="0" borderId="41" xfId="0" applyFont="1" applyBorder="1" applyAlignment="1">
      <alignment horizontal="center" vertical="center" wrapText="1"/>
    </xf>
    <xf numFmtId="0" fontId="149" fillId="0" borderId="23" xfId="0" applyFont="1" applyBorder="1" applyAlignment="1">
      <alignment horizontal="center" vertical="center" wrapText="1"/>
    </xf>
    <xf numFmtId="0" fontId="81" fillId="0" borderId="22" xfId="0" applyFont="1" applyBorder="1" applyAlignment="1">
      <alignment horizontal="center" vertical="center" wrapText="1"/>
    </xf>
    <xf numFmtId="0" fontId="81" fillId="0" borderId="25" xfId="0" applyFont="1" applyBorder="1" applyAlignment="1">
      <alignment horizontal="center" vertical="center" wrapText="1"/>
    </xf>
    <xf numFmtId="0" fontId="0" fillId="0" borderId="35" xfId="0" applyBorder="1"/>
    <xf numFmtId="0" fontId="0" fillId="0" borderId="36" xfId="0" applyBorder="1"/>
    <xf numFmtId="0" fontId="16" fillId="0" borderId="32" xfId="0" applyFont="1" applyBorder="1" applyAlignment="1">
      <alignment horizontal="center" vertical="center"/>
    </xf>
    <xf numFmtId="0" fontId="16" fillId="0" borderId="35" xfId="0" applyFont="1" applyBorder="1" applyAlignment="1">
      <alignment horizontal="center" vertical="center"/>
    </xf>
    <xf numFmtId="0" fontId="16" fillId="0" borderId="36" xfId="0" applyFont="1" applyBorder="1" applyAlignment="1">
      <alignment horizontal="center" vertical="center"/>
    </xf>
    <xf numFmtId="0" fontId="16" fillId="32" borderId="22" xfId="0" applyFont="1" applyFill="1" applyBorder="1" applyAlignment="1">
      <alignment horizontal="center" vertical="center" wrapText="1"/>
    </xf>
    <xf numFmtId="0" fontId="19" fillId="32" borderId="22" xfId="0" applyFont="1" applyFill="1" applyBorder="1" applyAlignment="1">
      <alignment horizontal="center" vertical="center" wrapText="1"/>
    </xf>
    <xf numFmtId="0" fontId="16" fillId="0" borderId="22" xfId="0" applyFont="1" applyBorder="1" applyAlignment="1">
      <alignment horizontal="center" vertical="center"/>
    </xf>
    <xf numFmtId="0" fontId="0" fillId="0" borderId="22" xfId="0" applyBorder="1"/>
    <xf numFmtId="0" fontId="19" fillId="0" borderId="22" xfId="0" applyFont="1" applyBorder="1" applyAlignment="1">
      <alignment vertical="center"/>
    </xf>
    <xf numFmtId="0" fontId="16" fillId="31" borderId="22" xfId="0" applyFont="1" applyFill="1" applyBorder="1" applyAlignment="1">
      <alignment horizontal="center" vertical="center" wrapText="1"/>
    </xf>
    <xf numFmtId="0" fontId="19" fillId="31" borderId="22" xfId="0" applyFont="1" applyFill="1" applyBorder="1" applyAlignment="1">
      <alignment horizontal="center" vertical="center" wrapText="1"/>
    </xf>
    <xf numFmtId="0" fontId="16" fillId="29" borderId="22" xfId="0" applyFont="1" applyFill="1" applyBorder="1" applyAlignment="1">
      <alignment horizontal="center" vertical="center" wrapText="1"/>
    </xf>
    <xf numFmtId="0" fontId="19" fillId="29" borderId="22" xfId="0" applyFont="1" applyFill="1" applyBorder="1" applyAlignment="1">
      <alignment horizontal="center" vertical="center" wrapText="1"/>
    </xf>
    <xf numFmtId="0" fontId="9" fillId="0" borderId="61" xfId="0" applyFont="1" applyBorder="1" applyAlignment="1">
      <alignment horizontal="center" textRotation="90" wrapText="1"/>
    </xf>
    <xf numFmtId="0" fontId="9" fillId="0" borderId="29" xfId="0" applyFont="1" applyBorder="1" applyAlignment="1">
      <alignment horizontal="center" textRotation="90" wrapText="1"/>
    </xf>
    <xf numFmtId="0" fontId="9" fillId="0" borderId="30" xfId="0" applyFont="1" applyBorder="1" applyAlignment="1">
      <alignment horizontal="center" textRotation="90" wrapText="1"/>
    </xf>
    <xf numFmtId="0" fontId="9" fillId="0" borderId="34" xfId="0" applyFont="1" applyBorder="1" applyAlignment="1">
      <alignment horizontal="center" textRotation="90" wrapText="1"/>
    </xf>
    <xf numFmtId="0" fontId="9" fillId="0" borderId="0" xfId="515" applyFont="1" applyAlignment="1">
      <alignment horizontal="left" vertical="top"/>
    </xf>
    <xf numFmtId="0" fontId="11" fillId="0" borderId="0" xfId="515" applyFont="1" applyAlignment="1">
      <alignment horizontal="left" vertical="top"/>
    </xf>
    <xf numFmtId="0" fontId="9" fillId="0" borderId="30" xfId="515" applyFont="1" applyBorder="1" applyAlignment="1">
      <alignment horizontal="center" textRotation="90" wrapText="1"/>
    </xf>
    <xf numFmtId="0" fontId="9" fillId="0" borderId="34" xfId="515" applyFont="1" applyBorder="1" applyAlignment="1">
      <alignment horizontal="center" textRotation="90" wrapText="1"/>
    </xf>
    <xf numFmtId="0" fontId="29" fillId="0" borderId="32" xfId="0" applyFont="1" applyBorder="1" applyAlignment="1">
      <alignment horizontal="center" vertical="center" wrapText="1"/>
    </xf>
    <xf numFmtId="0" fontId="16" fillId="31" borderId="37" xfId="0" applyFont="1" applyFill="1" applyBorder="1" applyAlignment="1">
      <alignment horizontal="center" vertical="center" wrapText="1"/>
    </xf>
    <xf numFmtId="0" fontId="19" fillId="31" borderId="37" xfId="0" applyFont="1" applyFill="1" applyBorder="1" applyAlignment="1">
      <alignment horizontal="center" vertical="center" wrapText="1"/>
    </xf>
    <xf numFmtId="0" fontId="9" fillId="0" borderId="0" xfId="515" applyFont="1" applyAlignment="1">
      <alignment horizontal="left" vertical="center" wrapText="1"/>
    </xf>
    <xf numFmtId="0" fontId="9" fillId="0" borderId="80" xfId="0" applyFont="1" applyBorder="1" applyAlignment="1">
      <alignment horizontal="center" vertical="center"/>
    </xf>
    <xf numFmtId="0" fontId="9" fillId="0" borderId="79" xfId="0" applyFont="1" applyBorder="1" applyAlignment="1">
      <alignment horizontal="center" vertical="center"/>
    </xf>
    <xf numFmtId="0" fontId="9" fillId="0" borderId="51" xfId="0" applyFont="1" applyBorder="1" applyAlignment="1">
      <alignment horizontal="center" vertical="center"/>
    </xf>
    <xf numFmtId="10" fontId="16" fillId="0" borderId="80" xfId="436" applyNumberFormat="1" applyFont="1" applyFill="1" applyBorder="1" applyAlignment="1" applyProtection="1">
      <alignment horizontal="center" vertical="center"/>
    </xf>
    <xf numFmtId="10" fontId="16" fillId="0" borderId="81" xfId="436" applyNumberFormat="1" applyFont="1" applyFill="1" applyBorder="1" applyAlignment="1" applyProtection="1">
      <alignment horizontal="center" vertical="center"/>
    </xf>
    <xf numFmtId="0" fontId="29" fillId="0" borderId="22" xfId="0" applyFont="1" applyBorder="1" applyAlignment="1">
      <alignment horizontal="center" vertical="center"/>
    </xf>
    <xf numFmtId="0" fontId="19" fillId="0" borderId="22" xfId="0" applyFont="1" applyBorder="1"/>
    <xf numFmtId="0" fontId="29" fillId="0" borderId="32" xfId="0" applyFont="1" applyBorder="1" applyAlignment="1">
      <alignment horizontal="center" vertical="center"/>
    </xf>
    <xf numFmtId="0" fontId="47" fillId="0" borderId="35" xfId="0" applyFont="1" applyBorder="1" applyAlignment="1">
      <alignment vertical="center"/>
    </xf>
    <xf numFmtId="0" fontId="47" fillId="0" borderId="36" xfId="0" applyFont="1" applyBorder="1" applyAlignment="1">
      <alignment vertical="center"/>
    </xf>
    <xf numFmtId="0" fontId="59" fillId="42" borderId="24" xfId="0" applyFont="1" applyFill="1" applyBorder="1" applyAlignment="1">
      <alignment horizontal="center"/>
    </xf>
    <xf numFmtId="0" fontId="62" fillId="42" borderId="60" xfId="0" applyFont="1" applyFill="1" applyBorder="1"/>
    <xf numFmtId="0" fontId="62" fillId="42" borderId="47" xfId="0" applyFont="1" applyFill="1" applyBorder="1"/>
    <xf numFmtId="0" fontId="29" fillId="0" borderId="32" xfId="0" applyFont="1" applyBorder="1" applyAlignment="1">
      <alignment vertical="center"/>
    </xf>
    <xf numFmtId="0" fontId="29" fillId="0" borderId="35" xfId="0" applyFont="1" applyBorder="1" applyAlignment="1">
      <alignment vertical="center"/>
    </xf>
    <xf numFmtId="0" fontId="29" fillId="0" borderId="36" xfId="0" applyFont="1" applyBorder="1" applyAlignment="1">
      <alignment vertical="center"/>
    </xf>
    <xf numFmtId="0" fontId="10" fillId="0" borderId="67" xfId="0" applyFont="1" applyBorder="1" applyAlignment="1">
      <alignment horizontal="center" textRotation="90" wrapText="1"/>
    </xf>
    <xf numFmtId="0" fontId="10" fillId="0" borderId="68" xfId="0" applyFont="1" applyBorder="1" applyAlignment="1">
      <alignment horizontal="center" textRotation="90" wrapText="1"/>
    </xf>
    <xf numFmtId="0" fontId="16" fillId="0" borderId="32" xfId="0" applyFont="1" applyBorder="1" applyAlignment="1">
      <alignment vertical="center"/>
    </xf>
    <xf numFmtId="0" fontId="16" fillId="0" borderId="35" xfId="0" applyFont="1" applyBorder="1" applyAlignment="1">
      <alignment vertical="center"/>
    </xf>
    <xf numFmtId="0" fontId="16" fillId="0" borderId="36" xfId="0" applyFont="1" applyBorder="1" applyAlignment="1">
      <alignment vertical="center"/>
    </xf>
    <xf numFmtId="0" fontId="28" fillId="34" borderId="37" xfId="0" applyFont="1" applyFill="1" applyBorder="1" applyAlignment="1">
      <alignment horizontal="center" vertical="center" wrapText="1"/>
    </xf>
    <xf numFmtId="0" fontId="0" fillId="0" borderId="37" xfId="0" applyBorder="1" applyAlignment="1">
      <alignment horizontal="center" vertical="center" wrapText="1"/>
    </xf>
    <xf numFmtId="0" fontId="25" fillId="31" borderId="37" xfId="0" applyFont="1" applyFill="1" applyBorder="1" applyAlignment="1">
      <alignment horizontal="center" vertical="center"/>
    </xf>
    <xf numFmtId="0" fontId="78" fillId="0" borderId="37" xfId="0" applyFont="1" applyBorder="1" applyAlignment="1">
      <alignment horizontal="center" vertical="center"/>
    </xf>
    <xf numFmtId="0" fontId="0" fillId="0" borderId="37" xfId="0" applyBorder="1"/>
    <xf numFmtId="0" fontId="9" fillId="27" borderId="30" xfId="515" applyFont="1" applyFill="1" applyBorder="1" applyAlignment="1">
      <alignment horizontal="center" textRotation="90" wrapText="1"/>
    </xf>
    <xf numFmtId="0" fontId="0" fillId="0" borderId="34" xfId="0" applyBorder="1" applyAlignment="1">
      <alignment horizontal="center" textRotation="90" wrapText="1"/>
    </xf>
    <xf numFmtId="0" fontId="10" fillId="0" borderId="30" xfId="0" applyFont="1" applyBorder="1" applyAlignment="1">
      <alignment horizontal="center" textRotation="90" wrapText="1"/>
    </xf>
    <xf numFmtId="0" fontId="10" fillId="0" borderId="34" xfId="0" applyFont="1" applyBorder="1" applyAlignment="1">
      <alignment horizontal="center" textRotation="90" wrapText="1"/>
    </xf>
    <xf numFmtId="0" fontId="23" fillId="0" borderId="34" xfId="0" applyFont="1" applyBorder="1" applyAlignment="1">
      <alignment horizontal="center" textRotation="90" wrapText="1"/>
    </xf>
    <xf numFmtId="1" fontId="29" fillId="37" borderId="32" xfId="0" applyNumberFormat="1" applyFont="1" applyFill="1" applyBorder="1" applyAlignment="1">
      <alignment horizontal="center" vertical="center"/>
    </xf>
    <xf numFmtId="1" fontId="29" fillId="37" borderId="35" xfId="0" applyNumberFormat="1" applyFont="1" applyFill="1" applyBorder="1" applyAlignment="1">
      <alignment horizontal="center" vertical="center"/>
    </xf>
    <xf numFmtId="1" fontId="29" fillId="37" borderId="36" xfId="0" applyNumberFormat="1" applyFont="1" applyFill="1" applyBorder="1" applyAlignment="1">
      <alignment horizontal="center" vertical="center"/>
    </xf>
    <xf numFmtId="0" fontId="16" fillId="0" borderId="32" xfId="0" quotePrefix="1" applyFont="1" applyBorder="1" applyAlignment="1">
      <alignment horizontal="center" vertical="center"/>
    </xf>
    <xf numFmtId="0" fontId="16" fillId="0" borderId="35" xfId="0" quotePrefix="1" applyFont="1" applyBorder="1" applyAlignment="1">
      <alignment horizontal="center" vertical="center"/>
    </xf>
    <xf numFmtId="0" fontId="16" fillId="0" borderId="36" xfId="0" quotePrefix="1" applyFont="1" applyBorder="1" applyAlignment="1">
      <alignment horizontal="center" vertical="center"/>
    </xf>
    <xf numFmtId="0" fontId="16" fillId="86" borderId="22" xfId="0" applyFont="1" applyFill="1" applyBorder="1" applyAlignment="1">
      <alignment horizontal="center" vertical="center" wrapText="1"/>
    </xf>
    <xf numFmtId="0" fontId="19" fillId="86" borderId="22" xfId="0" applyFont="1" applyFill="1" applyBorder="1" applyAlignment="1">
      <alignment horizontal="center" vertical="center" wrapText="1"/>
    </xf>
    <xf numFmtId="0" fontId="16" fillId="85" borderId="32" xfId="0" applyFont="1" applyFill="1" applyBorder="1" applyAlignment="1">
      <alignment horizontal="center" vertical="center"/>
    </xf>
    <xf numFmtId="0" fontId="16" fillId="85" borderId="35" xfId="0" applyFont="1" applyFill="1" applyBorder="1" applyAlignment="1">
      <alignment horizontal="center" vertical="center"/>
    </xf>
    <xf numFmtId="0" fontId="16" fillId="85" borderId="36" xfId="0" applyFont="1" applyFill="1" applyBorder="1" applyAlignment="1">
      <alignment horizontal="center" vertical="center"/>
    </xf>
    <xf numFmtId="0" fontId="13" fillId="28" borderId="22" xfId="515" applyFont="1" applyFill="1" applyBorder="1" applyAlignment="1">
      <alignment vertical="center"/>
    </xf>
    <xf numFmtId="0" fontId="32" fillId="0" borderId="22" xfId="0" applyFont="1" applyBorder="1" applyAlignment="1">
      <alignment vertical="center"/>
    </xf>
    <xf numFmtId="0" fontId="25" fillId="34" borderId="25" xfId="0" applyFont="1" applyFill="1" applyBorder="1" applyAlignment="1">
      <alignment horizontal="center" vertical="center"/>
    </xf>
    <xf numFmtId="0" fontId="0" fillId="0" borderId="25" xfId="0" applyBorder="1" applyAlignment="1">
      <alignment horizontal="center" vertical="center"/>
    </xf>
    <xf numFmtId="0" fontId="25" fillId="32" borderId="25" xfId="0" applyFont="1" applyFill="1" applyBorder="1" applyAlignment="1">
      <alignment horizontal="center" vertical="center"/>
    </xf>
    <xf numFmtId="0" fontId="0" fillId="0" borderId="25" xfId="0" applyBorder="1"/>
    <xf numFmtId="0" fontId="70" fillId="29" borderId="25" xfId="0" applyFont="1" applyFill="1" applyBorder="1" applyAlignment="1">
      <alignment horizontal="center" vertical="center"/>
    </xf>
    <xf numFmtId="0" fontId="73" fillId="29" borderId="25" xfId="0" applyFont="1" applyFill="1" applyBorder="1"/>
    <xf numFmtId="14" fontId="32" fillId="43" borderId="32" xfId="0" applyNumberFormat="1" applyFont="1" applyFill="1" applyBorder="1" applyAlignment="1">
      <alignment horizontal="center" vertical="center"/>
    </xf>
    <xf numFmtId="14" fontId="32" fillId="43" borderId="35" xfId="0" applyNumberFormat="1" applyFont="1" applyFill="1" applyBorder="1" applyAlignment="1">
      <alignment horizontal="center" vertical="center"/>
    </xf>
    <xf numFmtId="14" fontId="0" fillId="0" borderId="35" xfId="0" applyNumberFormat="1" applyBorder="1" applyAlignment="1">
      <alignment horizontal="center"/>
    </xf>
    <xf numFmtId="14" fontId="0" fillId="0" borderId="36" xfId="0" applyNumberFormat="1" applyBorder="1" applyAlignment="1">
      <alignment horizontal="center"/>
    </xf>
    <xf numFmtId="0" fontId="113" fillId="0" borderId="0" xfId="0" applyFont="1" applyAlignment="1">
      <alignment horizontal="left" vertical="center"/>
    </xf>
    <xf numFmtId="0" fontId="25" fillId="31" borderId="25" xfId="0" applyFont="1" applyFill="1" applyBorder="1" applyAlignment="1">
      <alignment horizontal="center" vertical="center"/>
    </xf>
    <xf numFmtId="0" fontId="32" fillId="43" borderId="32" xfId="0" applyFont="1" applyFill="1" applyBorder="1" applyAlignment="1">
      <alignment vertical="center"/>
    </xf>
    <xf numFmtId="0" fontId="78" fillId="0" borderId="25" xfId="0" applyFont="1" applyBorder="1" applyAlignment="1">
      <alignment horizontal="center" vertical="center"/>
    </xf>
    <xf numFmtId="0" fontId="9" fillId="0" borderId="62" xfId="0" applyFont="1" applyBorder="1" applyAlignment="1">
      <alignment horizontal="center" vertical="center" wrapText="1"/>
    </xf>
    <xf numFmtId="0" fontId="9" fillId="0" borderId="63"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5" xfId="0" applyFont="1" applyBorder="1" applyAlignment="1">
      <alignment horizontal="center" vertical="center" wrapText="1"/>
    </xf>
    <xf numFmtId="0" fontId="9" fillId="0" borderId="66" xfId="0" applyFont="1" applyBorder="1" applyAlignment="1">
      <alignment horizontal="center" vertical="center" wrapText="1"/>
    </xf>
    <xf numFmtId="0" fontId="70" fillId="29" borderId="37" xfId="0" applyFont="1" applyFill="1" applyBorder="1" applyAlignment="1">
      <alignment horizontal="center" vertical="center"/>
    </xf>
    <xf numFmtId="0" fontId="73" fillId="0" borderId="37" xfId="0" applyFont="1" applyBorder="1"/>
    <xf numFmtId="0" fontId="25" fillId="32" borderId="37" xfId="0" applyFont="1" applyFill="1" applyBorder="1" applyAlignment="1">
      <alignment horizontal="center" vertical="center"/>
    </xf>
    <xf numFmtId="0" fontId="9" fillId="27" borderId="54" xfId="0" applyFont="1" applyFill="1" applyBorder="1" applyAlignment="1">
      <alignment horizontal="center" vertical="center" wrapText="1"/>
    </xf>
    <xf numFmtId="0" fontId="0" fillId="0" borderId="54" xfId="0" applyBorder="1" applyAlignment="1">
      <alignment wrapText="1"/>
    </xf>
    <xf numFmtId="0" fontId="16" fillId="85" borderId="22" xfId="0" applyFont="1" applyFill="1" applyBorder="1" applyAlignment="1">
      <alignment horizontal="center" vertical="center"/>
    </xf>
    <xf numFmtId="0" fontId="0" fillId="85" borderId="22" xfId="0" applyFill="1" applyBorder="1"/>
    <xf numFmtId="0" fontId="29" fillId="0" borderId="24" xfId="0" applyFont="1" applyBorder="1" applyAlignment="1">
      <alignment horizontal="center" vertical="center" wrapText="1"/>
    </xf>
    <xf numFmtId="0" fontId="29" fillId="0" borderId="28" xfId="0" applyFont="1" applyBorder="1" applyAlignment="1">
      <alignment horizontal="center" vertical="center"/>
    </xf>
    <xf numFmtId="0" fontId="29" fillId="0" borderId="25" xfId="0" applyFont="1" applyBorder="1" applyAlignment="1">
      <alignment horizontal="center" vertical="center" wrapText="1"/>
    </xf>
    <xf numFmtId="0" fontId="71" fillId="0" borderId="37" xfId="0" applyFont="1" applyBorder="1" applyAlignment="1">
      <alignment horizontal="center" vertical="center"/>
    </xf>
    <xf numFmtId="0" fontId="32" fillId="0" borderId="25" xfId="0" applyFont="1" applyBorder="1" applyAlignment="1">
      <alignment horizontal="center" vertical="center"/>
    </xf>
    <xf numFmtId="0" fontId="32" fillId="0" borderId="37" xfId="0" applyFont="1" applyBorder="1" applyAlignment="1">
      <alignment horizontal="center" vertical="center"/>
    </xf>
    <xf numFmtId="0" fontId="16" fillId="32" borderId="57" xfId="0" applyFont="1" applyFill="1" applyBorder="1" applyAlignment="1">
      <alignment horizontal="center" vertical="center" wrapText="1"/>
    </xf>
    <xf numFmtId="49" fontId="16" fillId="39" borderId="57" xfId="0" applyNumberFormat="1" applyFont="1" applyFill="1" applyBorder="1" applyAlignment="1">
      <alignment horizontal="center" vertical="center" wrapText="1"/>
    </xf>
    <xf numFmtId="0" fontId="16" fillId="39" borderId="57" xfId="0" applyFont="1" applyFill="1" applyBorder="1" applyAlignment="1">
      <alignment horizontal="center" vertical="center"/>
    </xf>
    <xf numFmtId="0" fontId="16" fillId="39" borderId="57" xfId="0" applyFont="1" applyFill="1" applyBorder="1" applyAlignment="1">
      <alignment horizontal="center" vertical="center" wrapText="1"/>
    </xf>
    <xf numFmtId="0" fontId="25" fillId="0" borderId="22" xfId="0" applyFont="1"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2" xfId="0" applyBorder="1" applyProtection="1">
      <protection locked="0"/>
    </xf>
    <xf numFmtId="0" fontId="32" fillId="0" borderId="22" xfId="0" applyFont="1" applyBorder="1" applyAlignment="1">
      <alignment horizontal="center" vertical="center" wrapText="1"/>
    </xf>
    <xf numFmtId="0" fontId="15" fillId="0" borderId="22" xfId="0" applyFont="1" applyBorder="1" applyAlignment="1">
      <alignment horizontal="center" vertical="center"/>
    </xf>
    <xf numFmtId="0" fontId="32" fillId="0" borderId="22" xfId="0" applyFont="1" applyBorder="1" applyAlignment="1">
      <alignment horizontal="center" vertical="center"/>
    </xf>
    <xf numFmtId="0" fontId="32" fillId="0" borderId="22" xfId="0" applyFont="1" applyBorder="1" applyAlignment="1">
      <alignment horizontal="left" vertical="center" wrapText="1"/>
    </xf>
    <xf numFmtId="0" fontId="15" fillId="0" borderId="22" xfId="0" applyFont="1" applyBorder="1" applyAlignment="1">
      <alignment horizontal="left" vertical="center"/>
    </xf>
  </cellXfs>
  <cellStyles count="1264">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3 4" xfId="7" xr:uid="{00000000-0005-0000-0000-000006000000}"/>
    <cellStyle name="20 % - Akzent1 2 4" xfId="8" xr:uid="{00000000-0005-0000-0000-000007000000}"/>
    <cellStyle name="20 % - Akzent1 3" xfId="9" xr:uid="{00000000-0005-0000-0000-000008000000}"/>
    <cellStyle name="20 % - Akzent1 3 2" xfId="10" xr:uid="{00000000-0005-0000-0000-000009000000}"/>
    <cellStyle name="20 % - Akzent1 3 2 2" xfId="613" xr:uid="{00000000-0005-0000-0000-00000A000000}"/>
    <cellStyle name="20 % - Akzent1 3 2 3" xfId="614" xr:uid="{00000000-0005-0000-0000-00000B000000}"/>
    <cellStyle name="20 % - Akzent1 3 2 4" xfId="615" xr:uid="{00000000-0005-0000-0000-00000C000000}"/>
    <cellStyle name="20 % - Akzent1 3 3" xfId="11" xr:uid="{00000000-0005-0000-0000-00000D000000}"/>
    <cellStyle name="20 % - Akzent1 3 3 2" xfId="616" xr:uid="{00000000-0005-0000-0000-00000E000000}"/>
    <cellStyle name="20 % - Akzent1 3 4" xfId="617" xr:uid="{00000000-0005-0000-0000-00000F000000}"/>
    <cellStyle name="20 % - Akzent1 3 5" xfId="618" xr:uid="{00000000-0005-0000-0000-000010000000}"/>
    <cellStyle name="20 % - Akzent1 4" xfId="12" xr:uid="{00000000-0005-0000-0000-000011000000}"/>
    <cellStyle name="20 % - Akzent1 4 2" xfId="13" xr:uid="{00000000-0005-0000-0000-000012000000}"/>
    <cellStyle name="20 % - Akzent1 4 2 2" xfId="619" xr:uid="{00000000-0005-0000-0000-000013000000}"/>
    <cellStyle name="20 % - Akzent1 4 2 3" xfId="620" xr:uid="{00000000-0005-0000-0000-000014000000}"/>
    <cellStyle name="20 % - Akzent1 4 2 4" xfId="621" xr:uid="{00000000-0005-0000-0000-000015000000}"/>
    <cellStyle name="20 % - Akzent1 4 3" xfId="14" xr:uid="{00000000-0005-0000-0000-000016000000}"/>
    <cellStyle name="20 % - Akzent1 4 3 2" xfId="622" xr:uid="{00000000-0005-0000-0000-000017000000}"/>
    <cellStyle name="20 % - Akzent1 4 4" xfId="623" xr:uid="{00000000-0005-0000-0000-000018000000}"/>
    <cellStyle name="20 % - Akzent1 4 5" xfId="624" xr:uid="{00000000-0005-0000-0000-000019000000}"/>
    <cellStyle name="20 % - Akzent1 5" xfId="15" xr:uid="{00000000-0005-0000-0000-00001A000000}"/>
    <cellStyle name="20 % - Akzent1 5 2" xfId="625" xr:uid="{00000000-0005-0000-0000-00001B000000}"/>
    <cellStyle name="20 % - Akzent1 5 3" xfId="626" xr:uid="{00000000-0005-0000-0000-00001C000000}"/>
    <cellStyle name="20 % - Akzent1 5 4" xfId="627" xr:uid="{00000000-0005-0000-0000-00001D000000}"/>
    <cellStyle name="20 % - Akzent1 6" xfId="16" xr:uid="{00000000-0005-0000-0000-00001E000000}"/>
    <cellStyle name="20 % - Akzent1 6 2" xfId="628" xr:uid="{00000000-0005-0000-0000-00001F000000}"/>
    <cellStyle name="20 % - Akzent1 7" xfId="17" xr:uid="{00000000-0005-0000-0000-000020000000}"/>
    <cellStyle name="20 % - Akzent1 7 2" xfId="629" xr:uid="{00000000-0005-0000-0000-000021000000}"/>
    <cellStyle name="20 % - Akzent2 2" xfId="18" xr:uid="{00000000-0005-0000-0000-000022000000}"/>
    <cellStyle name="20 % - Akzent2 2 2" xfId="19" xr:uid="{00000000-0005-0000-0000-000023000000}"/>
    <cellStyle name="20 % - Akzent2 2 3" xfId="20" xr:uid="{00000000-0005-0000-0000-000024000000}"/>
    <cellStyle name="20 % - Akzent2 2 3 2" xfId="21" xr:uid="{00000000-0005-0000-0000-000025000000}"/>
    <cellStyle name="20 % - Akzent2 2 3 2 2" xfId="22" xr:uid="{00000000-0005-0000-0000-000026000000}"/>
    <cellStyle name="20 % - Akzent2 2 3 3" xfId="23" xr:uid="{00000000-0005-0000-0000-000027000000}"/>
    <cellStyle name="20 % - Akzent2 2 3 4" xfId="24" xr:uid="{00000000-0005-0000-0000-000028000000}"/>
    <cellStyle name="20 % - Akzent2 2 4" xfId="25" xr:uid="{00000000-0005-0000-0000-000029000000}"/>
    <cellStyle name="20 % - Akzent2 3" xfId="26" xr:uid="{00000000-0005-0000-0000-00002A000000}"/>
    <cellStyle name="20 % - Akzent2 3 2" xfId="27" xr:uid="{00000000-0005-0000-0000-00002B000000}"/>
    <cellStyle name="20 % - Akzent2 3 2 2" xfId="630" xr:uid="{00000000-0005-0000-0000-00002C000000}"/>
    <cellStyle name="20 % - Akzent2 3 2 3" xfId="631" xr:uid="{00000000-0005-0000-0000-00002D000000}"/>
    <cellStyle name="20 % - Akzent2 3 2 4" xfId="632" xr:uid="{00000000-0005-0000-0000-00002E000000}"/>
    <cellStyle name="20 % - Akzent2 3 3" xfId="28" xr:uid="{00000000-0005-0000-0000-00002F000000}"/>
    <cellStyle name="20 % - Akzent2 3 3 2" xfId="633" xr:uid="{00000000-0005-0000-0000-000030000000}"/>
    <cellStyle name="20 % - Akzent2 3 4" xfId="634" xr:uid="{00000000-0005-0000-0000-000031000000}"/>
    <cellStyle name="20 % - Akzent2 3 5" xfId="635" xr:uid="{00000000-0005-0000-0000-000032000000}"/>
    <cellStyle name="20 % - Akzent2 4" xfId="29" xr:uid="{00000000-0005-0000-0000-000033000000}"/>
    <cellStyle name="20 % - Akzent2 4 2" xfId="30" xr:uid="{00000000-0005-0000-0000-000034000000}"/>
    <cellStyle name="20 % - Akzent2 4 2 2" xfId="636" xr:uid="{00000000-0005-0000-0000-000035000000}"/>
    <cellStyle name="20 % - Akzent2 4 2 3" xfId="637" xr:uid="{00000000-0005-0000-0000-000036000000}"/>
    <cellStyle name="20 % - Akzent2 4 2 4" xfId="638" xr:uid="{00000000-0005-0000-0000-000037000000}"/>
    <cellStyle name="20 % - Akzent2 4 3" xfId="31" xr:uid="{00000000-0005-0000-0000-000038000000}"/>
    <cellStyle name="20 % - Akzent2 4 3 2" xfId="639" xr:uid="{00000000-0005-0000-0000-000039000000}"/>
    <cellStyle name="20 % - Akzent2 4 4" xfId="640" xr:uid="{00000000-0005-0000-0000-00003A000000}"/>
    <cellStyle name="20 % - Akzent2 4 5" xfId="641" xr:uid="{00000000-0005-0000-0000-00003B000000}"/>
    <cellStyle name="20 % - Akzent2 5" xfId="32" xr:uid="{00000000-0005-0000-0000-00003C000000}"/>
    <cellStyle name="20 % - Akzent2 5 2" xfId="642" xr:uid="{00000000-0005-0000-0000-00003D000000}"/>
    <cellStyle name="20 % - Akzent2 5 3" xfId="643" xr:uid="{00000000-0005-0000-0000-00003E000000}"/>
    <cellStyle name="20 % - Akzent2 5 4" xfId="644" xr:uid="{00000000-0005-0000-0000-00003F000000}"/>
    <cellStyle name="20 % - Akzent2 6" xfId="33" xr:uid="{00000000-0005-0000-0000-000040000000}"/>
    <cellStyle name="20 % - Akzent2 6 2" xfId="645" xr:uid="{00000000-0005-0000-0000-000041000000}"/>
    <cellStyle name="20 % - Akzent2 7" xfId="34" xr:uid="{00000000-0005-0000-0000-000042000000}"/>
    <cellStyle name="20 % - Akzent2 7 2" xfId="646" xr:uid="{00000000-0005-0000-0000-000043000000}"/>
    <cellStyle name="20 % - Akzent3 2" xfId="35" xr:uid="{00000000-0005-0000-0000-000044000000}"/>
    <cellStyle name="20 % - Akzent3 2 2" xfId="36" xr:uid="{00000000-0005-0000-0000-000045000000}"/>
    <cellStyle name="20 % - Akzent3 2 3" xfId="37" xr:uid="{00000000-0005-0000-0000-000046000000}"/>
    <cellStyle name="20 % - Akzent3 2 3 2" xfId="38" xr:uid="{00000000-0005-0000-0000-000047000000}"/>
    <cellStyle name="20 % - Akzent3 2 3 2 2" xfId="39" xr:uid="{00000000-0005-0000-0000-000048000000}"/>
    <cellStyle name="20 % - Akzent3 2 3 3" xfId="40" xr:uid="{00000000-0005-0000-0000-000049000000}"/>
    <cellStyle name="20 % - Akzent3 2 3 4" xfId="41" xr:uid="{00000000-0005-0000-0000-00004A000000}"/>
    <cellStyle name="20 % - Akzent3 2 4" xfId="42" xr:uid="{00000000-0005-0000-0000-00004B000000}"/>
    <cellStyle name="20 % - Akzent3 3" xfId="43" xr:uid="{00000000-0005-0000-0000-00004C000000}"/>
    <cellStyle name="20 % - Akzent3 3 2" xfId="44" xr:uid="{00000000-0005-0000-0000-00004D000000}"/>
    <cellStyle name="20 % - Akzent3 3 2 2" xfId="647" xr:uid="{00000000-0005-0000-0000-00004E000000}"/>
    <cellStyle name="20 % - Akzent3 3 2 3" xfId="648" xr:uid="{00000000-0005-0000-0000-00004F000000}"/>
    <cellStyle name="20 % - Akzent3 3 2 4" xfId="649" xr:uid="{00000000-0005-0000-0000-000050000000}"/>
    <cellStyle name="20 % - Akzent3 3 3" xfId="45" xr:uid="{00000000-0005-0000-0000-000051000000}"/>
    <cellStyle name="20 % - Akzent3 3 3 2" xfId="650" xr:uid="{00000000-0005-0000-0000-000052000000}"/>
    <cellStyle name="20 % - Akzent3 3 4" xfId="651" xr:uid="{00000000-0005-0000-0000-000053000000}"/>
    <cellStyle name="20 % - Akzent3 3 5" xfId="652" xr:uid="{00000000-0005-0000-0000-000054000000}"/>
    <cellStyle name="20 % - Akzent3 4" xfId="46" xr:uid="{00000000-0005-0000-0000-000055000000}"/>
    <cellStyle name="20 % - Akzent3 4 2" xfId="47" xr:uid="{00000000-0005-0000-0000-000056000000}"/>
    <cellStyle name="20 % - Akzent3 4 2 2" xfId="653" xr:uid="{00000000-0005-0000-0000-000057000000}"/>
    <cellStyle name="20 % - Akzent3 4 2 3" xfId="654" xr:uid="{00000000-0005-0000-0000-000058000000}"/>
    <cellStyle name="20 % - Akzent3 4 2 4" xfId="655" xr:uid="{00000000-0005-0000-0000-000059000000}"/>
    <cellStyle name="20 % - Akzent3 4 3" xfId="48" xr:uid="{00000000-0005-0000-0000-00005A000000}"/>
    <cellStyle name="20 % - Akzent3 4 3 2" xfId="656" xr:uid="{00000000-0005-0000-0000-00005B000000}"/>
    <cellStyle name="20 % - Akzent3 4 4" xfId="657" xr:uid="{00000000-0005-0000-0000-00005C000000}"/>
    <cellStyle name="20 % - Akzent3 4 5" xfId="658" xr:uid="{00000000-0005-0000-0000-00005D000000}"/>
    <cellStyle name="20 % - Akzent3 5" xfId="49" xr:uid="{00000000-0005-0000-0000-00005E000000}"/>
    <cellStyle name="20 % - Akzent3 5 2" xfId="659" xr:uid="{00000000-0005-0000-0000-00005F000000}"/>
    <cellStyle name="20 % - Akzent3 5 3" xfId="660" xr:uid="{00000000-0005-0000-0000-000060000000}"/>
    <cellStyle name="20 % - Akzent3 5 4" xfId="661" xr:uid="{00000000-0005-0000-0000-000061000000}"/>
    <cellStyle name="20 % - Akzent3 6" xfId="50" xr:uid="{00000000-0005-0000-0000-000062000000}"/>
    <cellStyle name="20 % - Akzent3 6 2" xfId="662" xr:uid="{00000000-0005-0000-0000-000063000000}"/>
    <cellStyle name="20 % - Akzent3 7" xfId="51" xr:uid="{00000000-0005-0000-0000-000064000000}"/>
    <cellStyle name="20 % - Akzent3 7 2" xfId="663" xr:uid="{00000000-0005-0000-0000-000065000000}"/>
    <cellStyle name="20 % - Akzent4 2" xfId="52" xr:uid="{00000000-0005-0000-0000-000066000000}"/>
    <cellStyle name="20 % - Akzent4 2 2" xfId="53" xr:uid="{00000000-0005-0000-0000-000067000000}"/>
    <cellStyle name="20 % - Akzent4 2 3" xfId="54" xr:uid="{00000000-0005-0000-0000-000068000000}"/>
    <cellStyle name="20 % - Akzent4 2 3 2" xfId="55" xr:uid="{00000000-0005-0000-0000-000069000000}"/>
    <cellStyle name="20 % - Akzent4 2 3 2 2" xfId="56" xr:uid="{00000000-0005-0000-0000-00006A000000}"/>
    <cellStyle name="20 % - Akzent4 2 3 3" xfId="57" xr:uid="{00000000-0005-0000-0000-00006B000000}"/>
    <cellStyle name="20 % - Akzent4 2 3 4" xfId="58" xr:uid="{00000000-0005-0000-0000-00006C000000}"/>
    <cellStyle name="20 % - Akzent4 2 4" xfId="59" xr:uid="{00000000-0005-0000-0000-00006D000000}"/>
    <cellStyle name="20 % - Akzent4 3" xfId="60" xr:uid="{00000000-0005-0000-0000-00006E000000}"/>
    <cellStyle name="20 % - Akzent4 3 2" xfId="61" xr:uid="{00000000-0005-0000-0000-00006F000000}"/>
    <cellStyle name="20 % - Akzent4 3 2 2" xfId="664" xr:uid="{00000000-0005-0000-0000-000070000000}"/>
    <cellStyle name="20 % - Akzent4 3 2 3" xfId="665" xr:uid="{00000000-0005-0000-0000-000071000000}"/>
    <cellStyle name="20 % - Akzent4 3 2 4" xfId="666" xr:uid="{00000000-0005-0000-0000-000072000000}"/>
    <cellStyle name="20 % - Akzent4 3 3" xfId="62" xr:uid="{00000000-0005-0000-0000-000073000000}"/>
    <cellStyle name="20 % - Akzent4 3 3 2" xfId="667" xr:uid="{00000000-0005-0000-0000-000074000000}"/>
    <cellStyle name="20 % - Akzent4 3 4" xfId="668" xr:uid="{00000000-0005-0000-0000-000075000000}"/>
    <cellStyle name="20 % - Akzent4 3 5" xfId="669" xr:uid="{00000000-0005-0000-0000-000076000000}"/>
    <cellStyle name="20 % - Akzent4 4" xfId="63" xr:uid="{00000000-0005-0000-0000-000077000000}"/>
    <cellStyle name="20 % - Akzent4 4 2" xfId="64" xr:uid="{00000000-0005-0000-0000-000078000000}"/>
    <cellStyle name="20 % - Akzent4 4 2 2" xfId="670" xr:uid="{00000000-0005-0000-0000-000079000000}"/>
    <cellStyle name="20 % - Akzent4 4 2 3" xfId="671" xr:uid="{00000000-0005-0000-0000-00007A000000}"/>
    <cellStyle name="20 % - Akzent4 4 2 4" xfId="672" xr:uid="{00000000-0005-0000-0000-00007B000000}"/>
    <cellStyle name="20 % - Akzent4 4 3" xfId="65" xr:uid="{00000000-0005-0000-0000-00007C000000}"/>
    <cellStyle name="20 % - Akzent4 4 3 2" xfId="673" xr:uid="{00000000-0005-0000-0000-00007D000000}"/>
    <cellStyle name="20 % - Akzent4 4 4" xfId="674" xr:uid="{00000000-0005-0000-0000-00007E000000}"/>
    <cellStyle name="20 % - Akzent4 4 5" xfId="675" xr:uid="{00000000-0005-0000-0000-00007F000000}"/>
    <cellStyle name="20 % - Akzent4 5" xfId="66" xr:uid="{00000000-0005-0000-0000-000080000000}"/>
    <cellStyle name="20 % - Akzent4 5 2" xfId="676" xr:uid="{00000000-0005-0000-0000-000081000000}"/>
    <cellStyle name="20 % - Akzent4 5 3" xfId="677" xr:uid="{00000000-0005-0000-0000-000082000000}"/>
    <cellStyle name="20 % - Akzent4 5 4" xfId="678" xr:uid="{00000000-0005-0000-0000-000083000000}"/>
    <cellStyle name="20 % - Akzent4 6" xfId="67" xr:uid="{00000000-0005-0000-0000-000084000000}"/>
    <cellStyle name="20 % - Akzent4 6 2" xfId="679" xr:uid="{00000000-0005-0000-0000-000085000000}"/>
    <cellStyle name="20 % - Akzent4 7" xfId="68" xr:uid="{00000000-0005-0000-0000-000086000000}"/>
    <cellStyle name="20 % - Akzent4 7 2" xfId="680" xr:uid="{00000000-0005-0000-0000-000087000000}"/>
    <cellStyle name="20 % - Akzent5 2" xfId="69" xr:uid="{00000000-0005-0000-0000-000088000000}"/>
    <cellStyle name="20 % - Akzent5 2 2" xfId="70" xr:uid="{00000000-0005-0000-0000-000089000000}"/>
    <cellStyle name="20 % - Akzent5 2 2 2" xfId="71" xr:uid="{00000000-0005-0000-0000-00008A000000}"/>
    <cellStyle name="20 % - Akzent5 2 3" xfId="72" xr:uid="{00000000-0005-0000-0000-00008B000000}"/>
    <cellStyle name="20 % - Akzent5 2 4" xfId="73" xr:uid="{00000000-0005-0000-0000-00008C000000}"/>
    <cellStyle name="20 % - Akzent5 3" xfId="74" xr:uid="{00000000-0005-0000-0000-00008D000000}"/>
    <cellStyle name="20 % - Akzent5 3 2" xfId="75" xr:uid="{00000000-0005-0000-0000-00008E000000}"/>
    <cellStyle name="20 % - Akzent5 3 2 2" xfId="681" xr:uid="{00000000-0005-0000-0000-00008F000000}"/>
    <cellStyle name="20 % - Akzent5 3 2 3" xfId="682" xr:uid="{00000000-0005-0000-0000-000090000000}"/>
    <cellStyle name="20 % - Akzent5 3 2 4" xfId="683" xr:uid="{00000000-0005-0000-0000-000091000000}"/>
    <cellStyle name="20 % - Akzent5 3 3" xfId="76" xr:uid="{00000000-0005-0000-0000-000092000000}"/>
    <cellStyle name="20 % - Akzent5 3 3 2" xfId="684" xr:uid="{00000000-0005-0000-0000-000093000000}"/>
    <cellStyle name="20 % - Akzent5 3 4" xfId="685" xr:uid="{00000000-0005-0000-0000-000094000000}"/>
    <cellStyle name="20 % - Akzent5 3 5" xfId="686" xr:uid="{00000000-0005-0000-0000-000095000000}"/>
    <cellStyle name="20 % - Akzent5 4" xfId="77" xr:uid="{00000000-0005-0000-0000-000096000000}"/>
    <cellStyle name="20 % - Akzent5 4 2" xfId="78" xr:uid="{00000000-0005-0000-0000-000097000000}"/>
    <cellStyle name="20 % - Akzent5 4 2 2" xfId="687" xr:uid="{00000000-0005-0000-0000-000098000000}"/>
    <cellStyle name="20 % - Akzent5 4 2 3" xfId="688" xr:uid="{00000000-0005-0000-0000-000099000000}"/>
    <cellStyle name="20 % - Akzent5 4 2 4" xfId="689" xr:uid="{00000000-0005-0000-0000-00009A000000}"/>
    <cellStyle name="20 % - Akzent5 4 3" xfId="79" xr:uid="{00000000-0005-0000-0000-00009B000000}"/>
    <cellStyle name="20 % - Akzent5 4 3 2" xfId="690" xr:uid="{00000000-0005-0000-0000-00009C000000}"/>
    <cellStyle name="20 % - Akzent5 4 4" xfId="691" xr:uid="{00000000-0005-0000-0000-00009D000000}"/>
    <cellStyle name="20 % - Akzent5 4 5" xfId="692" xr:uid="{00000000-0005-0000-0000-00009E000000}"/>
    <cellStyle name="20 % - Akzent5 5" xfId="80" xr:uid="{00000000-0005-0000-0000-00009F000000}"/>
    <cellStyle name="20 % - Akzent5 5 2" xfId="693" xr:uid="{00000000-0005-0000-0000-0000A0000000}"/>
    <cellStyle name="20 % - Akzent5 5 3" xfId="694" xr:uid="{00000000-0005-0000-0000-0000A1000000}"/>
    <cellStyle name="20 % - Akzent5 5 4" xfId="695" xr:uid="{00000000-0005-0000-0000-0000A2000000}"/>
    <cellStyle name="20 % - Akzent5 6" xfId="81" xr:uid="{00000000-0005-0000-0000-0000A3000000}"/>
    <cellStyle name="20 % - Akzent5 6 2" xfId="696" xr:uid="{00000000-0005-0000-0000-0000A4000000}"/>
    <cellStyle name="20 % - Akzent5 7" xfId="82" xr:uid="{00000000-0005-0000-0000-0000A5000000}"/>
    <cellStyle name="20 % - Akzent5 7 2" xfId="697" xr:uid="{00000000-0005-0000-0000-0000A6000000}"/>
    <cellStyle name="20 % - Akzent6 2" xfId="83" xr:uid="{00000000-0005-0000-0000-0000A7000000}"/>
    <cellStyle name="20 % - Akzent6 3" xfId="84" xr:uid="{00000000-0005-0000-0000-0000A8000000}"/>
    <cellStyle name="20 % - Akzent6 3 2" xfId="85" xr:uid="{00000000-0005-0000-0000-0000A9000000}"/>
    <cellStyle name="20 % - Akzent6 3 2 2" xfId="698" xr:uid="{00000000-0005-0000-0000-0000AA000000}"/>
    <cellStyle name="20 % - Akzent6 3 2 3" xfId="699" xr:uid="{00000000-0005-0000-0000-0000AB000000}"/>
    <cellStyle name="20 % - Akzent6 3 2 4" xfId="700" xr:uid="{00000000-0005-0000-0000-0000AC000000}"/>
    <cellStyle name="20 % - Akzent6 3 3" xfId="86" xr:uid="{00000000-0005-0000-0000-0000AD000000}"/>
    <cellStyle name="20 % - Akzent6 3 3 2" xfId="701" xr:uid="{00000000-0005-0000-0000-0000AE000000}"/>
    <cellStyle name="20 % - Akzent6 3 4" xfId="702" xr:uid="{00000000-0005-0000-0000-0000AF000000}"/>
    <cellStyle name="20 % - Akzent6 3 5" xfId="703" xr:uid="{00000000-0005-0000-0000-0000B0000000}"/>
    <cellStyle name="20 % - Akzent6 4" xfId="87" xr:uid="{00000000-0005-0000-0000-0000B1000000}"/>
    <cellStyle name="20 % - Akzent6 4 2" xfId="88" xr:uid="{00000000-0005-0000-0000-0000B2000000}"/>
    <cellStyle name="20 % - Akzent6 4 2 2" xfId="704" xr:uid="{00000000-0005-0000-0000-0000B3000000}"/>
    <cellStyle name="20 % - Akzent6 4 2 3" xfId="705" xr:uid="{00000000-0005-0000-0000-0000B4000000}"/>
    <cellStyle name="20 % - Akzent6 4 2 4" xfId="706" xr:uid="{00000000-0005-0000-0000-0000B5000000}"/>
    <cellStyle name="20 % - Akzent6 4 3" xfId="89" xr:uid="{00000000-0005-0000-0000-0000B6000000}"/>
    <cellStyle name="20 % - Akzent6 4 3 2" xfId="707" xr:uid="{00000000-0005-0000-0000-0000B7000000}"/>
    <cellStyle name="20 % - Akzent6 4 4" xfId="708" xr:uid="{00000000-0005-0000-0000-0000B8000000}"/>
    <cellStyle name="20 % - Akzent6 4 5" xfId="709" xr:uid="{00000000-0005-0000-0000-0000B9000000}"/>
    <cellStyle name="20 % - Akzent6 5" xfId="90" xr:uid="{00000000-0005-0000-0000-0000BA000000}"/>
    <cellStyle name="20 % - Akzent6 5 2" xfId="710" xr:uid="{00000000-0005-0000-0000-0000BB000000}"/>
    <cellStyle name="20 % - Akzent6 5 3" xfId="711" xr:uid="{00000000-0005-0000-0000-0000BC000000}"/>
    <cellStyle name="20 % - Akzent6 5 4" xfId="712" xr:uid="{00000000-0005-0000-0000-0000BD000000}"/>
    <cellStyle name="20 % - Akzent6 6" xfId="91" xr:uid="{00000000-0005-0000-0000-0000BE000000}"/>
    <cellStyle name="20 % - Akzent6 6 2" xfId="713" xr:uid="{00000000-0005-0000-0000-0000BF000000}"/>
    <cellStyle name="20 % - Akzent6 7" xfId="92" xr:uid="{00000000-0005-0000-0000-0000C0000000}"/>
    <cellStyle name="20 % - Akzent6 7 2" xfId="714" xr:uid="{00000000-0005-0000-0000-0000C1000000}"/>
    <cellStyle name="40 % - Akzent1 2" xfId="93" xr:uid="{00000000-0005-0000-0000-0000C2000000}"/>
    <cellStyle name="40 % - Akzent1 2 2" xfId="94" xr:uid="{00000000-0005-0000-0000-0000C3000000}"/>
    <cellStyle name="40 % - Akzent1 2 3" xfId="95" xr:uid="{00000000-0005-0000-0000-0000C4000000}"/>
    <cellStyle name="40 % - Akzent1 3" xfId="96" xr:uid="{00000000-0005-0000-0000-0000C5000000}"/>
    <cellStyle name="40 % - Akzent1 3 2" xfId="97" xr:uid="{00000000-0005-0000-0000-0000C6000000}"/>
    <cellStyle name="40 % - Akzent1 3 2 2" xfId="715" xr:uid="{00000000-0005-0000-0000-0000C7000000}"/>
    <cellStyle name="40 % - Akzent1 3 2 3" xfId="716" xr:uid="{00000000-0005-0000-0000-0000C8000000}"/>
    <cellStyle name="40 % - Akzent1 3 2 4" xfId="717" xr:uid="{00000000-0005-0000-0000-0000C9000000}"/>
    <cellStyle name="40 % - Akzent1 3 3" xfId="98" xr:uid="{00000000-0005-0000-0000-0000CA000000}"/>
    <cellStyle name="40 % - Akzent1 3 3 2" xfId="718" xr:uid="{00000000-0005-0000-0000-0000CB000000}"/>
    <cellStyle name="40 % - Akzent1 3 4" xfId="719" xr:uid="{00000000-0005-0000-0000-0000CC000000}"/>
    <cellStyle name="40 % - Akzent1 3 5" xfId="720" xr:uid="{00000000-0005-0000-0000-0000CD000000}"/>
    <cellStyle name="40 % - Akzent1 4" xfId="99" xr:uid="{00000000-0005-0000-0000-0000CE000000}"/>
    <cellStyle name="40 % - Akzent1 4 2" xfId="100" xr:uid="{00000000-0005-0000-0000-0000CF000000}"/>
    <cellStyle name="40 % - Akzent1 4 2 2" xfId="721" xr:uid="{00000000-0005-0000-0000-0000D0000000}"/>
    <cellStyle name="40 % - Akzent1 4 2 3" xfId="722" xr:uid="{00000000-0005-0000-0000-0000D1000000}"/>
    <cellStyle name="40 % - Akzent1 4 2 4" xfId="723" xr:uid="{00000000-0005-0000-0000-0000D2000000}"/>
    <cellStyle name="40 % - Akzent1 4 3" xfId="101" xr:uid="{00000000-0005-0000-0000-0000D3000000}"/>
    <cellStyle name="40 % - Akzent1 4 3 2" xfId="724" xr:uid="{00000000-0005-0000-0000-0000D4000000}"/>
    <cellStyle name="40 % - Akzent1 4 4" xfId="725" xr:uid="{00000000-0005-0000-0000-0000D5000000}"/>
    <cellStyle name="40 % - Akzent1 4 5" xfId="726" xr:uid="{00000000-0005-0000-0000-0000D6000000}"/>
    <cellStyle name="40 % - Akzent1 5" xfId="102" xr:uid="{00000000-0005-0000-0000-0000D7000000}"/>
    <cellStyle name="40 % - Akzent1 5 2" xfId="727" xr:uid="{00000000-0005-0000-0000-0000D8000000}"/>
    <cellStyle name="40 % - Akzent1 5 3" xfId="728" xr:uid="{00000000-0005-0000-0000-0000D9000000}"/>
    <cellStyle name="40 % - Akzent1 5 4" xfId="729" xr:uid="{00000000-0005-0000-0000-0000DA000000}"/>
    <cellStyle name="40 % - Akzent1 6" xfId="103" xr:uid="{00000000-0005-0000-0000-0000DB000000}"/>
    <cellStyle name="40 % - Akzent1 6 2" xfId="730" xr:uid="{00000000-0005-0000-0000-0000DC000000}"/>
    <cellStyle name="40 % - Akzent1 7" xfId="104" xr:uid="{00000000-0005-0000-0000-0000DD000000}"/>
    <cellStyle name="40 % - Akzent1 7 2" xfId="731" xr:uid="{00000000-0005-0000-0000-0000DE000000}"/>
    <cellStyle name="40 % - Akzent2 2" xfId="105" xr:uid="{00000000-0005-0000-0000-0000DF000000}"/>
    <cellStyle name="40 % - Akzent2 3" xfId="106" xr:uid="{00000000-0005-0000-0000-0000E0000000}"/>
    <cellStyle name="40 % - Akzent2 3 2" xfId="107" xr:uid="{00000000-0005-0000-0000-0000E1000000}"/>
    <cellStyle name="40 % - Akzent2 3 2 2" xfId="732" xr:uid="{00000000-0005-0000-0000-0000E2000000}"/>
    <cellStyle name="40 % - Akzent2 3 2 3" xfId="733" xr:uid="{00000000-0005-0000-0000-0000E3000000}"/>
    <cellStyle name="40 % - Akzent2 3 2 4" xfId="734" xr:uid="{00000000-0005-0000-0000-0000E4000000}"/>
    <cellStyle name="40 % - Akzent2 3 3" xfId="108" xr:uid="{00000000-0005-0000-0000-0000E5000000}"/>
    <cellStyle name="40 % - Akzent2 3 3 2" xfId="735" xr:uid="{00000000-0005-0000-0000-0000E6000000}"/>
    <cellStyle name="40 % - Akzent2 3 4" xfId="736" xr:uid="{00000000-0005-0000-0000-0000E7000000}"/>
    <cellStyle name="40 % - Akzent2 3 5" xfId="737" xr:uid="{00000000-0005-0000-0000-0000E8000000}"/>
    <cellStyle name="40 % - Akzent2 4" xfId="109" xr:uid="{00000000-0005-0000-0000-0000E9000000}"/>
    <cellStyle name="40 % - Akzent2 4 2" xfId="110" xr:uid="{00000000-0005-0000-0000-0000EA000000}"/>
    <cellStyle name="40 % - Akzent2 4 2 2" xfId="738" xr:uid="{00000000-0005-0000-0000-0000EB000000}"/>
    <cellStyle name="40 % - Akzent2 4 2 3" xfId="739" xr:uid="{00000000-0005-0000-0000-0000EC000000}"/>
    <cellStyle name="40 % - Akzent2 4 2 4" xfId="740" xr:uid="{00000000-0005-0000-0000-0000ED000000}"/>
    <cellStyle name="40 % - Akzent2 4 3" xfId="111" xr:uid="{00000000-0005-0000-0000-0000EE000000}"/>
    <cellStyle name="40 % - Akzent2 4 3 2" xfId="741" xr:uid="{00000000-0005-0000-0000-0000EF000000}"/>
    <cellStyle name="40 % - Akzent2 4 4" xfId="742" xr:uid="{00000000-0005-0000-0000-0000F0000000}"/>
    <cellStyle name="40 % - Akzent2 4 5" xfId="743" xr:uid="{00000000-0005-0000-0000-0000F1000000}"/>
    <cellStyle name="40 % - Akzent2 5" xfId="112" xr:uid="{00000000-0005-0000-0000-0000F2000000}"/>
    <cellStyle name="40 % - Akzent2 5 2" xfId="744" xr:uid="{00000000-0005-0000-0000-0000F3000000}"/>
    <cellStyle name="40 % - Akzent2 5 3" xfId="745" xr:uid="{00000000-0005-0000-0000-0000F4000000}"/>
    <cellStyle name="40 % - Akzent2 5 4" xfId="746" xr:uid="{00000000-0005-0000-0000-0000F5000000}"/>
    <cellStyle name="40 % - Akzent2 6" xfId="113" xr:uid="{00000000-0005-0000-0000-0000F6000000}"/>
    <cellStyle name="40 % - Akzent2 6 2" xfId="747" xr:uid="{00000000-0005-0000-0000-0000F7000000}"/>
    <cellStyle name="40 % - Akzent2 7" xfId="114" xr:uid="{00000000-0005-0000-0000-0000F8000000}"/>
    <cellStyle name="40 % - Akzent2 7 2" xfId="748" xr:uid="{00000000-0005-0000-0000-0000F9000000}"/>
    <cellStyle name="40 % - Akzent3 2" xfId="115" xr:uid="{00000000-0005-0000-0000-0000FA000000}"/>
    <cellStyle name="40 % - Akzent3 2 2" xfId="116" xr:uid="{00000000-0005-0000-0000-0000FB000000}"/>
    <cellStyle name="40 % - Akzent3 2 3" xfId="117" xr:uid="{00000000-0005-0000-0000-0000FC000000}"/>
    <cellStyle name="40 % - Akzent3 2 3 2" xfId="118" xr:uid="{00000000-0005-0000-0000-0000FD000000}"/>
    <cellStyle name="40 % - Akzent3 2 3 2 2" xfId="119" xr:uid="{00000000-0005-0000-0000-0000FE000000}"/>
    <cellStyle name="40 % - Akzent3 2 3 3" xfId="120" xr:uid="{00000000-0005-0000-0000-0000FF000000}"/>
    <cellStyle name="40 % - Akzent3 2 3 4" xfId="121" xr:uid="{00000000-0005-0000-0000-000000010000}"/>
    <cellStyle name="40 % - Akzent3 2 4" xfId="122" xr:uid="{00000000-0005-0000-0000-000001010000}"/>
    <cellStyle name="40 % - Akzent3 3" xfId="123" xr:uid="{00000000-0005-0000-0000-000002010000}"/>
    <cellStyle name="40 % - Akzent3 3 2" xfId="124" xr:uid="{00000000-0005-0000-0000-000003010000}"/>
    <cellStyle name="40 % - Akzent3 3 2 2" xfId="749" xr:uid="{00000000-0005-0000-0000-000004010000}"/>
    <cellStyle name="40 % - Akzent3 3 2 3" xfId="750" xr:uid="{00000000-0005-0000-0000-000005010000}"/>
    <cellStyle name="40 % - Akzent3 3 2 4" xfId="751" xr:uid="{00000000-0005-0000-0000-000006010000}"/>
    <cellStyle name="40 % - Akzent3 3 3" xfId="125" xr:uid="{00000000-0005-0000-0000-000007010000}"/>
    <cellStyle name="40 % - Akzent3 3 3 2" xfId="752" xr:uid="{00000000-0005-0000-0000-000008010000}"/>
    <cellStyle name="40 % - Akzent3 3 4" xfId="753" xr:uid="{00000000-0005-0000-0000-000009010000}"/>
    <cellStyle name="40 % - Akzent3 3 5" xfId="754" xr:uid="{00000000-0005-0000-0000-00000A010000}"/>
    <cellStyle name="40 % - Akzent3 4" xfId="126" xr:uid="{00000000-0005-0000-0000-00000B010000}"/>
    <cellStyle name="40 % - Akzent3 4 2" xfId="127" xr:uid="{00000000-0005-0000-0000-00000C010000}"/>
    <cellStyle name="40 % - Akzent3 4 2 2" xfId="755" xr:uid="{00000000-0005-0000-0000-00000D010000}"/>
    <cellStyle name="40 % - Akzent3 4 2 3" xfId="756" xr:uid="{00000000-0005-0000-0000-00000E010000}"/>
    <cellStyle name="40 % - Akzent3 4 2 4" xfId="757" xr:uid="{00000000-0005-0000-0000-00000F010000}"/>
    <cellStyle name="40 % - Akzent3 4 3" xfId="128" xr:uid="{00000000-0005-0000-0000-000010010000}"/>
    <cellStyle name="40 % - Akzent3 4 3 2" xfId="758" xr:uid="{00000000-0005-0000-0000-000011010000}"/>
    <cellStyle name="40 % - Akzent3 4 4" xfId="759" xr:uid="{00000000-0005-0000-0000-000012010000}"/>
    <cellStyle name="40 % - Akzent3 4 5" xfId="760" xr:uid="{00000000-0005-0000-0000-000013010000}"/>
    <cellStyle name="40 % - Akzent3 5" xfId="129" xr:uid="{00000000-0005-0000-0000-000014010000}"/>
    <cellStyle name="40 % - Akzent3 5 2" xfId="761" xr:uid="{00000000-0005-0000-0000-000015010000}"/>
    <cellStyle name="40 % - Akzent3 5 3" xfId="762" xr:uid="{00000000-0005-0000-0000-000016010000}"/>
    <cellStyle name="40 % - Akzent3 5 4" xfId="763" xr:uid="{00000000-0005-0000-0000-000017010000}"/>
    <cellStyle name="40 % - Akzent3 6" xfId="130" xr:uid="{00000000-0005-0000-0000-000018010000}"/>
    <cellStyle name="40 % - Akzent3 6 2" xfId="764" xr:uid="{00000000-0005-0000-0000-000019010000}"/>
    <cellStyle name="40 % - Akzent3 7" xfId="131" xr:uid="{00000000-0005-0000-0000-00001A010000}"/>
    <cellStyle name="40 % - Akzent3 7 2" xfId="765" xr:uid="{00000000-0005-0000-0000-00001B010000}"/>
    <cellStyle name="40 % - Akzent4 2" xfId="132" xr:uid="{00000000-0005-0000-0000-00001C010000}"/>
    <cellStyle name="40 % - Akzent4 2 2" xfId="133" xr:uid="{00000000-0005-0000-0000-00001D010000}"/>
    <cellStyle name="40 % - Akzent4 2 2 2" xfId="134" xr:uid="{00000000-0005-0000-0000-00001E010000}"/>
    <cellStyle name="40 % - Akzent4 2 3" xfId="135" xr:uid="{00000000-0005-0000-0000-00001F010000}"/>
    <cellStyle name="40 % - Akzent4 2 4" xfId="136" xr:uid="{00000000-0005-0000-0000-000020010000}"/>
    <cellStyle name="40 % - Akzent4 3" xfId="137" xr:uid="{00000000-0005-0000-0000-000021010000}"/>
    <cellStyle name="40 % - Akzent4 3 2" xfId="138" xr:uid="{00000000-0005-0000-0000-000022010000}"/>
    <cellStyle name="40 % - Akzent4 3 2 2" xfId="766" xr:uid="{00000000-0005-0000-0000-000023010000}"/>
    <cellStyle name="40 % - Akzent4 3 2 3" xfId="767" xr:uid="{00000000-0005-0000-0000-000024010000}"/>
    <cellStyle name="40 % - Akzent4 3 2 4" xfId="768" xr:uid="{00000000-0005-0000-0000-000025010000}"/>
    <cellStyle name="40 % - Akzent4 3 3" xfId="139" xr:uid="{00000000-0005-0000-0000-000026010000}"/>
    <cellStyle name="40 % - Akzent4 3 3 2" xfId="769" xr:uid="{00000000-0005-0000-0000-000027010000}"/>
    <cellStyle name="40 % - Akzent4 3 4" xfId="770" xr:uid="{00000000-0005-0000-0000-000028010000}"/>
    <cellStyle name="40 % - Akzent4 3 5" xfId="771" xr:uid="{00000000-0005-0000-0000-000029010000}"/>
    <cellStyle name="40 % - Akzent4 4" xfId="140" xr:uid="{00000000-0005-0000-0000-00002A010000}"/>
    <cellStyle name="40 % - Akzent4 4 2" xfId="141" xr:uid="{00000000-0005-0000-0000-00002B010000}"/>
    <cellStyle name="40 % - Akzent4 4 2 2" xfId="772" xr:uid="{00000000-0005-0000-0000-00002C010000}"/>
    <cellStyle name="40 % - Akzent4 4 2 3" xfId="773" xr:uid="{00000000-0005-0000-0000-00002D010000}"/>
    <cellStyle name="40 % - Akzent4 4 2 4" xfId="774" xr:uid="{00000000-0005-0000-0000-00002E010000}"/>
    <cellStyle name="40 % - Akzent4 4 3" xfId="142" xr:uid="{00000000-0005-0000-0000-00002F010000}"/>
    <cellStyle name="40 % - Akzent4 4 3 2" xfId="775" xr:uid="{00000000-0005-0000-0000-000030010000}"/>
    <cellStyle name="40 % - Akzent4 4 4" xfId="776" xr:uid="{00000000-0005-0000-0000-000031010000}"/>
    <cellStyle name="40 % - Akzent4 4 5" xfId="777" xr:uid="{00000000-0005-0000-0000-000032010000}"/>
    <cellStyle name="40 % - Akzent4 5" xfId="143" xr:uid="{00000000-0005-0000-0000-000033010000}"/>
    <cellStyle name="40 % - Akzent4 5 2" xfId="778" xr:uid="{00000000-0005-0000-0000-000034010000}"/>
    <cellStyle name="40 % - Akzent4 5 3" xfId="779" xr:uid="{00000000-0005-0000-0000-000035010000}"/>
    <cellStyle name="40 % - Akzent4 5 4" xfId="780" xr:uid="{00000000-0005-0000-0000-000036010000}"/>
    <cellStyle name="40 % - Akzent4 6" xfId="144" xr:uid="{00000000-0005-0000-0000-000037010000}"/>
    <cellStyle name="40 % - Akzent4 6 2" xfId="781" xr:uid="{00000000-0005-0000-0000-000038010000}"/>
    <cellStyle name="40 % - Akzent4 7" xfId="145" xr:uid="{00000000-0005-0000-0000-000039010000}"/>
    <cellStyle name="40 % - Akzent4 7 2" xfId="782" xr:uid="{00000000-0005-0000-0000-00003A010000}"/>
    <cellStyle name="40 % - Akzent5 2" xfId="146" xr:uid="{00000000-0005-0000-0000-00003B010000}"/>
    <cellStyle name="40 % - Akzent5 2 2" xfId="147" xr:uid="{00000000-0005-0000-0000-00003C010000}"/>
    <cellStyle name="40 % - Akzent5 2 3" xfId="148" xr:uid="{00000000-0005-0000-0000-00003D010000}"/>
    <cellStyle name="40 % - Akzent5 3" xfId="149" xr:uid="{00000000-0005-0000-0000-00003E010000}"/>
    <cellStyle name="40 % - Akzent5 3 2" xfId="150" xr:uid="{00000000-0005-0000-0000-00003F010000}"/>
    <cellStyle name="40 % - Akzent5 3 2 2" xfId="783" xr:uid="{00000000-0005-0000-0000-000040010000}"/>
    <cellStyle name="40 % - Akzent5 3 2 3" xfId="784" xr:uid="{00000000-0005-0000-0000-000041010000}"/>
    <cellStyle name="40 % - Akzent5 3 2 4" xfId="785" xr:uid="{00000000-0005-0000-0000-000042010000}"/>
    <cellStyle name="40 % - Akzent5 3 3" xfId="151" xr:uid="{00000000-0005-0000-0000-000043010000}"/>
    <cellStyle name="40 % - Akzent5 3 3 2" xfId="786" xr:uid="{00000000-0005-0000-0000-000044010000}"/>
    <cellStyle name="40 % - Akzent5 3 4" xfId="787" xr:uid="{00000000-0005-0000-0000-000045010000}"/>
    <cellStyle name="40 % - Akzent5 3 5" xfId="788" xr:uid="{00000000-0005-0000-0000-000046010000}"/>
    <cellStyle name="40 % - Akzent5 4" xfId="152" xr:uid="{00000000-0005-0000-0000-000047010000}"/>
    <cellStyle name="40 % - Akzent5 4 2" xfId="153" xr:uid="{00000000-0005-0000-0000-000048010000}"/>
    <cellStyle name="40 % - Akzent5 4 2 2" xfId="789" xr:uid="{00000000-0005-0000-0000-000049010000}"/>
    <cellStyle name="40 % - Akzent5 4 2 3" xfId="790" xr:uid="{00000000-0005-0000-0000-00004A010000}"/>
    <cellStyle name="40 % - Akzent5 4 2 4" xfId="791" xr:uid="{00000000-0005-0000-0000-00004B010000}"/>
    <cellStyle name="40 % - Akzent5 4 3" xfId="154" xr:uid="{00000000-0005-0000-0000-00004C010000}"/>
    <cellStyle name="40 % - Akzent5 4 3 2" xfId="792" xr:uid="{00000000-0005-0000-0000-00004D010000}"/>
    <cellStyle name="40 % - Akzent5 4 4" xfId="793" xr:uid="{00000000-0005-0000-0000-00004E010000}"/>
    <cellStyle name="40 % - Akzent5 4 5" xfId="794" xr:uid="{00000000-0005-0000-0000-00004F010000}"/>
    <cellStyle name="40 % - Akzent5 5" xfId="155" xr:uid="{00000000-0005-0000-0000-000050010000}"/>
    <cellStyle name="40 % - Akzent5 5 2" xfId="795" xr:uid="{00000000-0005-0000-0000-000051010000}"/>
    <cellStyle name="40 % - Akzent5 5 3" xfId="796" xr:uid="{00000000-0005-0000-0000-000052010000}"/>
    <cellStyle name="40 % - Akzent5 5 4" xfId="797" xr:uid="{00000000-0005-0000-0000-000053010000}"/>
    <cellStyle name="40 % - Akzent5 6" xfId="156" xr:uid="{00000000-0005-0000-0000-000054010000}"/>
    <cellStyle name="40 % - Akzent5 6 2" xfId="798" xr:uid="{00000000-0005-0000-0000-000055010000}"/>
    <cellStyle name="40 % - Akzent5 7" xfId="157" xr:uid="{00000000-0005-0000-0000-000056010000}"/>
    <cellStyle name="40 % - Akzent5 7 2" xfId="799" xr:uid="{00000000-0005-0000-0000-000057010000}"/>
    <cellStyle name="40 % - Akzent6 2" xfId="158" xr:uid="{00000000-0005-0000-0000-000058010000}"/>
    <cellStyle name="40 % - Akzent6 2 2" xfId="159" xr:uid="{00000000-0005-0000-0000-000059010000}"/>
    <cellStyle name="40 % - Akzent6 2 2 2" xfId="160" xr:uid="{00000000-0005-0000-0000-00005A010000}"/>
    <cellStyle name="40 % - Akzent6 2 3" xfId="161" xr:uid="{00000000-0005-0000-0000-00005B010000}"/>
    <cellStyle name="40 % - Akzent6 2 4" xfId="162" xr:uid="{00000000-0005-0000-0000-00005C010000}"/>
    <cellStyle name="40 % - Akzent6 3" xfId="163" xr:uid="{00000000-0005-0000-0000-00005D010000}"/>
    <cellStyle name="40 % - Akzent6 3 2" xfId="164" xr:uid="{00000000-0005-0000-0000-00005E010000}"/>
    <cellStyle name="40 % - Akzent6 3 2 2" xfId="800" xr:uid="{00000000-0005-0000-0000-00005F010000}"/>
    <cellStyle name="40 % - Akzent6 3 2 3" xfId="801" xr:uid="{00000000-0005-0000-0000-000060010000}"/>
    <cellStyle name="40 % - Akzent6 3 2 4" xfId="802" xr:uid="{00000000-0005-0000-0000-000061010000}"/>
    <cellStyle name="40 % - Akzent6 3 3" xfId="165" xr:uid="{00000000-0005-0000-0000-000062010000}"/>
    <cellStyle name="40 % - Akzent6 3 3 2" xfId="803" xr:uid="{00000000-0005-0000-0000-000063010000}"/>
    <cellStyle name="40 % - Akzent6 3 4" xfId="804" xr:uid="{00000000-0005-0000-0000-000064010000}"/>
    <cellStyle name="40 % - Akzent6 3 5" xfId="805" xr:uid="{00000000-0005-0000-0000-000065010000}"/>
    <cellStyle name="40 % - Akzent6 4" xfId="166" xr:uid="{00000000-0005-0000-0000-000066010000}"/>
    <cellStyle name="40 % - Akzent6 4 2" xfId="167" xr:uid="{00000000-0005-0000-0000-000067010000}"/>
    <cellStyle name="40 % - Akzent6 4 2 2" xfId="806" xr:uid="{00000000-0005-0000-0000-000068010000}"/>
    <cellStyle name="40 % - Akzent6 4 2 3" xfId="807" xr:uid="{00000000-0005-0000-0000-000069010000}"/>
    <cellStyle name="40 % - Akzent6 4 2 4" xfId="808" xr:uid="{00000000-0005-0000-0000-00006A010000}"/>
    <cellStyle name="40 % - Akzent6 4 3" xfId="168" xr:uid="{00000000-0005-0000-0000-00006B010000}"/>
    <cellStyle name="40 % - Akzent6 4 3 2" xfId="809" xr:uid="{00000000-0005-0000-0000-00006C010000}"/>
    <cellStyle name="40 % - Akzent6 4 4" xfId="810" xr:uid="{00000000-0005-0000-0000-00006D010000}"/>
    <cellStyle name="40 % - Akzent6 4 5" xfId="811" xr:uid="{00000000-0005-0000-0000-00006E010000}"/>
    <cellStyle name="40 % - Akzent6 5" xfId="169" xr:uid="{00000000-0005-0000-0000-00006F010000}"/>
    <cellStyle name="40 % - Akzent6 5 2" xfId="812" xr:uid="{00000000-0005-0000-0000-000070010000}"/>
    <cellStyle name="40 % - Akzent6 5 3" xfId="813" xr:uid="{00000000-0005-0000-0000-000071010000}"/>
    <cellStyle name="40 % - Akzent6 5 4" xfId="814" xr:uid="{00000000-0005-0000-0000-000072010000}"/>
    <cellStyle name="40 % - Akzent6 6" xfId="170" xr:uid="{00000000-0005-0000-0000-000073010000}"/>
    <cellStyle name="40 % - Akzent6 6 2" xfId="815" xr:uid="{00000000-0005-0000-0000-000074010000}"/>
    <cellStyle name="40 % - Akzent6 7" xfId="171" xr:uid="{00000000-0005-0000-0000-000075010000}"/>
    <cellStyle name="40 % - Akzent6 7 2" xfId="816" xr:uid="{00000000-0005-0000-0000-000076010000}"/>
    <cellStyle name="60 % - Akzent1 2" xfId="172" xr:uid="{00000000-0005-0000-0000-000077010000}"/>
    <cellStyle name="60 % - Akzent1 2 2" xfId="173" xr:uid="{00000000-0005-0000-0000-000078010000}"/>
    <cellStyle name="60 % - Akzent1 2 2 2" xfId="174" xr:uid="{00000000-0005-0000-0000-000079010000}"/>
    <cellStyle name="60 % - Akzent1 2 3" xfId="175" xr:uid="{00000000-0005-0000-0000-00007A010000}"/>
    <cellStyle name="60 % - Akzent1 2 4" xfId="176" xr:uid="{00000000-0005-0000-0000-00007B010000}"/>
    <cellStyle name="60 % - Akzent1 3" xfId="177" xr:uid="{00000000-0005-0000-0000-00007C010000}"/>
    <cellStyle name="60 % - Akzent1 4" xfId="178" xr:uid="{00000000-0005-0000-0000-00007D010000}"/>
    <cellStyle name="60 % - Akzent1 5" xfId="179" xr:uid="{00000000-0005-0000-0000-00007E010000}"/>
    <cellStyle name="60 % - Akzent1 6" xfId="180" xr:uid="{00000000-0005-0000-0000-00007F010000}"/>
    <cellStyle name="60 % - Akzent2 2" xfId="181" xr:uid="{00000000-0005-0000-0000-000080010000}"/>
    <cellStyle name="60 % - Akzent2 3" xfId="182" xr:uid="{00000000-0005-0000-0000-000081010000}"/>
    <cellStyle name="60 % - Akzent2 4" xfId="183" xr:uid="{00000000-0005-0000-0000-000082010000}"/>
    <cellStyle name="60 % - Akzent2 5" xfId="184" xr:uid="{00000000-0005-0000-0000-000083010000}"/>
    <cellStyle name="60 % - Akzent2 6" xfId="185" xr:uid="{00000000-0005-0000-0000-000084010000}"/>
    <cellStyle name="60 % - Akzent3 2" xfId="186" xr:uid="{00000000-0005-0000-0000-000085010000}"/>
    <cellStyle name="60 % - Akzent3 3" xfId="187" xr:uid="{00000000-0005-0000-0000-000086010000}"/>
    <cellStyle name="60 % - Akzent3 4" xfId="188" xr:uid="{00000000-0005-0000-0000-000087010000}"/>
    <cellStyle name="60 % - Akzent3 5" xfId="189" xr:uid="{00000000-0005-0000-0000-000088010000}"/>
    <cellStyle name="60 % - Akzent3 6" xfId="190" xr:uid="{00000000-0005-0000-0000-000089010000}"/>
    <cellStyle name="60 % - Akzent4 2" xfId="191" xr:uid="{00000000-0005-0000-0000-00008A010000}"/>
    <cellStyle name="60 % - Akzent4 2 2" xfId="192" xr:uid="{00000000-0005-0000-0000-00008B010000}"/>
    <cellStyle name="60 % - Akzent4 2 3" xfId="193" xr:uid="{00000000-0005-0000-0000-00008C010000}"/>
    <cellStyle name="60 % - Akzent4 2 3 2" xfId="194" xr:uid="{00000000-0005-0000-0000-00008D010000}"/>
    <cellStyle name="60 % - Akzent4 2 3 2 2" xfId="195" xr:uid="{00000000-0005-0000-0000-00008E010000}"/>
    <cellStyle name="60 % - Akzent4 2 3 3" xfId="196" xr:uid="{00000000-0005-0000-0000-00008F010000}"/>
    <cellStyle name="60 % - Akzent4 2 3 4" xfId="197" xr:uid="{00000000-0005-0000-0000-000090010000}"/>
    <cellStyle name="60 % - Akzent4 2 4" xfId="198" xr:uid="{00000000-0005-0000-0000-000091010000}"/>
    <cellStyle name="60 % - Akzent4 3" xfId="199" xr:uid="{00000000-0005-0000-0000-000092010000}"/>
    <cellStyle name="60 % - Akzent4 4" xfId="200" xr:uid="{00000000-0005-0000-0000-000093010000}"/>
    <cellStyle name="60 % - Akzent4 5" xfId="201" xr:uid="{00000000-0005-0000-0000-000094010000}"/>
    <cellStyle name="60 % - Akzent4 6" xfId="202" xr:uid="{00000000-0005-0000-0000-000095010000}"/>
    <cellStyle name="60 % - Akzent5 2" xfId="203" xr:uid="{00000000-0005-0000-0000-000096010000}"/>
    <cellStyle name="60 % - Akzent5 2 2" xfId="204" xr:uid="{00000000-0005-0000-0000-000097010000}"/>
    <cellStyle name="60 % - Akzent5 2 2 2" xfId="205" xr:uid="{00000000-0005-0000-0000-000098010000}"/>
    <cellStyle name="60 % - Akzent5 2 3" xfId="206" xr:uid="{00000000-0005-0000-0000-000099010000}"/>
    <cellStyle name="60 % - Akzent5 2 4" xfId="207" xr:uid="{00000000-0005-0000-0000-00009A010000}"/>
    <cellStyle name="60 % - Akzent5 3" xfId="208" xr:uid="{00000000-0005-0000-0000-00009B010000}"/>
    <cellStyle name="60 % - Akzent5 4" xfId="209" xr:uid="{00000000-0005-0000-0000-00009C010000}"/>
    <cellStyle name="60 % - Akzent5 5" xfId="210" xr:uid="{00000000-0005-0000-0000-00009D010000}"/>
    <cellStyle name="60 % - Akzent5 6" xfId="211" xr:uid="{00000000-0005-0000-0000-00009E010000}"/>
    <cellStyle name="60 % - Akzent6 2" xfId="212" xr:uid="{00000000-0005-0000-0000-00009F010000}"/>
    <cellStyle name="60 % - Akzent6 2 2" xfId="213" xr:uid="{00000000-0005-0000-0000-0000A0010000}"/>
    <cellStyle name="60 % - Akzent6 2 3" xfId="214" xr:uid="{00000000-0005-0000-0000-0000A1010000}"/>
    <cellStyle name="60 % - Akzent6 2 3 2" xfId="215" xr:uid="{00000000-0005-0000-0000-0000A2010000}"/>
    <cellStyle name="60 % - Akzent6 2 3 2 2" xfId="216" xr:uid="{00000000-0005-0000-0000-0000A3010000}"/>
    <cellStyle name="60 % - Akzent6 2 3 3" xfId="217" xr:uid="{00000000-0005-0000-0000-0000A4010000}"/>
    <cellStyle name="60 % - Akzent6 2 3 4" xfId="218" xr:uid="{00000000-0005-0000-0000-0000A5010000}"/>
    <cellStyle name="60 % - Akzent6 2 4" xfId="219" xr:uid="{00000000-0005-0000-0000-0000A6010000}"/>
    <cellStyle name="60 % - Akzent6 3" xfId="220" xr:uid="{00000000-0005-0000-0000-0000A7010000}"/>
    <cellStyle name="60 % - Akzent6 4" xfId="221" xr:uid="{00000000-0005-0000-0000-0000A8010000}"/>
    <cellStyle name="60 % - Akzent6 5" xfId="222" xr:uid="{00000000-0005-0000-0000-0000A9010000}"/>
    <cellStyle name="60 % - Akzent6 6" xfId="223" xr:uid="{00000000-0005-0000-0000-0000AA010000}"/>
    <cellStyle name="Accent1" xfId="246" xr:uid="{00000000-0005-0000-0000-0000AB010000}"/>
    <cellStyle name="Accent1 2" xfId="224" xr:uid="{00000000-0005-0000-0000-0000AC010000}"/>
    <cellStyle name="Accent1 3" xfId="225" xr:uid="{00000000-0005-0000-0000-0000AD010000}"/>
    <cellStyle name="Accent1 3 2" xfId="226" xr:uid="{00000000-0005-0000-0000-0000AE010000}"/>
    <cellStyle name="Accent1 3 3" xfId="817" xr:uid="{00000000-0005-0000-0000-0000AF010000}"/>
    <cellStyle name="Accent1 4" xfId="227" xr:uid="{00000000-0005-0000-0000-0000B0010000}"/>
    <cellStyle name="Accent1 4 2" xfId="819" xr:uid="{00000000-0005-0000-0000-0000B1010000}"/>
    <cellStyle name="Accent1 4 3" xfId="818" xr:uid="{00000000-0005-0000-0000-0000B2010000}"/>
    <cellStyle name="Accent1 5" xfId="228" xr:uid="{00000000-0005-0000-0000-0000B3010000}"/>
    <cellStyle name="Accent1 5 2" xfId="588" xr:uid="{00000000-0005-0000-0000-0000B4010000}"/>
    <cellStyle name="Accent1 6" xfId="229" xr:uid="{00000000-0005-0000-0000-0000B5010000}"/>
    <cellStyle name="Accent2" xfId="249" xr:uid="{00000000-0005-0000-0000-0000B6010000}"/>
    <cellStyle name="Accent2 2" xfId="230" xr:uid="{00000000-0005-0000-0000-0000B7010000}"/>
    <cellStyle name="Accent2 3" xfId="231" xr:uid="{00000000-0005-0000-0000-0000B8010000}"/>
    <cellStyle name="Accent2 4" xfId="232" xr:uid="{00000000-0005-0000-0000-0000B9010000}"/>
    <cellStyle name="Accent2 4 2" xfId="589" xr:uid="{00000000-0005-0000-0000-0000BA010000}"/>
    <cellStyle name="Accent2 5" xfId="233" xr:uid="{00000000-0005-0000-0000-0000BB010000}"/>
    <cellStyle name="Accent3" xfId="252" xr:uid="{00000000-0005-0000-0000-0000BC010000}"/>
    <cellStyle name="Accent3 2" xfId="234" xr:uid="{00000000-0005-0000-0000-0000BD010000}"/>
    <cellStyle name="Accent3 3" xfId="235" xr:uid="{00000000-0005-0000-0000-0000BE010000}"/>
    <cellStyle name="Accent4" xfId="255" xr:uid="{00000000-0005-0000-0000-0000BF010000}"/>
    <cellStyle name="Accent4 2" xfId="236" xr:uid="{00000000-0005-0000-0000-0000C0010000}"/>
    <cellStyle name="Accent4 3" xfId="237" xr:uid="{00000000-0005-0000-0000-0000C1010000}"/>
    <cellStyle name="Accent4 3 2" xfId="238" xr:uid="{00000000-0005-0000-0000-0000C2010000}"/>
    <cellStyle name="Accent4 3 3" xfId="820" xr:uid="{00000000-0005-0000-0000-0000C3010000}"/>
    <cellStyle name="Accent4 4" xfId="239" xr:uid="{00000000-0005-0000-0000-0000C4010000}"/>
    <cellStyle name="Accent4 4 2" xfId="822" xr:uid="{00000000-0005-0000-0000-0000C5010000}"/>
    <cellStyle name="Accent4 4 3" xfId="821" xr:uid="{00000000-0005-0000-0000-0000C6010000}"/>
    <cellStyle name="Accent4 5" xfId="240" xr:uid="{00000000-0005-0000-0000-0000C7010000}"/>
    <cellStyle name="Accent4 5 2" xfId="590" xr:uid="{00000000-0005-0000-0000-0000C8010000}"/>
    <cellStyle name="Accent4 6" xfId="241" xr:uid="{00000000-0005-0000-0000-0000C9010000}"/>
    <cellStyle name="Accent5" xfId="258" xr:uid="{00000000-0005-0000-0000-0000CA010000}"/>
    <cellStyle name="Accent5 2" xfId="242" xr:uid="{00000000-0005-0000-0000-0000CB010000}"/>
    <cellStyle name="Accent5 3" xfId="243" xr:uid="{00000000-0005-0000-0000-0000CC010000}"/>
    <cellStyle name="Accent6" xfId="261" xr:uid="{00000000-0005-0000-0000-0000CD010000}"/>
    <cellStyle name="Accent6 2" xfId="244" xr:uid="{00000000-0005-0000-0000-0000CE010000}"/>
    <cellStyle name="Accent6 3" xfId="245" xr:uid="{00000000-0005-0000-0000-0000CF010000}"/>
    <cellStyle name="Akzent1 2" xfId="247" xr:uid="{00000000-0005-0000-0000-0000D0010000}"/>
    <cellStyle name="Akzent1 3" xfId="248" xr:uid="{00000000-0005-0000-0000-0000D1010000}"/>
    <cellStyle name="Akzent1 4" xfId="823" xr:uid="{00000000-0005-0000-0000-0000D2010000}"/>
    <cellStyle name="Akzent1 5" xfId="824" xr:uid="{00000000-0005-0000-0000-0000D3010000}"/>
    <cellStyle name="Akzent2 2" xfId="250" xr:uid="{00000000-0005-0000-0000-0000D4010000}"/>
    <cellStyle name="Akzent2 3" xfId="251" xr:uid="{00000000-0005-0000-0000-0000D5010000}"/>
    <cellStyle name="Akzent2 4" xfId="825" xr:uid="{00000000-0005-0000-0000-0000D6010000}"/>
    <cellStyle name="Akzent2 5" xfId="826" xr:uid="{00000000-0005-0000-0000-0000D7010000}"/>
    <cellStyle name="Akzent3 2" xfId="253" xr:uid="{00000000-0005-0000-0000-0000D8010000}"/>
    <cellStyle name="Akzent3 3" xfId="254" xr:uid="{00000000-0005-0000-0000-0000D9010000}"/>
    <cellStyle name="Akzent3 4" xfId="827" xr:uid="{00000000-0005-0000-0000-0000DA010000}"/>
    <cellStyle name="Akzent4 2" xfId="256" xr:uid="{00000000-0005-0000-0000-0000DB010000}"/>
    <cellStyle name="Akzent4 3" xfId="257" xr:uid="{00000000-0005-0000-0000-0000DC010000}"/>
    <cellStyle name="Akzent4 4" xfId="828" xr:uid="{00000000-0005-0000-0000-0000DD010000}"/>
    <cellStyle name="Akzent4 5" xfId="829" xr:uid="{00000000-0005-0000-0000-0000DE010000}"/>
    <cellStyle name="Akzent5 2" xfId="259" xr:uid="{00000000-0005-0000-0000-0000DF010000}"/>
    <cellStyle name="Akzent5 3" xfId="260" xr:uid="{00000000-0005-0000-0000-0000E0010000}"/>
    <cellStyle name="Akzent5 4" xfId="830" xr:uid="{00000000-0005-0000-0000-0000E1010000}"/>
    <cellStyle name="Akzent6 2" xfId="262" xr:uid="{00000000-0005-0000-0000-0000E2010000}"/>
    <cellStyle name="Akzent6 3" xfId="263" xr:uid="{00000000-0005-0000-0000-0000E3010000}"/>
    <cellStyle name="Akzent6 4" xfId="831" xr:uid="{00000000-0005-0000-0000-0000E4010000}"/>
    <cellStyle name="Ausgabe 2" xfId="264" xr:uid="{00000000-0005-0000-0000-0000E5010000}"/>
    <cellStyle name="Ausgabe 2 2" xfId="265" xr:uid="{00000000-0005-0000-0000-0000E6010000}"/>
    <cellStyle name="Ausgabe 2 2 2" xfId="266" xr:uid="{00000000-0005-0000-0000-0000E7010000}"/>
    <cellStyle name="Ausgabe 2 2 3" xfId="267" xr:uid="{00000000-0005-0000-0000-0000E8010000}"/>
    <cellStyle name="Ausgabe 2 2 3 2" xfId="599" xr:uid="{00000000-0005-0000-0000-0000E9010000}"/>
    <cellStyle name="Ausgabe 2 2 3 3" xfId="835" xr:uid="{00000000-0005-0000-0000-0000EA010000}"/>
    <cellStyle name="Ausgabe 2 2 3 4" xfId="834" xr:uid="{00000000-0005-0000-0000-0000EB010000}"/>
    <cellStyle name="Ausgabe 2 2 4" xfId="833" xr:uid="{00000000-0005-0000-0000-0000EC010000}"/>
    <cellStyle name="Ausgabe 2 3" xfId="268" xr:uid="{00000000-0005-0000-0000-0000ED010000}"/>
    <cellStyle name="Ausgabe 2 3 2" xfId="269" xr:uid="{00000000-0005-0000-0000-0000EE010000}"/>
    <cellStyle name="Ausgabe 2 3 2 2" xfId="270" xr:uid="{00000000-0005-0000-0000-0000EF010000}"/>
    <cellStyle name="Ausgabe 2 3 3" xfId="271" xr:uid="{00000000-0005-0000-0000-0000F0010000}"/>
    <cellStyle name="Ausgabe 2 3 3 2" xfId="600" xr:uid="{00000000-0005-0000-0000-0000F1010000}"/>
    <cellStyle name="Ausgabe 2 3 3 3" xfId="837" xr:uid="{00000000-0005-0000-0000-0000F2010000}"/>
    <cellStyle name="Ausgabe 2 3 3 4" xfId="836" xr:uid="{00000000-0005-0000-0000-0000F3010000}"/>
    <cellStyle name="Ausgabe 2 3 4" xfId="272" xr:uid="{00000000-0005-0000-0000-0000F4010000}"/>
    <cellStyle name="Ausgabe 2 4" xfId="273" xr:uid="{00000000-0005-0000-0000-0000F5010000}"/>
    <cellStyle name="Ausgabe 2 5" xfId="274" xr:uid="{00000000-0005-0000-0000-0000F6010000}"/>
    <cellStyle name="Ausgabe 2 5 2" xfId="601" xr:uid="{00000000-0005-0000-0000-0000F7010000}"/>
    <cellStyle name="Ausgabe 2 5 3" xfId="839" xr:uid="{00000000-0005-0000-0000-0000F8010000}"/>
    <cellStyle name="Ausgabe 2 5 4" xfId="838" xr:uid="{00000000-0005-0000-0000-0000F9010000}"/>
    <cellStyle name="Ausgabe 2 6" xfId="832" xr:uid="{00000000-0005-0000-0000-0000FA010000}"/>
    <cellStyle name="Ausgabe 3" xfId="275" xr:uid="{00000000-0005-0000-0000-0000FB010000}"/>
    <cellStyle name="Ausgabe 3 2" xfId="276" xr:uid="{00000000-0005-0000-0000-0000FC010000}"/>
    <cellStyle name="Ausgabe 3 3" xfId="277" xr:uid="{00000000-0005-0000-0000-0000FD010000}"/>
    <cellStyle name="Ausgabe 3 3 2" xfId="602" xr:uid="{00000000-0005-0000-0000-0000FE010000}"/>
    <cellStyle name="Ausgabe 3 3 3" xfId="842" xr:uid="{00000000-0005-0000-0000-0000FF010000}"/>
    <cellStyle name="Ausgabe 3 3 4" xfId="841" xr:uid="{00000000-0005-0000-0000-000000020000}"/>
    <cellStyle name="Ausgabe 3 4" xfId="840" xr:uid="{00000000-0005-0000-0000-000001020000}"/>
    <cellStyle name="Ausgabe 4" xfId="278" xr:uid="{00000000-0005-0000-0000-000002020000}"/>
    <cellStyle name="Ausgabe 5" xfId="279" xr:uid="{00000000-0005-0000-0000-000003020000}"/>
    <cellStyle name="Ausgabe 6" xfId="280" xr:uid="{00000000-0005-0000-0000-000004020000}"/>
    <cellStyle name="Ausgabe 7" xfId="281" xr:uid="{00000000-0005-0000-0000-000005020000}"/>
    <cellStyle name="Ausgabe 7 2" xfId="282" xr:uid="{00000000-0005-0000-0000-000006020000}"/>
    <cellStyle name="Ausgabe 7 3" xfId="283" xr:uid="{00000000-0005-0000-0000-000007020000}"/>
    <cellStyle name="Ausgabe 7 3 2" xfId="284" xr:uid="{00000000-0005-0000-0000-000008020000}"/>
    <cellStyle name="Ausgabe 7 3 3" xfId="603" xr:uid="{00000000-0005-0000-0000-000009020000}"/>
    <cellStyle name="Ausgabe 7 3 4" xfId="844" xr:uid="{00000000-0005-0000-0000-00000A020000}"/>
    <cellStyle name="Ausgabe 7 3 5" xfId="843" xr:uid="{00000000-0005-0000-0000-00000B020000}"/>
    <cellStyle name="Ausgabe 7 4" xfId="285" xr:uid="{00000000-0005-0000-0000-00000C020000}"/>
    <cellStyle name="Ausgabe 8" xfId="286" xr:uid="{00000000-0005-0000-0000-00000D020000}"/>
    <cellStyle name="Ausgabe 8 2" xfId="287" xr:uid="{00000000-0005-0000-0000-00000E020000}"/>
    <cellStyle name="Bad" xfId="512" xr:uid="{00000000-0005-0000-0000-00000F020000}"/>
    <cellStyle name="Bad 2" xfId="288" xr:uid="{00000000-0005-0000-0000-000010020000}"/>
    <cellStyle name="Bad 2 2" xfId="845" xr:uid="{00000000-0005-0000-0000-000011020000}"/>
    <cellStyle name="Bad 3" xfId="289" xr:uid="{00000000-0005-0000-0000-000012020000}"/>
    <cellStyle name="Berechnung 2" xfId="290" xr:uid="{00000000-0005-0000-0000-000013020000}"/>
    <cellStyle name="Berechnung 2 2" xfId="291" xr:uid="{00000000-0005-0000-0000-000014020000}"/>
    <cellStyle name="Berechnung 2 3" xfId="292" xr:uid="{00000000-0005-0000-0000-000015020000}"/>
    <cellStyle name="Berechnung 2 3 2" xfId="293" xr:uid="{00000000-0005-0000-0000-000016020000}"/>
    <cellStyle name="Berechnung 2 3 2 2" xfId="294" xr:uid="{00000000-0005-0000-0000-000017020000}"/>
    <cellStyle name="Berechnung 2 3 3" xfId="295" xr:uid="{00000000-0005-0000-0000-000018020000}"/>
    <cellStyle name="Berechnung 2 3 4" xfId="296" xr:uid="{00000000-0005-0000-0000-000019020000}"/>
    <cellStyle name="Berechnung 2 4" xfId="297" xr:uid="{00000000-0005-0000-0000-00001A020000}"/>
    <cellStyle name="Berechnung 3" xfId="298" xr:uid="{00000000-0005-0000-0000-00001B020000}"/>
    <cellStyle name="Berechnung 4" xfId="299" xr:uid="{00000000-0005-0000-0000-00001C020000}"/>
    <cellStyle name="Berechnung 5" xfId="300" xr:uid="{00000000-0005-0000-0000-00001D020000}"/>
    <cellStyle name="Berechnung 6" xfId="301" xr:uid="{00000000-0005-0000-0000-00001E020000}"/>
    <cellStyle name="Berechnung 7" xfId="302" xr:uid="{00000000-0005-0000-0000-00001F020000}"/>
    <cellStyle name="Berechnung 7 2" xfId="303" xr:uid="{00000000-0005-0000-0000-000020020000}"/>
    <cellStyle name="Berechnung 7 3" xfId="304" xr:uid="{00000000-0005-0000-0000-000021020000}"/>
    <cellStyle name="Berechnung 8" xfId="305" xr:uid="{00000000-0005-0000-0000-000022020000}"/>
    <cellStyle name="Calculation 2" xfId="306" xr:uid="{00000000-0005-0000-0000-000023020000}"/>
    <cellStyle name="Check Cell" xfId="582" xr:uid="{00000000-0005-0000-0000-000024020000}"/>
    <cellStyle name="Check Cell 2" xfId="307" xr:uid="{00000000-0005-0000-0000-000025020000}"/>
    <cellStyle name="Check Cell 2 2" xfId="846" xr:uid="{00000000-0005-0000-0000-000026020000}"/>
    <cellStyle name="Check Cell 3" xfId="308" xr:uid="{00000000-0005-0000-0000-000027020000}"/>
    <cellStyle name="Check Cell 3 2" xfId="848" xr:uid="{00000000-0005-0000-0000-000028020000}"/>
    <cellStyle name="Check Cell 3 3" xfId="847" xr:uid="{00000000-0005-0000-0000-000029020000}"/>
    <cellStyle name="Check Cell 4" xfId="309" xr:uid="{00000000-0005-0000-0000-00002A020000}"/>
    <cellStyle name="Check Cell 4 2" xfId="850" xr:uid="{00000000-0005-0000-0000-00002B020000}"/>
    <cellStyle name="Check Cell 4 3" xfId="849" xr:uid="{00000000-0005-0000-0000-00002C020000}"/>
    <cellStyle name="Check Cell 5" xfId="851" xr:uid="{00000000-0005-0000-0000-00002D020000}"/>
    <cellStyle name="Comma 2" xfId="604" xr:uid="{00000000-0005-0000-0000-00002E020000}"/>
    <cellStyle name="Eingabe 2" xfId="310" xr:uid="{00000000-0005-0000-0000-00002F020000}"/>
    <cellStyle name="Eingabe 3" xfId="311" xr:uid="{00000000-0005-0000-0000-000030020000}"/>
    <cellStyle name="Eingabe 4" xfId="312" xr:uid="{00000000-0005-0000-0000-000031020000}"/>
    <cellStyle name="Eingabe 5" xfId="313" xr:uid="{00000000-0005-0000-0000-000032020000}"/>
    <cellStyle name="Eingabe 6" xfId="314" xr:uid="{00000000-0005-0000-0000-000033020000}"/>
    <cellStyle name="Eingabe 7" xfId="315" xr:uid="{00000000-0005-0000-0000-000034020000}"/>
    <cellStyle name="Ergebnis 2" xfId="316" xr:uid="{00000000-0005-0000-0000-000035020000}"/>
    <cellStyle name="Ergebnis 2 2" xfId="317" xr:uid="{00000000-0005-0000-0000-000036020000}"/>
    <cellStyle name="Ergebnis 2 2 2" xfId="318" xr:uid="{00000000-0005-0000-0000-000037020000}"/>
    <cellStyle name="Ergebnis 2 3" xfId="319" xr:uid="{00000000-0005-0000-0000-000038020000}"/>
    <cellStyle name="Ergebnis 2 4" xfId="320" xr:uid="{00000000-0005-0000-0000-000039020000}"/>
    <cellStyle name="Ergebnis 2 4 2" xfId="321" xr:uid="{00000000-0005-0000-0000-00003A020000}"/>
    <cellStyle name="Ergebnis 2 4 2 2" xfId="322" xr:uid="{00000000-0005-0000-0000-00003B020000}"/>
    <cellStyle name="Ergebnis 2 4 3" xfId="323" xr:uid="{00000000-0005-0000-0000-00003C020000}"/>
    <cellStyle name="Ergebnis 2 4 4" xfId="324" xr:uid="{00000000-0005-0000-0000-00003D020000}"/>
    <cellStyle name="Ergebnis 2 5" xfId="325" xr:uid="{00000000-0005-0000-0000-00003E020000}"/>
    <cellStyle name="Ergebnis 3" xfId="326" xr:uid="{00000000-0005-0000-0000-00003F020000}"/>
    <cellStyle name="Ergebnis 3 2" xfId="327" xr:uid="{00000000-0005-0000-0000-000040020000}"/>
    <cellStyle name="Ergebnis 4" xfId="328" xr:uid="{00000000-0005-0000-0000-000041020000}"/>
    <cellStyle name="Ergebnis 4 2" xfId="329" xr:uid="{00000000-0005-0000-0000-000042020000}"/>
    <cellStyle name="Ergebnis 5" xfId="330" xr:uid="{00000000-0005-0000-0000-000043020000}"/>
    <cellStyle name="Ergebnis 6" xfId="331" xr:uid="{00000000-0005-0000-0000-000044020000}"/>
    <cellStyle name="Ergebnis 7" xfId="332" xr:uid="{00000000-0005-0000-0000-000045020000}"/>
    <cellStyle name="Ergebnis 8" xfId="333" xr:uid="{00000000-0005-0000-0000-000046020000}"/>
    <cellStyle name="Ergebnis 8 2" xfId="334" xr:uid="{00000000-0005-0000-0000-000047020000}"/>
    <cellStyle name="Ergebnis 8 3" xfId="335" xr:uid="{00000000-0005-0000-0000-000048020000}"/>
    <cellStyle name="Ergebnis 9" xfId="336" xr:uid="{00000000-0005-0000-0000-000049020000}"/>
    <cellStyle name="Erklärender Text 2" xfId="337" xr:uid="{00000000-0005-0000-0000-00004A020000}"/>
    <cellStyle name="Erklärender Text 3" xfId="338" xr:uid="{00000000-0005-0000-0000-00004B020000}"/>
    <cellStyle name="Erklärender Text 4" xfId="339" xr:uid="{00000000-0005-0000-0000-00004C020000}"/>
    <cellStyle name="Erklärender Text 5" xfId="340" xr:uid="{00000000-0005-0000-0000-00004D020000}"/>
    <cellStyle name="Erklärender Text 6" xfId="341" xr:uid="{00000000-0005-0000-0000-00004E020000}"/>
    <cellStyle name="Good" xfId="344" xr:uid="{00000000-0005-0000-0000-00004F020000}"/>
    <cellStyle name="Good 2" xfId="342" xr:uid="{00000000-0005-0000-0000-000050020000}"/>
    <cellStyle name="Good 2 2" xfId="852" xr:uid="{00000000-0005-0000-0000-000051020000}"/>
    <cellStyle name="Good 3" xfId="343" xr:uid="{00000000-0005-0000-0000-000052020000}"/>
    <cellStyle name="Gut 2" xfId="345" xr:uid="{00000000-0005-0000-0000-000053020000}"/>
    <cellStyle name="Gut 3" xfId="346" xr:uid="{00000000-0005-0000-0000-000054020000}"/>
    <cellStyle name="Gut 4" xfId="853" xr:uid="{00000000-0005-0000-0000-000055020000}"/>
    <cellStyle name="Heading 1" xfId="556" xr:uid="{00000000-0005-0000-0000-000056020000}"/>
    <cellStyle name="Heading 1 2" xfId="347" xr:uid="{00000000-0005-0000-0000-000057020000}"/>
    <cellStyle name="Heading 1 2 2" xfId="348" xr:uid="{00000000-0005-0000-0000-000058020000}"/>
    <cellStyle name="Heading 1 2 2 2" xfId="856" xr:uid="{00000000-0005-0000-0000-000059020000}"/>
    <cellStyle name="Heading 1 2 2 3" xfId="855" xr:uid="{00000000-0005-0000-0000-00005A020000}"/>
    <cellStyle name="Heading 1 2 3" xfId="857" xr:uid="{00000000-0005-0000-0000-00005B020000}"/>
    <cellStyle name="Heading 1 2 4" xfId="854" xr:uid="{00000000-0005-0000-0000-00005C020000}"/>
    <cellStyle name="Heading 1 3" xfId="349" xr:uid="{00000000-0005-0000-0000-00005D020000}"/>
    <cellStyle name="Heading 1 3 2" xfId="859" xr:uid="{00000000-0005-0000-0000-00005E020000}"/>
    <cellStyle name="Heading 1 3 3" xfId="858" xr:uid="{00000000-0005-0000-0000-00005F020000}"/>
    <cellStyle name="Heading 1 4" xfId="350" xr:uid="{00000000-0005-0000-0000-000060020000}"/>
    <cellStyle name="Heading 1 4 2" xfId="592" xr:uid="{00000000-0005-0000-0000-000061020000}"/>
    <cellStyle name="Heading 1 5" xfId="351" xr:uid="{00000000-0005-0000-0000-000062020000}"/>
    <cellStyle name="Heading 2" xfId="559" xr:uid="{00000000-0005-0000-0000-000063020000}"/>
    <cellStyle name="Heading 2 2" xfId="352" xr:uid="{00000000-0005-0000-0000-000064020000}"/>
    <cellStyle name="Heading 2 2 2" xfId="353" xr:uid="{00000000-0005-0000-0000-000065020000}"/>
    <cellStyle name="Heading 2 2 2 2" xfId="862" xr:uid="{00000000-0005-0000-0000-000066020000}"/>
    <cellStyle name="Heading 2 2 2 3" xfId="861" xr:uid="{00000000-0005-0000-0000-000067020000}"/>
    <cellStyle name="Heading 2 2 3" xfId="863" xr:uid="{00000000-0005-0000-0000-000068020000}"/>
    <cellStyle name="Heading 2 2 4" xfId="1256" xr:uid="{00000000-0005-0000-0000-000069020000}"/>
    <cellStyle name="Heading 2 2 5" xfId="860" xr:uid="{00000000-0005-0000-0000-00006A020000}"/>
    <cellStyle name="Heading 2 3" xfId="354" xr:uid="{00000000-0005-0000-0000-00006B020000}"/>
    <cellStyle name="Heading 2 3 2" xfId="865" xr:uid="{00000000-0005-0000-0000-00006C020000}"/>
    <cellStyle name="Heading 2 3 3" xfId="864" xr:uid="{00000000-0005-0000-0000-00006D020000}"/>
    <cellStyle name="Heading 2 4" xfId="355" xr:uid="{00000000-0005-0000-0000-00006E020000}"/>
    <cellStyle name="Heading 2 4 2" xfId="593" xr:uid="{00000000-0005-0000-0000-00006F020000}"/>
    <cellStyle name="Heading 2 5" xfId="356" xr:uid="{00000000-0005-0000-0000-000070020000}"/>
    <cellStyle name="Heading 3" xfId="562" xr:uid="{00000000-0005-0000-0000-000071020000}"/>
    <cellStyle name="Heading 3 2" xfId="357" xr:uid="{00000000-0005-0000-0000-000072020000}"/>
    <cellStyle name="Heading 3 2 2" xfId="358" xr:uid="{00000000-0005-0000-0000-000073020000}"/>
    <cellStyle name="Heading 3 2 2 2" xfId="868" xr:uid="{00000000-0005-0000-0000-000074020000}"/>
    <cellStyle name="Heading 3 2 2 3" xfId="867" xr:uid="{00000000-0005-0000-0000-000075020000}"/>
    <cellStyle name="Heading 3 2 3" xfId="869" xr:uid="{00000000-0005-0000-0000-000076020000}"/>
    <cellStyle name="Heading 3 2 4" xfId="1257" xr:uid="{00000000-0005-0000-0000-000077020000}"/>
    <cellStyle name="Heading 3 2 5" xfId="866" xr:uid="{00000000-0005-0000-0000-000078020000}"/>
    <cellStyle name="Heading 3 3" xfId="359" xr:uid="{00000000-0005-0000-0000-000079020000}"/>
    <cellStyle name="Heading 3 3 2" xfId="871" xr:uid="{00000000-0005-0000-0000-00007A020000}"/>
    <cellStyle name="Heading 3 3 3" xfId="870" xr:uid="{00000000-0005-0000-0000-00007B020000}"/>
    <cellStyle name="Heading 3 4" xfId="360" xr:uid="{00000000-0005-0000-0000-00007C020000}"/>
    <cellStyle name="Heading 3 4 2" xfId="594" xr:uid="{00000000-0005-0000-0000-00007D020000}"/>
    <cellStyle name="Heading 3 5" xfId="361" xr:uid="{00000000-0005-0000-0000-00007E020000}"/>
    <cellStyle name="Heading 4" xfId="565" xr:uid="{00000000-0005-0000-0000-00007F020000}"/>
    <cellStyle name="Heading 4 2" xfId="362" xr:uid="{00000000-0005-0000-0000-000080020000}"/>
    <cellStyle name="Heading 4 2 2" xfId="363" xr:uid="{00000000-0005-0000-0000-000081020000}"/>
    <cellStyle name="Heading 4 2 2 2" xfId="874" xr:uid="{00000000-0005-0000-0000-000082020000}"/>
    <cellStyle name="Heading 4 2 2 3" xfId="873" xr:uid="{00000000-0005-0000-0000-000083020000}"/>
    <cellStyle name="Heading 4 2 3" xfId="875" xr:uid="{00000000-0005-0000-0000-000084020000}"/>
    <cellStyle name="Heading 4 2 4" xfId="872" xr:uid="{00000000-0005-0000-0000-000085020000}"/>
    <cellStyle name="Heading 4 3" xfId="364" xr:uid="{00000000-0005-0000-0000-000086020000}"/>
    <cellStyle name="Heading 4 3 2" xfId="877" xr:uid="{00000000-0005-0000-0000-000087020000}"/>
    <cellStyle name="Heading 4 3 3" xfId="876" xr:uid="{00000000-0005-0000-0000-000088020000}"/>
    <cellStyle name="Heading 4 4" xfId="365" xr:uid="{00000000-0005-0000-0000-000089020000}"/>
    <cellStyle name="Heading 4 4 2" xfId="595" xr:uid="{00000000-0005-0000-0000-00008A020000}"/>
    <cellStyle name="Heading 4 5" xfId="366" xr:uid="{00000000-0005-0000-0000-00008B020000}"/>
    <cellStyle name="Input 2" xfId="367" xr:uid="{00000000-0005-0000-0000-00008C020000}"/>
    <cellStyle name="Komma 2" xfId="591" xr:uid="{00000000-0005-0000-0000-00008D020000}"/>
    <cellStyle name="Komma 2 2" xfId="1263" xr:uid="{00000000-0005-0000-0000-00008E020000}"/>
    <cellStyle name="Linked Cell" xfId="570" xr:uid="{00000000-0005-0000-0000-00008F020000}"/>
    <cellStyle name="Linked Cell 2" xfId="368" xr:uid="{00000000-0005-0000-0000-000090020000}"/>
    <cellStyle name="Linked Cell 2 2" xfId="878" xr:uid="{00000000-0005-0000-0000-000091020000}"/>
    <cellStyle name="Linked Cell 3" xfId="369" xr:uid="{00000000-0005-0000-0000-000092020000}"/>
    <cellStyle name="Neutral" xfId="370" builtinId="28" customBuiltin="1"/>
    <cellStyle name="Normal" xfId="0" builtinId="0"/>
    <cellStyle name="Normal 2" xfId="371" xr:uid="{00000000-0005-0000-0000-000094020000}"/>
    <cellStyle name="Note" xfId="377" xr:uid="{00000000-0005-0000-0000-000095020000}"/>
    <cellStyle name="Note 2" xfId="372" xr:uid="{00000000-0005-0000-0000-000096020000}"/>
    <cellStyle name="Note 2 2" xfId="373" xr:uid="{00000000-0005-0000-0000-000097020000}"/>
    <cellStyle name="Note 3" xfId="374" xr:uid="{00000000-0005-0000-0000-000098020000}"/>
    <cellStyle name="Note 3 2" xfId="879" xr:uid="{00000000-0005-0000-0000-000099020000}"/>
    <cellStyle name="Note 4" xfId="375" xr:uid="{00000000-0005-0000-0000-00009A020000}"/>
    <cellStyle name="Note 4 2" xfId="881" xr:uid="{00000000-0005-0000-0000-00009B020000}"/>
    <cellStyle name="Note 4 3" xfId="880" xr:uid="{00000000-0005-0000-0000-00009C020000}"/>
    <cellStyle name="Note 5" xfId="376" xr:uid="{00000000-0005-0000-0000-00009D020000}"/>
    <cellStyle name="Note 5 2" xfId="605" xr:uid="{00000000-0005-0000-0000-00009E020000}"/>
    <cellStyle name="Note 5 2 2" xfId="883" xr:uid="{00000000-0005-0000-0000-00009F020000}"/>
    <cellStyle name="Note 5 2 3" xfId="882" xr:uid="{00000000-0005-0000-0000-0000A0020000}"/>
    <cellStyle name="Note 6" xfId="884" xr:uid="{00000000-0005-0000-0000-0000A1020000}"/>
    <cellStyle name="Notiz 10" xfId="885" xr:uid="{00000000-0005-0000-0000-0000A2020000}"/>
    <cellStyle name="Notiz 2" xfId="378" xr:uid="{00000000-0005-0000-0000-0000A3020000}"/>
    <cellStyle name="Notiz 2 2" xfId="379" xr:uid="{00000000-0005-0000-0000-0000A4020000}"/>
    <cellStyle name="Notiz 2 2 2" xfId="380" xr:uid="{00000000-0005-0000-0000-0000A5020000}"/>
    <cellStyle name="Notiz 2 2 2 2" xfId="381" xr:uid="{00000000-0005-0000-0000-0000A6020000}"/>
    <cellStyle name="Notiz 2 2 2 2 2" xfId="382" xr:uid="{00000000-0005-0000-0000-0000A7020000}"/>
    <cellStyle name="Notiz 2 2 2 2 2 2" xfId="886" xr:uid="{00000000-0005-0000-0000-0000A8020000}"/>
    <cellStyle name="Notiz 2 2 2 2 2 3" xfId="887" xr:uid="{00000000-0005-0000-0000-0000A9020000}"/>
    <cellStyle name="Notiz 2 2 2 2 2 4" xfId="888" xr:uid="{00000000-0005-0000-0000-0000AA020000}"/>
    <cellStyle name="Notiz 2 2 2 2 3" xfId="889" xr:uid="{00000000-0005-0000-0000-0000AB020000}"/>
    <cellStyle name="Notiz 2 2 2 2 4" xfId="890" xr:uid="{00000000-0005-0000-0000-0000AC020000}"/>
    <cellStyle name="Notiz 2 2 2 2 5" xfId="891" xr:uid="{00000000-0005-0000-0000-0000AD020000}"/>
    <cellStyle name="Notiz 2 2 2 3" xfId="383" xr:uid="{00000000-0005-0000-0000-0000AE020000}"/>
    <cellStyle name="Notiz 2 2 2 3 2" xfId="892" xr:uid="{00000000-0005-0000-0000-0000AF020000}"/>
    <cellStyle name="Notiz 2 2 2 3 3" xfId="893" xr:uid="{00000000-0005-0000-0000-0000B0020000}"/>
    <cellStyle name="Notiz 2 2 2 3 4" xfId="894" xr:uid="{00000000-0005-0000-0000-0000B1020000}"/>
    <cellStyle name="Notiz 2 2 2 4" xfId="895" xr:uid="{00000000-0005-0000-0000-0000B2020000}"/>
    <cellStyle name="Notiz 2 2 2 5" xfId="896" xr:uid="{00000000-0005-0000-0000-0000B3020000}"/>
    <cellStyle name="Notiz 2 2 2 6" xfId="897" xr:uid="{00000000-0005-0000-0000-0000B4020000}"/>
    <cellStyle name="Notiz 2 2 3" xfId="384" xr:uid="{00000000-0005-0000-0000-0000B5020000}"/>
    <cellStyle name="Notiz 2 2 3 2" xfId="385" xr:uid="{00000000-0005-0000-0000-0000B6020000}"/>
    <cellStyle name="Notiz 2 2 3 2 2" xfId="898" xr:uid="{00000000-0005-0000-0000-0000B7020000}"/>
    <cellStyle name="Notiz 2 2 3 2 3" xfId="899" xr:uid="{00000000-0005-0000-0000-0000B8020000}"/>
    <cellStyle name="Notiz 2 2 3 2 4" xfId="900" xr:uid="{00000000-0005-0000-0000-0000B9020000}"/>
    <cellStyle name="Notiz 2 2 3 3" xfId="901" xr:uid="{00000000-0005-0000-0000-0000BA020000}"/>
    <cellStyle name="Notiz 2 2 3 4" xfId="902" xr:uid="{00000000-0005-0000-0000-0000BB020000}"/>
    <cellStyle name="Notiz 2 2 3 5" xfId="903" xr:uid="{00000000-0005-0000-0000-0000BC020000}"/>
    <cellStyle name="Notiz 2 2 4" xfId="386" xr:uid="{00000000-0005-0000-0000-0000BD020000}"/>
    <cellStyle name="Notiz 2 2 4 2" xfId="387" xr:uid="{00000000-0005-0000-0000-0000BE020000}"/>
    <cellStyle name="Notiz 2 2 4 2 2" xfId="904" xr:uid="{00000000-0005-0000-0000-0000BF020000}"/>
    <cellStyle name="Notiz 2 2 4 3" xfId="388" xr:uid="{00000000-0005-0000-0000-0000C0020000}"/>
    <cellStyle name="Notiz 2 2 4 3 2" xfId="389" xr:uid="{00000000-0005-0000-0000-0000C1020000}"/>
    <cellStyle name="Notiz 2 2 4 3 2 2" xfId="906" xr:uid="{00000000-0005-0000-0000-0000C2020000}"/>
    <cellStyle name="Notiz 2 2 4 3 3" xfId="390" xr:uid="{00000000-0005-0000-0000-0000C3020000}"/>
    <cellStyle name="Notiz 2 2 4 3 3 2" xfId="907" xr:uid="{00000000-0005-0000-0000-0000C4020000}"/>
    <cellStyle name="Notiz 2 2 4 3 4" xfId="391" xr:uid="{00000000-0005-0000-0000-0000C5020000}"/>
    <cellStyle name="Notiz 2 2 4 3 5" xfId="905" xr:uid="{00000000-0005-0000-0000-0000C6020000}"/>
    <cellStyle name="Notiz 2 2 4 4" xfId="392" xr:uid="{00000000-0005-0000-0000-0000C7020000}"/>
    <cellStyle name="Notiz 2 2 4 4 2" xfId="606" xr:uid="{00000000-0005-0000-0000-0000C8020000}"/>
    <cellStyle name="Notiz 2 2 4 4 2 2" xfId="909" xr:uid="{00000000-0005-0000-0000-0000C9020000}"/>
    <cellStyle name="Notiz 2 2 4 4 2 3" xfId="908" xr:uid="{00000000-0005-0000-0000-0000CA020000}"/>
    <cellStyle name="Notiz 2 2 4 5" xfId="910" xr:uid="{00000000-0005-0000-0000-0000CB020000}"/>
    <cellStyle name="Notiz 2 2 5" xfId="393" xr:uid="{00000000-0005-0000-0000-0000CC020000}"/>
    <cellStyle name="Notiz 2 2 5 2" xfId="394" xr:uid="{00000000-0005-0000-0000-0000CD020000}"/>
    <cellStyle name="Notiz 2 2 5 2 2" xfId="912" xr:uid="{00000000-0005-0000-0000-0000CE020000}"/>
    <cellStyle name="Notiz 2 2 5 3" xfId="395" xr:uid="{00000000-0005-0000-0000-0000CF020000}"/>
    <cellStyle name="Notiz 2 2 5 3 2" xfId="913" xr:uid="{00000000-0005-0000-0000-0000D0020000}"/>
    <cellStyle name="Notiz 2 2 5 4" xfId="396" xr:uid="{00000000-0005-0000-0000-0000D1020000}"/>
    <cellStyle name="Notiz 2 2 5 4 2" xfId="607" xr:uid="{00000000-0005-0000-0000-0000D2020000}"/>
    <cellStyle name="Notiz 2 2 5 4 3" xfId="915" xr:uid="{00000000-0005-0000-0000-0000D3020000}"/>
    <cellStyle name="Notiz 2 2 5 4 4" xfId="914" xr:uid="{00000000-0005-0000-0000-0000D4020000}"/>
    <cellStyle name="Notiz 2 2 5 5" xfId="916" xr:uid="{00000000-0005-0000-0000-0000D5020000}"/>
    <cellStyle name="Notiz 2 2 5 6" xfId="911" xr:uid="{00000000-0005-0000-0000-0000D6020000}"/>
    <cellStyle name="Notiz 2 2 6" xfId="917" xr:uid="{00000000-0005-0000-0000-0000D7020000}"/>
    <cellStyle name="Notiz 2 3" xfId="397" xr:uid="{00000000-0005-0000-0000-0000D8020000}"/>
    <cellStyle name="Notiz 2 3 2" xfId="398" xr:uid="{00000000-0005-0000-0000-0000D9020000}"/>
    <cellStyle name="Notiz 2 3 2 2" xfId="399" xr:uid="{00000000-0005-0000-0000-0000DA020000}"/>
    <cellStyle name="Notiz 2 3 2 2 2" xfId="918" xr:uid="{00000000-0005-0000-0000-0000DB020000}"/>
    <cellStyle name="Notiz 2 3 2 2 3" xfId="919" xr:uid="{00000000-0005-0000-0000-0000DC020000}"/>
    <cellStyle name="Notiz 2 3 2 2 4" xfId="920" xr:uid="{00000000-0005-0000-0000-0000DD020000}"/>
    <cellStyle name="Notiz 2 3 2 3" xfId="921" xr:uid="{00000000-0005-0000-0000-0000DE020000}"/>
    <cellStyle name="Notiz 2 3 2 4" xfId="922" xr:uid="{00000000-0005-0000-0000-0000DF020000}"/>
    <cellStyle name="Notiz 2 3 2 5" xfId="923" xr:uid="{00000000-0005-0000-0000-0000E0020000}"/>
    <cellStyle name="Notiz 2 3 3" xfId="400" xr:uid="{00000000-0005-0000-0000-0000E1020000}"/>
    <cellStyle name="Notiz 2 3 3 2" xfId="924" xr:uid="{00000000-0005-0000-0000-0000E2020000}"/>
    <cellStyle name="Notiz 2 3 3 3" xfId="925" xr:uid="{00000000-0005-0000-0000-0000E3020000}"/>
    <cellStyle name="Notiz 2 3 3 4" xfId="926" xr:uid="{00000000-0005-0000-0000-0000E4020000}"/>
    <cellStyle name="Notiz 2 3 4" xfId="927" xr:uid="{00000000-0005-0000-0000-0000E5020000}"/>
    <cellStyle name="Notiz 2 3 5" xfId="928" xr:uid="{00000000-0005-0000-0000-0000E6020000}"/>
    <cellStyle name="Notiz 2 3 6" xfId="929" xr:uid="{00000000-0005-0000-0000-0000E7020000}"/>
    <cellStyle name="Notiz 2 4" xfId="401" xr:uid="{00000000-0005-0000-0000-0000E8020000}"/>
    <cellStyle name="Notiz 2 4 2" xfId="402" xr:uid="{00000000-0005-0000-0000-0000E9020000}"/>
    <cellStyle name="Notiz 2 4 2 2" xfId="930" xr:uid="{00000000-0005-0000-0000-0000EA020000}"/>
    <cellStyle name="Notiz 2 4 2 3" xfId="931" xr:uid="{00000000-0005-0000-0000-0000EB020000}"/>
    <cellStyle name="Notiz 2 4 2 4" xfId="932" xr:uid="{00000000-0005-0000-0000-0000EC020000}"/>
    <cellStyle name="Notiz 2 4 3" xfId="933" xr:uid="{00000000-0005-0000-0000-0000ED020000}"/>
    <cellStyle name="Notiz 2 4 4" xfId="934" xr:uid="{00000000-0005-0000-0000-0000EE020000}"/>
    <cellStyle name="Notiz 2 4 5" xfId="935" xr:uid="{00000000-0005-0000-0000-0000EF020000}"/>
    <cellStyle name="Notiz 2 5" xfId="403" xr:uid="{00000000-0005-0000-0000-0000F0020000}"/>
    <cellStyle name="Notiz 2 5 2" xfId="936" xr:uid="{00000000-0005-0000-0000-0000F1020000}"/>
    <cellStyle name="Notiz 2 5 3" xfId="937" xr:uid="{00000000-0005-0000-0000-0000F2020000}"/>
    <cellStyle name="Notiz 2 5 4" xfId="938" xr:uid="{00000000-0005-0000-0000-0000F3020000}"/>
    <cellStyle name="Notiz 2 6" xfId="939" xr:uid="{00000000-0005-0000-0000-0000F4020000}"/>
    <cellStyle name="Notiz 2 7" xfId="940" xr:uid="{00000000-0005-0000-0000-0000F5020000}"/>
    <cellStyle name="Notiz 2 8" xfId="941" xr:uid="{00000000-0005-0000-0000-0000F6020000}"/>
    <cellStyle name="Notiz 3" xfId="404" xr:uid="{00000000-0005-0000-0000-0000F7020000}"/>
    <cellStyle name="Notiz 3 2" xfId="405" xr:uid="{00000000-0005-0000-0000-0000F8020000}"/>
    <cellStyle name="Notiz 3 2 2" xfId="406" xr:uid="{00000000-0005-0000-0000-0000F9020000}"/>
    <cellStyle name="Notiz 3 2 2 2" xfId="407" xr:uid="{00000000-0005-0000-0000-0000FA020000}"/>
    <cellStyle name="Notiz 3 2 2 2 2" xfId="942" xr:uid="{00000000-0005-0000-0000-0000FB020000}"/>
    <cellStyle name="Notiz 3 2 2 2 3" xfId="943" xr:uid="{00000000-0005-0000-0000-0000FC020000}"/>
    <cellStyle name="Notiz 3 2 2 2 4" xfId="944" xr:uid="{00000000-0005-0000-0000-0000FD020000}"/>
    <cellStyle name="Notiz 3 2 2 3" xfId="945" xr:uid="{00000000-0005-0000-0000-0000FE020000}"/>
    <cellStyle name="Notiz 3 2 2 4" xfId="946" xr:uid="{00000000-0005-0000-0000-0000FF020000}"/>
    <cellStyle name="Notiz 3 2 2 5" xfId="947" xr:uid="{00000000-0005-0000-0000-000000030000}"/>
    <cellStyle name="Notiz 3 2 3" xfId="408" xr:uid="{00000000-0005-0000-0000-000001030000}"/>
    <cellStyle name="Notiz 3 2 3 2" xfId="948" xr:uid="{00000000-0005-0000-0000-000002030000}"/>
    <cellStyle name="Notiz 3 2 3 3" xfId="949" xr:uid="{00000000-0005-0000-0000-000003030000}"/>
    <cellStyle name="Notiz 3 2 3 4" xfId="950" xr:uid="{00000000-0005-0000-0000-000004030000}"/>
    <cellStyle name="Notiz 3 2 4" xfId="951" xr:uid="{00000000-0005-0000-0000-000005030000}"/>
    <cellStyle name="Notiz 3 2 5" xfId="952" xr:uid="{00000000-0005-0000-0000-000006030000}"/>
    <cellStyle name="Notiz 3 2 6" xfId="953" xr:uid="{00000000-0005-0000-0000-000007030000}"/>
    <cellStyle name="Notiz 3 3" xfId="409" xr:uid="{00000000-0005-0000-0000-000008030000}"/>
    <cellStyle name="Notiz 3 3 2" xfId="410" xr:uid="{00000000-0005-0000-0000-000009030000}"/>
    <cellStyle name="Notiz 3 3 2 2" xfId="954" xr:uid="{00000000-0005-0000-0000-00000A030000}"/>
    <cellStyle name="Notiz 3 3 2 3" xfId="955" xr:uid="{00000000-0005-0000-0000-00000B030000}"/>
    <cellStyle name="Notiz 3 3 2 4" xfId="956" xr:uid="{00000000-0005-0000-0000-00000C030000}"/>
    <cellStyle name="Notiz 3 3 3" xfId="957" xr:uid="{00000000-0005-0000-0000-00000D030000}"/>
    <cellStyle name="Notiz 3 3 4" xfId="958" xr:uid="{00000000-0005-0000-0000-00000E030000}"/>
    <cellStyle name="Notiz 3 3 5" xfId="959" xr:uid="{00000000-0005-0000-0000-00000F030000}"/>
    <cellStyle name="Notiz 3 4" xfId="411" xr:uid="{00000000-0005-0000-0000-000010030000}"/>
    <cellStyle name="Notiz 3 4 2" xfId="960" xr:uid="{00000000-0005-0000-0000-000011030000}"/>
    <cellStyle name="Notiz 3 4 3" xfId="961" xr:uid="{00000000-0005-0000-0000-000012030000}"/>
    <cellStyle name="Notiz 3 4 4" xfId="962" xr:uid="{00000000-0005-0000-0000-000013030000}"/>
    <cellStyle name="Notiz 3 5" xfId="963" xr:uid="{00000000-0005-0000-0000-000014030000}"/>
    <cellStyle name="Notiz 3 6" xfId="964" xr:uid="{00000000-0005-0000-0000-000015030000}"/>
    <cellStyle name="Notiz 3 7" xfId="965" xr:uid="{00000000-0005-0000-0000-000016030000}"/>
    <cellStyle name="Notiz 4" xfId="412" xr:uid="{00000000-0005-0000-0000-000017030000}"/>
    <cellStyle name="Notiz 4 2" xfId="413" xr:uid="{00000000-0005-0000-0000-000018030000}"/>
    <cellStyle name="Notiz 4 2 2" xfId="414" xr:uid="{00000000-0005-0000-0000-000019030000}"/>
    <cellStyle name="Notiz 4 2 2 2" xfId="966" xr:uid="{00000000-0005-0000-0000-00001A030000}"/>
    <cellStyle name="Notiz 4 2 2 3" xfId="967" xr:uid="{00000000-0005-0000-0000-00001B030000}"/>
    <cellStyle name="Notiz 4 2 2 4" xfId="968" xr:uid="{00000000-0005-0000-0000-00001C030000}"/>
    <cellStyle name="Notiz 4 2 3" xfId="969" xr:uid="{00000000-0005-0000-0000-00001D030000}"/>
    <cellStyle name="Notiz 4 2 4" xfId="970" xr:uid="{00000000-0005-0000-0000-00001E030000}"/>
    <cellStyle name="Notiz 4 2 5" xfId="971" xr:uid="{00000000-0005-0000-0000-00001F030000}"/>
    <cellStyle name="Notiz 4 3" xfId="415" xr:uid="{00000000-0005-0000-0000-000020030000}"/>
    <cellStyle name="Notiz 4 3 2" xfId="972" xr:uid="{00000000-0005-0000-0000-000021030000}"/>
    <cellStyle name="Notiz 4 3 3" xfId="973" xr:uid="{00000000-0005-0000-0000-000022030000}"/>
    <cellStyle name="Notiz 4 3 4" xfId="974" xr:uid="{00000000-0005-0000-0000-000023030000}"/>
    <cellStyle name="Notiz 4 4" xfId="975" xr:uid="{00000000-0005-0000-0000-000024030000}"/>
    <cellStyle name="Notiz 4 5" xfId="976" xr:uid="{00000000-0005-0000-0000-000025030000}"/>
    <cellStyle name="Notiz 4 6" xfId="977" xr:uid="{00000000-0005-0000-0000-000026030000}"/>
    <cellStyle name="Notiz 5" xfId="416" xr:uid="{00000000-0005-0000-0000-000027030000}"/>
    <cellStyle name="Notiz 5 2" xfId="417" xr:uid="{00000000-0005-0000-0000-000028030000}"/>
    <cellStyle name="Notiz 5 2 2" xfId="418" xr:uid="{00000000-0005-0000-0000-000029030000}"/>
    <cellStyle name="Notiz 5 2 2 2" xfId="978" xr:uid="{00000000-0005-0000-0000-00002A030000}"/>
    <cellStyle name="Notiz 5 2 2 3" xfId="979" xr:uid="{00000000-0005-0000-0000-00002B030000}"/>
    <cellStyle name="Notiz 5 2 2 4" xfId="980" xr:uid="{00000000-0005-0000-0000-00002C030000}"/>
    <cellStyle name="Notiz 5 2 3" xfId="981" xr:uid="{00000000-0005-0000-0000-00002D030000}"/>
    <cellStyle name="Notiz 5 2 4" xfId="982" xr:uid="{00000000-0005-0000-0000-00002E030000}"/>
    <cellStyle name="Notiz 5 2 5" xfId="983" xr:uid="{00000000-0005-0000-0000-00002F030000}"/>
    <cellStyle name="Notiz 5 3" xfId="419" xr:uid="{00000000-0005-0000-0000-000030030000}"/>
    <cellStyle name="Notiz 5 3 2" xfId="984" xr:uid="{00000000-0005-0000-0000-000031030000}"/>
    <cellStyle name="Notiz 5 3 3" xfId="985" xr:uid="{00000000-0005-0000-0000-000032030000}"/>
    <cellStyle name="Notiz 5 3 4" xfId="986" xr:uid="{00000000-0005-0000-0000-000033030000}"/>
    <cellStyle name="Notiz 5 4" xfId="987" xr:uid="{00000000-0005-0000-0000-000034030000}"/>
    <cellStyle name="Notiz 5 5" xfId="988" xr:uid="{00000000-0005-0000-0000-000035030000}"/>
    <cellStyle name="Notiz 5 6" xfId="989" xr:uid="{00000000-0005-0000-0000-000036030000}"/>
    <cellStyle name="Notiz 6" xfId="420" xr:uid="{00000000-0005-0000-0000-000037030000}"/>
    <cellStyle name="Notiz 6 2" xfId="421" xr:uid="{00000000-0005-0000-0000-000038030000}"/>
    <cellStyle name="Notiz 6 2 2" xfId="990" xr:uid="{00000000-0005-0000-0000-000039030000}"/>
    <cellStyle name="Notiz 6 2 3" xfId="991" xr:uid="{00000000-0005-0000-0000-00003A030000}"/>
    <cellStyle name="Notiz 6 2 4" xfId="992" xr:uid="{00000000-0005-0000-0000-00003B030000}"/>
    <cellStyle name="Notiz 6 3" xfId="993" xr:uid="{00000000-0005-0000-0000-00003C030000}"/>
    <cellStyle name="Notiz 6 4" xfId="994" xr:uid="{00000000-0005-0000-0000-00003D030000}"/>
    <cellStyle name="Notiz 6 5" xfId="995" xr:uid="{00000000-0005-0000-0000-00003E030000}"/>
    <cellStyle name="Notiz 7" xfId="422" xr:uid="{00000000-0005-0000-0000-00003F030000}"/>
    <cellStyle name="Notiz 7 2" xfId="996" xr:uid="{00000000-0005-0000-0000-000040030000}"/>
    <cellStyle name="Notiz 7 3" xfId="997" xr:uid="{00000000-0005-0000-0000-000041030000}"/>
    <cellStyle name="Notiz 7 4" xfId="998" xr:uid="{00000000-0005-0000-0000-000042030000}"/>
    <cellStyle name="Notiz 8" xfId="423" xr:uid="{00000000-0005-0000-0000-000043030000}"/>
    <cellStyle name="Notiz 8 2" xfId="999" xr:uid="{00000000-0005-0000-0000-000044030000}"/>
    <cellStyle name="Notiz 9" xfId="1000" xr:uid="{00000000-0005-0000-0000-000045030000}"/>
    <cellStyle name="Output 2" xfId="424" xr:uid="{00000000-0005-0000-0000-000046030000}"/>
    <cellStyle name="Percent" xfId="425" builtinId="5"/>
    <cellStyle name="Percent 2" xfId="426" xr:uid="{00000000-0005-0000-0000-000047030000}"/>
    <cellStyle name="Prozent 10" xfId="427" xr:uid="{00000000-0005-0000-0000-000049030000}"/>
    <cellStyle name="Prozent 10 2" xfId="428" xr:uid="{00000000-0005-0000-0000-00004A030000}"/>
    <cellStyle name="Prozent 10 2 2" xfId="1001" xr:uid="{00000000-0005-0000-0000-00004B030000}"/>
    <cellStyle name="Prozent 10 3" xfId="429" xr:uid="{00000000-0005-0000-0000-00004C030000}"/>
    <cellStyle name="Prozent 10 3 2" xfId="1003" xr:uid="{00000000-0005-0000-0000-00004D030000}"/>
    <cellStyle name="Prozent 10 3 3" xfId="1002" xr:uid="{00000000-0005-0000-0000-00004E030000}"/>
    <cellStyle name="Prozent 10 4" xfId="430" xr:uid="{00000000-0005-0000-0000-00004F030000}"/>
    <cellStyle name="Prozent 10 4 2" xfId="608" xr:uid="{00000000-0005-0000-0000-000050030000}"/>
    <cellStyle name="Prozent 10 4 3" xfId="1005" xr:uid="{00000000-0005-0000-0000-000051030000}"/>
    <cellStyle name="Prozent 10 4 4" xfId="1004" xr:uid="{00000000-0005-0000-0000-000052030000}"/>
    <cellStyle name="Prozent 10 5" xfId="1006" xr:uid="{00000000-0005-0000-0000-000053030000}"/>
    <cellStyle name="Prozent 11" xfId="431" xr:uid="{00000000-0005-0000-0000-000054030000}"/>
    <cellStyle name="Prozent 11 2" xfId="1007" xr:uid="{00000000-0005-0000-0000-000055030000}"/>
    <cellStyle name="Prozent 12" xfId="432" xr:uid="{00000000-0005-0000-0000-000056030000}"/>
    <cellStyle name="Prozent 12 2" xfId="1008" xr:uid="{00000000-0005-0000-0000-000057030000}"/>
    <cellStyle name="Prozent 13" xfId="1009" xr:uid="{00000000-0005-0000-0000-000058030000}"/>
    <cellStyle name="Prozent 14" xfId="1010" xr:uid="{00000000-0005-0000-0000-000059030000}"/>
    <cellStyle name="Prozent 15" xfId="1255" xr:uid="{00000000-0005-0000-0000-00005A030000}"/>
    <cellStyle name="Prozent 2" xfId="433" xr:uid="{00000000-0005-0000-0000-00005B030000}"/>
    <cellStyle name="Prozent 3" xfId="434" xr:uid="{00000000-0005-0000-0000-00005C030000}"/>
    <cellStyle name="Prozent 3 2" xfId="435" xr:uid="{00000000-0005-0000-0000-00005D030000}"/>
    <cellStyle name="Prozent 3 2 2" xfId="436" xr:uid="{00000000-0005-0000-0000-00005E030000}"/>
    <cellStyle name="Prozent 3 2 2 2" xfId="437" xr:uid="{00000000-0005-0000-0000-00005F030000}"/>
    <cellStyle name="Prozent 3 2 2 2 2" xfId="438" xr:uid="{00000000-0005-0000-0000-000060030000}"/>
    <cellStyle name="Prozent 3 2 2 2 2 2" xfId="1011" xr:uid="{00000000-0005-0000-0000-000061030000}"/>
    <cellStyle name="Prozent 3 2 2 2 2 3" xfId="1012" xr:uid="{00000000-0005-0000-0000-000062030000}"/>
    <cellStyle name="Prozent 3 2 2 2 2 4" xfId="1013" xr:uid="{00000000-0005-0000-0000-000063030000}"/>
    <cellStyle name="Prozent 3 2 2 2 3" xfId="1014" xr:uid="{00000000-0005-0000-0000-000064030000}"/>
    <cellStyle name="Prozent 3 2 2 2 4" xfId="1015" xr:uid="{00000000-0005-0000-0000-000065030000}"/>
    <cellStyle name="Prozent 3 2 2 2 5" xfId="1016" xr:uid="{00000000-0005-0000-0000-000066030000}"/>
    <cellStyle name="Prozent 3 2 2 3" xfId="439" xr:uid="{00000000-0005-0000-0000-000067030000}"/>
    <cellStyle name="Prozent 3 2 2 3 2" xfId="1017" xr:uid="{00000000-0005-0000-0000-000068030000}"/>
    <cellStyle name="Prozent 3 2 2 3 3" xfId="1018" xr:uid="{00000000-0005-0000-0000-000069030000}"/>
    <cellStyle name="Prozent 3 2 2 3 4" xfId="1019" xr:uid="{00000000-0005-0000-0000-00006A030000}"/>
    <cellStyle name="Prozent 3 2 2 4" xfId="1020" xr:uid="{00000000-0005-0000-0000-00006B030000}"/>
    <cellStyle name="Prozent 3 2 2 5" xfId="1021" xr:uid="{00000000-0005-0000-0000-00006C030000}"/>
    <cellStyle name="Prozent 3 2 2 6" xfId="1022" xr:uid="{00000000-0005-0000-0000-00006D030000}"/>
    <cellStyle name="Prozent 3 2 3" xfId="440" xr:uid="{00000000-0005-0000-0000-00006E030000}"/>
    <cellStyle name="Prozent 3 2 3 2" xfId="441" xr:uid="{00000000-0005-0000-0000-00006F030000}"/>
    <cellStyle name="Prozent 3 2 3 2 2" xfId="1023" xr:uid="{00000000-0005-0000-0000-000070030000}"/>
    <cellStyle name="Prozent 3 2 3 2 3" xfId="1024" xr:uid="{00000000-0005-0000-0000-000071030000}"/>
    <cellStyle name="Prozent 3 2 3 2 4" xfId="1025" xr:uid="{00000000-0005-0000-0000-000072030000}"/>
    <cellStyle name="Prozent 3 2 3 3" xfId="1026" xr:uid="{00000000-0005-0000-0000-000073030000}"/>
    <cellStyle name="Prozent 3 2 3 4" xfId="1027" xr:uid="{00000000-0005-0000-0000-000074030000}"/>
    <cellStyle name="Prozent 3 2 3 5" xfId="1028" xr:uid="{00000000-0005-0000-0000-000075030000}"/>
    <cellStyle name="Prozent 3 2 4" xfId="442" xr:uid="{00000000-0005-0000-0000-000076030000}"/>
    <cellStyle name="Prozent 3 2 4 2" xfId="443" xr:uid="{00000000-0005-0000-0000-000077030000}"/>
    <cellStyle name="Prozent 3 2 4 2 2" xfId="1029" xr:uid="{00000000-0005-0000-0000-000078030000}"/>
    <cellStyle name="Prozent 3 2 4 3" xfId="444" xr:uid="{00000000-0005-0000-0000-000079030000}"/>
    <cellStyle name="Prozent 3 2 4 4" xfId="1030" xr:uid="{00000000-0005-0000-0000-00007A030000}"/>
    <cellStyle name="Prozent 3 2 4 5" xfId="1031" xr:uid="{00000000-0005-0000-0000-00007B030000}"/>
    <cellStyle name="Prozent 3 2 5" xfId="445" xr:uid="{00000000-0005-0000-0000-00007C030000}"/>
    <cellStyle name="Prozent 3 2 6" xfId="1032" xr:uid="{00000000-0005-0000-0000-00007D030000}"/>
    <cellStyle name="Prozent 3 3" xfId="446" xr:uid="{00000000-0005-0000-0000-00007E030000}"/>
    <cellStyle name="Prozent 3 3 2" xfId="447" xr:uid="{00000000-0005-0000-0000-00007F030000}"/>
    <cellStyle name="Prozent 3 3 2 2" xfId="448" xr:uid="{00000000-0005-0000-0000-000080030000}"/>
    <cellStyle name="Prozent 3 3 2 2 2" xfId="1033" xr:uid="{00000000-0005-0000-0000-000081030000}"/>
    <cellStyle name="Prozent 3 3 2 2 3" xfId="1034" xr:uid="{00000000-0005-0000-0000-000082030000}"/>
    <cellStyle name="Prozent 3 3 2 2 4" xfId="1035" xr:uid="{00000000-0005-0000-0000-000083030000}"/>
    <cellStyle name="Prozent 3 3 2 3" xfId="1036" xr:uid="{00000000-0005-0000-0000-000084030000}"/>
    <cellStyle name="Prozent 3 3 2 4" xfId="1037" xr:uid="{00000000-0005-0000-0000-000085030000}"/>
    <cellStyle name="Prozent 3 3 2 5" xfId="1038" xr:uid="{00000000-0005-0000-0000-000086030000}"/>
    <cellStyle name="Prozent 3 3 3" xfId="449" xr:uid="{00000000-0005-0000-0000-000087030000}"/>
    <cellStyle name="Prozent 3 3 3 2" xfId="1039" xr:uid="{00000000-0005-0000-0000-000088030000}"/>
    <cellStyle name="Prozent 3 3 3 3" xfId="1040" xr:uid="{00000000-0005-0000-0000-000089030000}"/>
    <cellStyle name="Prozent 3 3 3 4" xfId="1041" xr:uid="{00000000-0005-0000-0000-00008A030000}"/>
    <cellStyle name="Prozent 3 3 4" xfId="1042" xr:uid="{00000000-0005-0000-0000-00008B030000}"/>
    <cellStyle name="Prozent 3 3 5" xfId="1043" xr:uid="{00000000-0005-0000-0000-00008C030000}"/>
    <cellStyle name="Prozent 3 3 6" xfId="1044" xr:uid="{00000000-0005-0000-0000-00008D030000}"/>
    <cellStyle name="Prozent 3 4" xfId="450" xr:uid="{00000000-0005-0000-0000-00008E030000}"/>
    <cellStyle name="Prozent 3 4 2" xfId="451" xr:uid="{00000000-0005-0000-0000-00008F030000}"/>
    <cellStyle name="Prozent 3 4 2 2" xfId="1045" xr:uid="{00000000-0005-0000-0000-000090030000}"/>
    <cellStyle name="Prozent 3 4 2 3" xfId="1046" xr:uid="{00000000-0005-0000-0000-000091030000}"/>
    <cellStyle name="Prozent 3 4 2 4" xfId="1047" xr:uid="{00000000-0005-0000-0000-000092030000}"/>
    <cellStyle name="Prozent 3 4 3" xfId="1048" xr:uid="{00000000-0005-0000-0000-000093030000}"/>
    <cellStyle name="Prozent 3 4 4" xfId="1049" xr:uid="{00000000-0005-0000-0000-000094030000}"/>
    <cellStyle name="Prozent 3 4 5" xfId="1050" xr:uid="{00000000-0005-0000-0000-000095030000}"/>
    <cellStyle name="Prozent 3 5" xfId="452" xr:uid="{00000000-0005-0000-0000-000096030000}"/>
    <cellStyle name="Prozent 3 5 2" xfId="1051" xr:uid="{00000000-0005-0000-0000-000097030000}"/>
    <cellStyle name="Prozent 3 5 3" xfId="1052" xr:uid="{00000000-0005-0000-0000-000098030000}"/>
    <cellStyle name="Prozent 3 5 4" xfId="1053" xr:uid="{00000000-0005-0000-0000-000099030000}"/>
    <cellStyle name="Prozent 3 6" xfId="1054" xr:uid="{00000000-0005-0000-0000-00009A030000}"/>
    <cellStyle name="Prozent 3 7" xfId="1055" xr:uid="{00000000-0005-0000-0000-00009B030000}"/>
    <cellStyle name="Prozent 3 8" xfId="1056" xr:uid="{00000000-0005-0000-0000-00009C030000}"/>
    <cellStyle name="Prozent 4" xfId="453" xr:uid="{00000000-0005-0000-0000-00009D030000}"/>
    <cellStyle name="Prozent 4 2" xfId="454" xr:uid="{00000000-0005-0000-0000-00009E030000}"/>
    <cellStyle name="Prozent 4 2 2" xfId="455" xr:uid="{00000000-0005-0000-0000-00009F030000}"/>
    <cellStyle name="Prozent 4 2 2 2" xfId="456" xr:uid="{00000000-0005-0000-0000-0000A0030000}"/>
    <cellStyle name="Prozent 4 2 2 2 2" xfId="457" xr:uid="{00000000-0005-0000-0000-0000A1030000}"/>
    <cellStyle name="Prozent 4 2 2 2 2 2" xfId="1057" xr:uid="{00000000-0005-0000-0000-0000A2030000}"/>
    <cellStyle name="Prozent 4 2 2 2 2 3" xfId="1058" xr:uid="{00000000-0005-0000-0000-0000A3030000}"/>
    <cellStyle name="Prozent 4 2 2 2 2 4" xfId="1059" xr:uid="{00000000-0005-0000-0000-0000A4030000}"/>
    <cellStyle name="Prozent 4 2 2 2 3" xfId="1060" xr:uid="{00000000-0005-0000-0000-0000A5030000}"/>
    <cellStyle name="Prozent 4 2 2 2 4" xfId="1061" xr:uid="{00000000-0005-0000-0000-0000A6030000}"/>
    <cellStyle name="Prozent 4 2 2 2 5" xfId="1062" xr:uid="{00000000-0005-0000-0000-0000A7030000}"/>
    <cellStyle name="Prozent 4 2 2 3" xfId="458" xr:uid="{00000000-0005-0000-0000-0000A8030000}"/>
    <cellStyle name="Prozent 4 2 2 3 2" xfId="1063" xr:uid="{00000000-0005-0000-0000-0000A9030000}"/>
    <cellStyle name="Prozent 4 2 2 3 3" xfId="1064" xr:uid="{00000000-0005-0000-0000-0000AA030000}"/>
    <cellStyle name="Prozent 4 2 2 3 4" xfId="1065" xr:uid="{00000000-0005-0000-0000-0000AB030000}"/>
    <cellStyle name="Prozent 4 2 2 4" xfId="1066" xr:uid="{00000000-0005-0000-0000-0000AC030000}"/>
    <cellStyle name="Prozent 4 2 2 5" xfId="1067" xr:uid="{00000000-0005-0000-0000-0000AD030000}"/>
    <cellStyle name="Prozent 4 2 2 6" xfId="1068" xr:uid="{00000000-0005-0000-0000-0000AE030000}"/>
    <cellStyle name="Prozent 4 2 3" xfId="459" xr:uid="{00000000-0005-0000-0000-0000AF030000}"/>
    <cellStyle name="Prozent 4 2 3 2" xfId="460" xr:uid="{00000000-0005-0000-0000-0000B0030000}"/>
    <cellStyle name="Prozent 4 2 3 2 2" xfId="1069" xr:uid="{00000000-0005-0000-0000-0000B1030000}"/>
    <cellStyle name="Prozent 4 2 3 2 3" xfId="1070" xr:uid="{00000000-0005-0000-0000-0000B2030000}"/>
    <cellStyle name="Prozent 4 2 3 2 4" xfId="1071" xr:uid="{00000000-0005-0000-0000-0000B3030000}"/>
    <cellStyle name="Prozent 4 2 3 3" xfId="1072" xr:uid="{00000000-0005-0000-0000-0000B4030000}"/>
    <cellStyle name="Prozent 4 2 3 4" xfId="1073" xr:uid="{00000000-0005-0000-0000-0000B5030000}"/>
    <cellStyle name="Prozent 4 2 3 5" xfId="1074" xr:uid="{00000000-0005-0000-0000-0000B6030000}"/>
    <cellStyle name="Prozent 4 2 4" xfId="461" xr:uid="{00000000-0005-0000-0000-0000B7030000}"/>
    <cellStyle name="Prozent 4 2 4 2" xfId="1075" xr:uid="{00000000-0005-0000-0000-0000B8030000}"/>
    <cellStyle name="Prozent 4 2 4 3" xfId="1076" xr:uid="{00000000-0005-0000-0000-0000B9030000}"/>
    <cellStyle name="Prozent 4 2 4 4" xfId="1077" xr:uid="{00000000-0005-0000-0000-0000BA030000}"/>
    <cellStyle name="Prozent 4 2 5" xfId="1078" xr:uid="{00000000-0005-0000-0000-0000BB030000}"/>
    <cellStyle name="Prozent 4 2 6" xfId="1079" xr:uid="{00000000-0005-0000-0000-0000BC030000}"/>
    <cellStyle name="Prozent 4 2 7" xfId="1080" xr:uid="{00000000-0005-0000-0000-0000BD030000}"/>
    <cellStyle name="Prozent 4 3" xfId="462" xr:uid="{00000000-0005-0000-0000-0000BE030000}"/>
    <cellStyle name="Prozent 4 3 2" xfId="463" xr:uid="{00000000-0005-0000-0000-0000BF030000}"/>
    <cellStyle name="Prozent 4 3 2 2" xfId="464" xr:uid="{00000000-0005-0000-0000-0000C0030000}"/>
    <cellStyle name="Prozent 4 3 2 2 2" xfId="1081" xr:uid="{00000000-0005-0000-0000-0000C1030000}"/>
    <cellStyle name="Prozent 4 3 2 2 3" xfId="1082" xr:uid="{00000000-0005-0000-0000-0000C2030000}"/>
    <cellStyle name="Prozent 4 3 2 2 4" xfId="1083" xr:uid="{00000000-0005-0000-0000-0000C3030000}"/>
    <cellStyle name="Prozent 4 3 2 3" xfId="1084" xr:uid="{00000000-0005-0000-0000-0000C4030000}"/>
    <cellStyle name="Prozent 4 3 2 4" xfId="1085" xr:uid="{00000000-0005-0000-0000-0000C5030000}"/>
    <cellStyle name="Prozent 4 3 2 5" xfId="1086" xr:uid="{00000000-0005-0000-0000-0000C6030000}"/>
    <cellStyle name="Prozent 4 3 3" xfId="465" xr:uid="{00000000-0005-0000-0000-0000C7030000}"/>
    <cellStyle name="Prozent 4 3 3 2" xfId="466" xr:uid="{00000000-0005-0000-0000-0000C8030000}"/>
    <cellStyle name="Prozent 4 3 3 2 2" xfId="1087" xr:uid="{00000000-0005-0000-0000-0000C9030000}"/>
    <cellStyle name="Prozent 4 3 3 2 3" xfId="1088" xr:uid="{00000000-0005-0000-0000-0000CA030000}"/>
    <cellStyle name="Prozent 4 3 3 2 4" xfId="1089" xr:uid="{00000000-0005-0000-0000-0000CB030000}"/>
    <cellStyle name="Prozent 4 3 3 3" xfId="1090" xr:uid="{00000000-0005-0000-0000-0000CC030000}"/>
    <cellStyle name="Prozent 4 3 3 4" xfId="1091" xr:uid="{00000000-0005-0000-0000-0000CD030000}"/>
    <cellStyle name="Prozent 4 3 3 5" xfId="1092" xr:uid="{00000000-0005-0000-0000-0000CE030000}"/>
    <cellStyle name="Prozent 4 3 4" xfId="467" xr:uid="{00000000-0005-0000-0000-0000CF030000}"/>
    <cellStyle name="Prozent 4 3 4 2" xfId="468" xr:uid="{00000000-0005-0000-0000-0000D0030000}"/>
    <cellStyle name="Prozent 4 3 4 2 2" xfId="1094" xr:uid="{00000000-0005-0000-0000-0000D1030000}"/>
    <cellStyle name="Prozent 4 3 4 3" xfId="469" xr:uid="{00000000-0005-0000-0000-0000D2030000}"/>
    <cellStyle name="Prozent 4 3 4 3 2" xfId="1095" xr:uid="{00000000-0005-0000-0000-0000D3030000}"/>
    <cellStyle name="Prozent 4 3 4 4" xfId="470" xr:uid="{00000000-0005-0000-0000-0000D4030000}"/>
    <cellStyle name="Prozent 4 3 4 4 2" xfId="609" xr:uid="{00000000-0005-0000-0000-0000D5030000}"/>
    <cellStyle name="Prozent 4 3 4 4 3" xfId="1097" xr:uid="{00000000-0005-0000-0000-0000D6030000}"/>
    <cellStyle name="Prozent 4 3 4 4 4" xfId="1096" xr:uid="{00000000-0005-0000-0000-0000D7030000}"/>
    <cellStyle name="Prozent 4 3 4 5" xfId="1098" xr:uid="{00000000-0005-0000-0000-0000D8030000}"/>
    <cellStyle name="Prozent 4 3 4 6" xfId="1093" xr:uid="{00000000-0005-0000-0000-0000D9030000}"/>
    <cellStyle name="Prozent 4 3 5" xfId="1099" xr:uid="{00000000-0005-0000-0000-0000DA030000}"/>
    <cellStyle name="Prozent 4 4" xfId="471" xr:uid="{00000000-0005-0000-0000-0000DB030000}"/>
    <cellStyle name="Prozent 4 4 2" xfId="472" xr:uid="{00000000-0005-0000-0000-0000DC030000}"/>
    <cellStyle name="Prozent 4 4 2 2" xfId="1100" xr:uid="{00000000-0005-0000-0000-0000DD030000}"/>
    <cellStyle name="Prozent 4 4 2 3" xfId="1101" xr:uid="{00000000-0005-0000-0000-0000DE030000}"/>
    <cellStyle name="Prozent 4 4 2 4" xfId="1102" xr:uid="{00000000-0005-0000-0000-0000DF030000}"/>
    <cellStyle name="Prozent 4 4 3" xfId="1103" xr:uid="{00000000-0005-0000-0000-0000E0030000}"/>
    <cellStyle name="Prozent 4 4 4" xfId="1104" xr:uid="{00000000-0005-0000-0000-0000E1030000}"/>
    <cellStyle name="Prozent 4 4 5" xfId="1105" xr:uid="{00000000-0005-0000-0000-0000E2030000}"/>
    <cellStyle name="Prozent 4 5" xfId="473" xr:uid="{00000000-0005-0000-0000-0000E3030000}"/>
    <cellStyle name="Prozent 4 5 2" xfId="1106" xr:uid="{00000000-0005-0000-0000-0000E4030000}"/>
    <cellStyle name="Prozent 4 5 3" xfId="1107" xr:uid="{00000000-0005-0000-0000-0000E5030000}"/>
    <cellStyle name="Prozent 4 5 4" xfId="1108" xr:uid="{00000000-0005-0000-0000-0000E6030000}"/>
    <cellStyle name="Prozent 4 6" xfId="1109" xr:uid="{00000000-0005-0000-0000-0000E7030000}"/>
    <cellStyle name="Prozent 4 7" xfId="1110" xr:uid="{00000000-0005-0000-0000-0000E8030000}"/>
    <cellStyle name="Prozent 4 8" xfId="1111" xr:uid="{00000000-0005-0000-0000-0000E9030000}"/>
    <cellStyle name="Prozent 5" xfId="474" xr:uid="{00000000-0005-0000-0000-0000EA030000}"/>
    <cellStyle name="Prozent 5 2" xfId="475" xr:uid="{00000000-0005-0000-0000-0000EB030000}"/>
    <cellStyle name="Prozent 5 2 2" xfId="476" xr:uid="{00000000-0005-0000-0000-0000EC030000}"/>
    <cellStyle name="Prozent 5 2 2 2" xfId="477" xr:uid="{00000000-0005-0000-0000-0000ED030000}"/>
    <cellStyle name="Prozent 5 2 2 2 2" xfId="1112" xr:uid="{00000000-0005-0000-0000-0000EE030000}"/>
    <cellStyle name="Prozent 5 2 2 2 3" xfId="1113" xr:uid="{00000000-0005-0000-0000-0000EF030000}"/>
    <cellStyle name="Prozent 5 2 2 2 4" xfId="1114" xr:uid="{00000000-0005-0000-0000-0000F0030000}"/>
    <cellStyle name="Prozent 5 2 2 3" xfId="1115" xr:uid="{00000000-0005-0000-0000-0000F1030000}"/>
    <cellStyle name="Prozent 5 2 2 4" xfId="1116" xr:uid="{00000000-0005-0000-0000-0000F2030000}"/>
    <cellStyle name="Prozent 5 2 2 5" xfId="1117" xr:uid="{00000000-0005-0000-0000-0000F3030000}"/>
    <cellStyle name="Prozent 5 2 3" xfId="478" xr:uid="{00000000-0005-0000-0000-0000F4030000}"/>
    <cellStyle name="Prozent 5 2 3 2" xfId="1118" xr:uid="{00000000-0005-0000-0000-0000F5030000}"/>
    <cellStyle name="Prozent 5 2 3 3" xfId="1119" xr:uid="{00000000-0005-0000-0000-0000F6030000}"/>
    <cellStyle name="Prozent 5 2 3 4" xfId="1120" xr:uid="{00000000-0005-0000-0000-0000F7030000}"/>
    <cellStyle name="Prozent 5 2 4" xfId="1121" xr:uid="{00000000-0005-0000-0000-0000F8030000}"/>
    <cellStyle name="Prozent 5 2 5" xfId="1122" xr:uid="{00000000-0005-0000-0000-0000F9030000}"/>
    <cellStyle name="Prozent 5 2 6" xfId="1123" xr:uid="{00000000-0005-0000-0000-0000FA030000}"/>
    <cellStyle name="Prozent 5 3" xfId="479" xr:uid="{00000000-0005-0000-0000-0000FB030000}"/>
    <cellStyle name="Prozent 5 3 2" xfId="480" xr:uid="{00000000-0005-0000-0000-0000FC030000}"/>
    <cellStyle name="Prozent 5 3 2 2" xfId="1124" xr:uid="{00000000-0005-0000-0000-0000FD030000}"/>
    <cellStyle name="Prozent 5 3 2 3" xfId="1125" xr:uid="{00000000-0005-0000-0000-0000FE030000}"/>
    <cellStyle name="Prozent 5 3 2 4" xfId="1126" xr:uid="{00000000-0005-0000-0000-0000FF030000}"/>
    <cellStyle name="Prozent 5 3 3" xfId="1127" xr:uid="{00000000-0005-0000-0000-000000040000}"/>
    <cellStyle name="Prozent 5 3 4" xfId="1128" xr:uid="{00000000-0005-0000-0000-000001040000}"/>
    <cellStyle name="Prozent 5 3 5" xfId="1129" xr:uid="{00000000-0005-0000-0000-000002040000}"/>
    <cellStyle name="Prozent 5 4" xfId="481" xr:uid="{00000000-0005-0000-0000-000003040000}"/>
    <cellStyle name="Prozent 5 4 2" xfId="482" xr:uid="{00000000-0005-0000-0000-000004040000}"/>
    <cellStyle name="Prozent 5 4 2 2" xfId="1130" xr:uid="{00000000-0005-0000-0000-000005040000}"/>
    <cellStyle name="Prozent 5 4 3" xfId="483" xr:uid="{00000000-0005-0000-0000-000006040000}"/>
    <cellStyle name="Prozent 5 4 3 2" xfId="484" xr:uid="{00000000-0005-0000-0000-000007040000}"/>
    <cellStyle name="Prozent 5 4 3 2 2" xfId="1132" xr:uid="{00000000-0005-0000-0000-000008040000}"/>
    <cellStyle name="Prozent 5 4 3 3" xfId="485" xr:uid="{00000000-0005-0000-0000-000009040000}"/>
    <cellStyle name="Prozent 5 4 3 3 2" xfId="1133" xr:uid="{00000000-0005-0000-0000-00000A040000}"/>
    <cellStyle name="Prozent 5 4 3 4" xfId="486" xr:uid="{00000000-0005-0000-0000-00000B040000}"/>
    <cellStyle name="Prozent 5 4 3 5" xfId="1131" xr:uid="{00000000-0005-0000-0000-00000C040000}"/>
    <cellStyle name="Prozent 5 4 4" xfId="487" xr:uid="{00000000-0005-0000-0000-00000D040000}"/>
    <cellStyle name="Prozent 5 4 4 2" xfId="610" xr:uid="{00000000-0005-0000-0000-00000E040000}"/>
    <cellStyle name="Prozent 5 4 4 2 2" xfId="1135" xr:uid="{00000000-0005-0000-0000-00000F040000}"/>
    <cellStyle name="Prozent 5 4 4 2 3" xfId="1134" xr:uid="{00000000-0005-0000-0000-000010040000}"/>
    <cellStyle name="Prozent 5 4 5" xfId="1136" xr:uid="{00000000-0005-0000-0000-000011040000}"/>
    <cellStyle name="Prozent 5 5" xfId="488" xr:uid="{00000000-0005-0000-0000-000012040000}"/>
    <cellStyle name="Prozent 5 5 2" xfId="489" xr:uid="{00000000-0005-0000-0000-000013040000}"/>
    <cellStyle name="Prozent 5 5 2 2" xfId="1138" xr:uid="{00000000-0005-0000-0000-000014040000}"/>
    <cellStyle name="Prozent 5 5 3" xfId="490" xr:uid="{00000000-0005-0000-0000-000015040000}"/>
    <cellStyle name="Prozent 5 5 3 2" xfId="1139" xr:uid="{00000000-0005-0000-0000-000016040000}"/>
    <cellStyle name="Prozent 5 5 4" xfId="491" xr:uid="{00000000-0005-0000-0000-000017040000}"/>
    <cellStyle name="Prozent 5 5 4 2" xfId="611" xr:uid="{00000000-0005-0000-0000-000018040000}"/>
    <cellStyle name="Prozent 5 5 4 3" xfId="1141" xr:uid="{00000000-0005-0000-0000-000019040000}"/>
    <cellStyle name="Prozent 5 5 4 4" xfId="1140" xr:uid="{00000000-0005-0000-0000-00001A040000}"/>
    <cellStyle name="Prozent 5 5 5" xfId="1142" xr:uid="{00000000-0005-0000-0000-00001B040000}"/>
    <cellStyle name="Prozent 5 5 6" xfId="1137" xr:uid="{00000000-0005-0000-0000-00001C040000}"/>
    <cellStyle name="Prozent 5 6" xfId="1143" xr:uid="{00000000-0005-0000-0000-00001D040000}"/>
    <cellStyle name="Prozent 6" xfId="492" xr:uid="{00000000-0005-0000-0000-00001E040000}"/>
    <cellStyle name="Prozent 6 2" xfId="493" xr:uid="{00000000-0005-0000-0000-00001F040000}"/>
    <cellStyle name="Prozent 6 2 2" xfId="494" xr:uid="{00000000-0005-0000-0000-000020040000}"/>
    <cellStyle name="Prozent 6 2 2 2" xfId="1144" xr:uid="{00000000-0005-0000-0000-000021040000}"/>
    <cellStyle name="Prozent 6 2 2 3" xfId="1145" xr:uid="{00000000-0005-0000-0000-000022040000}"/>
    <cellStyle name="Prozent 6 2 2 4" xfId="1146" xr:uid="{00000000-0005-0000-0000-000023040000}"/>
    <cellStyle name="Prozent 6 2 3" xfId="1147" xr:uid="{00000000-0005-0000-0000-000024040000}"/>
    <cellStyle name="Prozent 6 2 4" xfId="1148" xr:uid="{00000000-0005-0000-0000-000025040000}"/>
    <cellStyle name="Prozent 6 2 5" xfId="1149" xr:uid="{00000000-0005-0000-0000-000026040000}"/>
    <cellStyle name="Prozent 6 3" xfId="495" xr:uid="{00000000-0005-0000-0000-000027040000}"/>
    <cellStyle name="Prozent 6 3 2" xfId="1150" xr:uid="{00000000-0005-0000-0000-000028040000}"/>
    <cellStyle name="Prozent 6 3 3" xfId="1151" xr:uid="{00000000-0005-0000-0000-000029040000}"/>
    <cellStyle name="Prozent 6 3 4" xfId="1152" xr:uid="{00000000-0005-0000-0000-00002A040000}"/>
    <cellStyle name="Prozent 6 4" xfId="1153" xr:uid="{00000000-0005-0000-0000-00002B040000}"/>
    <cellStyle name="Prozent 6 5" xfId="1154" xr:uid="{00000000-0005-0000-0000-00002C040000}"/>
    <cellStyle name="Prozent 6 6" xfId="1155" xr:uid="{00000000-0005-0000-0000-00002D040000}"/>
    <cellStyle name="Prozent 7" xfId="496" xr:uid="{00000000-0005-0000-0000-00002E040000}"/>
    <cellStyle name="Prozent 7 2" xfId="497" xr:uid="{00000000-0005-0000-0000-00002F040000}"/>
    <cellStyle name="Prozent 7 2 2" xfId="498" xr:uid="{00000000-0005-0000-0000-000030040000}"/>
    <cellStyle name="Prozent 7 2 2 2" xfId="1156" xr:uid="{00000000-0005-0000-0000-000031040000}"/>
    <cellStyle name="Prozent 7 2 2 3" xfId="1157" xr:uid="{00000000-0005-0000-0000-000032040000}"/>
    <cellStyle name="Prozent 7 2 2 4" xfId="1158" xr:uid="{00000000-0005-0000-0000-000033040000}"/>
    <cellStyle name="Prozent 7 2 3" xfId="1159" xr:uid="{00000000-0005-0000-0000-000034040000}"/>
    <cellStyle name="Prozent 7 2 4" xfId="1160" xr:uid="{00000000-0005-0000-0000-000035040000}"/>
    <cellStyle name="Prozent 7 2 5" xfId="1161" xr:uid="{00000000-0005-0000-0000-000036040000}"/>
    <cellStyle name="Prozent 7 3" xfId="499" xr:uid="{00000000-0005-0000-0000-000037040000}"/>
    <cellStyle name="Prozent 7 3 2" xfId="1162" xr:uid="{00000000-0005-0000-0000-000038040000}"/>
    <cellStyle name="Prozent 7 3 3" xfId="1163" xr:uid="{00000000-0005-0000-0000-000039040000}"/>
    <cellStyle name="Prozent 7 3 4" xfId="1164" xr:uid="{00000000-0005-0000-0000-00003A040000}"/>
    <cellStyle name="Prozent 7 4" xfId="1165" xr:uid="{00000000-0005-0000-0000-00003B040000}"/>
    <cellStyle name="Prozent 7 5" xfId="1166" xr:uid="{00000000-0005-0000-0000-00003C040000}"/>
    <cellStyle name="Prozent 7 6" xfId="1167" xr:uid="{00000000-0005-0000-0000-00003D040000}"/>
    <cellStyle name="Prozent 8" xfId="500" xr:uid="{00000000-0005-0000-0000-00003E040000}"/>
    <cellStyle name="Prozent 8 2" xfId="501" xr:uid="{00000000-0005-0000-0000-00003F040000}"/>
    <cellStyle name="Prozent 8 2 2" xfId="502" xr:uid="{00000000-0005-0000-0000-000040040000}"/>
    <cellStyle name="Prozent 8 2 2 2" xfId="1168" xr:uid="{00000000-0005-0000-0000-000041040000}"/>
    <cellStyle name="Prozent 8 2 3" xfId="503" xr:uid="{00000000-0005-0000-0000-000042040000}"/>
    <cellStyle name="Prozent 8 2 4" xfId="1169" xr:uid="{00000000-0005-0000-0000-000043040000}"/>
    <cellStyle name="Prozent 8 3" xfId="504" xr:uid="{00000000-0005-0000-0000-000044040000}"/>
    <cellStyle name="Prozent 8 3 2" xfId="505" xr:uid="{00000000-0005-0000-0000-000045040000}"/>
    <cellStyle name="Prozent 8 3 2 2" xfId="506" xr:uid="{00000000-0005-0000-0000-000046040000}"/>
    <cellStyle name="Prozent 8 3 2 2 2" xfId="1171" xr:uid="{00000000-0005-0000-0000-000047040000}"/>
    <cellStyle name="Prozent 8 3 2 2 3" xfId="1170" xr:uid="{00000000-0005-0000-0000-000048040000}"/>
    <cellStyle name="Prozent 8 3 2 3" xfId="507" xr:uid="{00000000-0005-0000-0000-000049040000}"/>
    <cellStyle name="Prozent 8 3 2 3 2" xfId="1173" xr:uid="{00000000-0005-0000-0000-00004A040000}"/>
    <cellStyle name="Prozent 8 3 2 3 3" xfId="1174" xr:uid="{00000000-0005-0000-0000-00004B040000}"/>
    <cellStyle name="Prozent 8 3 2 3 4" xfId="1172" xr:uid="{00000000-0005-0000-0000-00004C040000}"/>
    <cellStyle name="Prozent 8 3 2 4" xfId="1175" xr:uid="{00000000-0005-0000-0000-00004D040000}"/>
    <cellStyle name="Prozent 8 3 2 5" xfId="1176" xr:uid="{00000000-0005-0000-0000-00004E040000}"/>
    <cellStyle name="Prozent 8 3 3" xfId="508" xr:uid="{00000000-0005-0000-0000-00004F040000}"/>
    <cellStyle name="Prozent 8 3 3 2" xfId="509" xr:uid="{00000000-0005-0000-0000-000050040000}"/>
    <cellStyle name="Prozent 8 3 3 2 2" xfId="1177" xr:uid="{00000000-0005-0000-0000-000051040000}"/>
    <cellStyle name="Prozent 8 3 3 3" xfId="510" xr:uid="{00000000-0005-0000-0000-000052040000}"/>
    <cellStyle name="Prozent 8 3 3 4" xfId="1178" xr:uid="{00000000-0005-0000-0000-000053040000}"/>
    <cellStyle name="Prozent 8 3 4" xfId="1179" xr:uid="{00000000-0005-0000-0000-000054040000}"/>
    <cellStyle name="Prozent 8 3 5" xfId="1180" xr:uid="{00000000-0005-0000-0000-000055040000}"/>
    <cellStyle name="Prozent 8 3 6" xfId="1181" xr:uid="{00000000-0005-0000-0000-000056040000}"/>
    <cellStyle name="Prozent 8 4" xfId="1182" xr:uid="{00000000-0005-0000-0000-000057040000}"/>
    <cellStyle name="Prozent 9" xfId="511" xr:uid="{00000000-0005-0000-0000-000058040000}"/>
    <cellStyle name="Prozent 9 2" xfId="1183" xr:uid="{00000000-0005-0000-0000-000059040000}"/>
    <cellStyle name="Prozent 9 3" xfId="1184" xr:uid="{00000000-0005-0000-0000-00005A040000}"/>
    <cellStyle name="Prozent 9 4" xfId="1185" xr:uid="{00000000-0005-0000-0000-00005B040000}"/>
    <cellStyle name="Schlecht 2" xfId="513" xr:uid="{00000000-0005-0000-0000-00005C040000}"/>
    <cellStyle name="Schlecht 3" xfId="514" xr:uid="{00000000-0005-0000-0000-00005D040000}"/>
    <cellStyle name="Schlecht 4" xfId="1186" xr:uid="{00000000-0005-0000-0000-00005E040000}"/>
    <cellStyle name="Standard 2" xfId="515" xr:uid="{00000000-0005-0000-0000-000060040000}"/>
    <cellStyle name="Standard 2 2" xfId="516" xr:uid="{00000000-0005-0000-0000-000061040000}"/>
    <cellStyle name="Standard 2 2 2" xfId="517" xr:uid="{00000000-0005-0000-0000-000062040000}"/>
    <cellStyle name="Standard 2 2 3" xfId="518" xr:uid="{00000000-0005-0000-0000-000063040000}"/>
    <cellStyle name="Standard 2 3" xfId="519" xr:uid="{00000000-0005-0000-0000-000064040000}"/>
    <cellStyle name="Standard 2 4" xfId="520" xr:uid="{00000000-0005-0000-0000-000065040000}"/>
    <cellStyle name="Standard 2 5" xfId="521" xr:uid="{00000000-0005-0000-0000-000066040000}"/>
    <cellStyle name="Standard 2 6" xfId="522" xr:uid="{00000000-0005-0000-0000-000067040000}"/>
    <cellStyle name="Standard 3" xfId="523" xr:uid="{00000000-0005-0000-0000-000068040000}"/>
    <cellStyle name="Standard 3 2" xfId="524" xr:uid="{00000000-0005-0000-0000-000069040000}"/>
    <cellStyle name="Standard 3 2 2" xfId="525" xr:uid="{00000000-0005-0000-0000-00006A040000}"/>
    <cellStyle name="Standard 3 2 2 2" xfId="526" xr:uid="{00000000-0005-0000-0000-00006B040000}"/>
    <cellStyle name="Standard 3 2 2 2 2" xfId="527" xr:uid="{00000000-0005-0000-0000-00006C040000}"/>
    <cellStyle name="Standard 3 2 2 2 2 2" xfId="1187" xr:uid="{00000000-0005-0000-0000-00006D040000}"/>
    <cellStyle name="Standard 3 2 2 2 2 3" xfId="1188" xr:uid="{00000000-0005-0000-0000-00006E040000}"/>
    <cellStyle name="Standard 3 2 2 2 2 4" xfId="1189" xr:uid="{00000000-0005-0000-0000-00006F040000}"/>
    <cellStyle name="Standard 3 2 2 2 3" xfId="1190" xr:uid="{00000000-0005-0000-0000-000070040000}"/>
    <cellStyle name="Standard 3 2 2 2 4" xfId="1191" xr:uid="{00000000-0005-0000-0000-000071040000}"/>
    <cellStyle name="Standard 3 2 2 2 5" xfId="1192" xr:uid="{00000000-0005-0000-0000-000072040000}"/>
    <cellStyle name="Standard 3 2 2 3" xfId="528" xr:uid="{00000000-0005-0000-0000-000073040000}"/>
    <cellStyle name="Standard 3 2 2 3 2" xfId="1193" xr:uid="{00000000-0005-0000-0000-000074040000}"/>
    <cellStyle name="Standard 3 2 2 3 3" xfId="1194" xr:uid="{00000000-0005-0000-0000-000075040000}"/>
    <cellStyle name="Standard 3 2 2 3 4" xfId="1195" xr:uid="{00000000-0005-0000-0000-000076040000}"/>
    <cellStyle name="Standard 3 2 2 4" xfId="1196" xr:uid="{00000000-0005-0000-0000-000077040000}"/>
    <cellStyle name="Standard 3 2 2 5" xfId="1197" xr:uid="{00000000-0005-0000-0000-000078040000}"/>
    <cellStyle name="Standard 3 2 2 6" xfId="1198" xr:uid="{00000000-0005-0000-0000-000079040000}"/>
    <cellStyle name="Standard 3 2 3" xfId="529" xr:uid="{00000000-0005-0000-0000-00007A040000}"/>
    <cellStyle name="Standard 3 2 3 2" xfId="530" xr:uid="{00000000-0005-0000-0000-00007B040000}"/>
    <cellStyle name="Standard 3 2 3 2 2" xfId="1199" xr:uid="{00000000-0005-0000-0000-00007C040000}"/>
    <cellStyle name="Standard 3 2 3 2 3" xfId="1200" xr:uid="{00000000-0005-0000-0000-00007D040000}"/>
    <cellStyle name="Standard 3 2 3 2 4" xfId="1201" xr:uid="{00000000-0005-0000-0000-00007E040000}"/>
    <cellStyle name="Standard 3 2 3 3" xfId="1202" xr:uid="{00000000-0005-0000-0000-00007F040000}"/>
    <cellStyle name="Standard 3 2 3 4" xfId="1203" xr:uid="{00000000-0005-0000-0000-000080040000}"/>
    <cellStyle name="Standard 3 2 3 5" xfId="1204" xr:uid="{00000000-0005-0000-0000-000081040000}"/>
    <cellStyle name="Standard 3 2 4" xfId="531" xr:uid="{00000000-0005-0000-0000-000082040000}"/>
    <cellStyle name="Standard 3 2 4 2" xfId="532" xr:uid="{00000000-0005-0000-0000-000083040000}"/>
    <cellStyle name="Standard 3 2 4 2 2" xfId="1205" xr:uid="{00000000-0005-0000-0000-000084040000}"/>
    <cellStyle name="Standard 3 2 4 3" xfId="533" xr:uid="{00000000-0005-0000-0000-000085040000}"/>
    <cellStyle name="Standard 3 2 4 4" xfId="1206" xr:uid="{00000000-0005-0000-0000-000086040000}"/>
    <cellStyle name="Standard 3 2 4 5" xfId="1207" xr:uid="{00000000-0005-0000-0000-000087040000}"/>
    <cellStyle name="Standard 3 2 5" xfId="534" xr:uid="{00000000-0005-0000-0000-000088040000}"/>
    <cellStyle name="Standard 3 2 6" xfId="535" xr:uid="{00000000-0005-0000-0000-000089040000}"/>
    <cellStyle name="Standard 3 2 7" xfId="1208" xr:uid="{00000000-0005-0000-0000-00008A040000}"/>
    <cellStyle name="Standard 3 3" xfId="536" xr:uid="{00000000-0005-0000-0000-00008B040000}"/>
    <cellStyle name="Standard 3 3 2" xfId="537" xr:uid="{00000000-0005-0000-0000-00008C040000}"/>
    <cellStyle name="Standard 3 3 2 2" xfId="538" xr:uid="{00000000-0005-0000-0000-00008D040000}"/>
    <cellStyle name="Standard 3 3 2 2 2" xfId="1209" xr:uid="{00000000-0005-0000-0000-00008E040000}"/>
    <cellStyle name="Standard 3 3 2 2 3" xfId="1210" xr:uid="{00000000-0005-0000-0000-00008F040000}"/>
    <cellStyle name="Standard 3 3 2 2 4" xfId="1211" xr:uid="{00000000-0005-0000-0000-000090040000}"/>
    <cellStyle name="Standard 3 3 2 3" xfId="1212" xr:uid="{00000000-0005-0000-0000-000091040000}"/>
    <cellStyle name="Standard 3 3 2 4" xfId="1213" xr:uid="{00000000-0005-0000-0000-000092040000}"/>
    <cellStyle name="Standard 3 3 2 5" xfId="1214" xr:uid="{00000000-0005-0000-0000-000093040000}"/>
    <cellStyle name="Standard 3 3 3" xfId="539" xr:uid="{00000000-0005-0000-0000-000094040000}"/>
    <cellStyle name="Standard 3 3 3 2" xfId="1215" xr:uid="{00000000-0005-0000-0000-000095040000}"/>
    <cellStyle name="Standard 3 3 3 3" xfId="1216" xr:uid="{00000000-0005-0000-0000-000096040000}"/>
    <cellStyle name="Standard 3 3 3 4" xfId="1217" xr:uid="{00000000-0005-0000-0000-000097040000}"/>
    <cellStyle name="Standard 3 3 4" xfId="1218" xr:uid="{00000000-0005-0000-0000-000098040000}"/>
    <cellStyle name="Standard 3 3 5" xfId="1219" xr:uid="{00000000-0005-0000-0000-000099040000}"/>
    <cellStyle name="Standard 3 3 6" xfId="1220" xr:uid="{00000000-0005-0000-0000-00009A040000}"/>
    <cellStyle name="Standard 3 4" xfId="540" xr:uid="{00000000-0005-0000-0000-00009B040000}"/>
    <cellStyle name="Standard 3 4 2" xfId="541" xr:uid="{00000000-0005-0000-0000-00009C040000}"/>
    <cellStyle name="Standard 3 4 2 2" xfId="1221" xr:uid="{00000000-0005-0000-0000-00009D040000}"/>
    <cellStyle name="Standard 3 4 2 3" xfId="1222" xr:uid="{00000000-0005-0000-0000-00009E040000}"/>
    <cellStyle name="Standard 3 4 2 4" xfId="1223" xr:uid="{00000000-0005-0000-0000-00009F040000}"/>
    <cellStyle name="Standard 3 4 3" xfId="1224" xr:uid="{00000000-0005-0000-0000-0000A0040000}"/>
    <cellStyle name="Standard 3 4 4" xfId="1225" xr:uid="{00000000-0005-0000-0000-0000A1040000}"/>
    <cellStyle name="Standard 3 4 5" xfId="1226" xr:uid="{00000000-0005-0000-0000-0000A2040000}"/>
    <cellStyle name="Standard 3 5" xfId="542" xr:uid="{00000000-0005-0000-0000-0000A3040000}"/>
    <cellStyle name="Standard 3 5 2" xfId="1227" xr:uid="{00000000-0005-0000-0000-0000A4040000}"/>
    <cellStyle name="Standard 3 5 3" xfId="1228" xr:uid="{00000000-0005-0000-0000-0000A5040000}"/>
    <cellStyle name="Standard 3 5 4" xfId="1229" xr:uid="{00000000-0005-0000-0000-0000A6040000}"/>
    <cellStyle name="Standard 3 6" xfId="543" xr:uid="{00000000-0005-0000-0000-0000A7040000}"/>
    <cellStyle name="Standard 3 6 2" xfId="1231" xr:uid="{00000000-0005-0000-0000-0000A8040000}"/>
    <cellStyle name="Standard 3 6 3" xfId="1230" xr:uid="{00000000-0005-0000-0000-0000A9040000}"/>
    <cellStyle name="Standard 3 7" xfId="1232" xr:uid="{00000000-0005-0000-0000-0000AA040000}"/>
    <cellStyle name="Standard 3 8" xfId="1233" xr:uid="{00000000-0005-0000-0000-0000AB040000}"/>
    <cellStyle name="Standard 4" xfId="544" xr:uid="{00000000-0005-0000-0000-0000AC040000}"/>
    <cellStyle name="Standard 5" xfId="545" xr:uid="{00000000-0005-0000-0000-0000AD040000}"/>
    <cellStyle name="Standard 5 2" xfId="546" xr:uid="{00000000-0005-0000-0000-0000AE040000}"/>
    <cellStyle name="Standard 6" xfId="596" xr:uid="{00000000-0005-0000-0000-0000AF040000}"/>
    <cellStyle name="Standard 6 2" xfId="612" xr:uid="{00000000-0005-0000-0000-0000B0040000}"/>
    <cellStyle name="Standard 7" xfId="597" xr:uid="{00000000-0005-0000-0000-0000B1040000}"/>
    <cellStyle name="Standard_Bearbeitungsqualität 2011" xfId="547" xr:uid="{00000000-0005-0000-0000-0000B2040000}"/>
    <cellStyle name="Standard_Werte" xfId="548" xr:uid="{00000000-0005-0000-0000-0000B3040000}"/>
    <cellStyle name="Title" xfId="555" xr:uid="{00000000-0005-0000-0000-0000B4040000}"/>
    <cellStyle name="Title 2" xfId="549" xr:uid="{00000000-0005-0000-0000-0000B5040000}"/>
    <cellStyle name="Title 2 2" xfId="550" xr:uid="{00000000-0005-0000-0000-0000B6040000}"/>
    <cellStyle name="Title 2 2 2" xfId="1236" xr:uid="{00000000-0005-0000-0000-0000B7040000}"/>
    <cellStyle name="Title 2 2 3" xfId="1235" xr:uid="{00000000-0005-0000-0000-0000B8040000}"/>
    <cellStyle name="Title 2 3" xfId="1237" xr:uid="{00000000-0005-0000-0000-0000B9040000}"/>
    <cellStyle name="Title 2 4" xfId="1234" xr:uid="{00000000-0005-0000-0000-0000BA040000}"/>
    <cellStyle name="Title 3" xfId="551" xr:uid="{00000000-0005-0000-0000-0000BB040000}"/>
    <cellStyle name="Title 3 2" xfId="1239" xr:uid="{00000000-0005-0000-0000-0000BC040000}"/>
    <cellStyle name="Title 3 3" xfId="1238" xr:uid="{00000000-0005-0000-0000-0000BD040000}"/>
    <cellStyle name="Title 4" xfId="552" xr:uid="{00000000-0005-0000-0000-0000BE040000}"/>
    <cellStyle name="Title 4 2" xfId="598" xr:uid="{00000000-0005-0000-0000-0000BF040000}"/>
    <cellStyle name="Title 5" xfId="553" xr:uid="{00000000-0005-0000-0000-0000C0040000}"/>
    <cellStyle name="Total 2" xfId="554" xr:uid="{00000000-0005-0000-0000-0000C1040000}"/>
    <cellStyle name="Überschrift 1 2" xfId="557" xr:uid="{00000000-0005-0000-0000-0000C2040000}"/>
    <cellStyle name="Überschrift 1 3" xfId="558" xr:uid="{00000000-0005-0000-0000-0000C3040000}"/>
    <cellStyle name="Überschrift 1 4" xfId="1240" xr:uid="{00000000-0005-0000-0000-0000C4040000}"/>
    <cellStyle name="Überschrift 1 4 2" xfId="1258" xr:uid="{00000000-0005-0000-0000-0000C5040000}"/>
    <cellStyle name="Überschrift 1 5" xfId="1241" xr:uid="{00000000-0005-0000-0000-0000C6040000}"/>
    <cellStyle name="Überschrift 2 2" xfId="560" xr:uid="{00000000-0005-0000-0000-0000C7040000}"/>
    <cellStyle name="Überschrift 2 3" xfId="561" xr:uid="{00000000-0005-0000-0000-0000C8040000}"/>
    <cellStyle name="Überschrift 2 4" xfId="1242" xr:uid="{00000000-0005-0000-0000-0000C9040000}"/>
    <cellStyle name="Überschrift 2 4 2" xfId="1259" xr:uid="{00000000-0005-0000-0000-0000CA040000}"/>
    <cellStyle name="Überschrift 2 5" xfId="1243" xr:uid="{00000000-0005-0000-0000-0000CB040000}"/>
    <cellStyle name="Überschrift 3 2" xfId="563" xr:uid="{00000000-0005-0000-0000-0000CC040000}"/>
    <cellStyle name="Überschrift 3 3" xfId="564" xr:uid="{00000000-0005-0000-0000-0000CD040000}"/>
    <cellStyle name="Überschrift 3 4" xfId="1244" xr:uid="{00000000-0005-0000-0000-0000CE040000}"/>
    <cellStyle name="Überschrift 3 4 2" xfId="1260" xr:uid="{00000000-0005-0000-0000-0000CF040000}"/>
    <cellStyle name="Überschrift 3 5" xfId="1245" xr:uid="{00000000-0005-0000-0000-0000D0040000}"/>
    <cellStyle name="Überschrift 4 2" xfId="566" xr:uid="{00000000-0005-0000-0000-0000D1040000}"/>
    <cellStyle name="Überschrift 4 3" xfId="567" xr:uid="{00000000-0005-0000-0000-0000D2040000}"/>
    <cellStyle name="Überschrift 4 4" xfId="1246" xr:uid="{00000000-0005-0000-0000-0000D3040000}"/>
    <cellStyle name="Überschrift 4 4 2" xfId="1261" xr:uid="{00000000-0005-0000-0000-0000D4040000}"/>
    <cellStyle name="Überschrift 4 5" xfId="1247" xr:uid="{00000000-0005-0000-0000-0000D5040000}"/>
    <cellStyle name="Überschrift 5" xfId="568" xr:uid="{00000000-0005-0000-0000-0000D6040000}"/>
    <cellStyle name="Überschrift 6" xfId="569" xr:uid="{00000000-0005-0000-0000-0000D7040000}"/>
    <cellStyle name="Überschrift 7" xfId="1248" xr:uid="{00000000-0005-0000-0000-0000D8040000}"/>
    <cellStyle name="Überschrift 7 2" xfId="1262" xr:uid="{00000000-0005-0000-0000-0000D9040000}"/>
    <cellStyle name="Überschrift 8" xfId="1249" xr:uid="{00000000-0005-0000-0000-0000DA040000}"/>
    <cellStyle name="Verknüpfte Zelle 2" xfId="571" xr:uid="{00000000-0005-0000-0000-0000DB040000}"/>
    <cellStyle name="Verknüpfte Zelle 3" xfId="572" xr:uid="{00000000-0005-0000-0000-0000DC040000}"/>
    <cellStyle name="Verknüpfte Zelle 4" xfId="1250" xr:uid="{00000000-0005-0000-0000-0000DD040000}"/>
    <cellStyle name="Warnender Text 2" xfId="573" xr:uid="{00000000-0005-0000-0000-0000DE040000}"/>
    <cellStyle name="Warnender Text 2 2" xfId="574" xr:uid="{00000000-0005-0000-0000-0000DF040000}"/>
    <cellStyle name="Warnender Text 2 3" xfId="575" xr:uid="{00000000-0005-0000-0000-0000E0040000}"/>
    <cellStyle name="Warnender Text 2 3 2" xfId="576" xr:uid="{00000000-0005-0000-0000-0000E1040000}"/>
    <cellStyle name="Warnender Text 2 3 2 2" xfId="1252" xr:uid="{00000000-0005-0000-0000-0000E2040000}"/>
    <cellStyle name="Warnender Text 2 3 2 3" xfId="1251" xr:uid="{00000000-0005-0000-0000-0000E3040000}"/>
    <cellStyle name="Warnender Text 2 3 3" xfId="577" xr:uid="{00000000-0005-0000-0000-0000E4040000}"/>
    <cellStyle name="Warnender Text 3" xfId="578" xr:uid="{00000000-0005-0000-0000-0000E5040000}"/>
    <cellStyle name="Warnender Text 4" xfId="579" xr:uid="{00000000-0005-0000-0000-0000E6040000}"/>
    <cellStyle name="Warnender Text 5" xfId="580" xr:uid="{00000000-0005-0000-0000-0000E7040000}"/>
    <cellStyle name="Warnender Text 6" xfId="581" xr:uid="{00000000-0005-0000-0000-0000E8040000}"/>
    <cellStyle name="Zelle überprüfen 2" xfId="583" xr:uid="{00000000-0005-0000-0000-0000E9040000}"/>
    <cellStyle name="Zelle überprüfen 2 2" xfId="584" xr:uid="{00000000-0005-0000-0000-0000EA040000}"/>
    <cellStyle name="Zelle überprüfen 2 3" xfId="585" xr:uid="{00000000-0005-0000-0000-0000EB040000}"/>
    <cellStyle name="Zelle überprüfen 3" xfId="586" xr:uid="{00000000-0005-0000-0000-0000EC040000}"/>
    <cellStyle name="Zelle überprüfen 3 2" xfId="1254" xr:uid="{00000000-0005-0000-0000-0000ED040000}"/>
    <cellStyle name="Zelle überprüfen 3 3" xfId="1253" xr:uid="{00000000-0005-0000-0000-0000EE040000}"/>
    <cellStyle name="Zelle überprüfen 4" xfId="587" xr:uid="{00000000-0005-0000-0000-0000EF040000}"/>
  </cellStyles>
  <dxfs count="261">
    <dxf>
      <fill>
        <patternFill>
          <bgColor theme="0" tint="-0.24994659260841701"/>
        </patternFill>
      </fill>
    </dxf>
    <dxf>
      <fill>
        <patternFill>
          <bgColor rgb="FFDCE6F1"/>
        </patternFill>
      </fill>
    </dxf>
    <dxf>
      <fill>
        <patternFill>
          <bgColor rgb="FFFF7C80"/>
        </patternFill>
      </fill>
    </dxf>
    <dxf>
      <fill>
        <patternFill>
          <bgColor indexed="42"/>
        </patternFill>
      </fill>
    </dxf>
    <dxf>
      <fill>
        <patternFill>
          <bgColor indexed="43"/>
        </patternFill>
      </fill>
    </dxf>
    <dxf>
      <fill>
        <patternFill>
          <bgColor indexed="10"/>
        </patternFill>
      </fill>
    </dxf>
    <dxf>
      <fill>
        <patternFill>
          <bgColor rgb="FFFF7C80"/>
        </patternFill>
      </fill>
    </dxf>
    <dxf>
      <fill>
        <patternFill>
          <bgColor rgb="FFFF7C80"/>
        </patternFill>
      </fill>
    </dxf>
    <dxf>
      <fill>
        <patternFill>
          <bgColor indexed="42"/>
        </patternFill>
      </fill>
    </dxf>
    <dxf>
      <fill>
        <patternFill>
          <bgColor indexed="42"/>
        </patternFill>
      </fill>
    </dxf>
    <dxf>
      <fill>
        <patternFill>
          <bgColor indexed="44"/>
        </patternFill>
      </fill>
    </dxf>
    <dxf>
      <fill>
        <patternFill>
          <bgColor theme="4" tint="0.79998168889431442"/>
        </patternFill>
      </fill>
    </dxf>
    <dxf>
      <fill>
        <patternFill>
          <bgColor rgb="FFDCE6F1"/>
        </patternFill>
      </fill>
    </dxf>
    <dxf>
      <fill>
        <patternFill>
          <bgColor indexed="44"/>
        </patternFill>
      </fill>
    </dxf>
    <dxf>
      <fill>
        <patternFill>
          <bgColor theme="4" tint="0.79998168889431442"/>
        </patternFill>
      </fill>
    </dxf>
    <dxf>
      <fill>
        <patternFill>
          <bgColor indexed="44"/>
        </patternFill>
      </fill>
    </dxf>
    <dxf>
      <fill>
        <patternFill>
          <bgColor theme="0" tint="-0.24994659260841701"/>
        </patternFill>
      </fill>
    </dxf>
    <dxf>
      <fill>
        <patternFill>
          <bgColor indexed="23"/>
        </patternFill>
      </fill>
    </dxf>
    <dxf>
      <fill>
        <patternFill>
          <bgColor theme="0" tint="-0.24994659260841701"/>
        </patternFill>
      </fill>
    </dxf>
    <dxf>
      <fill>
        <patternFill>
          <bgColor indexed="23"/>
        </patternFill>
      </fill>
    </dxf>
    <dxf>
      <fill>
        <patternFill>
          <bgColor theme="0" tint="-0.24994659260841701"/>
        </patternFill>
      </fill>
    </dxf>
    <dxf>
      <fill>
        <patternFill>
          <bgColor indexed="23"/>
        </patternFill>
      </fill>
    </dxf>
    <dxf>
      <fill>
        <patternFill>
          <bgColor indexed="42"/>
        </patternFill>
      </fill>
    </dxf>
    <dxf>
      <fill>
        <patternFill>
          <bgColor indexed="23"/>
        </patternFill>
      </fill>
    </dxf>
    <dxf>
      <fill>
        <patternFill>
          <bgColor indexed="10"/>
        </patternFill>
      </fill>
    </dxf>
    <dxf>
      <fill>
        <patternFill>
          <bgColor indexed="42"/>
        </patternFill>
      </fill>
    </dxf>
    <dxf>
      <fill>
        <patternFill>
          <bgColor indexed="43"/>
        </patternFill>
      </fill>
    </dxf>
    <dxf>
      <fill>
        <patternFill>
          <bgColor theme="0"/>
        </patternFill>
      </fill>
    </dxf>
    <dxf>
      <fill>
        <patternFill>
          <bgColor rgb="FFCCFFCC"/>
        </patternFill>
      </fill>
    </dxf>
    <dxf>
      <fill>
        <patternFill patternType="none">
          <bgColor indexed="65"/>
        </patternFill>
      </fill>
    </dxf>
    <dxf>
      <fill>
        <patternFill>
          <bgColor indexed="10"/>
        </patternFill>
      </fill>
    </dxf>
    <dxf>
      <fill>
        <patternFill>
          <bgColor theme="0" tint="-0.24994659260841701"/>
        </patternFill>
      </fill>
    </dxf>
    <dxf>
      <fill>
        <patternFill>
          <bgColor indexed="23"/>
        </patternFill>
      </fill>
    </dxf>
    <dxf>
      <fill>
        <patternFill>
          <bgColor indexed="23"/>
        </patternFill>
      </fill>
    </dxf>
    <dxf>
      <fill>
        <patternFill>
          <bgColor indexed="42"/>
        </patternFill>
      </fill>
    </dxf>
    <dxf>
      <fill>
        <patternFill>
          <bgColor rgb="FFCCFFCA"/>
        </patternFill>
      </fill>
    </dxf>
    <dxf>
      <fill>
        <patternFill>
          <bgColor rgb="FFFF7C80"/>
        </patternFill>
      </fill>
    </dxf>
    <dxf>
      <fill>
        <patternFill>
          <bgColor rgb="FFFF7C80"/>
        </patternFill>
      </fill>
    </dxf>
    <dxf>
      <fill>
        <patternFill>
          <bgColor indexed="23"/>
        </patternFill>
      </fill>
    </dxf>
    <dxf>
      <fill>
        <patternFill>
          <bgColor rgb="FF99FF66"/>
        </patternFill>
      </fill>
    </dxf>
    <dxf>
      <fill>
        <patternFill>
          <bgColor indexed="10"/>
        </patternFill>
      </fill>
    </dxf>
    <dxf>
      <fill>
        <patternFill>
          <bgColor rgb="FFCCFFCC"/>
        </patternFill>
      </fill>
      <border>
        <left style="thin">
          <color auto="1"/>
        </left>
        <right style="thin">
          <color auto="1"/>
        </right>
        <top style="thin">
          <color auto="1"/>
        </top>
        <bottom style="thin">
          <color auto="1"/>
        </bottom>
        <vertical/>
        <horizontal/>
      </border>
    </dxf>
    <dxf>
      <fill>
        <patternFill>
          <bgColor indexed="42"/>
        </patternFill>
      </fill>
    </dxf>
    <dxf>
      <fill>
        <patternFill>
          <bgColor indexed="43"/>
        </patternFill>
      </fill>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ont>
        <color rgb="FF9C0006"/>
      </font>
      <fill>
        <patternFill>
          <bgColor rgb="FFFFC7CE"/>
        </patternFill>
      </fill>
    </dxf>
    <dxf>
      <font>
        <color rgb="FF9C0006"/>
      </font>
      <fill>
        <patternFill>
          <bgColor rgb="FFFFC7CE"/>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C0C0C0"/>
        </patternFill>
      </fill>
    </dxf>
    <dxf>
      <fill>
        <patternFill>
          <bgColor rgb="FFFFFF99"/>
        </patternFill>
      </fill>
    </dxf>
    <dxf>
      <fill>
        <patternFill>
          <bgColor rgb="FF99FF66"/>
        </patternFill>
      </fill>
    </dxf>
    <dxf>
      <fill>
        <patternFill>
          <bgColor rgb="FFCCFFCC"/>
        </patternFill>
      </fill>
    </dxf>
    <dxf>
      <fill>
        <patternFill>
          <bgColor rgb="FFCCFFCC"/>
        </patternFill>
      </fill>
    </dxf>
    <dxf>
      <fill>
        <patternFill>
          <bgColor indexed="43"/>
        </patternFill>
      </fill>
    </dxf>
    <dxf>
      <fill>
        <patternFill>
          <bgColor rgb="FFCCFFCC"/>
        </patternFill>
      </fill>
    </dxf>
    <dxf>
      <fill>
        <patternFill>
          <bgColor indexed="10"/>
        </patternFill>
      </fill>
    </dxf>
    <dxf>
      <fill>
        <patternFill>
          <bgColor indexed="10"/>
        </patternFill>
      </fill>
    </dxf>
    <dxf>
      <fill>
        <patternFill>
          <bgColor rgb="FFCCFFCC"/>
        </patternFill>
      </fill>
    </dxf>
    <dxf>
      <fill>
        <patternFill>
          <bgColor indexed="43"/>
        </patternFill>
      </fill>
    </dxf>
    <dxf>
      <fill>
        <patternFill>
          <bgColor rgb="FFCCFFCC"/>
        </patternFill>
      </fill>
    </dxf>
    <dxf>
      <fill>
        <patternFill>
          <bgColor rgb="FF99FF66"/>
        </patternFill>
      </fill>
    </dxf>
    <dxf>
      <fill>
        <patternFill>
          <bgColor indexed="10"/>
        </patternFill>
      </fill>
    </dxf>
    <dxf>
      <fill>
        <patternFill>
          <bgColor indexed="43"/>
        </patternFill>
      </fill>
    </dxf>
    <dxf>
      <fill>
        <patternFill>
          <bgColor rgb="FFCCFFCC"/>
        </patternFill>
      </fill>
    </dxf>
    <dxf>
      <fill>
        <patternFill>
          <bgColor rgb="FF99FF66"/>
        </patternFill>
      </fill>
    </dxf>
    <dxf>
      <fill>
        <patternFill>
          <bgColor rgb="FFCCFFCC"/>
        </patternFill>
      </fill>
    </dxf>
    <dxf>
      <fill>
        <patternFill>
          <bgColor indexed="10"/>
        </patternFill>
      </fill>
    </dxf>
    <dxf>
      <fill>
        <patternFill>
          <bgColor indexed="42"/>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indexed="10"/>
        </patternFill>
      </fill>
    </dxf>
    <dxf>
      <fill>
        <patternFill>
          <bgColor indexed="10"/>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indexed="42"/>
        </patternFill>
      </fill>
    </dxf>
    <dxf>
      <fill>
        <patternFill>
          <bgColor rgb="FFCCFFCC"/>
        </patternFill>
      </fill>
    </dxf>
    <dxf>
      <fill>
        <patternFill>
          <bgColor rgb="FF99FF66"/>
        </patternFill>
      </fill>
    </dxf>
    <dxf>
      <fill>
        <patternFill>
          <bgColor rgb="FFCCFFCC"/>
        </patternFill>
      </fill>
    </dxf>
    <dxf>
      <fill>
        <patternFill>
          <bgColor indexed="43"/>
        </patternFill>
      </fill>
    </dxf>
    <dxf>
      <fill>
        <patternFill>
          <bgColor rgb="FF99FF66"/>
        </patternFill>
      </fill>
    </dxf>
    <dxf>
      <fill>
        <patternFill>
          <bgColor indexed="43"/>
        </patternFill>
      </fill>
    </dxf>
    <dxf>
      <fill>
        <patternFill>
          <bgColor indexed="10"/>
        </patternFill>
      </fill>
    </dxf>
    <dxf>
      <fill>
        <patternFill>
          <bgColor indexed="43"/>
        </patternFill>
      </fill>
    </dxf>
    <dxf>
      <fill>
        <patternFill>
          <bgColor rgb="FF99FF66"/>
        </patternFill>
      </fill>
    </dxf>
    <dxf>
      <fill>
        <patternFill>
          <bgColor indexed="10"/>
        </patternFill>
      </fill>
    </dxf>
    <dxf>
      <fill>
        <patternFill>
          <bgColor indexed="43"/>
        </patternFill>
      </fill>
    </dxf>
    <dxf>
      <fill>
        <patternFill>
          <bgColor rgb="FF99FF66"/>
        </patternFill>
      </fill>
    </dxf>
    <dxf>
      <fill>
        <patternFill>
          <bgColor indexed="42"/>
        </patternFill>
      </fill>
    </dxf>
    <dxf>
      <fill>
        <patternFill>
          <bgColor indexed="42"/>
        </patternFill>
      </fill>
    </dxf>
    <dxf>
      <fill>
        <patternFill>
          <bgColor indexed="22"/>
        </patternFill>
      </fill>
    </dxf>
    <dxf>
      <fill>
        <patternFill>
          <bgColor indexed="22"/>
        </patternFill>
      </fill>
    </dxf>
    <dxf>
      <fill>
        <patternFill>
          <bgColor indexed="22"/>
        </patternFill>
      </fill>
    </dxf>
    <dxf>
      <fill>
        <patternFill>
          <bgColor indexed="22"/>
        </patternFill>
      </fill>
    </dxf>
    <dxf>
      <font>
        <color rgb="FF9C0006"/>
      </font>
      <fill>
        <patternFill>
          <bgColor rgb="FFFFC7CE"/>
        </patternFill>
      </fill>
    </dxf>
    <dxf>
      <fill>
        <patternFill>
          <bgColor rgb="FFC0C0C0"/>
        </patternFill>
      </fill>
    </dxf>
    <dxf>
      <fill>
        <patternFill>
          <bgColor rgb="FFDCE6F1"/>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BFBFBF"/>
        </patternFill>
      </fill>
    </dxf>
    <dxf>
      <fill>
        <patternFill>
          <bgColor rgb="FFDCE6F1"/>
        </patternFill>
      </fill>
    </dxf>
    <dxf>
      <fill>
        <patternFill>
          <bgColor theme="0" tint="-0.24994659260841701"/>
        </patternFill>
      </fill>
    </dxf>
    <dxf>
      <fill>
        <patternFill>
          <bgColor indexed="43"/>
        </patternFill>
      </fill>
    </dxf>
    <dxf>
      <fill>
        <patternFill>
          <bgColor indexed="42"/>
        </patternFill>
      </fill>
    </dxf>
    <dxf>
      <fill>
        <patternFill>
          <bgColor rgb="FF99FF66"/>
        </patternFill>
      </fill>
    </dxf>
    <dxf>
      <fill>
        <patternFill>
          <bgColor rgb="FF99FF66"/>
        </patternFill>
      </fill>
    </dxf>
    <dxf>
      <fill>
        <patternFill>
          <bgColor indexed="43"/>
        </patternFill>
      </fill>
    </dxf>
    <dxf>
      <fill>
        <patternFill>
          <bgColor indexed="42"/>
        </patternFill>
      </fill>
    </dxf>
    <dxf>
      <fill>
        <patternFill>
          <bgColor rgb="FF99FF66"/>
        </patternFill>
      </fill>
    </dxf>
    <dxf>
      <fill>
        <patternFill>
          <bgColor indexed="43"/>
        </patternFill>
      </fill>
    </dxf>
    <dxf>
      <fill>
        <patternFill>
          <bgColor indexed="42"/>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10"/>
        </patternFill>
      </fill>
    </dxf>
    <dxf>
      <fill>
        <patternFill>
          <bgColor rgb="FF99FF66"/>
        </patternFill>
      </fill>
    </dxf>
    <dxf>
      <fill>
        <patternFill>
          <bgColor rgb="FF99FF66"/>
        </patternFill>
      </fill>
    </dxf>
    <dxf>
      <fill>
        <patternFill>
          <bgColor indexed="10"/>
        </patternFill>
      </fill>
    </dxf>
    <dxf>
      <fill>
        <patternFill>
          <bgColor rgb="FF99FF66"/>
        </patternFill>
      </fill>
    </dxf>
    <dxf>
      <fill>
        <patternFill>
          <bgColor indexed="10"/>
        </patternFill>
      </fill>
    </dxf>
    <dxf>
      <fill>
        <patternFill>
          <bgColor rgb="FF99FF66"/>
        </patternFill>
      </fill>
    </dxf>
    <dxf>
      <fill>
        <patternFill>
          <bgColor indexed="10"/>
        </patternFill>
      </fill>
    </dxf>
    <dxf>
      <fill>
        <patternFill>
          <bgColor rgb="FF99FF66"/>
        </patternFill>
      </fill>
    </dxf>
    <dxf>
      <fill>
        <patternFill>
          <bgColor indexed="10"/>
        </patternFill>
      </fill>
    </dxf>
    <dxf>
      <fill>
        <patternFill>
          <bgColor rgb="FF99FF66"/>
        </patternFill>
      </fill>
    </dxf>
    <dxf>
      <fill>
        <patternFill>
          <bgColor indexed="10"/>
        </patternFill>
      </fill>
    </dxf>
    <dxf>
      <fill>
        <patternFill>
          <bgColor rgb="FF99FF66"/>
        </patternFill>
      </fill>
    </dxf>
    <dxf>
      <fill>
        <patternFill>
          <bgColor indexed="10"/>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rgb="FF99FF66"/>
        </patternFill>
      </fill>
    </dxf>
    <dxf>
      <fill>
        <patternFill>
          <bgColor indexed="1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theme="4" tint="0.79998168889431442"/>
        </patternFill>
      </fill>
    </dxf>
    <dxf>
      <fill>
        <patternFill>
          <bgColor rgb="FFDCE6F1"/>
        </patternFill>
      </fill>
    </dxf>
    <dxf>
      <fill>
        <patternFill>
          <bgColor theme="0" tint="-0.24994659260841701"/>
        </patternFill>
      </fill>
    </dxf>
    <dxf>
      <fill>
        <patternFill>
          <bgColor rgb="FFDCE6F1"/>
        </patternFill>
      </fill>
    </dxf>
    <dxf>
      <fill>
        <patternFill>
          <bgColor theme="0" tint="-0.24994659260841701"/>
        </patternFill>
      </fill>
    </dxf>
    <dxf>
      <fill>
        <patternFill>
          <bgColor theme="0" tint="-0.24994659260841701"/>
        </patternFill>
      </fill>
    </dxf>
    <dxf>
      <fill>
        <patternFill>
          <bgColor rgb="FFDCE6F1"/>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rgb="FF99FF66"/>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99FF66"/>
        </patternFill>
      </fill>
    </dxf>
    <dxf>
      <fill>
        <patternFill>
          <bgColor indexed="10"/>
        </patternFill>
      </fill>
    </dxf>
    <dxf>
      <fill>
        <patternFill>
          <bgColor indexed="10"/>
        </patternFill>
      </fill>
    </dxf>
    <dxf>
      <fill>
        <patternFill>
          <bgColor indexed="42"/>
        </patternFill>
      </fill>
    </dxf>
    <dxf>
      <fill>
        <patternFill>
          <bgColor indexed="43"/>
        </patternFill>
      </fill>
    </dxf>
    <dxf>
      <fill>
        <patternFill>
          <bgColor rgb="FF99FF66"/>
        </patternFill>
      </fill>
    </dxf>
    <dxf>
      <fill>
        <patternFill>
          <bgColor rgb="FF99FF66"/>
        </patternFill>
      </fill>
    </dxf>
    <dxf>
      <fill>
        <patternFill>
          <bgColor indexed="10"/>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rgb="FF99FF66"/>
        </patternFill>
      </fill>
    </dxf>
    <dxf>
      <fill>
        <patternFill>
          <bgColor indexed="10"/>
        </patternFill>
      </fill>
    </dxf>
    <dxf>
      <fill>
        <patternFill>
          <bgColor rgb="FFFFFF99"/>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indexed="42"/>
        </patternFill>
      </fill>
    </dxf>
    <dxf>
      <fill>
        <patternFill>
          <bgColor indexed="43"/>
        </patternFill>
      </fill>
    </dxf>
    <dxf>
      <fill>
        <patternFill>
          <bgColor rgb="FF99FF66"/>
        </patternFill>
      </fill>
    </dxf>
    <dxf>
      <fill>
        <patternFill>
          <bgColor indexed="10"/>
        </patternFill>
      </fill>
    </dxf>
    <dxf>
      <fill>
        <patternFill>
          <bgColor rgb="FFFFFF99"/>
        </patternFill>
      </fill>
    </dxf>
    <dxf>
      <fill>
        <patternFill>
          <bgColor indexed="42"/>
        </patternFill>
      </fill>
    </dxf>
    <dxf>
      <fill>
        <patternFill>
          <bgColor indexed="43"/>
        </patternFill>
      </fill>
    </dxf>
    <dxf>
      <fill>
        <patternFill>
          <bgColor indexed="10"/>
        </patternFill>
      </fill>
    </dxf>
    <dxf>
      <fill>
        <patternFill>
          <bgColor rgb="FF99FF66"/>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DCE6F1"/>
        </patternFill>
      </fill>
    </dxf>
    <dxf>
      <fill>
        <patternFill>
          <bgColor rgb="FFDCE6F1"/>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lightDown"/>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22"/>
        </patternFill>
      </fill>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border>
    </dxf>
    <dxf>
      <border outline="0">
        <top style="thin">
          <color indexed="64"/>
        </top>
      </border>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8"/>
        <color auto="1"/>
        <name val="Arial"/>
        <scheme val="none"/>
      </font>
      <alignment horizontal="general"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7C80"/>
      <rgbColor rgb="0099FF66"/>
      <rgbColor rgb="000000FF"/>
      <rgbColor rgb="00FFFF00"/>
      <rgbColor rgb="00FF00FF"/>
      <rgbColor rgb="0000B0AC"/>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CE6F1"/>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99FF66"/>
      <color rgb="FFCCFFCC"/>
      <color rgb="FF808080"/>
      <color rgb="FFFF7C80"/>
      <color rgb="FFFFFFCC"/>
      <color rgb="FFDCE6F1"/>
      <color rgb="FFC0C0C0"/>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 Id="rId5" Type="http://schemas.openxmlformats.org/officeDocument/2006/relationships/image" Target="../media/image3.jpeg"/><Relationship Id="rId4" Type="http://schemas.openxmlformats.org/officeDocument/2006/relationships/image" Target="../media/image7.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 Id="rId5" Type="http://schemas.openxmlformats.org/officeDocument/2006/relationships/image" Target="../media/image3.jpeg"/><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6.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7.png"/><Relationship Id="rId1" Type="http://schemas.openxmlformats.org/officeDocument/2006/relationships/image" Target="../media/image1.png"/><Relationship Id="rId4"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2.png"/><Relationship Id="rId1" Type="http://schemas.openxmlformats.org/officeDocument/2006/relationships/image" Target="../media/image11.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10</xdr:col>
      <xdr:colOff>523875</xdr:colOff>
      <xdr:row>12</xdr:row>
      <xdr:rowOff>9525</xdr:rowOff>
    </xdr:from>
    <xdr:to>
      <xdr:col>10</xdr:col>
      <xdr:colOff>628650</xdr:colOff>
      <xdr:row>12</xdr:row>
      <xdr:rowOff>9525</xdr:rowOff>
    </xdr:to>
    <xdr:pic>
      <xdr:nvPicPr>
        <xdr:cNvPr id="237471" name="Grafik 23">
          <a:extLst>
            <a:ext uri="{FF2B5EF4-FFF2-40B4-BE49-F238E27FC236}">
              <a16:creationId xmlns:a16="http://schemas.microsoft.com/office/drawing/2014/main" id="{00000000-0008-0000-0000-00009F9F03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00775" y="1790700"/>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609600</xdr:colOff>
      <xdr:row>26</xdr:row>
      <xdr:rowOff>9525</xdr:rowOff>
    </xdr:from>
    <xdr:to>
      <xdr:col>10</xdr:col>
      <xdr:colOff>609600</xdr:colOff>
      <xdr:row>26</xdr:row>
      <xdr:rowOff>114300</xdr:rowOff>
    </xdr:to>
    <xdr:pic>
      <xdr:nvPicPr>
        <xdr:cNvPr id="237472" name="Grafik 22">
          <a:extLst>
            <a:ext uri="{FF2B5EF4-FFF2-40B4-BE49-F238E27FC236}">
              <a16:creationId xmlns:a16="http://schemas.microsoft.com/office/drawing/2014/main" id="{00000000-0008-0000-0000-0000A0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86500" y="415290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12</xdr:row>
      <xdr:rowOff>9525</xdr:rowOff>
    </xdr:from>
    <xdr:to>
      <xdr:col>11</xdr:col>
      <xdr:colOff>0</xdr:colOff>
      <xdr:row>12</xdr:row>
      <xdr:rowOff>114300</xdr:rowOff>
    </xdr:to>
    <xdr:pic>
      <xdr:nvPicPr>
        <xdr:cNvPr id="237474" name="Grafik 18">
          <a:extLst>
            <a:ext uri="{FF2B5EF4-FFF2-40B4-BE49-F238E27FC236}">
              <a16:creationId xmlns:a16="http://schemas.microsoft.com/office/drawing/2014/main" id="{00000000-0008-0000-0000-0000A2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91500" y="1790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14</xdr:row>
      <xdr:rowOff>9525</xdr:rowOff>
    </xdr:from>
    <xdr:to>
      <xdr:col>11</xdr:col>
      <xdr:colOff>0</xdr:colOff>
      <xdr:row>14</xdr:row>
      <xdr:rowOff>114300</xdr:rowOff>
    </xdr:to>
    <xdr:pic>
      <xdr:nvPicPr>
        <xdr:cNvPr id="237475" name="Grafik 18">
          <a:extLst>
            <a:ext uri="{FF2B5EF4-FFF2-40B4-BE49-F238E27FC236}">
              <a16:creationId xmlns:a16="http://schemas.microsoft.com/office/drawing/2014/main" id="{00000000-0008-0000-0000-0000A3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91500" y="20764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723900</xdr:colOff>
      <xdr:row>6</xdr:row>
      <xdr:rowOff>9525</xdr:rowOff>
    </xdr:from>
    <xdr:to>
      <xdr:col>3</xdr:col>
      <xdr:colOff>0</xdr:colOff>
      <xdr:row>6</xdr:row>
      <xdr:rowOff>114300</xdr:rowOff>
    </xdr:to>
    <xdr:pic>
      <xdr:nvPicPr>
        <xdr:cNvPr id="237476" name="Grafik 18">
          <a:extLst>
            <a:ext uri="{FF2B5EF4-FFF2-40B4-BE49-F238E27FC236}">
              <a16:creationId xmlns:a16="http://schemas.microsoft.com/office/drawing/2014/main" id="{00000000-0008-0000-0000-0000A4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95625" y="9810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26</xdr:row>
      <xdr:rowOff>9525</xdr:rowOff>
    </xdr:from>
    <xdr:to>
      <xdr:col>11</xdr:col>
      <xdr:colOff>0</xdr:colOff>
      <xdr:row>26</xdr:row>
      <xdr:rowOff>114300</xdr:rowOff>
    </xdr:to>
    <xdr:pic>
      <xdr:nvPicPr>
        <xdr:cNvPr id="237478" name="Grafik 18">
          <a:extLst>
            <a:ext uri="{FF2B5EF4-FFF2-40B4-BE49-F238E27FC236}">
              <a16:creationId xmlns:a16="http://schemas.microsoft.com/office/drawing/2014/main" id="{00000000-0008-0000-0000-0000A6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91500" y="34575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32</xdr:row>
      <xdr:rowOff>9525</xdr:rowOff>
    </xdr:from>
    <xdr:to>
      <xdr:col>11</xdr:col>
      <xdr:colOff>0</xdr:colOff>
      <xdr:row>32</xdr:row>
      <xdr:rowOff>114300</xdr:rowOff>
    </xdr:to>
    <xdr:pic>
      <xdr:nvPicPr>
        <xdr:cNvPr id="237479" name="Grafik 18">
          <a:extLst>
            <a:ext uri="{FF2B5EF4-FFF2-40B4-BE49-F238E27FC236}">
              <a16:creationId xmlns:a16="http://schemas.microsoft.com/office/drawing/2014/main" id="{00000000-0008-0000-0000-0000A7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91500" y="5600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33</xdr:row>
      <xdr:rowOff>9525</xdr:rowOff>
    </xdr:from>
    <xdr:to>
      <xdr:col>11</xdr:col>
      <xdr:colOff>0</xdr:colOff>
      <xdr:row>33</xdr:row>
      <xdr:rowOff>114300</xdr:rowOff>
    </xdr:to>
    <xdr:pic>
      <xdr:nvPicPr>
        <xdr:cNvPr id="237480" name="Grafik 18">
          <a:extLst>
            <a:ext uri="{FF2B5EF4-FFF2-40B4-BE49-F238E27FC236}">
              <a16:creationId xmlns:a16="http://schemas.microsoft.com/office/drawing/2014/main" id="{00000000-0008-0000-0000-0000A8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91500" y="6029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1695450</xdr:colOff>
      <xdr:row>33</xdr:row>
      <xdr:rowOff>0</xdr:rowOff>
    </xdr:from>
    <xdr:to>
      <xdr:col>1</xdr:col>
      <xdr:colOff>0</xdr:colOff>
      <xdr:row>33</xdr:row>
      <xdr:rowOff>104775</xdr:rowOff>
    </xdr:to>
    <xdr:pic>
      <xdr:nvPicPr>
        <xdr:cNvPr id="237491" name="Grafik 18">
          <a:extLst>
            <a:ext uri="{FF2B5EF4-FFF2-40B4-BE49-F238E27FC236}">
              <a16:creationId xmlns:a16="http://schemas.microsoft.com/office/drawing/2014/main" id="{00000000-0008-0000-0000-0000B3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95450" y="5905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666750</xdr:colOff>
      <xdr:row>12</xdr:row>
      <xdr:rowOff>9525</xdr:rowOff>
    </xdr:from>
    <xdr:to>
      <xdr:col>4</xdr:col>
      <xdr:colOff>0</xdr:colOff>
      <xdr:row>12</xdr:row>
      <xdr:rowOff>114300</xdr:rowOff>
    </xdr:to>
    <xdr:pic>
      <xdr:nvPicPr>
        <xdr:cNvPr id="237492" name="Grafik 18">
          <a:extLst>
            <a:ext uri="{FF2B5EF4-FFF2-40B4-BE49-F238E27FC236}">
              <a16:creationId xmlns:a16="http://schemas.microsoft.com/office/drawing/2014/main" id="{00000000-0008-0000-0000-0000B4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76675" y="18002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609600</xdr:colOff>
      <xdr:row>26</xdr:row>
      <xdr:rowOff>9525</xdr:rowOff>
    </xdr:from>
    <xdr:to>
      <xdr:col>10</xdr:col>
      <xdr:colOff>609600</xdr:colOff>
      <xdr:row>26</xdr:row>
      <xdr:rowOff>114300</xdr:rowOff>
    </xdr:to>
    <xdr:pic>
      <xdr:nvPicPr>
        <xdr:cNvPr id="29" name="Grafik 22">
          <a:extLst>
            <a:ext uri="{FF2B5EF4-FFF2-40B4-BE49-F238E27FC236}">
              <a16:creationId xmlns:a16="http://schemas.microsoft.com/office/drawing/2014/main" id="{F7DA253E-77A9-4EF7-927C-3468D355D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86975" y="346710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26</xdr:row>
      <xdr:rowOff>9525</xdr:rowOff>
    </xdr:from>
    <xdr:to>
      <xdr:col>11</xdr:col>
      <xdr:colOff>0</xdr:colOff>
      <xdr:row>26</xdr:row>
      <xdr:rowOff>114300</xdr:rowOff>
    </xdr:to>
    <xdr:pic>
      <xdr:nvPicPr>
        <xdr:cNvPr id="30" name="Grafik 18">
          <a:extLst>
            <a:ext uri="{FF2B5EF4-FFF2-40B4-BE49-F238E27FC236}">
              <a16:creationId xmlns:a16="http://schemas.microsoft.com/office/drawing/2014/main" id="{5D0DD6E8-21DD-41A6-A4E8-811C4188D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39350" y="34671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609600</xdr:colOff>
      <xdr:row>26</xdr:row>
      <xdr:rowOff>9525</xdr:rowOff>
    </xdr:from>
    <xdr:to>
      <xdr:col>10</xdr:col>
      <xdr:colOff>609600</xdr:colOff>
      <xdr:row>26</xdr:row>
      <xdr:rowOff>114300</xdr:rowOff>
    </xdr:to>
    <xdr:pic>
      <xdr:nvPicPr>
        <xdr:cNvPr id="31" name="Grafik 22">
          <a:extLst>
            <a:ext uri="{FF2B5EF4-FFF2-40B4-BE49-F238E27FC236}">
              <a16:creationId xmlns:a16="http://schemas.microsoft.com/office/drawing/2014/main" id="{8BA33F5E-8BF8-41CC-AE9D-A9501F8AA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86975" y="346710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26</xdr:row>
      <xdr:rowOff>9525</xdr:rowOff>
    </xdr:from>
    <xdr:to>
      <xdr:col>11</xdr:col>
      <xdr:colOff>0</xdr:colOff>
      <xdr:row>26</xdr:row>
      <xdr:rowOff>114300</xdr:rowOff>
    </xdr:to>
    <xdr:pic>
      <xdr:nvPicPr>
        <xdr:cNvPr id="32" name="Grafik 18">
          <a:extLst>
            <a:ext uri="{FF2B5EF4-FFF2-40B4-BE49-F238E27FC236}">
              <a16:creationId xmlns:a16="http://schemas.microsoft.com/office/drawing/2014/main" id="{588F26E6-ABA6-4B28-8DD2-514412B46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39350" y="34671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1695450</xdr:colOff>
      <xdr:row>30</xdr:row>
      <xdr:rowOff>9525</xdr:rowOff>
    </xdr:from>
    <xdr:to>
      <xdr:col>1</xdr:col>
      <xdr:colOff>0</xdr:colOff>
      <xdr:row>30</xdr:row>
      <xdr:rowOff>114300</xdr:rowOff>
    </xdr:to>
    <xdr:pic>
      <xdr:nvPicPr>
        <xdr:cNvPr id="35" name="Grafik 18">
          <a:extLst>
            <a:ext uri="{FF2B5EF4-FFF2-40B4-BE49-F238E27FC236}">
              <a16:creationId xmlns:a16="http://schemas.microsoft.com/office/drawing/2014/main" id="{ADC53F43-E0E2-439D-9248-B20FCD2E3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95450" y="44386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723900</xdr:colOff>
      <xdr:row>33</xdr:row>
      <xdr:rowOff>9525</xdr:rowOff>
    </xdr:from>
    <xdr:to>
      <xdr:col>5</xdr:col>
      <xdr:colOff>0</xdr:colOff>
      <xdr:row>33</xdr:row>
      <xdr:rowOff>114300</xdr:rowOff>
    </xdr:to>
    <xdr:pic>
      <xdr:nvPicPr>
        <xdr:cNvPr id="37" name="Grafik 18">
          <a:extLst>
            <a:ext uri="{FF2B5EF4-FFF2-40B4-BE49-F238E27FC236}">
              <a16:creationId xmlns:a16="http://schemas.microsoft.com/office/drawing/2014/main" id="{670BDDCD-8519-4B18-8BB5-A528BAE54A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14900" y="5915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666750</xdr:colOff>
      <xdr:row>33</xdr:row>
      <xdr:rowOff>9525</xdr:rowOff>
    </xdr:from>
    <xdr:to>
      <xdr:col>4</xdr:col>
      <xdr:colOff>0</xdr:colOff>
      <xdr:row>33</xdr:row>
      <xdr:rowOff>114300</xdr:rowOff>
    </xdr:to>
    <xdr:pic>
      <xdr:nvPicPr>
        <xdr:cNvPr id="38" name="Grafik 18">
          <a:extLst>
            <a:ext uri="{FF2B5EF4-FFF2-40B4-BE49-F238E27FC236}">
              <a16:creationId xmlns:a16="http://schemas.microsoft.com/office/drawing/2014/main" id="{16590D8C-AFC9-4883-862D-B1671BC44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5915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723900</xdr:colOff>
      <xdr:row>33</xdr:row>
      <xdr:rowOff>9525</xdr:rowOff>
    </xdr:from>
    <xdr:to>
      <xdr:col>3</xdr:col>
      <xdr:colOff>0</xdr:colOff>
      <xdr:row>33</xdr:row>
      <xdr:rowOff>114300</xdr:rowOff>
    </xdr:to>
    <xdr:pic>
      <xdr:nvPicPr>
        <xdr:cNvPr id="39" name="Grafik 18">
          <a:extLst>
            <a:ext uri="{FF2B5EF4-FFF2-40B4-BE49-F238E27FC236}">
              <a16:creationId xmlns:a16="http://schemas.microsoft.com/office/drawing/2014/main" id="{7C275B58-B4C7-4932-A77B-328CE4D7F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95650" y="5915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723900</xdr:colOff>
      <xdr:row>33</xdr:row>
      <xdr:rowOff>9525</xdr:rowOff>
    </xdr:from>
    <xdr:to>
      <xdr:col>2</xdr:col>
      <xdr:colOff>0</xdr:colOff>
      <xdr:row>33</xdr:row>
      <xdr:rowOff>114300</xdr:rowOff>
    </xdr:to>
    <xdr:pic>
      <xdr:nvPicPr>
        <xdr:cNvPr id="40" name="Grafik 18">
          <a:extLst>
            <a:ext uri="{FF2B5EF4-FFF2-40B4-BE49-F238E27FC236}">
              <a16:creationId xmlns:a16="http://schemas.microsoft.com/office/drawing/2014/main" id="{06C02B4E-CA58-4245-87F9-33E456B1DE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7450" y="5915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828675</xdr:colOff>
      <xdr:row>33</xdr:row>
      <xdr:rowOff>9525</xdr:rowOff>
    </xdr:from>
    <xdr:to>
      <xdr:col>6</xdr:col>
      <xdr:colOff>0</xdr:colOff>
      <xdr:row>33</xdr:row>
      <xdr:rowOff>114300</xdr:rowOff>
    </xdr:to>
    <xdr:pic>
      <xdr:nvPicPr>
        <xdr:cNvPr id="41" name="Grafik 18">
          <a:extLst>
            <a:ext uri="{FF2B5EF4-FFF2-40B4-BE49-F238E27FC236}">
              <a16:creationId xmlns:a16="http://schemas.microsoft.com/office/drawing/2014/main" id="{7B7AF9E7-BD7C-4100-84B4-2A86F6F16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57875" y="5915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933450</xdr:colOff>
      <xdr:row>33</xdr:row>
      <xdr:rowOff>9525</xdr:rowOff>
    </xdr:from>
    <xdr:to>
      <xdr:col>7</xdr:col>
      <xdr:colOff>0</xdr:colOff>
      <xdr:row>33</xdr:row>
      <xdr:rowOff>114300</xdr:rowOff>
    </xdr:to>
    <xdr:pic>
      <xdr:nvPicPr>
        <xdr:cNvPr id="42" name="Grafik 18">
          <a:extLst>
            <a:ext uri="{FF2B5EF4-FFF2-40B4-BE49-F238E27FC236}">
              <a16:creationId xmlns:a16="http://schemas.microsoft.com/office/drawing/2014/main" id="{55A545D4-F4E6-4251-A25F-F0D61A2D0B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5625" y="5915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723900</xdr:colOff>
      <xdr:row>38</xdr:row>
      <xdr:rowOff>9525</xdr:rowOff>
    </xdr:from>
    <xdr:to>
      <xdr:col>10</xdr:col>
      <xdr:colOff>0</xdr:colOff>
      <xdr:row>38</xdr:row>
      <xdr:rowOff>114300</xdr:rowOff>
    </xdr:to>
    <xdr:pic>
      <xdr:nvPicPr>
        <xdr:cNvPr id="43" name="Grafik 18">
          <a:extLst>
            <a:ext uri="{FF2B5EF4-FFF2-40B4-BE49-F238E27FC236}">
              <a16:creationId xmlns:a16="http://schemas.microsoft.com/office/drawing/2014/main" id="{A3B6FBAE-F5C5-499C-AE1A-04A50955D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63075" y="78676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38</xdr:row>
      <xdr:rowOff>9525</xdr:rowOff>
    </xdr:from>
    <xdr:to>
      <xdr:col>11</xdr:col>
      <xdr:colOff>0</xdr:colOff>
      <xdr:row>38</xdr:row>
      <xdr:rowOff>114300</xdr:rowOff>
    </xdr:to>
    <xdr:pic>
      <xdr:nvPicPr>
        <xdr:cNvPr id="44" name="Grafik 18">
          <a:extLst>
            <a:ext uri="{FF2B5EF4-FFF2-40B4-BE49-F238E27FC236}">
              <a16:creationId xmlns:a16="http://schemas.microsoft.com/office/drawing/2014/main" id="{4F6C77F3-BB47-487B-B565-AE1DD6B8A7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39350" y="78676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609600</xdr:colOff>
      <xdr:row>1</xdr:row>
      <xdr:rowOff>142876</xdr:rowOff>
    </xdr:from>
    <xdr:to>
      <xdr:col>9</xdr:col>
      <xdr:colOff>28574</xdr:colOff>
      <xdr:row>3</xdr:row>
      <xdr:rowOff>92567</xdr:rowOff>
    </xdr:to>
    <xdr:pic>
      <xdr:nvPicPr>
        <xdr:cNvPr id="45" name="Grafik 1">
          <a:extLst>
            <a:ext uri="{FF2B5EF4-FFF2-40B4-BE49-F238E27FC236}">
              <a16:creationId xmlns:a16="http://schemas.microsoft.com/office/drawing/2014/main" id="{899BE312-9A95-40BF-91B4-A3BD1C9670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05725" y="219076"/>
          <a:ext cx="1038224" cy="321166"/>
        </a:xfrm>
        <a:prstGeom prst="rect">
          <a:avLst/>
        </a:prstGeom>
      </xdr:spPr>
    </xdr:pic>
    <xdr:clientData/>
  </xdr:twoCellAnchor>
  <xdr:twoCellAnchor editAs="oneCell">
    <xdr:from>
      <xdr:col>9</xdr:col>
      <xdr:colOff>28574</xdr:colOff>
      <xdr:row>1</xdr:row>
      <xdr:rowOff>0</xdr:rowOff>
    </xdr:from>
    <xdr:to>
      <xdr:col>10</xdr:col>
      <xdr:colOff>673993</xdr:colOff>
      <xdr:row>4</xdr:row>
      <xdr:rowOff>98954</xdr:rowOff>
    </xdr:to>
    <xdr:pic>
      <xdr:nvPicPr>
        <xdr:cNvPr id="46" name="Grafik 26">
          <a:extLst>
            <a:ext uri="{FF2B5EF4-FFF2-40B4-BE49-F238E27FC236}">
              <a16:creationId xmlns:a16="http://schemas.microsoft.com/office/drawing/2014/main" id="{E1DE47B3-4128-4C25-86BD-DF0040E9853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743949" y="76200"/>
          <a:ext cx="1483619" cy="651404"/>
        </a:xfrm>
        <a:prstGeom prst="rect">
          <a:avLst/>
        </a:prstGeom>
      </xdr:spPr>
    </xdr:pic>
    <xdr:clientData/>
  </xdr:twoCellAnchor>
  <xdr:twoCellAnchor editAs="oneCell">
    <xdr:from>
      <xdr:col>9</xdr:col>
      <xdr:colOff>723900</xdr:colOff>
      <xdr:row>32</xdr:row>
      <xdr:rowOff>9525</xdr:rowOff>
    </xdr:from>
    <xdr:to>
      <xdr:col>10</xdr:col>
      <xdr:colOff>0</xdr:colOff>
      <xdr:row>32</xdr:row>
      <xdr:rowOff>114300</xdr:rowOff>
    </xdr:to>
    <xdr:pic>
      <xdr:nvPicPr>
        <xdr:cNvPr id="33" name="Grafik 18">
          <a:extLst>
            <a:ext uri="{FF2B5EF4-FFF2-40B4-BE49-F238E27FC236}">
              <a16:creationId xmlns:a16="http://schemas.microsoft.com/office/drawing/2014/main" id="{510C6075-2A24-448D-9D7E-491ECB1F16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39275" y="54864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723900</xdr:colOff>
      <xdr:row>32</xdr:row>
      <xdr:rowOff>9525</xdr:rowOff>
    </xdr:from>
    <xdr:to>
      <xdr:col>9</xdr:col>
      <xdr:colOff>0</xdr:colOff>
      <xdr:row>32</xdr:row>
      <xdr:rowOff>114300</xdr:rowOff>
    </xdr:to>
    <xdr:pic>
      <xdr:nvPicPr>
        <xdr:cNvPr id="34" name="Grafik 18">
          <a:extLst>
            <a:ext uri="{FF2B5EF4-FFF2-40B4-BE49-F238E27FC236}">
              <a16:creationId xmlns:a16="http://schemas.microsoft.com/office/drawing/2014/main" id="{1A30A991-4361-478D-999B-03985F4CD6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01075" y="54864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666750</xdr:colOff>
      <xdr:row>14</xdr:row>
      <xdr:rowOff>9525</xdr:rowOff>
    </xdr:from>
    <xdr:ext cx="114300" cy="104775"/>
    <xdr:pic>
      <xdr:nvPicPr>
        <xdr:cNvPr id="2" name="Grafik 18">
          <a:extLst>
            <a:ext uri="{FF2B5EF4-FFF2-40B4-BE49-F238E27FC236}">
              <a16:creationId xmlns:a16="http://schemas.microsoft.com/office/drawing/2014/main" id="{982E9521-DE07-4398-ABBD-ED606CFFB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52900" y="18002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666750</xdr:colOff>
      <xdr:row>16</xdr:row>
      <xdr:rowOff>9525</xdr:rowOff>
    </xdr:from>
    <xdr:ext cx="114300" cy="104775"/>
    <xdr:pic>
      <xdr:nvPicPr>
        <xdr:cNvPr id="3" name="Grafik 18">
          <a:extLst>
            <a:ext uri="{FF2B5EF4-FFF2-40B4-BE49-F238E27FC236}">
              <a16:creationId xmlns:a16="http://schemas.microsoft.com/office/drawing/2014/main" id="{F5917FCE-1355-4C3A-9AB4-D91BE49C7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52900" y="18002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5</xdr:col>
      <xdr:colOff>1400175</xdr:colOff>
      <xdr:row>5</xdr:row>
      <xdr:rowOff>9525</xdr:rowOff>
    </xdr:from>
    <xdr:to>
      <xdr:col>6</xdr:col>
      <xdr:colOff>0</xdr:colOff>
      <xdr:row>5</xdr:row>
      <xdr:rowOff>114300</xdr:rowOff>
    </xdr:to>
    <xdr:pic>
      <xdr:nvPicPr>
        <xdr:cNvPr id="234762" name="Grafik 3">
          <a:extLst>
            <a:ext uri="{FF2B5EF4-FFF2-40B4-BE49-F238E27FC236}">
              <a16:creationId xmlns:a16="http://schemas.microsoft.com/office/drawing/2014/main" id="{00000000-0008-0000-1000-00000A9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81975" y="714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1400175</xdr:colOff>
      <xdr:row>7</xdr:row>
      <xdr:rowOff>9525</xdr:rowOff>
    </xdr:from>
    <xdr:to>
      <xdr:col>6</xdr:col>
      <xdr:colOff>0</xdr:colOff>
      <xdr:row>7</xdr:row>
      <xdr:rowOff>104775</xdr:rowOff>
    </xdr:to>
    <xdr:pic>
      <xdr:nvPicPr>
        <xdr:cNvPr id="234763" name="Grafik 4">
          <a:extLst>
            <a:ext uri="{FF2B5EF4-FFF2-40B4-BE49-F238E27FC236}">
              <a16:creationId xmlns:a16="http://schemas.microsoft.com/office/drawing/2014/main" id="{00000000-0008-0000-1000-00000B9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81975" y="9906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1333500</xdr:colOff>
      <xdr:row>7</xdr:row>
      <xdr:rowOff>9525</xdr:rowOff>
    </xdr:from>
    <xdr:to>
      <xdr:col>3</xdr:col>
      <xdr:colOff>0</xdr:colOff>
      <xdr:row>7</xdr:row>
      <xdr:rowOff>114300</xdr:rowOff>
    </xdr:to>
    <xdr:pic>
      <xdr:nvPicPr>
        <xdr:cNvPr id="234764" name="Grafik 18">
          <a:extLst>
            <a:ext uri="{FF2B5EF4-FFF2-40B4-BE49-F238E27FC236}">
              <a16:creationId xmlns:a16="http://schemas.microsoft.com/office/drawing/2014/main" id="{00000000-0008-0000-1000-00000C9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57625" y="9906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1362075</xdr:colOff>
      <xdr:row>16</xdr:row>
      <xdr:rowOff>9525</xdr:rowOff>
    </xdr:from>
    <xdr:to>
      <xdr:col>2</xdr:col>
      <xdr:colOff>0</xdr:colOff>
      <xdr:row>16</xdr:row>
      <xdr:rowOff>114300</xdr:rowOff>
    </xdr:to>
    <xdr:pic>
      <xdr:nvPicPr>
        <xdr:cNvPr id="234765" name="Grafik 18">
          <a:extLst>
            <a:ext uri="{FF2B5EF4-FFF2-40B4-BE49-F238E27FC236}">
              <a16:creationId xmlns:a16="http://schemas.microsoft.com/office/drawing/2014/main" id="{00000000-0008-0000-1000-00000D9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9825" y="21240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790575</xdr:colOff>
      <xdr:row>1</xdr:row>
      <xdr:rowOff>47625</xdr:rowOff>
    </xdr:from>
    <xdr:to>
      <xdr:col>6</xdr:col>
      <xdr:colOff>714375</xdr:colOff>
      <xdr:row>2</xdr:row>
      <xdr:rowOff>171450</xdr:rowOff>
    </xdr:to>
    <xdr:pic>
      <xdr:nvPicPr>
        <xdr:cNvPr id="234766" name="Grafik 1">
          <a:extLst>
            <a:ext uri="{FF2B5EF4-FFF2-40B4-BE49-F238E27FC236}">
              <a16:creationId xmlns:a16="http://schemas.microsoft.com/office/drawing/2014/main" id="{00000000-0008-0000-1000-00000E95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72375" y="17145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3105150</xdr:colOff>
      <xdr:row>9</xdr:row>
      <xdr:rowOff>9525</xdr:rowOff>
    </xdr:from>
    <xdr:to>
      <xdr:col>16</xdr:col>
      <xdr:colOff>3105150</xdr:colOff>
      <xdr:row>9</xdr:row>
      <xdr:rowOff>76200</xdr:rowOff>
    </xdr:to>
    <xdr:pic>
      <xdr:nvPicPr>
        <xdr:cNvPr id="2" name="Grafik 18">
          <a:extLst>
            <a:ext uri="{FF2B5EF4-FFF2-40B4-BE49-F238E27FC236}">
              <a16:creationId xmlns:a16="http://schemas.microsoft.com/office/drawing/2014/main" id="{FA075389-6C96-41C3-897D-13AEF06F32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49300" y="2295525"/>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2819400</xdr:colOff>
      <xdr:row>9</xdr:row>
      <xdr:rowOff>0</xdr:rowOff>
    </xdr:from>
    <xdr:to>
      <xdr:col>16</xdr:col>
      <xdr:colOff>2819400</xdr:colOff>
      <xdr:row>9</xdr:row>
      <xdr:rowOff>66675</xdr:rowOff>
    </xdr:to>
    <xdr:pic>
      <xdr:nvPicPr>
        <xdr:cNvPr id="3" name="Grafik 18">
          <a:extLst>
            <a:ext uri="{FF2B5EF4-FFF2-40B4-BE49-F238E27FC236}">
              <a16:creationId xmlns:a16="http://schemas.microsoft.com/office/drawing/2014/main" id="{ABB27E22-C197-41A7-9A48-52E75765FE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63550" y="2286000"/>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398145</xdr:colOff>
      <xdr:row>10</xdr:row>
      <xdr:rowOff>9525</xdr:rowOff>
    </xdr:from>
    <xdr:to>
      <xdr:col>12</xdr:col>
      <xdr:colOff>512445</xdr:colOff>
      <xdr:row>10</xdr:row>
      <xdr:rowOff>114300</xdr:rowOff>
    </xdr:to>
    <xdr:pic>
      <xdr:nvPicPr>
        <xdr:cNvPr id="7" name="Grafik 18">
          <a:extLst>
            <a:ext uri="{FF2B5EF4-FFF2-40B4-BE49-F238E27FC236}">
              <a16:creationId xmlns:a16="http://schemas.microsoft.com/office/drawing/2014/main" id="{22B05DCA-C6DA-4E62-A71E-7C6F70174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08670" y="2714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266700</xdr:colOff>
      <xdr:row>0</xdr:row>
      <xdr:rowOff>85725</xdr:rowOff>
    </xdr:from>
    <xdr:to>
      <xdr:col>13</xdr:col>
      <xdr:colOff>333375</xdr:colOff>
      <xdr:row>3</xdr:row>
      <xdr:rowOff>57150</xdr:rowOff>
    </xdr:to>
    <xdr:pic>
      <xdr:nvPicPr>
        <xdr:cNvPr id="8" name="Bild 9" descr="Bild1">
          <a:extLst>
            <a:ext uri="{FF2B5EF4-FFF2-40B4-BE49-F238E27FC236}">
              <a16:creationId xmlns:a16="http://schemas.microsoft.com/office/drawing/2014/main" id="{64AB9E43-EEF2-40C5-A5CC-3FCABD3C70A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172450" y="85725"/>
          <a:ext cx="58102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3105150</xdr:colOff>
      <xdr:row>9</xdr:row>
      <xdr:rowOff>9525</xdr:rowOff>
    </xdr:from>
    <xdr:to>
      <xdr:col>16</xdr:col>
      <xdr:colOff>3105150</xdr:colOff>
      <xdr:row>9</xdr:row>
      <xdr:rowOff>76200</xdr:rowOff>
    </xdr:to>
    <xdr:pic>
      <xdr:nvPicPr>
        <xdr:cNvPr id="9" name="Grafik 18">
          <a:extLst>
            <a:ext uri="{FF2B5EF4-FFF2-40B4-BE49-F238E27FC236}">
              <a16:creationId xmlns:a16="http://schemas.microsoft.com/office/drawing/2014/main" id="{28B595BE-1861-487D-BB21-A7D10EC9B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49300" y="2295525"/>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2819400</xdr:colOff>
      <xdr:row>9</xdr:row>
      <xdr:rowOff>0</xdr:rowOff>
    </xdr:from>
    <xdr:to>
      <xdr:col>16</xdr:col>
      <xdr:colOff>2819400</xdr:colOff>
      <xdr:row>9</xdr:row>
      <xdr:rowOff>66675</xdr:rowOff>
    </xdr:to>
    <xdr:pic>
      <xdr:nvPicPr>
        <xdr:cNvPr id="10" name="Grafik 18">
          <a:extLst>
            <a:ext uri="{FF2B5EF4-FFF2-40B4-BE49-F238E27FC236}">
              <a16:creationId xmlns:a16="http://schemas.microsoft.com/office/drawing/2014/main" id="{EA02E721-7910-4433-A0F5-D2279090B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63550" y="2286000"/>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514350</xdr:colOff>
      <xdr:row>5</xdr:row>
      <xdr:rowOff>9525</xdr:rowOff>
    </xdr:from>
    <xdr:to>
      <xdr:col>4</xdr:col>
      <xdr:colOff>0</xdr:colOff>
      <xdr:row>5</xdr:row>
      <xdr:rowOff>114300</xdr:rowOff>
    </xdr:to>
    <xdr:pic>
      <xdr:nvPicPr>
        <xdr:cNvPr id="12" name="Grafik 18">
          <a:extLst>
            <a:ext uri="{FF2B5EF4-FFF2-40B4-BE49-F238E27FC236}">
              <a16:creationId xmlns:a16="http://schemas.microsoft.com/office/drawing/2014/main" id="{65E038CC-35BF-41D7-89C4-944815A68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6450" y="11715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4084320</xdr:colOff>
      <xdr:row>9</xdr:row>
      <xdr:rowOff>9525</xdr:rowOff>
    </xdr:from>
    <xdr:to>
      <xdr:col>16</xdr:col>
      <xdr:colOff>4084320</xdr:colOff>
      <xdr:row>9</xdr:row>
      <xdr:rowOff>114300</xdr:rowOff>
    </xdr:to>
    <xdr:pic>
      <xdr:nvPicPr>
        <xdr:cNvPr id="13" name="Grafik 18">
          <a:extLst>
            <a:ext uri="{FF2B5EF4-FFF2-40B4-BE49-F238E27FC236}">
              <a16:creationId xmlns:a16="http://schemas.microsoft.com/office/drawing/2014/main" id="{310E43A5-EED9-4FFD-9AF7-BB9B8C49E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28470" y="22955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480060</xdr:colOff>
      <xdr:row>9</xdr:row>
      <xdr:rowOff>0</xdr:rowOff>
    </xdr:from>
    <xdr:to>
      <xdr:col>8</xdr:col>
      <xdr:colOff>3810</xdr:colOff>
      <xdr:row>9</xdr:row>
      <xdr:rowOff>104775</xdr:rowOff>
    </xdr:to>
    <xdr:pic>
      <xdr:nvPicPr>
        <xdr:cNvPr id="14" name="Grafik 18">
          <a:extLst>
            <a:ext uri="{FF2B5EF4-FFF2-40B4-BE49-F238E27FC236}">
              <a16:creationId xmlns:a16="http://schemas.microsoft.com/office/drawing/2014/main" id="{A646BE8E-2F39-4C03-BCB8-EA2169B13A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09060" y="1809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390525</xdr:colOff>
      <xdr:row>22</xdr:row>
      <xdr:rowOff>0</xdr:rowOff>
    </xdr:from>
    <xdr:to>
      <xdr:col>12</xdr:col>
      <xdr:colOff>504825</xdr:colOff>
      <xdr:row>22</xdr:row>
      <xdr:rowOff>104775</xdr:rowOff>
    </xdr:to>
    <xdr:pic>
      <xdr:nvPicPr>
        <xdr:cNvPr id="15" name="Grafik 18">
          <a:extLst>
            <a:ext uri="{FF2B5EF4-FFF2-40B4-BE49-F238E27FC236}">
              <a16:creationId xmlns:a16="http://schemas.microsoft.com/office/drawing/2014/main" id="{AA0FC08E-AD1B-4E04-ADC3-A51BF250CA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01050" y="49911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390525</xdr:colOff>
      <xdr:row>26</xdr:row>
      <xdr:rowOff>9525</xdr:rowOff>
    </xdr:from>
    <xdr:to>
      <xdr:col>12</xdr:col>
      <xdr:colOff>504825</xdr:colOff>
      <xdr:row>26</xdr:row>
      <xdr:rowOff>114300</xdr:rowOff>
    </xdr:to>
    <xdr:pic>
      <xdr:nvPicPr>
        <xdr:cNvPr id="17" name="Grafik 18">
          <a:extLst>
            <a:ext uri="{FF2B5EF4-FFF2-40B4-BE49-F238E27FC236}">
              <a16:creationId xmlns:a16="http://schemas.microsoft.com/office/drawing/2014/main" id="{CDFE748A-D1A9-4328-937B-D71883A77E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01050" y="64484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388620</xdr:colOff>
      <xdr:row>18</xdr:row>
      <xdr:rowOff>9525</xdr:rowOff>
    </xdr:from>
    <xdr:to>
      <xdr:col>12</xdr:col>
      <xdr:colOff>502920</xdr:colOff>
      <xdr:row>18</xdr:row>
      <xdr:rowOff>114300</xdr:rowOff>
    </xdr:to>
    <xdr:pic>
      <xdr:nvPicPr>
        <xdr:cNvPr id="18" name="Grafik 18">
          <a:extLst>
            <a:ext uri="{FF2B5EF4-FFF2-40B4-BE49-F238E27FC236}">
              <a16:creationId xmlns:a16="http://schemas.microsoft.com/office/drawing/2014/main" id="{19F05567-DDC2-4FED-A52D-DF89761C0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99145" y="3686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140970</xdr:colOff>
      <xdr:row>8</xdr:row>
      <xdr:rowOff>9525</xdr:rowOff>
    </xdr:from>
    <xdr:to>
      <xdr:col>0</xdr:col>
      <xdr:colOff>255270</xdr:colOff>
      <xdr:row>8</xdr:row>
      <xdr:rowOff>114300</xdr:rowOff>
    </xdr:to>
    <xdr:pic>
      <xdr:nvPicPr>
        <xdr:cNvPr id="19" name="Grafik 18">
          <a:extLst>
            <a:ext uri="{FF2B5EF4-FFF2-40B4-BE49-F238E27FC236}">
              <a16:creationId xmlns:a16="http://schemas.microsoft.com/office/drawing/2014/main" id="{074B0206-A1BC-4748-A8D7-45278FE94B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970" y="2047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217170</xdr:colOff>
      <xdr:row>8</xdr:row>
      <xdr:rowOff>9525</xdr:rowOff>
    </xdr:from>
    <xdr:to>
      <xdr:col>1</xdr:col>
      <xdr:colOff>331470</xdr:colOff>
      <xdr:row>8</xdr:row>
      <xdr:rowOff>114300</xdr:rowOff>
    </xdr:to>
    <xdr:pic>
      <xdr:nvPicPr>
        <xdr:cNvPr id="20" name="Grafik 18">
          <a:extLst>
            <a:ext uri="{FF2B5EF4-FFF2-40B4-BE49-F238E27FC236}">
              <a16:creationId xmlns:a16="http://schemas.microsoft.com/office/drawing/2014/main" id="{D93A81C7-A3C4-48F1-9B91-DB7D0363A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4345" y="2047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47625</xdr:colOff>
      <xdr:row>1</xdr:row>
      <xdr:rowOff>28575</xdr:rowOff>
    </xdr:from>
    <xdr:to>
      <xdr:col>12</xdr:col>
      <xdr:colOff>171019</xdr:colOff>
      <xdr:row>3</xdr:row>
      <xdr:rowOff>14566</xdr:rowOff>
    </xdr:to>
    <xdr:pic>
      <xdr:nvPicPr>
        <xdr:cNvPr id="21" name="Grafik 28">
          <a:extLst>
            <a:ext uri="{FF2B5EF4-FFF2-40B4-BE49-F238E27FC236}">
              <a16:creationId xmlns:a16="http://schemas.microsoft.com/office/drawing/2014/main" id="{D92D2899-FB14-43E8-9E44-601236EFF30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905625" y="152400"/>
          <a:ext cx="1171144" cy="357466"/>
        </a:xfrm>
        <a:prstGeom prst="rect">
          <a:avLst/>
        </a:prstGeom>
      </xdr:spPr>
    </xdr:pic>
    <xdr:clientData/>
  </xdr:twoCellAnchor>
  <xdr:twoCellAnchor editAs="oneCell">
    <xdr:from>
      <xdr:col>16</xdr:col>
      <xdr:colOff>3962400</xdr:colOff>
      <xdr:row>9</xdr:row>
      <xdr:rowOff>9525</xdr:rowOff>
    </xdr:from>
    <xdr:to>
      <xdr:col>16</xdr:col>
      <xdr:colOff>4076700</xdr:colOff>
      <xdr:row>9</xdr:row>
      <xdr:rowOff>114300</xdr:rowOff>
    </xdr:to>
    <xdr:pic>
      <xdr:nvPicPr>
        <xdr:cNvPr id="22" name="Grafik 18">
          <a:extLst>
            <a:ext uri="{FF2B5EF4-FFF2-40B4-BE49-F238E27FC236}">
              <a16:creationId xmlns:a16="http://schemas.microsoft.com/office/drawing/2014/main" id="{B83249AC-768C-409C-9AAA-EF1C073E99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06550" y="2295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476250</xdr:colOff>
      <xdr:row>10</xdr:row>
      <xdr:rowOff>9525</xdr:rowOff>
    </xdr:from>
    <xdr:to>
      <xdr:col>15</xdr:col>
      <xdr:colOff>571500</xdr:colOff>
      <xdr:row>10</xdr:row>
      <xdr:rowOff>103310</xdr:rowOff>
    </xdr:to>
    <xdr:pic>
      <xdr:nvPicPr>
        <xdr:cNvPr id="23" name="Grafik 31">
          <a:extLst>
            <a:ext uri="{FF2B5EF4-FFF2-40B4-BE49-F238E27FC236}">
              <a16:creationId xmlns:a16="http://schemas.microsoft.com/office/drawing/2014/main" id="{77BA27D8-E399-48E2-ADAA-BE39FEEBE56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239375" y="2714625"/>
          <a:ext cx="95250" cy="93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476250</xdr:colOff>
      <xdr:row>22</xdr:row>
      <xdr:rowOff>9525</xdr:rowOff>
    </xdr:from>
    <xdr:to>
      <xdr:col>15</xdr:col>
      <xdr:colOff>571500</xdr:colOff>
      <xdr:row>22</xdr:row>
      <xdr:rowOff>103310</xdr:rowOff>
    </xdr:to>
    <xdr:pic>
      <xdr:nvPicPr>
        <xdr:cNvPr id="25" name="Grafik 31">
          <a:extLst>
            <a:ext uri="{FF2B5EF4-FFF2-40B4-BE49-F238E27FC236}">
              <a16:creationId xmlns:a16="http://schemas.microsoft.com/office/drawing/2014/main" id="{BB8AD401-BD6E-427C-9925-F1F63F46683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239375" y="5000625"/>
          <a:ext cx="95250" cy="93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476250</xdr:colOff>
      <xdr:row>26</xdr:row>
      <xdr:rowOff>9525</xdr:rowOff>
    </xdr:from>
    <xdr:to>
      <xdr:col>15</xdr:col>
      <xdr:colOff>571500</xdr:colOff>
      <xdr:row>26</xdr:row>
      <xdr:rowOff>103310</xdr:rowOff>
    </xdr:to>
    <xdr:pic>
      <xdr:nvPicPr>
        <xdr:cNvPr id="26" name="Grafik 31">
          <a:extLst>
            <a:ext uri="{FF2B5EF4-FFF2-40B4-BE49-F238E27FC236}">
              <a16:creationId xmlns:a16="http://schemas.microsoft.com/office/drawing/2014/main" id="{FE9EA9B7-F17F-4EB1-BA4C-34A164C9283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239375" y="6448425"/>
          <a:ext cx="95250" cy="93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14</xdr:col>
      <xdr:colOff>419100</xdr:colOff>
      <xdr:row>5</xdr:row>
      <xdr:rowOff>9525</xdr:rowOff>
    </xdr:from>
    <xdr:ext cx="114300" cy="104775"/>
    <xdr:pic>
      <xdr:nvPicPr>
        <xdr:cNvPr id="27" name="Grafik 18">
          <a:extLst>
            <a:ext uri="{FF2B5EF4-FFF2-40B4-BE49-F238E27FC236}">
              <a16:creationId xmlns:a16="http://schemas.microsoft.com/office/drawing/2014/main" id="{7750EA00-12E0-4991-A1CF-8B1C9592F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15500" y="11715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476250</xdr:colOff>
      <xdr:row>14</xdr:row>
      <xdr:rowOff>9525</xdr:rowOff>
    </xdr:from>
    <xdr:ext cx="95250" cy="93785"/>
    <xdr:pic>
      <xdr:nvPicPr>
        <xdr:cNvPr id="4" name="Grafik 31">
          <a:extLst>
            <a:ext uri="{FF2B5EF4-FFF2-40B4-BE49-F238E27FC236}">
              <a16:creationId xmlns:a16="http://schemas.microsoft.com/office/drawing/2014/main" id="{BC50CD27-02BB-4920-B146-9E5685B22BC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306050" y="2286000"/>
          <a:ext cx="95250" cy="93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476250</xdr:colOff>
      <xdr:row>18</xdr:row>
      <xdr:rowOff>9525</xdr:rowOff>
    </xdr:from>
    <xdr:ext cx="95250" cy="93785"/>
    <xdr:pic>
      <xdr:nvPicPr>
        <xdr:cNvPr id="5" name="Grafik 31">
          <a:extLst>
            <a:ext uri="{FF2B5EF4-FFF2-40B4-BE49-F238E27FC236}">
              <a16:creationId xmlns:a16="http://schemas.microsoft.com/office/drawing/2014/main" id="{234B5C7D-7CDC-4550-84B5-DA2D21D47E0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306050" y="3533775"/>
          <a:ext cx="95250" cy="93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12</xdr:col>
      <xdr:colOff>400050</xdr:colOff>
      <xdr:row>14</xdr:row>
      <xdr:rowOff>9525</xdr:rowOff>
    </xdr:from>
    <xdr:to>
      <xdr:col>13</xdr:col>
      <xdr:colOff>0</xdr:colOff>
      <xdr:row>14</xdr:row>
      <xdr:rowOff>114300</xdr:rowOff>
    </xdr:to>
    <xdr:pic>
      <xdr:nvPicPr>
        <xdr:cNvPr id="11" name="Grafik 18">
          <a:extLst>
            <a:ext uri="{FF2B5EF4-FFF2-40B4-BE49-F238E27FC236}">
              <a16:creationId xmlns:a16="http://schemas.microsoft.com/office/drawing/2014/main" id="{1E119F9A-E63D-4031-918A-BC563B051E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10575" y="35337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866775</xdr:colOff>
      <xdr:row>10</xdr:row>
      <xdr:rowOff>9525</xdr:rowOff>
    </xdr:from>
    <xdr:to>
      <xdr:col>3</xdr:col>
      <xdr:colOff>9525</xdr:colOff>
      <xdr:row>10</xdr:row>
      <xdr:rowOff>114300</xdr:rowOff>
    </xdr:to>
    <xdr:pic>
      <xdr:nvPicPr>
        <xdr:cNvPr id="24" name="Grafik 18">
          <a:extLst>
            <a:ext uri="{FF2B5EF4-FFF2-40B4-BE49-F238E27FC236}">
              <a16:creationId xmlns:a16="http://schemas.microsoft.com/office/drawing/2014/main" id="{AE38CC47-7B6F-4AED-92CD-1424A4331A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2238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847725</xdr:colOff>
      <xdr:row>18</xdr:row>
      <xdr:rowOff>9525</xdr:rowOff>
    </xdr:from>
    <xdr:to>
      <xdr:col>2</xdr:col>
      <xdr:colOff>962025</xdr:colOff>
      <xdr:row>18</xdr:row>
      <xdr:rowOff>114300</xdr:rowOff>
    </xdr:to>
    <xdr:pic>
      <xdr:nvPicPr>
        <xdr:cNvPr id="28" name="Grafik 18">
          <a:extLst>
            <a:ext uri="{FF2B5EF4-FFF2-40B4-BE49-F238E27FC236}">
              <a16:creationId xmlns:a16="http://schemas.microsoft.com/office/drawing/2014/main" id="{4E83BD37-DEF2-4E66-9996-4F3E733DE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4829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847725</xdr:colOff>
      <xdr:row>26</xdr:row>
      <xdr:rowOff>0</xdr:rowOff>
    </xdr:from>
    <xdr:to>
      <xdr:col>2</xdr:col>
      <xdr:colOff>962025</xdr:colOff>
      <xdr:row>26</xdr:row>
      <xdr:rowOff>104775</xdr:rowOff>
    </xdr:to>
    <xdr:pic>
      <xdr:nvPicPr>
        <xdr:cNvPr id="29" name="Grafik 18">
          <a:extLst>
            <a:ext uri="{FF2B5EF4-FFF2-40B4-BE49-F238E27FC236}">
              <a16:creationId xmlns:a16="http://schemas.microsoft.com/office/drawing/2014/main" id="{325172FC-F2A2-4373-ABB2-4293F402C5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80200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314325</xdr:colOff>
      <xdr:row>0</xdr:row>
      <xdr:rowOff>9525</xdr:rowOff>
    </xdr:from>
    <xdr:to>
      <xdr:col>15</xdr:col>
      <xdr:colOff>483494</xdr:colOff>
      <xdr:row>3</xdr:row>
      <xdr:rowOff>161819</xdr:rowOff>
    </xdr:to>
    <xdr:pic>
      <xdr:nvPicPr>
        <xdr:cNvPr id="16" name="Grafik 26">
          <a:extLst>
            <a:ext uri="{FF2B5EF4-FFF2-40B4-BE49-F238E27FC236}">
              <a16:creationId xmlns:a16="http://schemas.microsoft.com/office/drawing/2014/main" id="{C50DDC29-22ED-4803-8276-90B357E8124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734425" y="9525"/>
          <a:ext cx="1474094" cy="6475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20</xdr:col>
      <xdr:colOff>3105150</xdr:colOff>
      <xdr:row>9</xdr:row>
      <xdr:rowOff>9525</xdr:rowOff>
    </xdr:from>
    <xdr:to>
      <xdr:col>20</xdr:col>
      <xdr:colOff>3105150</xdr:colOff>
      <xdr:row>9</xdr:row>
      <xdr:rowOff>76200</xdr:rowOff>
    </xdr:to>
    <xdr:pic>
      <xdr:nvPicPr>
        <xdr:cNvPr id="2" name="Grafik 18">
          <a:extLst>
            <a:ext uri="{FF2B5EF4-FFF2-40B4-BE49-F238E27FC236}">
              <a16:creationId xmlns:a16="http://schemas.microsoft.com/office/drawing/2014/main" id="{E4B36AB4-19A3-4944-ACD5-7ED5CD5DF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54350" y="2295525"/>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2819400</xdr:colOff>
      <xdr:row>9</xdr:row>
      <xdr:rowOff>0</xdr:rowOff>
    </xdr:from>
    <xdr:to>
      <xdr:col>20</xdr:col>
      <xdr:colOff>2819400</xdr:colOff>
      <xdr:row>9</xdr:row>
      <xdr:rowOff>66675</xdr:rowOff>
    </xdr:to>
    <xdr:pic>
      <xdr:nvPicPr>
        <xdr:cNvPr id="3" name="Grafik 18">
          <a:extLst>
            <a:ext uri="{FF2B5EF4-FFF2-40B4-BE49-F238E27FC236}">
              <a16:creationId xmlns:a16="http://schemas.microsoft.com/office/drawing/2014/main" id="{D3164919-140E-4A2E-BB86-0534F4E2ED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68600" y="2286000"/>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531495</xdr:colOff>
      <xdr:row>10</xdr:row>
      <xdr:rowOff>0</xdr:rowOff>
    </xdr:from>
    <xdr:to>
      <xdr:col>15</xdr:col>
      <xdr:colOff>17145</xdr:colOff>
      <xdr:row>10</xdr:row>
      <xdr:rowOff>104775</xdr:rowOff>
    </xdr:to>
    <xdr:pic>
      <xdr:nvPicPr>
        <xdr:cNvPr id="7" name="Grafik 18">
          <a:extLst>
            <a:ext uri="{FF2B5EF4-FFF2-40B4-BE49-F238E27FC236}">
              <a16:creationId xmlns:a16="http://schemas.microsoft.com/office/drawing/2014/main" id="{D1BF99B4-065A-4E46-A541-43A64DC607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42220" y="27051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85725</xdr:colOff>
      <xdr:row>1</xdr:row>
      <xdr:rowOff>0</xdr:rowOff>
    </xdr:from>
    <xdr:to>
      <xdr:col>17</xdr:col>
      <xdr:colOff>200025</xdr:colOff>
      <xdr:row>3</xdr:row>
      <xdr:rowOff>95250</xdr:rowOff>
    </xdr:to>
    <xdr:pic>
      <xdr:nvPicPr>
        <xdr:cNvPr id="8" name="Bild 9" descr="Bild1">
          <a:extLst>
            <a:ext uri="{FF2B5EF4-FFF2-40B4-BE49-F238E27FC236}">
              <a16:creationId xmlns:a16="http://schemas.microsoft.com/office/drawing/2014/main" id="{830E4240-DF49-4812-AB1E-7B8636F73EF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591800" y="123825"/>
          <a:ext cx="6286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3105150</xdr:colOff>
      <xdr:row>9</xdr:row>
      <xdr:rowOff>9525</xdr:rowOff>
    </xdr:from>
    <xdr:to>
      <xdr:col>20</xdr:col>
      <xdr:colOff>3105150</xdr:colOff>
      <xdr:row>9</xdr:row>
      <xdr:rowOff>76200</xdr:rowOff>
    </xdr:to>
    <xdr:pic>
      <xdr:nvPicPr>
        <xdr:cNvPr id="9" name="Grafik 18">
          <a:extLst>
            <a:ext uri="{FF2B5EF4-FFF2-40B4-BE49-F238E27FC236}">
              <a16:creationId xmlns:a16="http://schemas.microsoft.com/office/drawing/2014/main" id="{19C621A5-CB96-4833-9DF8-1A28B25653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54350" y="2295525"/>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514350</xdr:colOff>
      <xdr:row>4</xdr:row>
      <xdr:rowOff>9525</xdr:rowOff>
    </xdr:from>
    <xdr:to>
      <xdr:col>4</xdr:col>
      <xdr:colOff>0</xdr:colOff>
      <xdr:row>4</xdr:row>
      <xdr:rowOff>114300</xdr:rowOff>
    </xdr:to>
    <xdr:pic>
      <xdr:nvPicPr>
        <xdr:cNvPr id="12" name="Grafik 18">
          <a:extLst>
            <a:ext uri="{FF2B5EF4-FFF2-40B4-BE49-F238E27FC236}">
              <a16:creationId xmlns:a16="http://schemas.microsoft.com/office/drawing/2014/main" id="{30AF329A-8E54-4146-A371-5F1F20DCB1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11715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4084320</xdr:colOff>
      <xdr:row>9</xdr:row>
      <xdr:rowOff>9525</xdr:rowOff>
    </xdr:from>
    <xdr:to>
      <xdr:col>20</xdr:col>
      <xdr:colOff>4084320</xdr:colOff>
      <xdr:row>9</xdr:row>
      <xdr:rowOff>114300</xdr:rowOff>
    </xdr:to>
    <xdr:pic>
      <xdr:nvPicPr>
        <xdr:cNvPr id="13" name="Grafik 18">
          <a:extLst>
            <a:ext uri="{FF2B5EF4-FFF2-40B4-BE49-F238E27FC236}">
              <a16:creationId xmlns:a16="http://schemas.microsoft.com/office/drawing/2014/main" id="{71F039B8-9116-4548-987B-F00B20BCB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33520" y="22955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584835</xdr:colOff>
      <xdr:row>9</xdr:row>
      <xdr:rowOff>0</xdr:rowOff>
    </xdr:from>
    <xdr:to>
      <xdr:col>10</xdr:col>
      <xdr:colOff>3810</xdr:colOff>
      <xdr:row>9</xdr:row>
      <xdr:rowOff>104775</xdr:rowOff>
    </xdr:to>
    <xdr:pic>
      <xdr:nvPicPr>
        <xdr:cNvPr id="14" name="Grafik 18">
          <a:extLst>
            <a:ext uri="{FF2B5EF4-FFF2-40B4-BE49-F238E27FC236}">
              <a16:creationId xmlns:a16="http://schemas.microsoft.com/office/drawing/2014/main" id="{D6EFB1A1-B7F5-4986-95F0-E9044EDD2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14035" y="2286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531495</xdr:colOff>
      <xdr:row>13</xdr:row>
      <xdr:rowOff>9525</xdr:rowOff>
    </xdr:from>
    <xdr:to>
      <xdr:col>15</xdr:col>
      <xdr:colOff>17145</xdr:colOff>
      <xdr:row>13</xdr:row>
      <xdr:rowOff>114300</xdr:rowOff>
    </xdr:to>
    <xdr:pic>
      <xdr:nvPicPr>
        <xdr:cNvPr id="15" name="Grafik 18">
          <a:extLst>
            <a:ext uri="{FF2B5EF4-FFF2-40B4-BE49-F238E27FC236}">
              <a16:creationId xmlns:a16="http://schemas.microsoft.com/office/drawing/2014/main" id="{352C157C-C538-43A9-8A84-9A798AE6EA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42220" y="3686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140970</xdr:colOff>
      <xdr:row>8</xdr:row>
      <xdr:rowOff>9525</xdr:rowOff>
    </xdr:from>
    <xdr:to>
      <xdr:col>0</xdr:col>
      <xdr:colOff>255270</xdr:colOff>
      <xdr:row>8</xdr:row>
      <xdr:rowOff>114300</xdr:rowOff>
    </xdr:to>
    <xdr:pic>
      <xdr:nvPicPr>
        <xdr:cNvPr id="16" name="Grafik 18">
          <a:extLst>
            <a:ext uri="{FF2B5EF4-FFF2-40B4-BE49-F238E27FC236}">
              <a16:creationId xmlns:a16="http://schemas.microsoft.com/office/drawing/2014/main" id="{E54CECF7-0C6E-46EA-AA8A-61A13939FF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970" y="2047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131445</xdr:colOff>
      <xdr:row>8</xdr:row>
      <xdr:rowOff>9525</xdr:rowOff>
    </xdr:from>
    <xdr:to>
      <xdr:col>1</xdr:col>
      <xdr:colOff>245745</xdr:colOff>
      <xdr:row>8</xdr:row>
      <xdr:rowOff>114300</xdr:rowOff>
    </xdr:to>
    <xdr:pic>
      <xdr:nvPicPr>
        <xdr:cNvPr id="17" name="Grafik 18">
          <a:extLst>
            <a:ext uri="{FF2B5EF4-FFF2-40B4-BE49-F238E27FC236}">
              <a16:creationId xmlns:a16="http://schemas.microsoft.com/office/drawing/2014/main" id="{D6FBC265-AAF8-4A92-9880-EAF661B13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620" y="15525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66675</xdr:colOff>
      <xdr:row>1</xdr:row>
      <xdr:rowOff>28575</xdr:rowOff>
    </xdr:from>
    <xdr:to>
      <xdr:col>15</xdr:col>
      <xdr:colOff>609169</xdr:colOff>
      <xdr:row>3</xdr:row>
      <xdr:rowOff>14566</xdr:rowOff>
    </xdr:to>
    <xdr:pic>
      <xdr:nvPicPr>
        <xdr:cNvPr id="18" name="Grafik 28">
          <a:extLst>
            <a:ext uri="{FF2B5EF4-FFF2-40B4-BE49-F238E27FC236}">
              <a16:creationId xmlns:a16="http://schemas.microsoft.com/office/drawing/2014/main" id="{8B2F3ABC-C613-4F42-AC99-6D71464DC36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315450" y="152400"/>
          <a:ext cx="1171144" cy="357466"/>
        </a:xfrm>
        <a:prstGeom prst="rect">
          <a:avLst/>
        </a:prstGeom>
      </xdr:spPr>
    </xdr:pic>
    <xdr:clientData/>
  </xdr:twoCellAnchor>
  <xdr:twoCellAnchor editAs="oneCell">
    <xdr:from>
      <xdr:col>20</xdr:col>
      <xdr:colOff>3971925</xdr:colOff>
      <xdr:row>9</xdr:row>
      <xdr:rowOff>9525</xdr:rowOff>
    </xdr:from>
    <xdr:to>
      <xdr:col>21</xdr:col>
      <xdr:colOff>0</xdr:colOff>
      <xdr:row>9</xdr:row>
      <xdr:rowOff>114300</xdr:rowOff>
    </xdr:to>
    <xdr:pic>
      <xdr:nvPicPr>
        <xdr:cNvPr id="19" name="Grafik 18">
          <a:extLst>
            <a:ext uri="{FF2B5EF4-FFF2-40B4-BE49-F238E27FC236}">
              <a16:creationId xmlns:a16="http://schemas.microsoft.com/office/drawing/2014/main" id="{918FD4B2-1860-4E40-910A-7034F233F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21125" y="2295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447675</xdr:colOff>
      <xdr:row>10</xdr:row>
      <xdr:rowOff>9525</xdr:rowOff>
    </xdr:from>
    <xdr:to>
      <xdr:col>14</xdr:col>
      <xdr:colOff>546735</xdr:colOff>
      <xdr:row>10</xdr:row>
      <xdr:rowOff>105215</xdr:rowOff>
    </xdr:to>
    <xdr:pic>
      <xdr:nvPicPr>
        <xdr:cNvPr id="20" name="Grafik 31">
          <a:extLst>
            <a:ext uri="{FF2B5EF4-FFF2-40B4-BE49-F238E27FC236}">
              <a16:creationId xmlns:a16="http://schemas.microsoft.com/office/drawing/2014/main" id="{3CBDFB59-F249-40D8-B250-D80D9C4CF25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058400" y="2714625"/>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447675</xdr:colOff>
      <xdr:row>13</xdr:row>
      <xdr:rowOff>19050</xdr:rowOff>
    </xdr:from>
    <xdr:to>
      <xdr:col>14</xdr:col>
      <xdr:colOff>546735</xdr:colOff>
      <xdr:row>13</xdr:row>
      <xdr:rowOff>114740</xdr:rowOff>
    </xdr:to>
    <xdr:pic>
      <xdr:nvPicPr>
        <xdr:cNvPr id="21" name="Grafik 31">
          <a:extLst>
            <a:ext uri="{FF2B5EF4-FFF2-40B4-BE49-F238E27FC236}">
              <a16:creationId xmlns:a16="http://schemas.microsoft.com/office/drawing/2014/main" id="{C5C4C181-EAD1-4CAD-95BE-BA84416EB0A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058400" y="3695700"/>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476250</xdr:colOff>
      <xdr:row>10</xdr:row>
      <xdr:rowOff>9525</xdr:rowOff>
    </xdr:from>
    <xdr:to>
      <xdr:col>19</xdr:col>
      <xdr:colOff>575310</xdr:colOff>
      <xdr:row>10</xdr:row>
      <xdr:rowOff>105215</xdr:rowOff>
    </xdr:to>
    <xdr:pic>
      <xdr:nvPicPr>
        <xdr:cNvPr id="22" name="Grafik 31">
          <a:extLst>
            <a:ext uri="{FF2B5EF4-FFF2-40B4-BE49-F238E27FC236}">
              <a16:creationId xmlns:a16="http://schemas.microsoft.com/office/drawing/2014/main" id="{DBF3D7DD-8265-4307-9B93-C5E98C307AF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544425" y="2714625"/>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485775</xdr:colOff>
      <xdr:row>13</xdr:row>
      <xdr:rowOff>9525</xdr:rowOff>
    </xdr:from>
    <xdr:to>
      <xdr:col>20</xdr:col>
      <xdr:colOff>3810</xdr:colOff>
      <xdr:row>13</xdr:row>
      <xdr:rowOff>105215</xdr:rowOff>
    </xdr:to>
    <xdr:pic>
      <xdr:nvPicPr>
        <xdr:cNvPr id="23" name="Grafik 31">
          <a:extLst>
            <a:ext uri="{FF2B5EF4-FFF2-40B4-BE49-F238E27FC236}">
              <a16:creationId xmlns:a16="http://schemas.microsoft.com/office/drawing/2014/main" id="{9970D2B1-D83E-4D2E-8326-DD93D077B85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553950" y="3686175"/>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485775</xdr:colOff>
      <xdr:row>16</xdr:row>
      <xdr:rowOff>9525</xdr:rowOff>
    </xdr:from>
    <xdr:to>
      <xdr:col>20</xdr:col>
      <xdr:colOff>3810</xdr:colOff>
      <xdr:row>16</xdr:row>
      <xdr:rowOff>105215</xdr:rowOff>
    </xdr:to>
    <xdr:pic>
      <xdr:nvPicPr>
        <xdr:cNvPr id="24" name="Grafik 31">
          <a:extLst>
            <a:ext uri="{FF2B5EF4-FFF2-40B4-BE49-F238E27FC236}">
              <a16:creationId xmlns:a16="http://schemas.microsoft.com/office/drawing/2014/main" id="{AF632E81-0CE3-4B5B-8715-74C12E992F9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553950" y="4800600"/>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476250</xdr:colOff>
      <xdr:row>19</xdr:row>
      <xdr:rowOff>19050</xdr:rowOff>
    </xdr:from>
    <xdr:to>
      <xdr:col>19</xdr:col>
      <xdr:colOff>575310</xdr:colOff>
      <xdr:row>19</xdr:row>
      <xdr:rowOff>114740</xdr:rowOff>
    </xdr:to>
    <xdr:pic>
      <xdr:nvPicPr>
        <xdr:cNvPr id="25" name="Grafik 31">
          <a:extLst>
            <a:ext uri="{FF2B5EF4-FFF2-40B4-BE49-F238E27FC236}">
              <a16:creationId xmlns:a16="http://schemas.microsoft.com/office/drawing/2014/main" id="{1191902A-CD8A-4B4E-9E7C-5C2151A757B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544425" y="5895975"/>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476250</xdr:colOff>
      <xdr:row>22</xdr:row>
      <xdr:rowOff>0</xdr:rowOff>
    </xdr:from>
    <xdr:to>
      <xdr:col>19</xdr:col>
      <xdr:colOff>575310</xdr:colOff>
      <xdr:row>22</xdr:row>
      <xdr:rowOff>95690</xdr:rowOff>
    </xdr:to>
    <xdr:pic>
      <xdr:nvPicPr>
        <xdr:cNvPr id="26" name="Grafik 31">
          <a:extLst>
            <a:ext uri="{FF2B5EF4-FFF2-40B4-BE49-F238E27FC236}">
              <a16:creationId xmlns:a16="http://schemas.microsoft.com/office/drawing/2014/main" id="{921F7A0C-F204-4289-BB8A-01C88B19C01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544425" y="6962775"/>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476250</xdr:colOff>
      <xdr:row>25</xdr:row>
      <xdr:rowOff>9525</xdr:rowOff>
    </xdr:from>
    <xdr:to>
      <xdr:col>19</xdr:col>
      <xdr:colOff>575310</xdr:colOff>
      <xdr:row>25</xdr:row>
      <xdr:rowOff>105215</xdr:rowOff>
    </xdr:to>
    <xdr:pic>
      <xdr:nvPicPr>
        <xdr:cNvPr id="27" name="Grafik 31">
          <a:extLst>
            <a:ext uri="{FF2B5EF4-FFF2-40B4-BE49-F238E27FC236}">
              <a16:creationId xmlns:a16="http://schemas.microsoft.com/office/drawing/2014/main" id="{17A89C49-A7DC-4985-990B-C3F6BA8F50E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544425" y="8058150"/>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485775</xdr:colOff>
      <xdr:row>28</xdr:row>
      <xdr:rowOff>9525</xdr:rowOff>
    </xdr:from>
    <xdr:to>
      <xdr:col>20</xdr:col>
      <xdr:colOff>3810</xdr:colOff>
      <xdr:row>28</xdr:row>
      <xdr:rowOff>105215</xdr:rowOff>
    </xdr:to>
    <xdr:pic>
      <xdr:nvPicPr>
        <xdr:cNvPr id="28" name="Grafik 31">
          <a:extLst>
            <a:ext uri="{FF2B5EF4-FFF2-40B4-BE49-F238E27FC236}">
              <a16:creationId xmlns:a16="http://schemas.microsoft.com/office/drawing/2014/main" id="{80BF7C32-DB7D-411B-9287-F407D7E8522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553950" y="9144000"/>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476250</xdr:colOff>
      <xdr:row>31</xdr:row>
      <xdr:rowOff>9525</xdr:rowOff>
    </xdr:from>
    <xdr:to>
      <xdr:col>19</xdr:col>
      <xdr:colOff>575310</xdr:colOff>
      <xdr:row>31</xdr:row>
      <xdr:rowOff>105215</xdr:rowOff>
    </xdr:to>
    <xdr:pic>
      <xdr:nvPicPr>
        <xdr:cNvPr id="29" name="Grafik 31">
          <a:extLst>
            <a:ext uri="{FF2B5EF4-FFF2-40B4-BE49-F238E27FC236}">
              <a16:creationId xmlns:a16="http://schemas.microsoft.com/office/drawing/2014/main" id="{90790B51-A1A0-47FC-B58F-6C5CB7C986A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544425" y="10229850"/>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409575</xdr:colOff>
      <xdr:row>4</xdr:row>
      <xdr:rowOff>9525</xdr:rowOff>
    </xdr:from>
    <xdr:ext cx="114300" cy="104775"/>
    <xdr:pic>
      <xdr:nvPicPr>
        <xdr:cNvPr id="33" name="Grafik 18">
          <a:extLst>
            <a:ext uri="{FF2B5EF4-FFF2-40B4-BE49-F238E27FC236}">
              <a16:creationId xmlns:a16="http://schemas.microsoft.com/office/drawing/2014/main" id="{F8E7A34D-F33D-4032-A802-46C95D6D9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01375" y="6572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847725</xdr:colOff>
      <xdr:row>10</xdr:row>
      <xdr:rowOff>0</xdr:rowOff>
    </xdr:from>
    <xdr:to>
      <xdr:col>2</xdr:col>
      <xdr:colOff>962025</xdr:colOff>
      <xdr:row>10</xdr:row>
      <xdr:rowOff>104775</xdr:rowOff>
    </xdr:to>
    <xdr:pic>
      <xdr:nvPicPr>
        <xdr:cNvPr id="5" name="Grafik 18">
          <a:extLst>
            <a:ext uri="{FF2B5EF4-FFF2-40B4-BE49-F238E27FC236}">
              <a16:creationId xmlns:a16="http://schemas.microsoft.com/office/drawing/2014/main" id="{0F3AFEC5-FED4-4D7A-B4B1-B5BA3A320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2550" y="2209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857250</xdr:colOff>
      <xdr:row>16</xdr:row>
      <xdr:rowOff>9525</xdr:rowOff>
    </xdr:from>
    <xdr:to>
      <xdr:col>3</xdr:col>
      <xdr:colOff>0</xdr:colOff>
      <xdr:row>16</xdr:row>
      <xdr:rowOff>114300</xdr:rowOff>
    </xdr:to>
    <xdr:pic>
      <xdr:nvPicPr>
        <xdr:cNvPr id="10" name="Grafik 18">
          <a:extLst>
            <a:ext uri="{FF2B5EF4-FFF2-40B4-BE49-F238E27FC236}">
              <a16:creationId xmlns:a16="http://schemas.microsoft.com/office/drawing/2014/main" id="{6B8F4419-4D5E-4C58-9824-EA146823D9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2075" y="41624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180975</xdr:colOff>
      <xdr:row>0</xdr:row>
      <xdr:rowOff>28575</xdr:rowOff>
    </xdr:from>
    <xdr:to>
      <xdr:col>19</xdr:col>
      <xdr:colOff>512069</xdr:colOff>
      <xdr:row>3</xdr:row>
      <xdr:rowOff>180869</xdr:rowOff>
    </xdr:to>
    <xdr:pic>
      <xdr:nvPicPr>
        <xdr:cNvPr id="4" name="Grafik 26">
          <a:extLst>
            <a:ext uri="{FF2B5EF4-FFF2-40B4-BE49-F238E27FC236}">
              <a16:creationId xmlns:a16="http://schemas.microsoft.com/office/drawing/2014/main" id="{C51EBC05-6BA7-4C12-85BF-ACE41537E77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1201400" y="28575"/>
          <a:ext cx="1474094" cy="6475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3519193</xdr:colOff>
      <xdr:row>1</xdr:row>
      <xdr:rowOff>38100</xdr:rowOff>
    </xdr:from>
    <xdr:to>
      <xdr:col>3</xdr:col>
      <xdr:colOff>4019549</xdr:colOff>
      <xdr:row>2</xdr:row>
      <xdr:rowOff>247651</xdr:rowOff>
    </xdr:to>
    <xdr:pic>
      <xdr:nvPicPr>
        <xdr:cNvPr id="5" name="Bild 9" descr="Bild1">
          <a:extLst>
            <a:ext uri="{FF2B5EF4-FFF2-40B4-BE49-F238E27FC236}">
              <a16:creationId xmlns:a16="http://schemas.microsoft.com/office/drawing/2014/main" id="{3C3831D0-1FE0-4D00-B44E-8B9F39F6B5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52668" y="104775"/>
          <a:ext cx="500356" cy="3714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2519862</xdr:colOff>
      <xdr:row>1</xdr:row>
      <xdr:rowOff>57150</xdr:rowOff>
    </xdr:from>
    <xdr:to>
      <xdr:col>3</xdr:col>
      <xdr:colOff>3476194</xdr:colOff>
      <xdr:row>2</xdr:row>
      <xdr:rowOff>187124</xdr:rowOff>
    </xdr:to>
    <xdr:pic>
      <xdr:nvPicPr>
        <xdr:cNvPr id="6" name="Grafik 28">
          <a:extLst>
            <a:ext uri="{FF2B5EF4-FFF2-40B4-BE49-F238E27FC236}">
              <a16:creationId xmlns:a16="http://schemas.microsoft.com/office/drawing/2014/main" id="{7A53E643-320C-467A-9809-342219ABC39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653337" y="123825"/>
          <a:ext cx="956332" cy="291899"/>
        </a:xfrm>
        <a:prstGeom prst="rect">
          <a:avLst/>
        </a:prstGeom>
      </xdr:spPr>
    </xdr:pic>
    <xdr:clientData/>
  </xdr:twoCellAnchor>
  <xdr:twoCellAnchor editAs="oneCell">
    <xdr:from>
      <xdr:col>3</xdr:col>
      <xdr:colOff>3979819</xdr:colOff>
      <xdr:row>0</xdr:row>
      <xdr:rowOff>47624</xdr:rowOff>
    </xdr:from>
    <xdr:to>
      <xdr:col>3</xdr:col>
      <xdr:colOff>5084069</xdr:colOff>
      <xdr:row>2</xdr:row>
      <xdr:rowOff>304139</xdr:rowOff>
    </xdr:to>
    <xdr:pic>
      <xdr:nvPicPr>
        <xdr:cNvPr id="7" name="Grafik 26">
          <a:extLst>
            <a:ext uri="{FF2B5EF4-FFF2-40B4-BE49-F238E27FC236}">
              <a16:creationId xmlns:a16="http://schemas.microsoft.com/office/drawing/2014/main" id="{67531D8E-998B-4231-8887-7778AE6047E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113294" y="47624"/>
          <a:ext cx="1104250" cy="4851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1304925</xdr:colOff>
      <xdr:row>4</xdr:row>
      <xdr:rowOff>9525</xdr:rowOff>
    </xdr:from>
    <xdr:to>
      <xdr:col>6</xdr:col>
      <xdr:colOff>0</xdr:colOff>
      <xdr:row>4</xdr:row>
      <xdr:rowOff>114300</xdr:rowOff>
    </xdr:to>
    <xdr:pic>
      <xdr:nvPicPr>
        <xdr:cNvPr id="3" name="Grafik 15">
          <a:extLst>
            <a:ext uri="{FF2B5EF4-FFF2-40B4-BE49-F238E27FC236}">
              <a16:creationId xmlns:a16="http://schemas.microsoft.com/office/drawing/2014/main" id="{801E8C73-AA88-48AD-9599-7624707F9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63325" y="695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1304925</xdr:colOff>
      <xdr:row>9</xdr:row>
      <xdr:rowOff>9525</xdr:rowOff>
    </xdr:from>
    <xdr:to>
      <xdr:col>6</xdr:col>
      <xdr:colOff>0</xdr:colOff>
      <xdr:row>9</xdr:row>
      <xdr:rowOff>114300</xdr:rowOff>
    </xdr:to>
    <xdr:pic>
      <xdr:nvPicPr>
        <xdr:cNvPr id="4" name="Grafik 15">
          <a:extLst>
            <a:ext uri="{FF2B5EF4-FFF2-40B4-BE49-F238E27FC236}">
              <a16:creationId xmlns:a16="http://schemas.microsoft.com/office/drawing/2014/main" id="{E127A4AC-AB54-4CB4-90F7-086C44B62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63325" y="2181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5" name="Grafik 15">
          <a:extLst>
            <a:ext uri="{FF2B5EF4-FFF2-40B4-BE49-F238E27FC236}">
              <a16:creationId xmlns:a16="http://schemas.microsoft.com/office/drawing/2014/main" id="{6945EA53-615C-4ED2-8D1B-9DED37ADF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9425" y="1876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1304925</xdr:colOff>
      <xdr:row>9</xdr:row>
      <xdr:rowOff>9525</xdr:rowOff>
    </xdr:from>
    <xdr:to>
      <xdr:col>5</xdr:col>
      <xdr:colOff>0</xdr:colOff>
      <xdr:row>9</xdr:row>
      <xdr:rowOff>114300</xdr:rowOff>
    </xdr:to>
    <xdr:pic>
      <xdr:nvPicPr>
        <xdr:cNvPr id="6" name="Grafik 15">
          <a:extLst>
            <a:ext uri="{FF2B5EF4-FFF2-40B4-BE49-F238E27FC236}">
              <a16:creationId xmlns:a16="http://schemas.microsoft.com/office/drawing/2014/main" id="{22EC5DF8-3CB8-44B9-81F0-417C43E0A8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53625" y="2181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171449</xdr:colOff>
      <xdr:row>0</xdr:row>
      <xdr:rowOff>38101</xdr:rowOff>
    </xdr:from>
    <xdr:to>
      <xdr:col>6</xdr:col>
      <xdr:colOff>10418</xdr:colOff>
      <xdr:row>3</xdr:row>
      <xdr:rowOff>102068</xdr:rowOff>
    </xdr:to>
    <xdr:pic>
      <xdr:nvPicPr>
        <xdr:cNvPr id="7" name="Grafik 26">
          <a:extLst>
            <a:ext uri="{FF2B5EF4-FFF2-40B4-BE49-F238E27FC236}">
              <a16:creationId xmlns:a16="http://schemas.microsoft.com/office/drawing/2014/main" id="{1B7D632B-080B-4197-9605-3D04B3B7EB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29849" y="38101"/>
          <a:ext cx="1248669" cy="54974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16</xdr:col>
      <xdr:colOff>3105150</xdr:colOff>
      <xdr:row>8</xdr:row>
      <xdr:rowOff>9525</xdr:rowOff>
    </xdr:from>
    <xdr:to>
      <xdr:col>16</xdr:col>
      <xdr:colOff>3105150</xdr:colOff>
      <xdr:row>8</xdr:row>
      <xdr:rowOff>114300</xdr:rowOff>
    </xdr:to>
    <xdr:pic>
      <xdr:nvPicPr>
        <xdr:cNvPr id="238784" name="Grafik 18">
          <a:extLst>
            <a:ext uri="{FF2B5EF4-FFF2-40B4-BE49-F238E27FC236}">
              <a16:creationId xmlns:a16="http://schemas.microsoft.com/office/drawing/2014/main" id="{00000000-0008-0000-0600-0000C0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82550" y="418147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495300</xdr:colOff>
      <xdr:row>9</xdr:row>
      <xdr:rowOff>9525</xdr:rowOff>
    </xdr:from>
    <xdr:to>
      <xdr:col>14</xdr:col>
      <xdr:colOff>609600</xdr:colOff>
      <xdr:row>9</xdr:row>
      <xdr:rowOff>114300</xdr:rowOff>
    </xdr:to>
    <xdr:pic>
      <xdr:nvPicPr>
        <xdr:cNvPr id="238786" name="Grafik 18">
          <a:extLst>
            <a:ext uri="{FF2B5EF4-FFF2-40B4-BE49-F238E27FC236}">
              <a16:creationId xmlns:a16="http://schemas.microsoft.com/office/drawing/2014/main" id="{00000000-0008-0000-0600-0000C2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82075" y="44672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561975</xdr:colOff>
      <xdr:row>5</xdr:row>
      <xdr:rowOff>9525</xdr:rowOff>
    </xdr:from>
    <xdr:to>
      <xdr:col>14</xdr:col>
      <xdr:colOff>866</xdr:colOff>
      <xdr:row>5</xdr:row>
      <xdr:rowOff>114300</xdr:rowOff>
    </xdr:to>
    <xdr:pic>
      <xdr:nvPicPr>
        <xdr:cNvPr id="238788" name="Grafik 18">
          <a:extLst>
            <a:ext uri="{FF2B5EF4-FFF2-40B4-BE49-F238E27FC236}">
              <a16:creationId xmlns:a16="http://schemas.microsoft.com/office/drawing/2014/main" id="{00000000-0008-0000-0600-0000C4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67775" y="1085850"/>
          <a:ext cx="11516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5</xdr:row>
      <xdr:rowOff>9525</xdr:rowOff>
    </xdr:from>
    <xdr:to>
      <xdr:col>3</xdr:col>
      <xdr:colOff>0</xdr:colOff>
      <xdr:row>5</xdr:row>
      <xdr:rowOff>114300</xdr:rowOff>
    </xdr:to>
    <xdr:pic>
      <xdr:nvPicPr>
        <xdr:cNvPr id="238789" name="Grafik 18">
          <a:extLst>
            <a:ext uri="{FF2B5EF4-FFF2-40B4-BE49-F238E27FC236}">
              <a16:creationId xmlns:a16="http://schemas.microsoft.com/office/drawing/2014/main" id="{00000000-0008-0000-0600-0000C5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1085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16</xdr:row>
      <xdr:rowOff>9525</xdr:rowOff>
    </xdr:from>
    <xdr:to>
      <xdr:col>14</xdr:col>
      <xdr:colOff>609600</xdr:colOff>
      <xdr:row>16</xdr:row>
      <xdr:rowOff>114300</xdr:rowOff>
    </xdr:to>
    <xdr:pic>
      <xdr:nvPicPr>
        <xdr:cNvPr id="238790" name="Grafik 18">
          <a:extLst>
            <a:ext uri="{FF2B5EF4-FFF2-40B4-BE49-F238E27FC236}">
              <a16:creationId xmlns:a16="http://schemas.microsoft.com/office/drawing/2014/main" id="{00000000-0008-0000-0600-0000C6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5867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28</xdr:row>
      <xdr:rowOff>9525</xdr:rowOff>
    </xdr:from>
    <xdr:to>
      <xdr:col>14</xdr:col>
      <xdr:colOff>609600</xdr:colOff>
      <xdr:row>28</xdr:row>
      <xdr:rowOff>114300</xdr:rowOff>
    </xdr:to>
    <xdr:pic>
      <xdr:nvPicPr>
        <xdr:cNvPr id="238791" name="Grafik 18">
          <a:extLst>
            <a:ext uri="{FF2B5EF4-FFF2-40B4-BE49-F238E27FC236}">
              <a16:creationId xmlns:a16="http://schemas.microsoft.com/office/drawing/2014/main" id="{00000000-0008-0000-0600-0000C7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8982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31</xdr:row>
      <xdr:rowOff>9525</xdr:rowOff>
    </xdr:from>
    <xdr:to>
      <xdr:col>14</xdr:col>
      <xdr:colOff>609600</xdr:colOff>
      <xdr:row>31</xdr:row>
      <xdr:rowOff>114300</xdr:rowOff>
    </xdr:to>
    <xdr:pic>
      <xdr:nvPicPr>
        <xdr:cNvPr id="238792" name="Grafik 18">
          <a:extLst>
            <a:ext uri="{FF2B5EF4-FFF2-40B4-BE49-F238E27FC236}">
              <a16:creationId xmlns:a16="http://schemas.microsoft.com/office/drawing/2014/main" id="{00000000-0008-0000-0600-0000C8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10020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34</xdr:row>
      <xdr:rowOff>9525</xdr:rowOff>
    </xdr:from>
    <xdr:to>
      <xdr:col>14</xdr:col>
      <xdr:colOff>609600</xdr:colOff>
      <xdr:row>34</xdr:row>
      <xdr:rowOff>114300</xdr:rowOff>
    </xdr:to>
    <xdr:pic>
      <xdr:nvPicPr>
        <xdr:cNvPr id="238793" name="Grafik 18">
          <a:extLst>
            <a:ext uri="{FF2B5EF4-FFF2-40B4-BE49-F238E27FC236}">
              <a16:creationId xmlns:a16="http://schemas.microsoft.com/office/drawing/2014/main" id="{00000000-0008-0000-0600-0000C9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11077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22</xdr:row>
      <xdr:rowOff>9525</xdr:rowOff>
    </xdr:from>
    <xdr:to>
      <xdr:col>14</xdr:col>
      <xdr:colOff>609600</xdr:colOff>
      <xdr:row>22</xdr:row>
      <xdr:rowOff>114300</xdr:rowOff>
    </xdr:to>
    <xdr:pic>
      <xdr:nvPicPr>
        <xdr:cNvPr id="238794" name="Grafik 18">
          <a:extLst>
            <a:ext uri="{FF2B5EF4-FFF2-40B4-BE49-F238E27FC236}">
              <a16:creationId xmlns:a16="http://schemas.microsoft.com/office/drawing/2014/main" id="{00000000-0008-0000-0600-0000CA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7953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58</xdr:row>
      <xdr:rowOff>9525</xdr:rowOff>
    </xdr:from>
    <xdr:to>
      <xdr:col>14</xdr:col>
      <xdr:colOff>609600</xdr:colOff>
      <xdr:row>58</xdr:row>
      <xdr:rowOff>114300</xdr:rowOff>
    </xdr:to>
    <xdr:pic>
      <xdr:nvPicPr>
        <xdr:cNvPr id="238796" name="Grafik 18">
          <a:extLst>
            <a:ext uri="{FF2B5EF4-FFF2-40B4-BE49-F238E27FC236}">
              <a16:creationId xmlns:a16="http://schemas.microsoft.com/office/drawing/2014/main" id="{00000000-0008-0000-0600-0000CC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16363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61</xdr:row>
      <xdr:rowOff>9525</xdr:rowOff>
    </xdr:from>
    <xdr:to>
      <xdr:col>14</xdr:col>
      <xdr:colOff>609600</xdr:colOff>
      <xdr:row>61</xdr:row>
      <xdr:rowOff>114300</xdr:rowOff>
    </xdr:to>
    <xdr:pic>
      <xdr:nvPicPr>
        <xdr:cNvPr id="238797" name="Grafik 18">
          <a:extLst>
            <a:ext uri="{FF2B5EF4-FFF2-40B4-BE49-F238E27FC236}">
              <a16:creationId xmlns:a16="http://schemas.microsoft.com/office/drawing/2014/main" id="{00000000-0008-0000-0600-0000CD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17421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64</xdr:row>
      <xdr:rowOff>9525</xdr:rowOff>
    </xdr:from>
    <xdr:to>
      <xdr:col>14</xdr:col>
      <xdr:colOff>609600</xdr:colOff>
      <xdr:row>64</xdr:row>
      <xdr:rowOff>114300</xdr:rowOff>
    </xdr:to>
    <xdr:pic>
      <xdr:nvPicPr>
        <xdr:cNvPr id="238798" name="Grafik 18">
          <a:extLst>
            <a:ext uri="{FF2B5EF4-FFF2-40B4-BE49-F238E27FC236}">
              <a16:creationId xmlns:a16="http://schemas.microsoft.com/office/drawing/2014/main" id="{00000000-0008-0000-0600-0000CE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18478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70</xdr:row>
      <xdr:rowOff>9525</xdr:rowOff>
    </xdr:from>
    <xdr:to>
      <xdr:col>14</xdr:col>
      <xdr:colOff>609600</xdr:colOff>
      <xdr:row>70</xdr:row>
      <xdr:rowOff>114300</xdr:rowOff>
    </xdr:to>
    <xdr:pic>
      <xdr:nvPicPr>
        <xdr:cNvPr id="238800" name="Grafik 18">
          <a:extLst>
            <a:ext uri="{FF2B5EF4-FFF2-40B4-BE49-F238E27FC236}">
              <a16:creationId xmlns:a16="http://schemas.microsoft.com/office/drawing/2014/main" id="{00000000-0008-0000-0600-0000D0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21612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67</xdr:row>
      <xdr:rowOff>9525</xdr:rowOff>
    </xdr:from>
    <xdr:to>
      <xdr:col>14</xdr:col>
      <xdr:colOff>609600</xdr:colOff>
      <xdr:row>67</xdr:row>
      <xdr:rowOff>114300</xdr:rowOff>
    </xdr:to>
    <xdr:pic>
      <xdr:nvPicPr>
        <xdr:cNvPr id="238802" name="Grafik 18">
          <a:extLst>
            <a:ext uri="{FF2B5EF4-FFF2-40B4-BE49-F238E27FC236}">
              <a16:creationId xmlns:a16="http://schemas.microsoft.com/office/drawing/2014/main" id="{00000000-0008-0000-0600-0000D2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20583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495300</xdr:colOff>
      <xdr:row>48</xdr:row>
      <xdr:rowOff>9525</xdr:rowOff>
    </xdr:from>
    <xdr:to>
      <xdr:col>14</xdr:col>
      <xdr:colOff>609600</xdr:colOff>
      <xdr:row>48</xdr:row>
      <xdr:rowOff>114300</xdr:rowOff>
    </xdr:to>
    <xdr:pic>
      <xdr:nvPicPr>
        <xdr:cNvPr id="238803" name="Grafik 18">
          <a:extLst>
            <a:ext uri="{FF2B5EF4-FFF2-40B4-BE49-F238E27FC236}">
              <a16:creationId xmlns:a16="http://schemas.microsoft.com/office/drawing/2014/main" id="{00000000-0008-0000-0600-0000D3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82075" y="13896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36</xdr:row>
      <xdr:rowOff>9525</xdr:rowOff>
    </xdr:from>
    <xdr:to>
      <xdr:col>14</xdr:col>
      <xdr:colOff>609600</xdr:colOff>
      <xdr:row>36</xdr:row>
      <xdr:rowOff>114300</xdr:rowOff>
    </xdr:to>
    <xdr:pic>
      <xdr:nvPicPr>
        <xdr:cNvPr id="238808" name="Grafik 18">
          <a:extLst>
            <a:ext uri="{FF2B5EF4-FFF2-40B4-BE49-F238E27FC236}">
              <a16:creationId xmlns:a16="http://schemas.microsoft.com/office/drawing/2014/main" id="{00000000-0008-0000-0600-0000D8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11782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42</xdr:row>
      <xdr:rowOff>9525</xdr:rowOff>
    </xdr:from>
    <xdr:to>
      <xdr:col>14</xdr:col>
      <xdr:colOff>609600</xdr:colOff>
      <xdr:row>42</xdr:row>
      <xdr:rowOff>114300</xdr:rowOff>
    </xdr:to>
    <xdr:pic>
      <xdr:nvPicPr>
        <xdr:cNvPr id="238809" name="Grafik 18">
          <a:extLst>
            <a:ext uri="{FF2B5EF4-FFF2-40B4-BE49-F238E27FC236}">
              <a16:creationId xmlns:a16="http://schemas.microsoft.com/office/drawing/2014/main" id="{00000000-0008-0000-0600-0000D9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12839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72</xdr:row>
      <xdr:rowOff>9525</xdr:rowOff>
    </xdr:from>
    <xdr:to>
      <xdr:col>14</xdr:col>
      <xdr:colOff>609600</xdr:colOff>
      <xdr:row>72</xdr:row>
      <xdr:rowOff>114300</xdr:rowOff>
    </xdr:to>
    <xdr:pic>
      <xdr:nvPicPr>
        <xdr:cNvPr id="238810" name="Grafik 18">
          <a:extLst>
            <a:ext uri="{FF2B5EF4-FFF2-40B4-BE49-F238E27FC236}">
              <a16:creationId xmlns:a16="http://schemas.microsoft.com/office/drawing/2014/main" id="{00000000-0008-0000-0600-0000DA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22298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78</xdr:row>
      <xdr:rowOff>9525</xdr:rowOff>
    </xdr:from>
    <xdr:to>
      <xdr:col>14</xdr:col>
      <xdr:colOff>609600</xdr:colOff>
      <xdr:row>78</xdr:row>
      <xdr:rowOff>114300</xdr:rowOff>
    </xdr:to>
    <xdr:pic>
      <xdr:nvPicPr>
        <xdr:cNvPr id="238811" name="Grafik 18">
          <a:extLst>
            <a:ext uri="{FF2B5EF4-FFF2-40B4-BE49-F238E27FC236}">
              <a16:creationId xmlns:a16="http://schemas.microsoft.com/office/drawing/2014/main" id="{00000000-0008-0000-0600-0000DB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1600" y="23326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514350</xdr:colOff>
      <xdr:row>19</xdr:row>
      <xdr:rowOff>9525</xdr:rowOff>
    </xdr:from>
    <xdr:to>
      <xdr:col>14</xdr:col>
      <xdr:colOff>609600</xdr:colOff>
      <xdr:row>19</xdr:row>
      <xdr:rowOff>114300</xdr:rowOff>
    </xdr:to>
    <xdr:pic>
      <xdr:nvPicPr>
        <xdr:cNvPr id="238812" name="Grafik 31">
          <a:extLst>
            <a:ext uri="{FF2B5EF4-FFF2-40B4-BE49-F238E27FC236}">
              <a16:creationId xmlns:a16="http://schemas.microsoft.com/office/drawing/2014/main" id="{00000000-0008-0000-0600-0000DCA4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01125" y="69056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514350</xdr:colOff>
      <xdr:row>85</xdr:row>
      <xdr:rowOff>9525</xdr:rowOff>
    </xdr:from>
    <xdr:to>
      <xdr:col>14</xdr:col>
      <xdr:colOff>609600</xdr:colOff>
      <xdr:row>85</xdr:row>
      <xdr:rowOff>114300</xdr:rowOff>
    </xdr:to>
    <xdr:pic>
      <xdr:nvPicPr>
        <xdr:cNvPr id="238813" name="Grafik 31">
          <a:extLst>
            <a:ext uri="{FF2B5EF4-FFF2-40B4-BE49-F238E27FC236}">
              <a16:creationId xmlns:a16="http://schemas.microsoft.com/office/drawing/2014/main" id="{00000000-0008-0000-0600-0000DDA4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01125" y="257556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514350</xdr:colOff>
      <xdr:row>33</xdr:row>
      <xdr:rowOff>9525</xdr:rowOff>
    </xdr:from>
    <xdr:to>
      <xdr:col>14</xdr:col>
      <xdr:colOff>609600</xdr:colOff>
      <xdr:row>33</xdr:row>
      <xdr:rowOff>114300</xdr:rowOff>
    </xdr:to>
    <xdr:pic>
      <xdr:nvPicPr>
        <xdr:cNvPr id="33" name="Grafik 31">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01125" y="110299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495300</xdr:colOff>
      <xdr:row>51</xdr:row>
      <xdr:rowOff>9525</xdr:rowOff>
    </xdr:from>
    <xdr:to>
      <xdr:col>14</xdr:col>
      <xdr:colOff>609600</xdr:colOff>
      <xdr:row>51</xdr:row>
      <xdr:rowOff>114300</xdr:rowOff>
    </xdr:to>
    <xdr:pic>
      <xdr:nvPicPr>
        <xdr:cNvPr id="35" name="Grafik 18">
          <a:extLst>
            <a:ext uri="{FF2B5EF4-FFF2-40B4-BE49-F238E27FC236}">
              <a16:creationId xmlns:a16="http://schemas.microsoft.com/office/drawing/2014/main" id="{00000000-0008-0000-06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82075" y="153638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514350</xdr:colOff>
      <xdr:row>15</xdr:row>
      <xdr:rowOff>9525</xdr:rowOff>
    </xdr:from>
    <xdr:to>
      <xdr:col>14</xdr:col>
      <xdr:colOff>609600</xdr:colOff>
      <xdr:row>15</xdr:row>
      <xdr:rowOff>114300</xdr:rowOff>
    </xdr:to>
    <xdr:pic>
      <xdr:nvPicPr>
        <xdr:cNvPr id="37" name="Grafik 31">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01125" y="60102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28575</xdr:colOff>
      <xdr:row>0</xdr:row>
      <xdr:rowOff>104775</xdr:rowOff>
    </xdr:from>
    <xdr:to>
      <xdr:col>13</xdr:col>
      <xdr:colOff>247219</xdr:colOff>
      <xdr:row>2</xdr:row>
      <xdr:rowOff>176491</xdr:rowOff>
    </xdr:to>
    <xdr:pic>
      <xdr:nvPicPr>
        <xdr:cNvPr id="38" name="Grafik 37">
          <a:extLst>
            <a:ext uri="{FF2B5EF4-FFF2-40B4-BE49-F238E27FC236}">
              <a16:creationId xmlns:a16="http://schemas.microsoft.com/office/drawing/2014/main" id="{00000000-0008-0000-0600-00002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591425" y="104775"/>
          <a:ext cx="1171144" cy="357466"/>
        </a:xfrm>
        <a:prstGeom prst="rect">
          <a:avLst/>
        </a:prstGeom>
      </xdr:spPr>
    </xdr:pic>
    <xdr:clientData/>
  </xdr:twoCellAnchor>
  <xdr:twoCellAnchor editAs="oneCell">
    <xdr:from>
      <xdr:col>16</xdr:col>
      <xdr:colOff>3105150</xdr:colOff>
      <xdr:row>8</xdr:row>
      <xdr:rowOff>9525</xdr:rowOff>
    </xdr:from>
    <xdr:to>
      <xdr:col>16</xdr:col>
      <xdr:colOff>3105150</xdr:colOff>
      <xdr:row>8</xdr:row>
      <xdr:rowOff>114300</xdr:rowOff>
    </xdr:to>
    <xdr:pic>
      <xdr:nvPicPr>
        <xdr:cNvPr id="39" name="Grafik 18">
          <a:extLst>
            <a:ext uri="{FF2B5EF4-FFF2-40B4-BE49-F238E27FC236}">
              <a16:creationId xmlns:a16="http://schemas.microsoft.com/office/drawing/2014/main" id="{81701529-826A-4059-8FDA-DF3E4A458E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44500" y="448627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7</xdr:row>
      <xdr:rowOff>9525</xdr:rowOff>
    </xdr:from>
    <xdr:to>
      <xdr:col>14</xdr:col>
      <xdr:colOff>609600</xdr:colOff>
      <xdr:row>7</xdr:row>
      <xdr:rowOff>114300</xdr:rowOff>
    </xdr:to>
    <xdr:pic>
      <xdr:nvPicPr>
        <xdr:cNvPr id="40" name="Grafik 18">
          <a:extLst>
            <a:ext uri="{FF2B5EF4-FFF2-40B4-BE49-F238E27FC236}">
              <a16:creationId xmlns:a16="http://schemas.microsoft.com/office/drawing/2014/main" id="{102F6A2B-279C-46F5-A073-C41E40D59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53550" y="4295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311150</xdr:colOff>
      <xdr:row>7</xdr:row>
      <xdr:rowOff>9525</xdr:rowOff>
    </xdr:from>
    <xdr:to>
      <xdr:col>1</xdr:col>
      <xdr:colOff>0</xdr:colOff>
      <xdr:row>7</xdr:row>
      <xdr:rowOff>114300</xdr:rowOff>
    </xdr:to>
    <xdr:pic>
      <xdr:nvPicPr>
        <xdr:cNvPr id="41" name="Grafik 18">
          <a:extLst>
            <a:ext uri="{FF2B5EF4-FFF2-40B4-BE49-F238E27FC236}">
              <a16:creationId xmlns:a16="http://schemas.microsoft.com/office/drawing/2014/main" id="{5518196A-E9F0-42E4-A9CB-40D5F3A95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0" y="1552575"/>
          <a:ext cx="1174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217488</xdr:colOff>
      <xdr:row>7</xdr:row>
      <xdr:rowOff>9525</xdr:rowOff>
    </xdr:from>
    <xdr:to>
      <xdr:col>1</xdr:col>
      <xdr:colOff>333375</xdr:colOff>
      <xdr:row>7</xdr:row>
      <xdr:rowOff>114300</xdr:rowOff>
    </xdr:to>
    <xdr:pic>
      <xdr:nvPicPr>
        <xdr:cNvPr id="42" name="Grafik 18">
          <a:extLst>
            <a:ext uri="{FF2B5EF4-FFF2-40B4-BE49-F238E27FC236}">
              <a16:creationId xmlns:a16="http://schemas.microsoft.com/office/drawing/2014/main" id="{CDDDAECB-2220-4654-B65C-18EB01CB4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6113" y="1009650"/>
          <a:ext cx="11588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3105150</xdr:colOff>
      <xdr:row>8</xdr:row>
      <xdr:rowOff>9525</xdr:rowOff>
    </xdr:from>
    <xdr:to>
      <xdr:col>16</xdr:col>
      <xdr:colOff>3105150</xdr:colOff>
      <xdr:row>8</xdr:row>
      <xdr:rowOff>114300</xdr:rowOff>
    </xdr:to>
    <xdr:pic>
      <xdr:nvPicPr>
        <xdr:cNvPr id="43" name="Grafik 18">
          <a:extLst>
            <a:ext uri="{FF2B5EF4-FFF2-40B4-BE49-F238E27FC236}">
              <a16:creationId xmlns:a16="http://schemas.microsoft.com/office/drawing/2014/main" id="{22FA09A4-534C-4BBE-A147-C74938682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44500" y="448627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4956175</xdr:colOff>
      <xdr:row>8</xdr:row>
      <xdr:rowOff>9525</xdr:rowOff>
    </xdr:from>
    <xdr:to>
      <xdr:col>16</xdr:col>
      <xdr:colOff>5067300</xdr:colOff>
      <xdr:row>8</xdr:row>
      <xdr:rowOff>114300</xdr:rowOff>
    </xdr:to>
    <xdr:pic>
      <xdr:nvPicPr>
        <xdr:cNvPr id="44" name="Grafik 18">
          <a:extLst>
            <a:ext uri="{FF2B5EF4-FFF2-40B4-BE49-F238E27FC236}">
              <a16:creationId xmlns:a16="http://schemas.microsoft.com/office/drawing/2014/main" id="{14E6BEFD-4E6A-4731-8D0C-8019C3BB45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09825" y="4133850"/>
          <a:ext cx="1111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379412</xdr:colOff>
      <xdr:row>0</xdr:row>
      <xdr:rowOff>28575</xdr:rowOff>
    </xdr:from>
    <xdr:to>
      <xdr:col>15</xdr:col>
      <xdr:colOff>569363</xdr:colOff>
      <xdr:row>4</xdr:row>
      <xdr:rowOff>29104</xdr:rowOff>
    </xdr:to>
    <xdr:pic>
      <xdr:nvPicPr>
        <xdr:cNvPr id="46" name="Grafik 39">
          <a:extLst>
            <a:ext uri="{FF2B5EF4-FFF2-40B4-BE49-F238E27FC236}">
              <a16:creationId xmlns:a16="http://schemas.microsoft.com/office/drawing/2014/main" id="{DE2D9B19-FDEE-48AE-8C99-D0A0610B7D8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8894762" y="28575"/>
          <a:ext cx="1483619" cy="657754"/>
        </a:xfrm>
        <a:prstGeom prst="rect">
          <a:avLst/>
        </a:prstGeom>
      </xdr:spPr>
    </xdr:pic>
    <xdr:clientData/>
  </xdr:twoCellAnchor>
  <xdr:twoCellAnchor editAs="oneCell">
    <xdr:from>
      <xdr:col>14</xdr:col>
      <xdr:colOff>504825</xdr:colOff>
      <xdr:row>109</xdr:row>
      <xdr:rowOff>9525</xdr:rowOff>
    </xdr:from>
    <xdr:to>
      <xdr:col>14</xdr:col>
      <xdr:colOff>609600</xdr:colOff>
      <xdr:row>109</xdr:row>
      <xdr:rowOff>114300</xdr:rowOff>
    </xdr:to>
    <xdr:pic>
      <xdr:nvPicPr>
        <xdr:cNvPr id="45" name="Grafik 18">
          <a:extLst>
            <a:ext uri="{FF2B5EF4-FFF2-40B4-BE49-F238E27FC236}">
              <a16:creationId xmlns:a16="http://schemas.microsoft.com/office/drawing/2014/main" id="{1DC22F15-726E-4A30-AE19-F80FD871EB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67850" y="34194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27</xdr:row>
      <xdr:rowOff>9525</xdr:rowOff>
    </xdr:from>
    <xdr:to>
      <xdr:col>2</xdr:col>
      <xdr:colOff>1381125</xdr:colOff>
      <xdr:row>27</xdr:row>
      <xdr:rowOff>114300</xdr:rowOff>
    </xdr:to>
    <xdr:pic>
      <xdr:nvPicPr>
        <xdr:cNvPr id="2" name="Grafik 18">
          <a:extLst>
            <a:ext uri="{FF2B5EF4-FFF2-40B4-BE49-F238E27FC236}">
              <a16:creationId xmlns:a16="http://schemas.microsoft.com/office/drawing/2014/main" id="{A8F7E133-0629-4F6F-970B-C9E4748C7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19300" y="8286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657225</xdr:colOff>
      <xdr:row>27</xdr:row>
      <xdr:rowOff>9525</xdr:rowOff>
    </xdr:from>
    <xdr:to>
      <xdr:col>6</xdr:col>
      <xdr:colOff>762000</xdr:colOff>
      <xdr:row>27</xdr:row>
      <xdr:rowOff>114300</xdr:rowOff>
    </xdr:to>
    <xdr:pic>
      <xdr:nvPicPr>
        <xdr:cNvPr id="3" name="Grafik 18">
          <a:extLst>
            <a:ext uri="{FF2B5EF4-FFF2-40B4-BE49-F238E27FC236}">
              <a16:creationId xmlns:a16="http://schemas.microsoft.com/office/drawing/2014/main" id="{235117DD-63E8-4D64-89CB-87F8D7AAE9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7325" y="8286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518583</xdr:colOff>
      <xdr:row>39</xdr:row>
      <xdr:rowOff>10583</xdr:rowOff>
    </xdr:from>
    <xdr:to>
      <xdr:col>15</xdr:col>
      <xdr:colOff>4233</xdr:colOff>
      <xdr:row>39</xdr:row>
      <xdr:rowOff>115358</xdr:rowOff>
    </xdr:to>
    <xdr:pic>
      <xdr:nvPicPr>
        <xdr:cNvPr id="5" name="Grafik 18">
          <a:extLst>
            <a:ext uri="{FF2B5EF4-FFF2-40B4-BE49-F238E27FC236}">
              <a16:creationId xmlns:a16="http://schemas.microsoft.com/office/drawing/2014/main" id="{FBD0DD42-68CF-4128-BD19-BF66E68C71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03833" y="11832166"/>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1266825</xdr:colOff>
      <xdr:row>12</xdr:row>
      <xdr:rowOff>9525</xdr:rowOff>
    </xdr:from>
    <xdr:to>
      <xdr:col>2</xdr:col>
      <xdr:colOff>1382712</xdr:colOff>
      <xdr:row>12</xdr:row>
      <xdr:rowOff>114300</xdr:rowOff>
    </xdr:to>
    <xdr:pic>
      <xdr:nvPicPr>
        <xdr:cNvPr id="6" name="Grafik 18">
          <a:extLst>
            <a:ext uri="{FF2B5EF4-FFF2-40B4-BE49-F238E27FC236}">
              <a16:creationId xmlns:a16="http://schemas.microsoft.com/office/drawing/2014/main" id="{91F281B4-C5FD-4803-BE1C-D26CBE8610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8350" y="2543175"/>
          <a:ext cx="11588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18</xdr:row>
      <xdr:rowOff>9525</xdr:rowOff>
    </xdr:from>
    <xdr:to>
      <xdr:col>3</xdr:col>
      <xdr:colOff>1587</xdr:colOff>
      <xdr:row>18</xdr:row>
      <xdr:rowOff>114300</xdr:rowOff>
    </xdr:to>
    <xdr:pic>
      <xdr:nvPicPr>
        <xdr:cNvPr id="7" name="Grafik 18">
          <a:extLst>
            <a:ext uri="{FF2B5EF4-FFF2-40B4-BE49-F238E27FC236}">
              <a16:creationId xmlns:a16="http://schemas.microsoft.com/office/drawing/2014/main" id="{12CB8527-268D-470C-9705-1095D8590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4629150"/>
          <a:ext cx="11588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1266825</xdr:colOff>
      <xdr:row>24</xdr:row>
      <xdr:rowOff>9525</xdr:rowOff>
    </xdr:from>
    <xdr:to>
      <xdr:col>2</xdr:col>
      <xdr:colOff>1382712</xdr:colOff>
      <xdr:row>24</xdr:row>
      <xdr:rowOff>114300</xdr:rowOff>
    </xdr:to>
    <xdr:pic>
      <xdr:nvPicPr>
        <xdr:cNvPr id="8" name="Grafik 18">
          <a:extLst>
            <a:ext uri="{FF2B5EF4-FFF2-40B4-BE49-F238E27FC236}">
              <a16:creationId xmlns:a16="http://schemas.microsoft.com/office/drawing/2014/main" id="{F3258612-7C17-46E4-81BC-11408AE46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8350" y="6715125"/>
          <a:ext cx="11588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36</xdr:row>
      <xdr:rowOff>9525</xdr:rowOff>
    </xdr:from>
    <xdr:to>
      <xdr:col>2</xdr:col>
      <xdr:colOff>1381125</xdr:colOff>
      <xdr:row>36</xdr:row>
      <xdr:rowOff>114300</xdr:rowOff>
    </xdr:to>
    <xdr:pic>
      <xdr:nvPicPr>
        <xdr:cNvPr id="9" name="Grafik 18">
          <a:extLst>
            <a:ext uri="{FF2B5EF4-FFF2-40B4-BE49-F238E27FC236}">
              <a16:creationId xmlns:a16="http://schemas.microsoft.com/office/drawing/2014/main" id="{FA087E3A-11BA-4F34-BC3A-9DE7352FA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10887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42</xdr:row>
      <xdr:rowOff>9525</xdr:rowOff>
    </xdr:from>
    <xdr:to>
      <xdr:col>2</xdr:col>
      <xdr:colOff>1381125</xdr:colOff>
      <xdr:row>42</xdr:row>
      <xdr:rowOff>114300</xdr:rowOff>
    </xdr:to>
    <xdr:pic>
      <xdr:nvPicPr>
        <xdr:cNvPr id="4" name="Grafik 18">
          <a:extLst>
            <a:ext uri="{FF2B5EF4-FFF2-40B4-BE49-F238E27FC236}">
              <a16:creationId xmlns:a16="http://schemas.microsoft.com/office/drawing/2014/main" id="{93F91714-065E-4302-9C01-F5EA18E6A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13001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48</xdr:row>
      <xdr:rowOff>0</xdr:rowOff>
    </xdr:from>
    <xdr:to>
      <xdr:col>2</xdr:col>
      <xdr:colOff>1381125</xdr:colOff>
      <xdr:row>48</xdr:row>
      <xdr:rowOff>104775</xdr:rowOff>
    </xdr:to>
    <xdr:pic>
      <xdr:nvPicPr>
        <xdr:cNvPr id="10" name="Grafik 18">
          <a:extLst>
            <a:ext uri="{FF2B5EF4-FFF2-40B4-BE49-F238E27FC236}">
              <a16:creationId xmlns:a16="http://schemas.microsoft.com/office/drawing/2014/main" id="{1FC9F98B-E7FF-4E71-BBB8-35CF28599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151066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54</xdr:row>
      <xdr:rowOff>9525</xdr:rowOff>
    </xdr:from>
    <xdr:to>
      <xdr:col>2</xdr:col>
      <xdr:colOff>1381125</xdr:colOff>
      <xdr:row>54</xdr:row>
      <xdr:rowOff>114300</xdr:rowOff>
    </xdr:to>
    <xdr:pic>
      <xdr:nvPicPr>
        <xdr:cNvPr id="11" name="Grafik 18">
          <a:extLst>
            <a:ext uri="{FF2B5EF4-FFF2-40B4-BE49-F238E27FC236}">
              <a16:creationId xmlns:a16="http://schemas.microsoft.com/office/drawing/2014/main" id="{E164D6F1-CB52-4575-B34D-3C9026EA3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17230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1285875</xdr:colOff>
      <xdr:row>75</xdr:row>
      <xdr:rowOff>9525</xdr:rowOff>
    </xdr:from>
    <xdr:to>
      <xdr:col>3</xdr:col>
      <xdr:colOff>0</xdr:colOff>
      <xdr:row>75</xdr:row>
      <xdr:rowOff>114300</xdr:rowOff>
    </xdr:to>
    <xdr:pic>
      <xdr:nvPicPr>
        <xdr:cNvPr id="12" name="Grafik 18">
          <a:extLst>
            <a:ext uri="{FF2B5EF4-FFF2-40B4-BE49-F238E27FC236}">
              <a16:creationId xmlns:a16="http://schemas.microsoft.com/office/drawing/2014/main" id="{AAA684ED-B660-40D9-B80F-A4BA46C4D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0" y="24545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78</xdr:row>
      <xdr:rowOff>9525</xdr:rowOff>
    </xdr:from>
    <xdr:to>
      <xdr:col>2</xdr:col>
      <xdr:colOff>1381125</xdr:colOff>
      <xdr:row>78</xdr:row>
      <xdr:rowOff>114300</xdr:rowOff>
    </xdr:to>
    <xdr:pic>
      <xdr:nvPicPr>
        <xdr:cNvPr id="13" name="Grafik 18">
          <a:extLst>
            <a:ext uri="{FF2B5EF4-FFF2-40B4-BE49-F238E27FC236}">
              <a16:creationId xmlns:a16="http://schemas.microsoft.com/office/drawing/2014/main" id="{5C23119D-8A1C-474E-8043-343D13E85C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25574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105</xdr:row>
      <xdr:rowOff>0</xdr:rowOff>
    </xdr:from>
    <xdr:to>
      <xdr:col>2</xdr:col>
      <xdr:colOff>1381125</xdr:colOff>
      <xdr:row>105</xdr:row>
      <xdr:rowOff>104775</xdr:rowOff>
    </xdr:to>
    <xdr:pic>
      <xdr:nvPicPr>
        <xdr:cNvPr id="14" name="Grafik 18">
          <a:extLst>
            <a:ext uri="{FF2B5EF4-FFF2-40B4-BE49-F238E27FC236}">
              <a16:creationId xmlns:a16="http://schemas.microsoft.com/office/drawing/2014/main" id="{5B66924E-0A7E-477A-8C19-F4FC74329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35309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111</xdr:row>
      <xdr:rowOff>9525</xdr:rowOff>
    </xdr:from>
    <xdr:to>
      <xdr:col>2</xdr:col>
      <xdr:colOff>1381125</xdr:colOff>
      <xdr:row>111</xdr:row>
      <xdr:rowOff>114300</xdr:rowOff>
    </xdr:to>
    <xdr:pic>
      <xdr:nvPicPr>
        <xdr:cNvPr id="15" name="Grafik 18">
          <a:extLst>
            <a:ext uri="{FF2B5EF4-FFF2-40B4-BE49-F238E27FC236}">
              <a16:creationId xmlns:a16="http://schemas.microsoft.com/office/drawing/2014/main" id="{53C86CB3-F646-4183-95A3-989311103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37376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81</xdr:row>
      <xdr:rowOff>9525</xdr:rowOff>
    </xdr:from>
    <xdr:to>
      <xdr:col>2</xdr:col>
      <xdr:colOff>1381125</xdr:colOff>
      <xdr:row>81</xdr:row>
      <xdr:rowOff>114300</xdr:rowOff>
    </xdr:to>
    <xdr:pic>
      <xdr:nvPicPr>
        <xdr:cNvPr id="16" name="Grafik 18">
          <a:extLst>
            <a:ext uri="{FF2B5EF4-FFF2-40B4-BE49-F238E27FC236}">
              <a16:creationId xmlns:a16="http://schemas.microsoft.com/office/drawing/2014/main" id="{C93755D5-67D5-412F-95E2-C9A3B1F70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26631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311150</xdr:colOff>
      <xdr:row>0</xdr:row>
      <xdr:rowOff>9525</xdr:rowOff>
    </xdr:from>
    <xdr:to>
      <xdr:col>0</xdr:col>
      <xdr:colOff>428625</xdr:colOff>
      <xdr:row>0</xdr:row>
      <xdr:rowOff>114300</xdr:rowOff>
    </xdr:to>
    <xdr:pic>
      <xdr:nvPicPr>
        <xdr:cNvPr id="2" name="Grafik 18">
          <a:extLst>
            <a:ext uri="{FF2B5EF4-FFF2-40B4-BE49-F238E27FC236}">
              <a16:creationId xmlns:a16="http://schemas.microsoft.com/office/drawing/2014/main" id="{74227A90-D0D3-41A7-992E-8E7BD869F4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0" y="1552575"/>
          <a:ext cx="1174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227013</xdr:colOff>
      <xdr:row>0</xdr:row>
      <xdr:rowOff>9525</xdr:rowOff>
    </xdr:from>
    <xdr:to>
      <xdr:col>1</xdr:col>
      <xdr:colOff>342900</xdr:colOff>
      <xdr:row>0</xdr:row>
      <xdr:rowOff>114300</xdr:rowOff>
    </xdr:to>
    <xdr:pic>
      <xdr:nvPicPr>
        <xdr:cNvPr id="3" name="Grafik 18">
          <a:extLst>
            <a:ext uri="{FF2B5EF4-FFF2-40B4-BE49-F238E27FC236}">
              <a16:creationId xmlns:a16="http://schemas.microsoft.com/office/drawing/2014/main" id="{3E019C9A-4FC6-4C9B-96FC-37044CB69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5638" y="1552575"/>
          <a:ext cx="11588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20</xdr:row>
      <xdr:rowOff>9525</xdr:rowOff>
    </xdr:from>
    <xdr:to>
      <xdr:col>3</xdr:col>
      <xdr:colOff>104775</xdr:colOff>
      <xdr:row>20</xdr:row>
      <xdr:rowOff>114300</xdr:rowOff>
    </xdr:to>
    <xdr:pic>
      <xdr:nvPicPr>
        <xdr:cNvPr id="4" name="Grafik 18">
          <a:extLst>
            <a:ext uri="{FF2B5EF4-FFF2-40B4-BE49-F238E27FC236}">
              <a16:creationId xmlns:a16="http://schemas.microsoft.com/office/drawing/2014/main" id="{5F302774-B0BA-4FFF-AB31-3ABF265ED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8286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657225</xdr:colOff>
      <xdr:row>20</xdr:row>
      <xdr:rowOff>9525</xdr:rowOff>
    </xdr:from>
    <xdr:to>
      <xdr:col>7</xdr:col>
      <xdr:colOff>104775</xdr:colOff>
      <xdr:row>20</xdr:row>
      <xdr:rowOff>114300</xdr:rowOff>
    </xdr:to>
    <xdr:pic>
      <xdr:nvPicPr>
        <xdr:cNvPr id="5" name="Grafik 18">
          <a:extLst>
            <a:ext uri="{FF2B5EF4-FFF2-40B4-BE49-F238E27FC236}">
              <a16:creationId xmlns:a16="http://schemas.microsoft.com/office/drawing/2014/main" id="{AC52E001-7114-4C6F-8449-DF0B4DF8E4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5900" y="8286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311150</xdr:colOff>
      <xdr:row>0</xdr:row>
      <xdr:rowOff>9525</xdr:rowOff>
    </xdr:from>
    <xdr:to>
      <xdr:col>14</xdr:col>
      <xdr:colOff>428625</xdr:colOff>
      <xdr:row>0</xdr:row>
      <xdr:rowOff>114300</xdr:rowOff>
    </xdr:to>
    <xdr:pic>
      <xdr:nvPicPr>
        <xdr:cNvPr id="6" name="Grafik 18">
          <a:extLst>
            <a:ext uri="{FF2B5EF4-FFF2-40B4-BE49-F238E27FC236}">
              <a16:creationId xmlns:a16="http://schemas.microsoft.com/office/drawing/2014/main" id="{BC764C0E-A336-41EB-B1FB-6B881882BA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0" y="1552575"/>
          <a:ext cx="1174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227013</xdr:colOff>
      <xdr:row>0</xdr:row>
      <xdr:rowOff>9525</xdr:rowOff>
    </xdr:from>
    <xdr:to>
      <xdr:col>15</xdr:col>
      <xdr:colOff>342900</xdr:colOff>
      <xdr:row>0</xdr:row>
      <xdr:rowOff>114300</xdr:rowOff>
    </xdr:to>
    <xdr:pic>
      <xdr:nvPicPr>
        <xdr:cNvPr id="7" name="Grafik 18">
          <a:extLst>
            <a:ext uri="{FF2B5EF4-FFF2-40B4-BE49-F238E27FC236}">
              <a16:creationId xmlns:a16="http://schemas.microsoft.com/office/drawing/2014/main" id="{94124007-56F2-4A38-B879-FDDE58154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5638" y="1552575"/>
          <a:ext cx="11588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1276350</xdr:colOff>
      <xdr:row>20</xdr:row>
      <xdr:rowOff>9525</xdr:rowOff>
    </xdr:from>
    <xdr:to>
      <xdr:col>17</xdr:col>
      <xdr:colOff>104775</xdr:colOff>
      <xdr:row>20</xdr:row>
      <xdr:rowOff>114300</xdr:rowOff>
    </xdr:to>
    <xdr:pic>
      <xdr:nvPicPr>
        <xdr:cNvPr id="8" name="Grafik 18">
          <a:extLst>
            <a:ext uri="{FF2B5EF4-FFF2-40B4-BE49-F238E27FC236}">
              <a16:creationId xmlns:a16="http://schemas.microsoft.com/office/drawing/2014/main" id="{6FADEED7-3315-4F2C-8264-0A2AAD76A9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7875" y="8286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657225</xdr:colOff>
      <xdr:row>20</xdr:row>
      <xdr:rowOff>9525</xdr:rowOff>
    </xdr:from>
    <xdr:to>
      <xdr:col>21</xdr:col>
      <xdr:colOff>104775</xdr:colOff>
      <xdr:row>20</xdr:row>
      <xdr:rowOff>114300</xdr:rowOff>
    </xdr:to>
    <xdr:pic>
      <xdr:nvPicPr>
        <xdr:cNvPr id="9" name="Grafik 18">
          <a:extLst>
            <a:ext uri="{FF2B5EF4-FFF2-40B4-BE49-F238E27FC236}">
              <a16:creationId xmlns:a16="http://schemas.microsoft.com/office/drawing/2014/main" id="{E1E88A6D-EA85-467F-A6C7-CCE163DA7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5900" y="8286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333375</xdr:colOff>
      <xdr:row>7</xdr:row>
      <xdr:rowOff>9525</xdr:rowOff>
    </xdr:from>
    <xdr:to>
      <xdr:col>7</xdr:col>
      <xdr:colOff>0</xdr:colOff>
      <xdr:row>7</xdr:row>
      <xdr:rowOff>114300</xdr:rowOff>
    </xdr:to>
    <xdr:pic>
      <xdr:nvPicPr>
        <xdr:cNvPr id="239624" name="Grafik 18">
          <a:extLst>
            <a:ext uri="{FF2B5EF4-FFF2-40B4-BE49-F238E27FC236}">
              <a16:creationId xmlns:a16="http://schemas.microsoft.com/office/drawing/2014/main" id="{00000000-0008-0000-0A00-000008A8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62425" y="1152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2476500</xdr:colOff>
      <xdr:row>5</xdr:row>
      <xdr:rowOff>9525</xdr:rowOff>
    </xdr:from>
    <xdr:to>
      <xdr:col>10</xdr:col>
      <xdr:colOff>0</xdr:colOff>
      <xdr:row>5</xdr:row>
      <xdr:rowOff>114300</xdr:rowOff>
    </xdr:to>
    <xdr:pic>
      <xdr:nvPicPr>
        <xdr:cNvPr id="239625" name="Grafik 18">
          <a:extLst>
            <a:ext uri="{FF2B5EF4-FFF2-40B4-BE49-F238E27FC236}">
              <a16:creationId xmlns:a16="http://schemas.microsoft.com/office/drawing/2014/main" id="{00000000-0008-0000-0A00-000009A8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2900" y="8763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2476500</xdr:colOff>
      <xdr:row>7</xdr:row>
      <xdr:rowOff>9525</xdr:rowOff>
    </xdr:from>
    <xdr:to>
      <xdr:col>10</xdr:col>
      <xdr:colOff>0</xdr:colOff>
      <xdr:row>7</xdr:row>
      <xdr:rowOff>114300</xdr:rowOff>
    </xdr:to>
    <xdr:pic>
      <xdr:nvPicPr>
        <xdr:cNvPr id="239626" name="Grafik 18">
          <a:extLst>
            <a:ext uri="{FF2B5EF4-FFF2-40B4-BE49-F238E27FC236}">
              <a16:creationId xmlns:a16="http://schemas.microsoft.com/office/drawing/2014/main" id="{00000000-0008-0000-0A00-00000AA8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2900" y="1152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895350</xdr:colOff>
      <xdr:row>1</xdr:row>
      <xdr:rowOff>152400</xdr:rowOff>
    </xdr:from>
    <xdr:to>
      <xdr:col>10</xdr:col>
      <xdr:colOff>2333625</xdr:colOff>
      <xdr:row>2</xdr:row>
      <xdr:rowOff>152400</xdr:rowOff>
    </xdr:to>
    <xdr:pic>
      <xdr:nvPicPr>
        <xdr:cNvPr id="239627" name="Grafik 1">
          <a:extLst>
            <a:ext uri="{FF2B5EF4-FFF2-40B4-BE49-F238E27FC236}">
              <a16:creationId xmlns:a16="http://schemas.microsoft.com/office/drawing/2014/main" id="{00000000-0008-0000-0A00-00000BA8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72550" y="1524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24</xdr:col>
      <xdr:colOff>28575</xdr:colOff>
      <xdr:row>0</xdr:row>
      <xdr:rowOff>47625</xdr:rowOff>
    </xdr:from>
    <xdr:to>
      <xdr:col>28</xdr:col>
      <xdr:colOff>161925</xdr:colOff>
      <xdr:row>3</xdr:row>
      <xdr:rowOff>142875</xdr:rowOff>
    </xdr:to>
    <xdr:pic>
      <xdr:nvPicPr>
        <xdr:cNvPr id="228110" name="Grafik 1">
          <a:extLst>
            <a:ext uri="{FF2B5EF4-FFF2-40B4-BE49-F238E27FC236}">
              <a16:creationId xmlns:a16="http://schemas.microsoft.com/office/drawing/2014/main" id="{00000000-0008-0000-0C00-00000E7B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9525" y="47625"/>
          <a:ext cx="14382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428625</xdr:colOff>
      <xdr:row>30</xdr:row>
      <xdr:rowOff>9525</xdr:rowOff>
    </xdr:from>
    <xdr:to>
      <xdr:col>18</xdr:col>
      <xdr:colOff>784</xdr:colOff>
      <xdr:row>30</xdr:row>
      <xdr:rowOff>104775</xdr:rowOff>
    </xdr:to>
    <xdr:pic>
      <xdr:nvPicPr>
        <xdr:cNvPr id="228111" name="Grafik 6">
          <a:extLst>
            <a:ext uri="{FF2B5EF4-FFF2-40B4-BE49-F238E27FC236}">
              <a16:creationId xmlns:a16="http://schemas.microsoft.com/office/drawing/2014/main" id="{00000000-0008-0000-0C00-00000F7B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24550" y="66294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22</xdr:col>
      <xdr:colOff>180975</xdr:colOff>
      <xdr:row>0</xdr:row>
      <xdr:rowOff>85725</xdr:rowOff>
    </xdr:from>
    <xdr:to>
      <xdr:col>24</xdr:col>
      <xdr:colOff>0</xdr:colOff>
      <xdr:row>3</xdr:row>
      <xdr:rowOff>57150</xdr:rowOff>
    </xdr:to>
    <xdr:pic>
      <xdr:nvPicPr>
        <xdr:cNvPr id="228113" name="Bild 9" descr="Bild1">
          <a:extLst>
            <a:ext uri="{FF2B5EF4-FFF2-40B4-BE49-F238E27FC236}">
              <a16:creationId xmlns:a16="http://schemas.microsoft.com/office/drawing/2014/main" id="{00000000-0008-0000-0C00-0000117B03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19925" y="85725"/>
          <a:ext cx="58102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266700</xdr:colOff>
      <xdr:row>5</xdr:row>
      <xdr:rowOff>9525</xdr:rowOff>
    </xdr:from>
    <xdr:to>
      <xdr:col>20</xdr:col>
      <xdr:colOff>0</xdr:colOff>
      <xdr:row>5</xdr:row>
      <xdr:rowOff>114300</xdr:rowOff>
    </xdr:to>
    <xdr:pic>
      <xdr:nvPicPr>
        <xdr:cNvPr id="228114" name="Grafik 18">
          <a:extLst>
            <a:ext uri="{FF2B5EF4-FFF2-40B4-BE49-F238E27FC236}">
              <a16:creationId xmlns:a16="http://schemas.microsoft.com/office/drawing/2014/main" id="{00000000-0008-0000-0C00-0000127B03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305550" y="8763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266700</xdr:colOff>
      <xdr:row>7</xdr:row>
      <xdr:rowOff>9525</xdr:rowOff>
    </xdr:from>
    <xdr:to>
      <xdr:col>20</xdr:col>
      <xdr:colOff>0</xdr:colOff>
      <xdr:row>7</xdr:row>
      <xdr:rowOff>114300</xdr:rowOff>
    </xdr:to>
    <xdr:pic>
      <xdr:nvPicPr>
        <xdr:cNvPr id="228115" name="Grafik 18">
          <a:extLst>
            <a:ext uri="{FF2B5EF4-FFF2-40B4-BE49-F238E27FC236}">
              <a16:creationId xmlns:a16="http://schemas.microsoft.com/office/drawing/2014/main" id="{00000000-0008-0000-0C00-0000137B03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305550" y="1152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266700</xdr:colOff>
      <xdr:row>7</xdr:row>
      <xdr:rowOff>9525</xdr:rowOff>
    </xdr:from>
    <xdr:to>
      <xdr:col>7</xdr:col>
      <xdr:colOff>4187</xdr:colOff>
      <xdr:row>7</xdr:row>
      <xdr:rowOff>114300</xdr:rowOff>
    </xdr:to>
    <xdr:pic>
      <xdr:nvPicPr>
        <xdr:cNvPr id="228116" name="Grafik 18">
          <a:extLst>
            <a:ext uri="{FF2B5EF4-FFF2-40B4-BE49-F238E27FC236}">
              <a16:creationId xmlns:a16="http://schemas.microsoft.com/office/drawing/2014/main" id="{00000000-0008-0000-0C00-0000147B03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86050" y="1152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276225</xdr:colOff>
      <xdr:row>1</xdr:row>
      <xdr:rowOff>0</xdr:rowOff>
    </xdr:from>
    <xdr:to>
      <xdr:col>22</xdr:col>
      <xdr:colOff>142444</xdr:colOff>
      <xdr:row>2</xdr:row>
      <xdr:rowOff>195541</xdr:rowOff>
    </xdr:to>
    <xdr:pic>
      <xdr:nvPicPr>
        <xdr:cNvPr id="9" name="Grafik 8">
          <a:extLst>
            <a:ext uri="{FF2B5EF4-FFF2-40B4-BE49-F238E27FC236}">
              <a16:creationId xmlns:a16="http://schemas.microsoft.com/office/drawing/2014/main" id="{00000000-0008-0000-0C00-000009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810250" y="123825"/>
          <a:ext cx="1171144" cy="357466"/>
        </a:xfrm>
        <a:prstGeom prst="rect">
          <a:avLst/>
        </a:prstGeom>
      </xdr:spPr>
    </xdr:pic>
    <xdr:clientData/>
  </xdr:twoCellAnchor>
  <xdr:twoCellAnchor editAs="oneCell">
    <xdr:from>
      <xdr:col>1</xdr:col>
      <xdr:colOff>285750</xdr:colOff>
      <xdr:row>26</xdr:row>
      <xdr:rowOff>9525</xdr:rowOff>
    </xdr:from>
    <xdr:to>
      <xdr:col>1</xdr:col>
      <xdr:colOff>381000</xdr:colOff>
      <xdr:row>26</xdr:row>
      <xdr:rowOff>114300</xdr:rowOff>
    </xdr:to>
    <xdr:pic>
      <xdr:nvPicPr>
        <xdr:cNvPr id="10" name="Grafik 31">
          <a:extLst>
            <a:ext uri="{FF2B5EF4-FFF2-40B4-BE49-F238E27FC236}">
              <a16:creationId xmlns:a16="http://schemas.microsoft.com/office/drawing/2014/main" id="{00000000-0008-0000-0C00-00000A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8675" y="60293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daten/09_excel-kennzahlenb&#246;gen/17_excel-kb%20auditjahr%202023/organe/lunge/eb_lz-I1-1_daten_221123.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L:\06_daten\09_excel-kennzahlenb&#246;gen\14_excel-kb%20auditjahr%202025\organe\lunge\eb_lz-J1-1_daten_241122.xlsx" TargetMode="External"/><Relationship Id="rId1" Type="http://schemas.openxmlformats.org/officeDocument/2006/relationships/externalLinkPath" Target="/06_daten/09_excel-kennzahlenb&#246;gen/14_excel-kb%20auditjahr%202025/organe/lunge/eb_lz-J1-1_daten_2411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quelle"/>
      <sheetName val="Basisdaten_Lunge"/>
      <sheetName val="HilfstabelleSD"/>
      <sheetName val="HilfstabelleB"/>
      <sheetName val="Expertise_Lunge"/>
      <sheetName val="HilfstabelleL"/>
      <sheetName val="Expertise_TCH_mehrst. LZ"/>
      <sheetName val="HilfstabelleKB"/>
      <sheetName val="Berechnung1"/>
      <sheetName val="KB_Lunge"/>
      <sheetName val="OPS-Codes KN 10_Lunge"/>
      <sheetName val="Datendefizite_KB_Lunge"/>
      <sheetName val="Hilfstabelle DatendefKB"/>
      <sheetName val="Matrix_Lunge"/>
      <sheetName val="HilfstabelleM"/>
      <sheetName val="Berechnung2"/>
      <sheetName val="Berechnung3"/>
      <sheetName val="Datendefizite_Matrix_Lunge"/>
      <sheetName val="Hilfstabelle DatendefKB_Mesoth."/>
      <sheetName val="KB_Mesotheliom"/>
      <sheetName val="Datendefizite_KB_Mesotheliom"/>
      <sheetName val="HilfstabelleKB_Mesotheliom"/>
      <sheetName val="Berechnung1_Mesotheliom"/>
      <sheetName val="HilfstabelleDM"/>
    </sheetNames>
    <sheetDataSet>
      <sheetData sheetId="0">
        <row r="1">
          <cell r="B1" t="str">
            <v>Eigenentwicklung (MS Excel, MS Access etc.)</v>
          </cell>
        </row>
        <row r="2">
          <cell r="B2" t="str">
            <v>Achieva</v>
          </cell>
        </row>
        <row r="3">
          <cell r="B3" t="str">
            <v>Achiever Medical System</v>
          </cell>
        </row>
        <row r="4">
          <cell r="B4" t="str">
            <v>Adjumed</v>
          </cell>
        </row>
        <row r="5">
          <cell r="B5" t="str">
            <v>ambucare</v>
          </cell>
        </row>
        <row r="6">
          <cell r="B6" t="str">
            <v>c37.CancerCenter</v>
          </cell>
        </row>
        <row r="7">
          <cell r="B7" t="str">
            <v>CaOnkoDok (Eigenentwicklung)</v>
          </cell>
        </row>
        <row r="8">
          <cell r="B8" t="str">
            <v>CARAT</v>
          </cell>
        </row>
        <row r="9">
          <cell r="B9" t="str">
            <v>Clinic WinData</v>
          </cell>
        </row>
        <row r="10">
          <cell r="B10" t="str">
            <v>CREDOS</v>
          </cell>
        </row>
        <row r="11">
          <cell r="B11" t="str">
            <v>em.net</v>
          </cell>
        </row>
        <row r="12">
          <cell r="B12" t="str">
            <v>FileTuDo</v>
          </cell>
        </row>
        <row r="13">
          <cell r="B13" t="str">
            <v>GTDS</v>
          </cell>
        </row>
        <row r="14">
          <cell r="B14" t="str">
            <v>H.I.T.</v>
          </cell>
        </row>
        <row r="15">
          <cell r="B15" t="str">
            <v>Heartsoft Tumordatenbank</v>
          </cell>
        </row>
        <row r="16">
          <cell r="B16" t="str">
            <v>IndivuNET</v>
          </cell>
        </row>
        <row r="17">
          <cell r="B17" t="str">
            <v>ixserv.4</v>
          </cell>
        </row>
        <row r="18">
          <cell r="B18" t="str">
            <v>KIS-Erweiterung</v>
          </cell>
        </row>
        <row r="19">
          <cell r="B19" t="str">
            <v>KR7</v>
          </cell>
        </row>
        <row r="20">
          <cell r="B20" t="str">
            <v>KRAZTUR</v>
          </cell>
        </row>
        <row r="21">
          <cell r="B21" t="str">
            <v>MADOS 4</v>
          </cell>
        </row>
        <row r="22">
          <cell r="B22" t="str">
            <v>Medbrix</v>
          </cell>
        </row>
        <row r="23">
          <cell r="B23" t="str">
            <v>MR-TU-DO</v>
          </cell>
        </row>
        <row r="24">
          <cell r="B24" t="str">
            <v>NUK</v>
          </cell>
        </row>
        <row r="25">
          <cell r="B25" t="str">
            <v>ODSeasy / ODSeasyNet</v>
          </cell>
        </row>
        <row r="26">
          <cell r="B26" t="str">
            <v>OncoAssist Tumordokumentation</v>
          </cell>
        </row>
        <row r="27">
          <cell r="B27" t="str">
            <v>Oncolution</v>
          </cell>
        </row>
        <row r="28">
          <cell r="B28" t="str">
            <v>ONDIS</v>
          </cell>
        </row>
        <row r="29">
          <cell r="B29" t="str">
            <v>onkodok (XAXOA)</v>
          </cell>
        </row>
        <row r="30">
          <cell r="B30" t="str">
            <v>OnkoManager</v>
          </cell>
        </row>
        <row r="31">
          <cell r="B31" t="str">
            <v>Onkomedia</v>
          </cell>
        </row>
        <row r="32">
          <cell r="B32" t="str">
            <v>OnkoNet</v>
          </cell>
        </row>
        <row r="33">
          <cell r="B33" t="str">
            <v>ONKOSTAR</v>
          </cell>
        </row>
        <row r="34">
          <cell r="B34" t="str">
            <v>online Dokumentation IDZB</v>
          </cell>
        </row>
        <row r="35">
          <cell r="B35" t="str">
            <v>ORBIS-ODOK</v>
          </cell>
        </row>
        <row r="36">
          <cell r="B36" t="str">
            <v>QuaDoSta</v>
          </cell>
        </row>
        <row r="37">
          <cell r="B37" t="str">
            <v>SMATOS</v>
          </cell>
        </row>
        <row r="38">
          <cell r="B38" t="str">
            <v>Tudok (Tumorzentrum Regensburg)</v>
          </cell>
        </row>
        <row r="39">
          <cell r="B39" t="str">
            <v>Tumordokumentation des Instituts für Krebsepidemiologie</v>
          </cell>
        </row>
        <row r="40">
          <cell r="B40" t="str">
            <v>Tumorregister München (TRM)</v>
          </cell>
        </row>
        <row r="41">
          <cell r="B41" t="str">
            <v>UCC-TDS (Tumorzentrum Dresden)</v>
          </cell>
        </row>
        <row r="42">
          <cell r="B42" t="str">
            <v>Nicht gelistet</v>
          </cell>
        </row>
        <row r="43">
          <cell r="B43" t="str">
            <v>Unbekannt</v>
          </cell>
        </row>
        <row r="82">
          <cell r="A82" t="str">
            <v>Baden-Württemberg</v>
          </cell>
          <cell r="B82" t="str">
            <v>Bayern</v>
          </cell>
          <cell r="C82" t="str">
            <v>Berlin</v>
          </cell>
          <cell r="D82" t="str">
            <v>Brandenburg</v>
          </cell>
          <cell r="E82" t="str">
            <v>Bremen</v>
          </cell>
          <cell r="F82" t="str">
            <v>Hamburg</v>
          </cell>
          <cell r="G82" t="str">
            <v>Hessen</v>
          </cell>
          <cell r="H82" t="str">
            <v>Mecklenburg-Vorpommern</v>
          </cell>
          <cell r="I82" t="str">
            <v>Niedersachsen</v>
          </cell>
          <cell r="J82" t="str">
            <v>Nordrhein-Westfalen</v>
          </cell>
          <cell r="K82" t="str">
            <v>Rheinland-Pfalz</v>
          </cell>
          <cell r="L82" t="str">
            <v>Saarland</v>
          </cell>
          <cell r="M82" t="str">
            <v>Sachsen</v>
          </cell>
          <cell r="N82" t="str">
            <v>Sachsen-Anhalt</v>
          </cell>
          <cell r="O82" t="str">
            <v>Schleswig-Holstein</v>
          </cell>
          <cell r="P82" t="str">
            <v>Thüringen</v>
          </cell>
          <cell r="Q82" t="str">
            <v>Schweiz</v>
          </cell>
          <cell r="R82" t="str">
            <v>Österreich</v>
          </cell>
          <cell r="S82" t="str">
            <v>Italien</v>
          </cell>
        </row>
        <row r="83">
          <cell r="A83" t="str">
            <v>Comprehensive Cancer Center Freiburg</v>
          </cell>
          <cell r="B83" t="str">
            <v>Bevölkerungsbezogenes Krebsregister Bayern</v>
          </cell>
          <cell r="C83" t="str">
            <v>Charité Comprehensive Cancer Center</v>
          </cell>
          <cell r="D83" t="str">
            <v>Gemeinsames Krebsregister Berlin-Brandenburg</v>
          </cell>
          <cell r="E83" t="str">
            <v>Krebsregister des Landes Bremen</v>
          </cell>
          <cell r="F83" t="str">
            <v>Hamburgisches Krebsregister</v>
          </cell>
          <cell r="G83" t="str">
            <v>Hessisches Krebsregister</v>
          </cell>
          <cell r="H83" t="str">
            <v>Tumorzentrum Neubrandenburg</v>
          </cell>
          <cell r="I83" t="str">
            <v>Epidemiologisches Krebsregister Niedersachsen</v>
          </cell>
          <cell r="J83" t="str">
            <v>Westdeutsches Tumorzentrum Essen</v>
          </cell>
          <cell r="K83" t="str">
            <v>Krebsregister Rheinland-Pfalz</v>
          </cell>
          <cell r="L83" t="str">
            <v>Epidemiologisches Krebsregister Saarland</v>
          </cell>
          <cell r="M83" t="str">
            <v>Tumorzentrum Chemnitz</v>
          </cell>
          <cell r="N83" t="str">
            <v>Tumorzentrum Anhalt</v>
          </cell>
          <cell r="O83" t="str">
            <v>klinisches Krebsregister Schleswig Holstein/Lübeck</v>
          </cell>
          <cell r="P83" t="str">
            <v>Tumorzentrum Altenburg</v>
          </cell>
          <cell r="Q83" t="str">
            <v>Krebsregister Schweiz</v>
          </cell>
          <cell r="R83" t="str">
            <v>Krebsregister Österreich</v>
          </cell>
          <cell r="S83" t="str">
            <v>Krebsregister Italien</v>
          </cell>
        </row>
        <row r="84">
          <cell r="A84" t="str">
            <v>Comprehensive Cancer Center Tübingen</v>
          </cell>
          <cell r="B84" t="str">
            <v>Tumorzentrum Augsburg</v>
          </cell>
          <cell r="C84" t="str">
            <v>Gemeinsames Krebsregister Berlin-Brandenburg</v>
          </cell>
          <cell r="D84" t="str">
            <v>Tumorzentrum Land Brandenburg</v>
          </cell>
          <cell r="E84" t="str">
            <v>Keine Anbindung an Klinisches Krebsregister</v>
          </cell>
          <cell r="F84" t="str">
            <v>Keine Anbindung an Klinisches Krebsregister</v>
          </cell>
          <cell r="G84" t="str">
            <v>Krebsregister Hessen</v>
          </cell>
          <cell r="H84" t="str">
            <v>Tumorzentrum Rostock</v>
          </cell>
          <cell r="I84" t="str">
            <v>Kassenärztliche Vereinigung Niedersachsen</v>
          </cell>
          <cell r="J84" t="str">
            <v>Comprehensive Cancer Center Münster</v>
          </cell>
          <cell r="K84" t="str">
            <v>Tumorzentrum Koblenz</v>
          </cell>
          <cell r="L84" t="str">
            <v>Tumorzentrum Homburg</v>
          </cell>
          <cell r="M84" t="str">
            <v>Tumorzentrum Dresden</v>
          </cell>
          <cell r="N84" t="str">
            <v>Tumorzentrum Halle</v>
          </cell>
          <cell r="O84" t="str">
            <v>Krebsregister Schleswig-Holstein</v>
          </cell>
          <cell r="P84" t="str">
            <v>Tumorzentrum Erfurt</v>
          </cell>
          <cell r="Q84" t="str">
            <v>Nicht gelistet</v>
          </cell>
          <cell r="R84" t="str">
            <v>Nicht gelistet</v>
          </cell>
          <cell r="S84" t="str">
            <v>Nicht gelistet</v>
          </cell>
        </row>
        <row r="85">
          <cell r="A85" t="str">
            <v>Comprehensive Cancer Center Ulm</v>
          </cell>
          <cell r="B85" t="str">
            <v>Tumorzentrum Erlangen-Nürnberg</v>
          </cell>
          <cell r="C85" t="str">
            <v>Tumorzentrum Berlin-Buch</v>
          </cell>
          <cell r="D85" t="str">
            <v>GKR (Gemeinsames Krebsregister der Länder)</v>
          </cell>
          <cell r="E85" t="str">
            <v>Nicht gelistet</v>
          </cell>
          <cell r="F85" t="str">
            <v>Nicht gelistet</v>
          </cell>
          <cell r="G85" t="str">
            <v>Onkologischer Schwerpunkt Wiesbaden</v>
          </cell>
          <cell r="H85" t="str">
            <v>Tumorzentrum Schwerin</v>
          </cell>
          <cell r="I85" t="str">
            <v>Krebsregister Niedersachsen</v>
          </cell>
          <cell r="J85" t="str">
            <v xml:space="preserve">Epidemiologisches Krebsregister Münster </v>
          </cell>
          <cell r="K85" t="str">
            <v>Tumorzentrum Rheinland-Pfalz</v>
          </cell>
          <cell r="L85" t="str">
            <v>Keine Anbindung an Klinisches Krebsregister</v>
          </cell>
          <cell r="M85" t="str">
            <v>Tumorzentrum Leipzig</v>
          </cell>
          <cell r="N85" t="str">
            <v>Tumorzentrum Magdeburg</v>
          </cell>
          <cell r="O85" t="str">
            <v>Tumorzentrum Kiel</v>
          </cell>
          <cell r="P85" t="str">
            <v>Tumorzentrum Gera</v>
          </cell>
        </row>
        <row r="86">
          <cell r="A86" t="str">
            <v>Epidemiologisches Krebsregister Baden-Württemberg</v>
          </cell>
          <cell r="B86" t="str">
            <v>Tumorzentrum München</v>
          </cell>
          <cell r="C86" t="str">
            <v>Tumorzentrum für Klinik &amp; Praxis in Berlin</v>
          </cell>
          <cell r="D86" t="str">
            <v>Keine Anbindung an Klinisches Krebsregister</v>
          </cell>
          <cell r="E86" t="str">
            <v>Unbekannt</v>
          </cell>
          <cell r="F86" t="str">
            <v>Unbekannt</v>
          </cell>
          <cell r="G86" t="str">
            <v>Tumorzentrum Kassel</v>
          </cell>
          <cell r="H86" t="str">
            <v>Tumorzentrum Vorpommern</v>
          </cell>
          <cell r="I86" t="str">
            <v>Tumorzentrum Göttingen</v>
          </cell>
          <cell r="J86" t="str">
            <v>Epidemiologisches Krebsregister NRW</v>
          </cell>
          <cell r="K86" t="str">
            <v>Keine Anbindung an Klinisches Krebsregister</v>
          </cell>
          <cell r="L86" t="str">
            <v>Nicht gelistet</v>
          </cell>
          <cell r="M86" t="str">
            <v>Tumorzentrum Ostsachsen</v>
          </cell>
          <cell r="N86" t="str">
            <v>GKR (Gemeinsames Krebsregister der Länder)</v>
          </cell>
          <cell r="O86" t="str">
            <v>Keine Anbindung an Klinisches Krebsregister</v>
          </cell>
          <cell r="P86" t="str">
            <v>Tumorzentrum Jena</v>
          </cell>
        </row>
        <row r="87">
          <cell r="A87" t="str">
            <v>Krebsregister Baden-Württemberg</v>
          </cell>
          <cell r="B87" t="str">
            <v>Tumorzentrum Oberfranken</v>
          </cell>
          <cell r="C87" t="str">
            <v>Tumorzentrum Spandau</v>
          </cell>
          <cell r="D87" t="str">
            <v>Nicht gelistet</v>
          </cell>
          <cell r="G87" t="str">
            <v>Tumorzentrum Marburg</v>
          </cell>
          <cell r="H87" t="str">
            <v>GKR (Gemeinsames Krebsregister der Länder)</v>
          </cell>
          <cell r="I87" t="str">
            <v>Tumorzentrum Hannover</v>
          </cell>
          <cell r="J87" t="str">
            <v>Krebsregister NRW</v>
          </cell>
          <cell r="K87" t="str">
            <v>Nicht gelistet</v>
          </cell>
          <cell r="L87" t="str">
            <v>Unbekannt</v>
          </cell>
          <cell r="M87" t="str">
            <v>Tumorzentrum Zwickau</v>
          </cell>
          <cell r="N87" t="str">
            <v>Keine Anbindung an Klinisches Krebsregister</v>
          </cell>
          <cell r="O87" t="str">
            <v>Nicht gelistet</v>
          </cell>
          <cell r="P87" t="str">
            <v>Tumorzentrum Suhl</v>
          </cell>
        </row>
        <row r="88">
          <cell r="A88" t="str">
            <v>NCT Heidelberg</v>
          </cell>
          <cell r="B88" t="str">
            <v>Tumorzentrum Regensburg</v>
          </cell>
          <cell r="C88" t="str">
            <v>Tumorzentrum Vivantes</v>
          </cell>
          <cell r="D88" t="str">
            <v>Unbekannt</v>
          </cell>
          <cell r="G88" t="str">
            <v>Keine Anbindung an Klinisches Krebsregister</v>
          </cell>
          <cell r="H88" t="str">
            <v>Keine Anbindung an Klinisches Krebsregister</v>
          </cell>
          <cell r="I88" t="str">
            <v>Tumorzentrum Weser-Ems</v>
          </cell>
          <cell r="J88" t="str">
            <v>Onkologischer Schwerpunkt Hamm</v>
          </cell>
          <cell r="K88" t="str">
            <v>Unbekannt</v>
          </cell>
          <cell r="M88" t="str">
            <v>GKR (Gemeinsames Krebsregister der Länder)</v>
          </cell>
          <cell r="N88" t="str">
            <v>Nicht gelistet</v>
          </cell>
          <cell r="O88" t="str">
            <v>Unbekannt</v>
          </cell>
          <cell r="P88" t="str">
            <v>Tumorzentrum Südharz</v>
          </cell>
        </row>
        <row r="89">
          <cell r="A89" t="str">
            <v>Onkol. Schwerpunkt Lörrach-Rheinfelden</v>
          </cell>
          <cell r="B89" t="str">
            <v>Tumorzentrum Würzburg</v>
          </cell>
          <cell r="C89" t="str">
            <v>GKR (Gemeinsames Krebsregister der Länder)</v>
          </cell>
          <cell r="G89" t="str">
            <v>Nicht gelistet</v>
          </cell>
          <cell r="H89" t="str">
            <v>Nicht gelistet</v>
          </cell>
          <cell r="I89" t="str">
            <v>Keine Anbindung an Klinisches Krebsregister</v>
          </cell>
          <cell r="J89" t="str">
            <v>Keine Anbindung an Klinisches Krebsregister</v>
          </cell>
          <cell r="M89" t="str">
            <v>Keine Anbindung an Klinisches Krebsregister</v>
          </cell>
          <cell r="N89" t="str">
            <v>Unbekannt</v>
          </cell>
          <cell r="P89" t="str">
            <v>GKR (Gemeinsames Krebsregister der Länder)</v>
          </cell>
        </row>
        <row r="90">
          <cell r="A90" t="str">
            <v>Onkol. Schwerpunkt Ludwigsburg-Bietigheim</v>
          </cell>
          <cell r="B90" t="str">
            <v>Keine Anbindung an Klinisches Krebsregister</v>
          </cell>
          <cell r="C90" t="str">
            <v>Keine Anbindung an Klinisches Krebsregister</v>
          </cell>
          <cell r="G90" t="str">
            <v>Unbekannt</v>
          </cell>
          <cell r="H90" t="str">
            <v>Unbekannt</v>
          </cell>
          <cell r="I90" t="str">
            <v>Nicht gelistet</v>
          </cell>
          <cell r="J90" t="str">
            <v>Nicht gelistet</v>
          </cell>
          <cell r="M90" t="str">
            <v>Nicht gelistet</v>
          </cell>
          <cell r="P90" t="str">
            <v>Keine Anbindung an Klinisches Krebsregister</v>
          </cell>
        </row>
        <row r="91">
          <cell r="A91" t="str">
            <v>Onkol. Schwerpunkt Villingen-Schwenningen</v>
          </cell>
          <cell r="B91" t="str">
            <v>Nicht gelistet</v>
          </cell>
          <cell r="C91" t="str">
            <v>Nicht gelistet</v>
          </cell>
          <cell r="I91" t="str">
            <v>Unbekannt</v>
          </cell>
          <cell r="J91" t="str">
            <v>Unbekannt</v>
          </cell>
          <cell r="M91" t="str">
            <v>Unbekannt</v>
          </cell>
          <cell r="P91" t="str">
            <v>Nicht gelistet</v>
          </cell>
        </row>
        <row r="92">
          <cell r="A92" t="str">
            <v>Onkologischer Schwerpunkt Göppingen</v>
          </cell>
          <cell r="B92" t="str">
            <v>Unbekannt</v>
          </cell>
          <cell r="C92" t="str">
            <v>Unbekannt</v>
          </cell>
          <cell r="P92" t="str">
            <v>Unbekannt</v>
          </cell>
        </row>
        <row r="93">
          <cell r="A93" t="str">
            <v>Onkologischer Schwerpunkt Heilbronn</v>
          </cell>
        </row>
        <row r="94">
          <cell r="A94" t="str">
            <v>Onkologischer Schwerpunkt Karlsruhe</v>
          </cell>
        </row>
        <row r="95">
          <cell r="A95" t="str">
            <v>Onkologischer Schwerpunkt Konstanz-Singen</v>
          </cell>
        </row>
        <row r="96">
          <cell r="A96" t="str">
            <v>Onkologischer Schwerpunkt Oberschwaben</v>
          </cell>
        </row>
        <row r="97">
          <cell r="A97" t="str">
            <v>Onkologischer Schwerpunkt Ortenaukreis</v>
          </cell>
        </row>
        <row r="98">
          <cell r="A98" t="str">
            <v>Onkologischer Schwerpunkt Ostwürttemberg</v>
          </cell>
        </row>
        <row r="99">
          <cell r="A99" t="str">
            <v>Onkologischer Schwerpunkt Reutlingen</v>
          </cell>
        </row>
        <row r="100">
          <cell r="A100" t="str">
            <v>Onkologischer Schwerpunkt Stuttgart</v>
          </cell>
        </row>
        <row r="101">
          <cell r="A101" t="str">
            <v>Keine Anbindung an Klinisches Krebsregister</v>
          </cell>
        </row>
        <row r="102">
          <cell r="A102" t="str">
            <v>Nicht gelistet</v>
          </cell>
        </row>
        <row r="103">
          <cell r="A103" t="str">
            <v>Unbekannt</v>
          </cell>
        </row>
        <row r="109">
          <cell r="B109" t="str">
            <v>Keine Zusammenarbeit</v>
          </cell>
        </row>
        <row r="110">
          <cell r="B110" t="str">
            <v>Geringe / punktuelle Zusammenarbeit</v>
          </cell>
        </row>
        <row r="111">
          <cell r="B111" t="str">
            <v>Intensive / regelmäßige Zusammenarbeit</v>
          </cell>
        </row>
        <row r="112">
          <cell r="B112" t="str">
            <v>Tumordoku. liegt größtenteils beim Krebsregister</v>
          </cell>
        </row>
        <row r="113">
          <cell r="B113" t="str">
            <v>Nicht relevant - Zentrum nicht in Deutschland</v>
          </cell>
        </row>
        <row r="116">
          <cell r="D116" t="str">
            <v/>
          </cell>
        </row>
        <row r="119">
          <cell r="A119" t="str">
            <v>FAL-Z001</v>
          </cell>
        </row>
        <row r="120">
          <cell r="A120" t="str">
            <v>FAL-Z001</v>
          </cell>
        </row>
        <row r="121">
          <cell r="A121" t="str">
            <v>FAL-Z002</v>
          </cell>
        </row>
        <row r="122">
          <cell r="A122" t="str">
            <v>FAL-Z002</v>
          </cell>
        </row>
        <row r="123">
          <cell r="A123" t="str">
            <v>FAL-Z003</v>
          </cell>
        </row>
        <row r="124">
          <cell r="A124" t="str">
            <v>FAL-Z003</v>
          </cell>
        </row>
        <row r="125">
          <cell r="A125" t="str">
            <v>FAL-Z004</v>
          </cell>
        </row>
        <row r="126">
          <cell r="A126" t="str">
            <v>FAL-Z005</v>
          </cell>
        </row>
        <row r="127">
          <cell r="A127" t="str">
            <v>FAL-Z006</v>
          </cell>
        </row>
        <row r="128">
          <cell r="A128" t="str">
            <v>FAL-Z006</v>
          </cell>
        </row>
        <row r="129">
          <cell r="A129" t="str">
            <v>FAL-Z007</v>
          </cell>
        </row>
        <row r="130">
          <cell r="A130" t="str">
            <v>FAL-Z007</v>
          </cell>
        </row>
        <row r="131">
          <cell r="A131" t="str">
            <v>FAL-Z009-1/-2</v>
          </cell>
        </row>
        <row r="132">
          <cell r="A132" t="str">
            <v>FAL-Z011</v>
          </cell>
        </row>
        <row r="133">
          <cell r="A133" t="str">
            <v>FAL-Z011</v>
          </cell>
        </row>
        <row r="134">
          <cell r="A134" t="str">
            <v>FAL-Z012</v>
          </cell>
        </row>
        <row r="135">
          <cell r="A135" t="str">
            <v>FAL-Z013</v>
          </cell>
        </row>
        <row r="136">
          <cell r="A136" t="str">
            <v>FAL-Z014</v>
          </cell>
        </row>
        <row r="137">
          <cell r="A137" t="str">
            <v>FAL-Z015</v>
          </cell>
        </row>
        <row r="138">
          <cell r="A138" t="str">
            <v>FAL-Z016</v>
          </cell>
        </row>
        <row r="139">
          <cell r="A139" t="str">
            <v>FAL-Z017</v>
          </cell>
        </row>
        <row r="140">
          <cell r="A140" t="str">
            <v>FAL-Z018</v>
          </cell>
        </row>
        <row r="141">
          <cell r="A141" t="str">
            <v>FAL-Z019-1/-2/-3</v>
          </cell>
        </row>
        <row r="142">
          <cell r="A142" t="str">
            <v>FAL-Z020</v>
          </cell>
        </row>
        <row r="143">
          <cell r="A143" t="str">
            <v>FAL-Z022-1/-2</v>
          </cell>
        </row>
        <row r="144">
          <cell r="A144" t="str">
            <v>FAL-Z023</v>
          </cell>
        </row>
        <row r="145">
          <cell r="A145" t="str">
            <v>FAL-Z024</v>
          </cell>
        </row>
        <row r="146">
          <cell r="A146" t="str">
            <v>FAL-Z025-1/-2</v>
          </cell>
        </row>
        <row r="147">
          <cell r="A147" t="str">
            <v>FAL-Z027</v>
          </cell>
        </row>
        <row r="148">
          <cell r="A148" t="str">
            <v>FAL-Z028</v>
          </cell>
        </row>
        <row r="149">
          <cell r="A149" t="str">
            <v>FAL-Z029</v>
          </cell>
        </row>
        <row r="150">
          <cell r="A150" t="str">
            <v>FAL-Z030</v>
          </cell>
        </row>
        <row r="151">
          <cell r="A151" t="str">
            <v>FAL-Z031</v>
          </cell>
        </row>
        <row r="152">
          <cell r="A152" t="str">
            <v>FAL-Z032</v>
          </cell>
        </row>
        <row r="153">
          <cell r="A153" t="str">
            <v>FAL-Z034</v>
          </cell>
        </row>
        <row r="154">
          <cell r="A154" t="str">
            <v>FAL-Z034</v>
          </cell>
        </row>
        <row r="155">
          <cell r="A155" t="str">
            <v>FAL-Z035</v>
          </cell>
        </row>
        <row r="156">
          <cell r="A156" t="str">
            <v>FAL-Z036-1/-2/-3</v>
          </cell>
        </row>
        <row r="157">
          <cell r="A157" t="str">
            <v>FAL-Z038-1/-2/-3</v>
          </cell>
        </row>
        <row r="158">
          <cell r="A158" t="str">
            <v>FAL-Z039</v>
          </cell>
        </row>
        <row r="159">
          <cell r="A159" t="str">
            <v>FAL-Z040</v>
          </cell>
        </row>
        <row r="160">
          <cell r="A160" t="str">
            <v>FAL-Z041</v>
          </cell>
        </row>
        <row r="161">
          <cell r="A161" t="str">
            <v>FAL-Z042</v>
          </cell>
        </row>
        <row r="162">
          <cell r="A162" t="str">
            <v>FAL-Z043</v>
          </cell>
        </row>
        <row r="163">
          <cell r="A163" t="str">
            <v>FAL-Z044-1/-2</v>
          </cell>
        </row>
        <row r="164">
          <cell r="A164" t="str">
            <v>FAL-Z045-1/-2</v>
          </cell>
        </row>
        <row r="165">
          <cell r="A165" t="str">
            <v>FAL-Z046</v>
          </cell>
        </row>
        <row r="166">
          <cell r="A166" t="str">
            <v>FAL-Z047</v>
          </cell>
        </row>
        <row r="167">
          <cell r="A167" t="str">
            <v>FAL-Z048</v>
          </cell>
        </row>
        <row r="168">
          <cell r="A168" t="str">
            <v>FAL-Z049</v>
          </cell>
        </row>
        <row r="169">
          <cell r="A169" t="str">
            <v>FAL-Z050</v>
          </cell>
        </row>
        <row r="170">
          <cell r="A170" t="str">
            <v>FAL-Z051</v>
          </cell>
        </row>
        <row r="171">
          <cell r="A171" t="str">
            <v>FAL-Z052-1/-2</v>
          </cell>
        </row>
        <row r="172">
          <cell r="A172" t="str">
            <v>FAL-Z054</v>
          </cell>
        </row>
        <row r="173">
          <cell r="A173" t="str">
            <v>FAL-Z056</v>
          </cell>
        </row>
        <row r="174">
          <cell r="A174" t="str">
            <v>FAL-Z057-1/-2/-3</v>
          </cell>
        </row>
        <row r="175">
          <cell r="A175" t="str">
            <v>FAL-Z058</v>
          </cell>
        </row>
        <row r="176">
          <cell r="A176" t="str">
            <v>FAL-Z059</v>
          </cell>
        </row>
        <row r="177">
          <cell r="A177" t="str">
            <v>FAL-Z060</v>
          </cell>
        </row>
        <row r="178">
          <cell r="A178" t="str">
            <v>FAL-Z061</v>
          </cell>
        </row>
        <row r="179">
          <cell r="A179" t="str">
            <v>FAL-Z062</v>
          </cell>
        </row>
        <row r="180">
          <cell r="A180" t="str">
            <v>FAL-Z062</v>
          </cell>
        </row>
        <row r="181">
          <cell r="A181" t="str">
            <v>FAL-Z063</v>
          </cell>
        </row>
        <row r="182">
          <cell r="A182" t="str">
            <v>FAL-Z064</v>
          </cell>
        </row>
        <row r="183">
          <cell r="A183" t="str">
            <v>FAL-Z065-1/-2</v>
          </cell>
        </row>
        <row r="184">
          <cell r="A184" t="str">
            <v>FAL-Z066</v>
          </cell>
        </row>
        <row r="185">
          <cell r="A185" t="str">
            <v>FAL-Z067</v>
          </cell>
        </row>
        <row r="186">
          <cell r="A186" t="str">
            <v>FAL-Z068</v>
          </cell>
        </row>
        <row r="187">
          <cell r="A187" t="str">
            <v>FAL-Z069</v>
          </cell>
        </row>
        <row r="188">
          <cell r="A188" t="str">
            <v>FAL-Z070</v>
          </cell>
        </row>
        <row r="189">
          <cell r="A189" t="str">
            <v>FAL-Z071</v>
          </cell>
        </row>
        <row r="190">
          <cell r="A190" t="str">
            <v>FAL-Z072</v>
          </cell>
        </row>
        <row r="191">
          <cell r="A191" t="str">
            <v>FAL-Z073</v>
          </cell>
        </row>
        <row r="192">
          <cell r="A192" t="str">
            <v>FAL-Z074</v>
          </cell>
        </row>
        <row r="193">
          <cell r="A193" t="str">
            <v>FAL-Z075</v>
          </cell>
        </row>
        <row r="194">
          <cell r="A194" t="str">
            <v>FAL-Z076</v>
          </cell>
        </row>
        <row r="195">
          <cell r="A195" t="str">
            <v>FAL-Z078</v>
          </cell>
        </row>
        <row r="196">
          <cell r="A196" t="str">
            <v>FAL-Z079</v>
          </cell>
        </row>
        <row r="197">
          <cell r="A197" t="str">
            <v>FAL-Z080</v>
          </cell>
        </row>
        <row r="198">
          <cell r="A198" t="str">
            <v>FAL-Z081-1/-2</v>
          </cell>
        </row>
        <row r="199">
          <cell r="A199" t="str">
            <v>FAL-Z082</v>
          </cell>
        </row>
        <row r="200">
          <cell r="A200" t="str">
            <v>Nicht gelistet</v>
          </cell>
        </row>
      </sheetData>
      <sheetData sheetId="1">
        <row r="34">
          <cell r="K34" t="str">
            <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sisdaten_Lunge"/>
      <sheetName val="HilfstabelleSD"/>
      <sheetName val="HilfstabelleB"/>
      <sheetName val="HilfstabelleKB_Mesotheliom"/>
      <sheetName val="Datenquelle"/>
      <sheetName val="Expertise_Lunge"/>
      <sheetName val="HilfstabelleL"/>
      <sheetName val="Expertise_TCH_mehrst. LZ"/>
      <sheetName val="HilfstabelleKB"/>
      <sheetName val="Berechnung1"/>
      <sheetName val="OPS-Codes KN 12_Lunge"/>
      <sheetName val="Studien_Lunge"/>
      <sheetName val="HilfstabelleStudien_Lunge"/>
      <sheetName val="KB_Lunge"/>
      <sheetName val="Datendefizite_KB_Lunge"/>
      <sheetName val="Hilfstabelle DatendefKB"/>
      <sheetName val="Matrix_Lunge"/>
      <sheetName val="HilfstabelleM"/>
      <sheetName val="Berechnung2"/>
      <sheetName val="Berechnung3"/>
      <sheetName val="Datendefizite_Matrix_Lunge"/>
      <sheetName val="Hilfstabelle DatendefKB_Mesoth."/>
      <sheetName val="Studien_Mesotheliom"/>
      <sheetName val="HilfstabelleStudien_Mesotheliom"/>
      <sheetName val="KB_Mesotheliom"/>
      <sheetName val="Datendefizite_KB_Mesotheliom"/>
      <sheetName val="Berechnung1_Mesotheliom"/>
      <sheetName val="HilfstabelleDM"/>
    </sheetNames>
    <sheetDataSet>
      <sheetData sheetId="0" refreshError="1"/>
      <sheetData sheetId="1" refreshError="1"/>
      <sheetData sheetId="2" refreshError="1"/>
      <sheetData sheetId="3" refreshError="1"/>
      <sheetData sheetId="4">
        <row r="1">
          <cell r="B1" t="str">
            <v>Eigenentwicklung (MS Excel, MS Access etc.)</v>
          </cell>
        </row>
        <row r="2">
          <cell r="B2" t="str">
            <v>Achieva</v>
          </cell>
        </row>
        <row r="3">
          <cell r="B3" t="str">
            <v>Achiever Medical System</v>
          </cell>
        </row>
        <row r="4">
          <cell r="B4" t="str">
            <v>Adjumed</v>
          </cell>
        </row>
        <row r="5">
          <cell r="B5" t="str">
            <v>ambucare</v>
          </cell>
        </row>
        <row r="6">
          <cell r="B6" t="str">
            <v>c37.CancerCenter</v>
          </cell>
        </row>
        <row r="7">
          <cell r="B7" t="str">
            <v>CaOnkoDok (Eigenentwicklung)</v>
          </cell>
        </row>
        <row r="8">
          <cell r="B8" t="str">
            <v>CARAT</v>
          </cell>
        </row>
        <row r="9">
          <cell r="B9" t="str">
            <v>Clinic WinData</v>
          </cell>
        </row>
        <row r="10">
          <cell r="B10" t="str">
            <v>Clinical Information Catalogue (CIC) (Eigenentwicklung)</v>
          </cell>
        </row>
        <row r="11">
          <cell r="B11" t="str">
            <v>CREDOS</v>
          </cell>
        </row>
        <row r="12">
          <cell r="B12" t="str">
            <v>em.net</v>
          </cell>
        </row>
        <row r="13">
          <cell r="B13" t="str">
            <v>FileTuDo</v>
          </cell>
        </row>
        <row r="14">
          <cell r="B14" t="str">
            <v>GTDS</v>
          </cell>
        </row>
        <row r="15">
          <cell r="B15" t="str">
            <v>H.I.T.</v>
          </cell>
        </row>
        <row r="16">
          <cell r="B16" t="str">
            <v>Heartsoft Tumordatenbank</v>
          </cell>
        </row>
        <row r="17">
          <cell r="B17" t="str">
            <v>IndivuNET</v>
          </cell>
        </row>
        <row r="18">
          <cell r="B18" t="str">
            <v>ixserv.4</v>
          </cell>
        </row>
        <row r="19">
          <cell r="B19" t="str">
            <v>KIS-Erweiterung</v>
          </cell>
        </row>
        <row r="20">
          <cell r="B20" t="str">
            <v>KR7</v>
          </cell>
        </row>
        <row r="21">
          <cell r="B21" t="str">
            <v>KRAZTUR</v>
          </cell>
        </row>
        <row r="22">
          <cell r="B22" t="str">
            <v>MADOS 4</v>
          </cell>
        </row>
        <row r="23">
          <cell r="B23" t="str">
            <v>Medbrix</v>
          </cell>
        </row>
        <row r="24">
          <cell r="B24" t="str">
            <v>MR-TU-DO</v>
          </cell>
        </row>
        <row r="25">
          <cell r="B25" t="str">
            <v>NUK</v>
          </cell>
        </row>
        <row r="26">
          <cell r="B26" t="str">
            <v>ODSeasy / ODSeasyNet</v>
          </cell>
        </row>
        <row r="27">
          <cell r="B27" t="str">
            <v>OncoAssist Tumordokumentation</v>
          </cell>
        </row>
        <row r="28">
          <cell r="B28" t="str">
            <v>Oncolution</v>
          </cell>
        </row>
        <row r="29">
          <cell r="B29" t="str">
            <v>ONDIS</v>
          </cell>
        </row>
        <row r="30">
          <cell r="B30" t="str">
            <v>onkodok (XAXOA)</v>
          </cell>
        </row>
        <row r="31">
          <cell r="B31" t="str">
            <v>OnkoManager</v>
          </cell>
        </row>
        <row r="32">
          <cell r="B32" t="str">
            <v>Onkomedia</v>
          </cell>
        </row>
        <row r="33">
          <cell r="B33" t="str">
            <v>OnkoNet</v>
          </cell>
        </row>
        <row r="34">
          <cell r="B34" t="str">
            <v>ONKOSTAR</v>
          </cell>
        </row>
        <row r="35">
          <cell r="B35" t="str">
            <v>online Dokumentation IDZB</v>
          </cell>
        </row>
        <row r="36">
          <cell r="B36" t="str">
            <v>ORBIS-ODOK</v>
          </cell>
        </row>
        <row r="37">
          <cell r="B37" t="str">
            <v>QuaDoSta</v>
          </cell>
        </row>
        <row r="38">
          <cell r="B38" t="str">
            <v>SMATOS</v>
          </cell>
        </row>
        <row r="39">
          <cell r="B39" t="str">
            <v>Tudok (Tumorzentrum Regensburg)</v>
          </cell>
        </row>
        <row r="40">
          <cell r="B40" t="str">
            <v>Tumordokumentation des Instituts für Krebsepidemiologie</v>
          </cell>
        </row>
        <row r="41">
          <cell r="B41" t="str">
            <v>UCC-TDS (Tumorzentrum Dresden)</v>
          </cell>
        </row>
        <row r="42">
          <cell r="B42" t="str">
            <v>Nicht gelistet</v>
          </cell>
        </row>
        <row r="43">
          <cell r="B43" t="str">
            <v>Unbekannt</v>
          </cell>
        </row>
        <row r="82">
          <cell r="A82" t="str">
            <v>Baden-Württemberg</v>
          </cell>
          <cell r="B82" t="str">
            <v>Bayern</v>
          </cell>
          <cell r="C82" t="str">
            <v>Berlin</v>
          </cell>
          <cell r="D82" t="str">
            <v>Brandenburg</v>
          </cell>
          <cell r="E82" t="str">
            <v>Bremen</v>
          </cell>
          <cell r="F82" t="str">
            <v>Hamburg</v>
          </cell>
          <cell r="G82" t="str">
            <v>Hessen</v>
          </cell>
          <cell r="H82" t="str">
            <v>Mecklenburg-Vorpommern</v>
          </cell>
          <cell r="I82" t="str">
            <v>Niedersachsen</v>
          </cell>
          <cell r="J82" t="str">
            <v>Nordrhein-Westfalen</v>
          </cell>
          <cell r="K82" t="str">
            <v>Rheinland-Pfalz</v>
          </cell>
          <cell r="L82" t="str">
            <v>Saarland</v>
          </cell>
          <cell r="M82" t="str">
            <v>Sachsen</v>
          </cell>
          <cell r="N82" t="str">
            <v>Sachsen-Anhalt</v>
          </cell>
          <cell r="O82" t="str">
            <v>Schleswig-Holstein</v>
          </cell>
          <cell r="P82" t="str">
            <v>Thüringen</v>
          </cell>
          <cell r="Q82" t="str">
            <v>Schweiz</v>
          </cell>
          <cell r="R82" t="str">
            <v>Österreich</v>
          </cell>
          <cell r="S82" t="str">
            <v>Italien</v>
          </cell>
        </row>
        <row r="83">
          <cell r="A83" t="str">
            <v>Comprehensive Cancer Center Freiburg</v>
          </cell>
          <cell r="B83" t="str">
            <v>Bevölkerungsbezogenes Krebsregister Bayern</v>
          </cell>
          <cell r="C83" t="str">
            <v>Charité Comprehensive Cancer Center</v>
          </cell>
          <cell r="D83" t="str">
            <v>Gemeinsames Krebsregister Berlin-Brandenburg</v>
          </cell>
          <cell r="E83" t="str">
            <v>Krebsregister des Landes Bremen</v>
          </cell>
          <cell r="F83" t="str">
            <v>Hamburgisches Krebsregister</v>
          </cell>
          <cell r="G83" t="str">
            <v>Hessisches Krebsregister</v>
          </cell>
          <cell r="H83" t="str">
            <v>Tumorzentrum Neubrandenburg</v>
          </cell>
          <cell r="I83" t="str">
            <v>Epidemiologisches Krebsregister Niedersachsen</v>
          </cell>
          <cell r="J83" t="str">
            <v>Westdeutsches Tumorzentrum Essen</v>
          </cell>
          <cell r="K83" t="str">
            <v>Krebsregister Rheinland-Pfalz</v>
          </cell>
          <cell r="L83" t="str">
            <v>Epidemiologisches Krebsregister Saarland</v>
          </cell>
          <cell r="M83" t="str">
            <v>Tumorzentrum Chemnitz</v>
          </cell>
          <cell r="N83" t="str">
            <v>Tumorzentrum Anhalt</v>
          </cell>
          <cell r="O83" t="str">
            <v>klinisches Krebsregister Schleswig Holstein/Lübeck</v>
          </cell>
          <cell r="P83" t="str">
            <v>Tumorzentrum Altenburg</v>
          </cell>
          <cell r="Q83" t="str">
            <v>Krebsregister Schweiz</v>
          </cell>
          <cell r="R83" t="str">
            <v>Krebsregister Österreich</v>
          </cell>
          <cell r="S83" t="str">
            <v>Krebsregister Italien</v>
          </cell>
        </row>
        <row r="84">
          <cell r="A84" t="str">
            <v>Comprehensive Cancer Center Tübingen</v>
          </cell>
          <cell r="B84" t="str">
            <v>Tumorzentrum Augsburg</v>
          </cell>
          <cell r="C84" t="str">
            <v>Gemeinsames Krebsregister Berlin-Brandenburg</v>
          </cell>
          <cell r="D84" t="str">
            <v>Tumorzentrum Land Brandenburg</v>
          </cell>
          <cell r="E84" t="str">
            <v>Keine Anbindung an Klinisches Krebsregister</v>
          </cell>
          <cell r="F84" t="str">
            <v>Keine Anbindung an Klinisches Krebsregister</v>
          </cell>
          <cell r="G84" t="str">
            <v>Krebsregister Hessen</v>
          </cell>
          <cell r="H84" t="str">
            <v>Tumorzentrum Rostock</v>
          </cell>
          <cell r="I84" t="str">
            <v>Kassenärztliche Vereinigung Niedersachsen</v>
          </cell>
          <cell r="J84" t="str">
            <v>Comprehensive Cancer Center Münster</v>
          </cell>
          <cell r="K84" t="str">
            <v>Tumorzentrum Koblenz</v>
          </cell>
          <cell r="L84" t="str">
            <v>Tumorzentrum Homburg</v>
          </cell>
          <cell r="M84" t="str">
            <v>Tumorzentrum Dresden</v>
          </cell>
          <cell r="N84" t="str">
            <v>Tumorzentrum Halle</v>
          </cell>
          <cell r="O84" t="str">
            <v>Krebsregister Schleswig-Holstein</v>
          </cell>
          <cell r="P84" t="str">
            <v>Tumorzentrum Erfurt</v>
          </cell>
          <cell r="Q84" t="str">
            <v>Nicht gelistet</v>
          </cell>
          <cell r="R84" t="str">
            <v>Nicht gelistet</v>
          </cell>
          <cell r="S84" t="str">
            <v>Nicht gelistet</v>
          </cell>
        </row>
        <row r="85">
          <cell r="A85" t="str">
            <v>Comprehensive Cancer Center Ulm</v>
          </cell>
          <cell r="B85" t="str">
            <v>Tumorzentrum Erlangen-Nürnberg</v>
          </cell>
          <cell r="C85" t="str">
            <v>Tumorzentrum Berlin-Buch</v>
          </cell>
          <cell r="D85" t="str">
            <v>GKR (Gemeinsames Krebsregister der Länder)</v>
          </cell>
          <cell r="E85" t="str">
            <v>Nicht gelistet</v>
          </cell>
          <cell r="F85" t="str">
            <v>Nicht gelistet</v>
          </cell>
          <cell r="G85" t="str">
            <v>Onkologischer Schwerpunkt Wiesbaden</v>
          </cell>
          <cell r="H85" t="str">
            <v>Tumorzentrum Schwerin</v>
          </cell>
          <cell r="I85" t="str">
            <v>Krebsregister Niedersachsen</v>
          </cell>
          <cell r="J85" t="str">
            <v xml:space="preserve">Epidemiologisches Krebsregister Münster </v>
          </cell>
          <cell r="K85" t="str">
            <v>Tumorzentrum Rheinland-Pfalz</v>
          </cell>
          <cell r="L85" t="str">
            <v>Keine Anbindung an Klinisches Krebsregister</v>
          </cell>
          <cell r="M85" t="str">
            <v>Tumorzentrum Leipzig</v>
          </cell>
          <cell r="N85" t="str">
            <v>Tumorzentrum Magdeburg</v>
          </cell>
          <cell r="O85" t="str">
            <v>Tumorzentrum Kiel</v>
          </cell>
          <cell r="P85" t="str">
            <v>Tumorzentrum Gera</v>
          </cell>
        </row>
        <row r="86">
          <cell r="A86" t="str">
            <v>Epidemiologisches Krebsregister Baden-Württemberg</v>
          </cell>
          <cell r="B86" t="str">
            <v>Tumorzentrum München</v>
          </cell>
          <cell r="C86" t="str">
            <v>Tumorzentrum für Klinik &amp; Praxis in Berlin</v>
          </cell>
          <cell r="D86" t="str">
            <v>Keine Anbindung an Klinisches Krebsregister</v>
          </cell>
          <cell r="E86" t="str">
            <v>Unbekannt</v>
          </cell>
          <cell r="F86" t="str">
            <v>Unbekannt</v>
          </cell>
          <cell r="G86" t="str">
            <v>Tumorzentrum Kassel</v>
          </cell>
          <cell r="H86" t="str">
            <v>Tumorzentrum Vorpommern</v>
          </cell>
          <cell r="I86" t="str">
            <v>Tumorzentrum Göttingen</v>
          </cell>
          <cell r="J86" t="str">
            <v>Epidemiologisches Krebsregister NRW</v>
          </cell>
          <cell r="K86" t="str">
            <v>Keine Anbindung an Klinisches Krebsregister</v>
          </cell>
          <cell r="L86" t="str">
            <v>Nicht gelistet</v>
          </cell>
          <cell r="M86" t="str">
            <v>Tumorzentrum Ostsachsen</v>
          </cell>
          <cell r="N86" t="str">
            <v>GKR (Gemeinsames Krebsregister der Länder)</v>
          </cell>
          <cell r="O86" t="str">
            <v>Keine Anbindung an Klinisches Krebsregister</v>
          </cell>
          <cell r="P86" t="str">
            <v>Tumorzentrum Jena</v>
          </cell>
        </row>
        <row r="87">
          <cell r="A87" t="str">
            <v>Krebsregister Baden-Württemberg</v>
          </cell>
          <cell r="B87" t="str">
            <v>Tumorzentrum Oberfranken</v>
          </cell>
          <cell r="C87" t="str">
            <v>Tumorzentrum Spandau</v>
          </cell>
          <cell r="D87" t="str">
            <v>Nicht gelistet</v>
          </cell>
          <cell r="G87" t="str">
            <v>Tumorzentrum Marburg</v>
          </cell>
          <cell r="H87" t="str">
            <v>GKR (Gemeinsames Krebsregister der Länder)</v>
          </cell>
          <cell r="I87" t="str">
            <v>Tumorzentrum Hannover</v>
          </cell>
          <cell r="J87" t="str">
            <v>Krebsregister NRW</v>
          </cell>
          <cell r="K87" t="str">
            <v>Nicht gelistet</v>
          </cell>
          <cell r="L87" t="str">
            <v>Unbekannt</v>
          </cell>
          <cell r="M87" t="str">
            <v>Tumorzentrum Zwickau</v>
          </cell>
          <cell r="N87" t="str">
            <v>Keine Anbindung an Klinisches Krebsregister</v>
          </cell>
          <cell r="O87" t="str">
            <v>Nicht gelistet</v>
          </cell>
          <cell r="P87" t="str">
            <v>Tumorzentrum Suhl</v>
          </cell>
        </row>
        <row r="88">
          <cell r="A88" t="str">
            <v>NCT Heidelberg</v>
          </cell>
          <cell r="B88" t="str">
            <v>Tumorzentrum Regensburg</v>
          </cell>
          <cell r="C88" t="str">
            <v>Tumorzentrum Vivantes</v>
          </cell>
          <cell r="D88" t="str">
            <v>Unbekannt</v>
          </cell>
          <cell r="G88" t="str">
            <v>Keine Anbindung an Klinisches Krebsregister</v>
          </cell>
          <cell r="H88" t="str">
            <v>Keine Anbindung an Klinisches Krebsregister</v>
          </cell>
          <cell r="I88" t="str">
            <v>Tumorzentrum Weser-Ems</v>
          </cell>
          <cell r="J88" t="str">
            <v>Onkologischer Schwerpunkt Hamm</v>
          </cell>
          <cell r="K88" t="str">
            <v>Unbekannt</v>
          </cell>
          <cell r="M88" t="str">
            <v>GKR (Gemeinsames Krebsregister der Länder)</v>
          </cell>
          <cell r="N88" t="str">
            <v>Nicht gelistet</v>
          </cell>
          <cell r="O88" t="str">
            <v>Unbekannt</v>
          </cell>
          <cell r="P88" t="str">
            <v>Tumorzentrum Südharz</v>
          </cell>
        </row>
        <row r="89">
          <cell r="A89" t="str">
            <v>Onkol. Schwerpunkt Lörrach-Rheinfelden</v>
          </cell>
          <cell r="B89" t="str">
            <v>Tumorzentrum Würzburg</v>
          </cell>
          <cell r="C89" t="str">
            <v>GKR (Gemeinsames Krebsregister der Länder)</v>
          </cell>
          <cell r="G89" t="str">
            <v>Nicht gelistet</v>
          </cell>
          <cell r="H89" t="str">
            <v>Nicht gelistet</v>
          </cell>
          <cell r="I89" t="str">
            <v>Keine Anbindung an Klinisches Krebsregister</v>
          </cell>
          <cell r="J89" t="str">
            <v>Keine Anbindung an Klinisches Krebsregister</v>
          </cell>
          <cell r="M89" t="str">
            <v>Keine Anbindung an Klinisches Krebsregister</v>
          </cell>
          <cell r="N89" t="str">
            <v>Unbekannt</v>
          </cell>
          <cell r="P89" t="str">
            <v>GKR (Gemeinsames Krebsregister der Länder)</v>
          </cell>
        </row>
        <row r="90">
          <cell r="A90" t="str">
            <v>Onkol. Schwerpunkt Ludwigsburg-Bietigheim</v>
          </cell>
          <cell r="B90" t="str">
            <v>Keine Anbindung an Klinisches Krebsregister</v>
          </cell>
          <cell r="C90" t="str">
            <v>Keine Anbindung an Klinisches Krebsregister</v>
          </cell>
          <cell r="G90" t="str">
            <v>Unbekannt</v>
          </cell>
          <cell r="H90" t="str">
            <v>Unbekannt</v>
          </cell>
          <cell r="I90" t="str">
            <v>Nicht gelistet</v>
          </cell>
          <cell r="J90" t="str">
            <v>Nicht gelistet</v>
          </cell>
          <cell r="M90" t="str">
            <v>Nicht gelistet</v>
          </cell>
          <cell r="P90" t="str">
            <v>Keine Anbindung an Klinisches Krebsregister</v>
          </cell>
        </row>
        <row r="91">
          <cell r="A91" t="str">
            <v>Onkol. Schwerpunkt Villingen-Schwenningen</v>
          </cell>
          <cell r="B91" t="str">
            <v>Nicht gelistet</v>
          </cell>
          <cell r="C91" t="str">
            <v>Nicht gelistet</v>
          </cell>
          <cell r="I91" t="str">
            <v>Unbekannt</v>
          </cell>
          <cell r="J91" t="str">
            <v>Unbekannt</v>
          </cell>
          <cell r="M91" t="str">
            <v>Unbekannt</v>
          </cell>
          <cell r="P91" t="str">
            <v>Nicht gelistet</v>
          </cell>
        </row>
        <row r="92">
          <cell r="A92" t="str">
            <v>Onkologischer Schwerpunkt Göppingen</v>
          </cell>
          <cell r="B92" t="str">
            <v>Unbekannt</v>
          </cell>
          <cell r="C92" t="str">
            <v>Unbekannt</v>
          </cell>
          <cell r="P92" t="str">
            <v>Unbekannt</v>
          </cell>
        </row>
        <row r="93">
          <cell r="A93" t="str">
            <v>Onkologischer Schwerpunkt Heilbronn</v>
          </cell>
        </row>
        <row r="94">
          <cell r="A94" t="str">
            <v>Onkologischer Schwerpunkt Karlsruhe</v>
          </cell>
        </row>
        <row r="95">
          <cell r="A95" t="str">
            <v>Onkologischer Schwerpunkt Konstanz-Singen</v>
          </cell>
        </row>
        <row r="96">
          <cell r="A96" t="str">
            <v>Onkologischer Schwerpunkt Oberschwaben</v>
          </cell>
        </row>
        <row r="97">
          <cell r="A97" t="str">
            <v>Onkologischer Schwerpunkt Ortenaukreis</v>
          </cell>
        </row>
        <row r="98">
          <cell r="A98" t="str">
            <v>Onkologischer Schwerpunkt Ostwürttemberg</v>
          </cell>
        </row>
        <row r="99">
          <cell r="A99" t="str">
            <v>Onkologischer Schwerpunkt Reutlingen</v>
          </cell>
        </row>
        <row r="100">
          <cell r="A100" t="str">
            <v>Onkologischer Schwerpunkt Stuttgart</v>
          </cell>
        </row>
        <row r="101">
          <cell r="A101" t="str">
            <v>Keine Anbindung an Klinisches Krebsregister</v>
          </cell>
        </row>
        <row r="102">
          <cell r="A102" t="str">
            <v>Nicht gelistet</v>
          </cell>
        </row>
        <row r="103">
          <cell r="A103" t="str">
            <v>Unbekannt</v>
          </cell>
        </row>
        <row r="118">
          <cell r="D118" t="str">
            <v/>
          </cell>
        </row>
        <row r="121">
          <cell r="A121" t="str">
            <v>FAL-Z-001</v>
          </cell>
        </row>
        <row r="122">
          <cell r="A122" t="str">
            <v>FAL-Z-002</v>
          </cell>
        </row>
        <row r="123">
          <cell r="A123" t="str">
            <v>FAL-Z-003</v>
          </cell>
        </row>
        <row r="124">
          <cell r="A124" t="str">
            <v>FAL-Z-004</v>
          </cell>
        </row>
        <row r="125">
          <cell r="A125" t="str">
            <v>FAL-Z-005</v>
          </cell>
        </row>
        <row r="126">
          <cell r="A126" t="str">
            <v>FAL-Z-006</v>
          </cell>
        </row>
        <row r="127">
          <cell r="A127" t="str">
            <v>FAL-Z-007</v>
          </cell>
        </row>
        <row r="128">
          <cell r="A128" t="str">
            <v>FAL-Z-009-1/-2</v>
          </cell>
        </row>
        <row r="129">
          <cell r="A129" t="str">
            <v>FAL-Z-011</v>
          </cell>
        </row>
        <row r="130">
          <cell r="A130" t="str">
            <v>FAL-Z-012</v>
          </cell>
        </row>
        <row r="131">
          <cell r="A131" t="str">
            <v>FAL-Z-013</v>
          </cell>
        </row>
        <row r="132">
          <cell r="A132" t="str">
            <v>FAL-Z-014</v>
          </cell>
        </row>
        <row r="133">
          <cell r="A133" t="str">
            <v>FAL-Z-015</v>
          </cell>
        </row>
        <row r="134">
          <cell r="A134" t="str">
            <v>FAL-Z-017</v>
          </cell>
        </row>
        <row r="135">
          <cell r="A135" t="str">
            <v>FAL-Z-018</v>
          </cell>
        </row>
        <row r="136">
          <cell r="A136" t="str">
            <v>FAL-Z-019-1/-2/-3</v>
          </cell>
        </row>
        <row r="137">
          <cell r="A137" t="str">
            <v>FAL-Z-020</v>
          </cell>
        </row>
        <row r="138">
          <cell r="A138" t="str">
            <v>FAL-Z-022-1/-2</v>
          </cell>
        </row>
        <row r="139">
          <cell r="A139" t="str">
            <v>FAL-Z-023</v>
          </cell>
        </row>
        <row r="140">
          <cell r="A140" t="str">
            <v>FAL-Z-024</v>
          </cell>
        </row>
        <row r="141">
          <cell r="A141" t="str">
            <v>FAL-Z-025-1/-2/-3</v>
          </cell>
        </row>
        <row r="142">
          <cell r="A142" t="str">
            <v>FAL-Z-027</v>
          </cell>
        </row>
        <row r="143">
          <cell r="A143" t="str">
            <v>FAL-Z-028</v>
          </cell>
        </row>
        <row r="144">
          <cell r="A144" t="str">
            <v>FAL-Z-029</v>
          </cell>
        </row>
        <row r="145">
          <cell r="A145" t="str">
            <v>FAL-Z-030</v>
          </cell>
        </row>
        <row r="146">
          <cell r="A146" t="str">
            <v>FAL-Z-031</v>
          </cell>
        </row>
        <row r="147">
          <cell r="A147" t="str">
            <v>FAL-Z-032</v>
          </cell>
        </row>
        <row r="148">
          <cell r="A148" t="str">
            <v>FAL-Z-034</v>
          </cell>
        </row>
        <row r="149">
          <cell r="A149" t="str">
            <v>FAL-Z-035</v>
          </cell>
        </row>
        <row r="150">
          <cell r="A150" t="str">
            <v>FAL-Z-036-1/-2/-3</v>
          </cell>
        </row>
        <row r="151">
          <cell r="A151" t="str">
            <v>FAL-Z-038-1/-2/-3</v>
          </cell>
        </row>
        <row r="152">
          <cell r="A152" t="str">
            <v>FAL-Z-039</v>
          </cell>
        </row>
        <row r="153">
          <cell r="A153" t="str">
            <v>FAL-Z-040</v>
          </cell>
        </row>
        <row r="154">
          <cell r="A154" t="str">
            <v>FAL-Z-041</v>
          </cell>
        </row>
        <row r="155">
          <cell r="A155" t="str">
            <v>FAL-Z-042</v>
          </cell>
        </row>
        <row r="156">
          <cell r="A156" t="str">
            <v>FAL-Z-043</v>
          </cell>
        </row>
        <row r="157">
          <cell r="A157" t="str">
            <v>FAL-Z-044-1/-2/-4</v>
          </cell>
        </row>
        <row r="158">
          <cell r="A158" t="str">
            <v>FAL-Z-045-1/-2</v>
          </cell>
        </row>
        <row r="159">
          <cell r="A159" t="str">
            <v>FAL-Z-046</v>
          </cell>
        </row>
        <row r="160">
          <cell r="A160" t="str">
            <v>FAL-Z-047</v>
          </cell>
        </row>
        <row r="161">
          <cell r="A161" t="str">
            <v>FAL-Z-048</v>
          </cell>
        </row>
        <row r="162">
          <cell r="A162" t="str">
            <v>FAL-Z-049</v>
          </cell>
        </row>
        <row r="163">
          <cell r="A163" t="str">
            <v>FAL-Z-050</v>
          </cell>
        </row>
        <row r="164">
          <cell r="A164" t="str">
            <v>FAL-Z-051</v>
          </cell>
        </row>
        <row r="165">
          <cell r="A165" t="str">
            <v>FAL-Z-052-1/-2</v>
          </cell>
        </row>
        <row r="166">
          <cell r="A166" t="str">
            <v>FAL-Z-053-1/-2</v>
          </cell>
        </row>
        <row r="167">
          <cell r="A167" t="str">
            <v>FAL-Z-054</v>
          </cell>
        </row>
        <row r="168">
          <cell r="A168" t="str">
            <v>FAL-Z-055</v>
          </cell>
        </row>
        <row r="169">
          <cell r="A169" t="str">
            <v>FAL-Z-056</v>
          </cell>
        </row>
        <row r="170">
          <cell r="A170" t="str">
            <v>FAL-Z-057-1/-2/-3</v>
          </cell>
        </row>
        <row r="171">
          <cell r="A171" t="str">
            <v>FAL-Z-058</v>
          </cell>
        </row>
        <row r="172">
          <cell r="A172" t="str">
            <v>FAL-Z-059</v>
          </cell>
        </row>
        <row r="173">
          <cell r="A173" t="str">
            <v>FAL-Z-060</v>
          </cell>
        </row>
        <row r="174">
          <cell r="A174" t="str">
            <v>FAL-Z-061-1/-2</v>
          </cell>
        </row>
        <row r="175">
          <cell r="A175" t="str">
            <v>FAL-Z-062</v>
          </cell>
        </row>
        <row r="176">
          <cell r="A176" t="str">
            <v>FAL-Z-063</v>
          </cell>
        </row>
        <row r="177">
          <cell r="A177" t="str">
            <v>FAL-Z-064</v>
          </cell>
        </row>
        <row r="178">
          <cell r="A178" t="str">
            <v>FAL-Z-065-1/-2</v>
          </cell>
        </row>
        <row r="179">
          <cell r="A179" t="str">
            <v>FAL-Z-066</v>
          </cell>
        </row>
        <row r="180">
          <cell r="A180" t="str">
            <v>FAL-Z-067</v>
          </cell>
        </row>
        <row r="181">
          <cell r="A181" t="str">
            <v>FAL-Z-068</v>
          </cell>
        </row>
        <row r="182">
          <cell r="A182" t="str">
            <v>FAL-Z-069</v>
          </cell>
        </row>
        <row r="183">
          <cell r="A183" t="str">
            <v>FAL-Z-070</v>
          </cell>
        </row>
        <row r="184">
          <cell r="A184" t="str">
            <v>FAL-Z-072</v>
          </cell>
        </row>
        <row r="185">
          <cell r="A185" t="str">
            <v>FAL-Z-073</v>
          </cell>
        </row>
        <row r="186">
          <cell r="A186" t="str">
            <v>FAL-Z-074</v>
          </cell>
        </row>
        <row r="187">
          <cell r="A187" t="str">
            <v>FAL-Z-075</v>
          </cell>
        </row>
        <row r="188">
          <cell r="A188" t="str">
            <v>FAL-Z-076</v>
          </cell>
        </row>
        <row r="189">
          <cell r="A189" t="str">
            <v>FAL-Z-078</v>
          </cell>
        </row>
        <row r="190">
          <cell r="A190" t="str">
            <v>FAL-Z-079</v>
          </cell>
        </row>
        <row r="191">
          <cell r="A191" t="str">
            <v>FAL-Z-080</v>
          </cell>
        </row>
        <row r="192">
          <cell r="A192" t="str">
            <v>FAL-Z-081-1/-2</v>
          </cell>
        </row>
        <row r="193">
          <cell r="A193" t="str">
            <v>FAL-Z-082</v>
          </cell>
        </row>
        <row r="194">
          <cell r="A194" t="str">
            <v>FAL-Z-083</v>
          </cell>
        </row>
        <row r="195">
          <cell r="A195" t="str">
            <v>FAL-Z-084-1/-2</v>
          </cell>
        </row>
        <row r="196">
          <cell r="A196" t="str">
            <v>FAL-Z-085</v>
          </cell>
        </row>
        <row r="197">
          <cell r="A197" t="str">
            <v>FAL-Z-086</v>
          </cell>
        </row>
        <row r="198">
          <cell r="A198" t="str">
            <v>FAL-Z-087</v>
          </cell>
        </row>
        <row r="199">
          <cell r="A199" t="str">
            <v>FAL-Z-090</v>
          </cell>
        </row>
        <row r="200">
          <cell r="A200" t="str">
            <v>Nicht gelistet</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46:S67" totalsRowShown="0" headerRowDxfId="260" dataDxfId="258" headerRowBorderDxfId="259" totalsRowBorderDxfId="257">
  <tableColumns count="19">
    <tableColumn id="1" xr3:uid="{00000000-0010-0000-0000-000001000000}" name="Baden-Württemberg" dataDxfId="256"/>
    <tableColumn id="2" xr3:uid="{00000000-0010-0000-0000-000002000000}" name="Bayern" dataDxfId="255"/>
    <tableColumn id="3" xr3:uid="{00000000-0010-0000-0000-000003000000}" name="Berlin" dataDxfId="254"/>
    <tableColumn id="4" xr3:uid="{00000000-0010-0000-0000-000004000000}" name="Brandenburg" dataDxfId="253"/>
    <tableColumn id="5" xr3:uid="{00000000-0010-0000-0000-000005000000}" name="Bremen" dataDxfId="252"/>
    <tableColumn id="6" xr3:uid="{00000000-0010-0000-0000-000006000000}" name="Hamburg" dataDxfId="251"/>
    <tableColumn id="7" xr3:uid="{00000000-0010-0000-0000-000007000000}" name="Hessen" dataDxfId="250"/>
    <tableColumn id="8" xr3:uid="{00000000-0010-0000-0000-000008000000}" name="Mecklenburg-Vorpommern" dataDxfId="249"/>
    <tableColumn id="9" xr3:uid="{00000000-0010-0000-0000-000009000000}" name="Niedersachsen" dataDxfId="248"/>
    <tableColumn id="10" xr3:uid="{00000000-0010-0000-0000-00000A000000}" name="Nordrhein-Westfalen" dataDxfId="247"/>
    <tableColumn id="11" xr3:uid="{00000000-0010-0000-0000-00000B000000}" name="Rheinland-Pfalz" dataDxfId="246"/>
    <tableColumn id="12" xr3:uid="{00000000-0010-0000-0000-00000C000000}" name="Saarland" dataDxfId="245"/>
    <tableColumn id="13" xr3:uid="{00000000-0010-0000-0000-00000D000000}" name="Sachsen" dataDxfId="244"/>
    <tableColumn id="14" xr3:uid="{00000000-0010-0000-0000-00000E000000}" name="Sachsen-Anhalt" dataDxfId="243"/>
    <tableColumn id="15" xr3:uid="{00000000-0010-0000-0000-00000F000000}" name="Schleswig-Holstein" dataDxfId="242"/>
    <tableColumn id="16" xr3:uid="{00000000-0010-0000-0000-000010000000}" name="Thüringen" dataDxfId="241"/>
    <tableColumn id="17" xr3:uid="{00000000-0010-0000-0000-000011000000}" name="Schweiz" dataDxfId="240"/>
    <tableColumn id="18" xr3:uid="{00000000-0010-0000-0000-000012000000}" name="Österreich" dataDxfId="239"/>
    <tableColumn id="19" xr3:uid="{00000000-0010-0000-0000-000013000000}" name="Italien" dataDxfId="23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9.bin"/><Relationship Id="rId5" Type="http://schemas.openxmlformats.org/officeDocument/2006/relationships/comments" Target="../comments5.xml"/><Relationship Id="rId4"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8.vml"/><Relationship Id="rId1"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8.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S46"/>
  <sheetViews>
    <sheetView showGridLines="0" tabSelected="1" showRuler="0" zoomScaleNormal="100" zoomScaleSheetLayoutView="100" workbookViewId="0">
      <selection activeCell="B7" sqref="B7:C7"/>
    </sheetView>
  </sheetViews>
  <sheetFormatPr defaultColWidth="11.42578125" defaultRowHeight="14.25" x14ac:dyDescent="0.2"/>
  <cols>
    <col min="1" max="1" width="27.140625" style="3" customWidth="1"/>
    <col min="2" max="3" width="12.5703125" style="3" customWidth="1"/>
    <col min="4" max="4" width="11.7109375" style="3" customWidth="1"/>
    <col min="5" max="5" width="12.5703125" style="3" customWidth="1"/>
    <col min="6" max="6" width="14.140625" style="3" customWidth="1"/>
    <col min="7" max="7" width="15.7109375" style="3" customWidth="1"/>
    <col min="8" max="8" width="11.7109375" style="3" customWidth="1"/>
    <col min="9" max="10" width="12.5703125" style="3" customWidth="1"/>
    <col min="11" max="11" width="10.140625" style="3" customWidth="1"/>
    <col min="12" max="258" width="9.140625" style="3" customWidth="1"/>
    <col min="259" max="16384" width="11.42578125" style="3"/>
  </cols>
  <sheetData>
    <row r="1" spans="1:11" ht="6" customHeight="1" x14ac:dyDescent="0.2"/>
    <row r="2" spans="1:11" ht="12.95" customHeight="1" x14ac:dyDescent="0.2">
      <c r="A2" s="353" t="s">
        <v>1030</v>
      </c>
    </row>
    <row r="3" spans="1:11" ht="16.5" customHeight="1" x14ac:dyDescent="0.2">
      <c r="A3" s="395" t="s">
        <v>527</v>
      </c>
    </row>
    <row r="5" spans="1:11" ht="23.25" customHeight="1" x14ac:dyDescent="0.2"/>
    <row r="6" spans="1:11" ht="3.75" customHeight="1" x14ac:dyDescent="0.2"/>
    <row r="7" spans="1:11" ht="15" customHeight="1" x14ac:dyDescent="0.2">
      <c r="A7" s="396" t="s">
        <v>528</v>
      </c>
      <c r="B7" s="562"/>
      <c r="C7" s="563"/>
      <c r="D7" s="22"/>
      <c r="E7" s="22"/>
      <c r="F7" s="22"/>
      <c r="G7" s="22"/>
      <c r="H7" s="22"/>
      <c r="I7" s="564"/>
      <c r="J7" s="564"/>
      <c r="K7" s="565"/>
    </row>
    <row r="8" spans="1:11" ht="6.95" customHeight="1" x14ac:dyDescent="0.2">
      <c r="A8" s="397"/>
      <c r="B8" s="22"/>
      <c r="C8" s="17"/>
      <c r="D8" s="17"/>
      <c r="E8" s="17"/>
      <c r="F8" s="17"/>
      <c r="G8" s="17"/>
      <c r="H8" s="17"/>
      <c r="I8" s="6"/>
      <c r="J8" s="6"/>
      <c r="K8" s="22"/>
    </row>
    <row r="9" spans="1:11" s="4" customFormat="1" ht="15" customHeight="1" x14ac:dyDescent="0.2">
      <c r="A9" s="396" t="s">
        <v>529</v>
      </c>
      <c r="B9" s="572" t="str">
        <f>IF($B$7="","",Datenquelle!B80)</f>
        <v/>
      </c>
      <c r="C9" s="573"/>
      <c r="D9" s="573"/>
      <c r="E9" s="573"/>
      <c r="F9" s="573"/>
      <c r="G9" s="573"/>
      <c r="H9" s="573"/>
      <c r="I9" s="573"/>
      <c r="J9" s="573"/>
      <c r="K9" s="571"/>
    </row>
    <row r="10" spans="1:11" s="4" customFormat="1" ht="6.95" customHeight="1" x14ac:dyDescent="0.2">
      <c r="A10" s="21"/>
      <c r="B10" s="17"/>
      <c r="C10" s="17"/>
      <c r="D10" s="17"/>
      <c r="E10" s="17"/>
      <c r="F10" s="17"/>
      <c r="G10" s="22"/>
      <c r="H10" s="22"/>
      <c r="I10" s="22"/>
      <c r="J10" s="22"/>
      <c r="K10" s="22"/>
    </row>
    <row r="11" spans="1:11" s="4" customFormat="1" ht="15" customHeight="1" x14ac:dyDescent="0.2">
      <c r="A11" s="396" t="s">
        <v>530</v>
      </c>
      <c r="B11" s="572" t="str">
        <f>IF($B$7="","",Datenquelle!C80)</f>
        <v/>
      </c>
      <c r="C11" s="573"/>
      <c r="D11" s="573"/>
      <c r="E11" s="573"/>
      <c r="F11" s="573"/>
      <c r="G11" s="573"/>
      <c r="H11" s="573"/>
      <c r="I11" s="573"/>
      <c r="J11" s="573"/>
      <c r="K11" s="571"/>
    </row>
    <row r="12" spans="1:11" s="4" customFormat="1" ht="6.95" customHeight="1" x14ac:dyDescent="0.2">
      <c r="A12" s="21"/>
      <c r="B12" s="17"/>
      <c r="C12" s="17"/>
      <c r="D12" s="17"/>
      <c r="E12" s="17"/>
      <c r="F12" s="17"/>
      <c r="G12" s="22"/>
      <c r="H12" s="22"/>
      <c r="I12" s="22"/>
      <c r="J12" s="22"/>
      <c r="K12" s="22"/>
    </row>
    <row r="13" spans="1:11" s="4" customFormat="1" ht="15" customHeight="1" x14ac:dyDescent="0.2">
      <c r="A13" s="561" t="s">
        <v>972</v>
      </c>
      <c r="B13" s="547"/>
      <c r="C13" s="548"/>
      <c r="D13" s="549"/>
      <c r="G13" s="399" t="s">
        <v>532</v>
      </c>
      <c r="H13" s="22"/>
      <c r="I13" s="550"/>
      <c r="J13" s="551"/>
      <c r="K13" s="552"/>
    </row>
    <row r="14" spans="1:11" ht="6.95" customHeight="1" x14ac:dyDescent="0.2">
      <c r="A14" s="561"/>
      <c r="B14" s="22"/>
      <c r="C14" s="17"/>
      <c r="D14" s="17"/>
      <c r="E14" s="318"/>
      <c r="G14" s="400"/>
      <c r="H14" s="22"/>
      <c r="I14" s="22"/>
      <c r="J14" s="22"/>
      <c r="K14" s="22"/>
    </row>
    <row r="15" spans="1:11" s="4" customFormat="1" ht="15" customHeight="1" x14ac:dyDescent="0.2">
      <c r="A15" s="398" t="s">
        <v>973</v>
      </c>
      <c r="B15" s="547"/>
      <c r="C15" s="548"/>
      <c r="D15" s="549"/>
      <c r="G15" s="399" t="s">
        <v>533</v>
      </c>
      <c r="H15" s="22"/>
      <c r="I15" s="566" t="str">
        <f>IF($B$7="","",Datenquelle!F80)</f>
        <v/>
      </c>
      <c r="J15" s="567"/>
      <c r="K15" s="568"/>
    </row>
    <row r="16" spans="1:11" ht="6.95" customHeight="1" x14ac:dyDescent="0.2">
      <c r="A16" s="22"/>
      <c r="B16" s="22"/>
      <c r="C16" s="17"/>
      <c r="D16" s="17"/>
      <c r="E16" s="318"/>
      <c r="G16" s="400"/>
      <c r="H16" s="17"/>
      <c r="I16" s="6"/>
      <c r="J16" s="6"/>
      <c r="K16" s="22"/>
    </row>
    <row r="17" spans="1:19" s="4" customFormat="1" ht="15" customHeight="1" x14ac:dyDescent="0.2">
      <c r="A17" s="398" t="s">
        <v>531</v>
      </c>
      <c r="B17" s="547"/>
      <c r="C17" s="548"/>
      <c r="D17" s="549"/>
      <c r="G17" s="401" t="s">
        <v>534</v>
      </c>
      <c r="H17" s="22"/>
      <c r="I17" s="569">
        <v>2025</v>
      </c>
      <c r="J17" s="570"/>
      <c r="K17" s="571"/>
    </row>
    <row r="18" spans="1:19" s="4" customFormat="1" ht="4.5" customHeight="1" x14ac:dyDescent="0.2">
      <c r="A18" s="319"/>
      <c r="B18" s="22"/>
      <c r="C18" s="22"/>
      <c r="D18" s="22"/>
      <c r="E18" s="320"/>
      <c r="F18" s="321"/>
      <c r="G18" s="22"/>
      <c r="H18" s="22"/>
      <c r="I18" s="322"/>
      <c r="J18" s="322"/>
      <c r="K18" s="22"/>
    </row>
    <row r="19" spans="1:19" s="4" customFormat="1" ht="4.5" customHeight="1" x14ac:dyDescent="0.2">
      <c r="A19" s="319"/>
      <c r="B19" s="22"/>
      <c r="C19" s="22"/>
      <c r="D19" s="22"/>
      <c r="E19" s="320"/>
      <c r="F19" s="321"/>
      <c r="G19" s="22"/>
      <c r="H19" s="22"/>
      <c r="I19" s="322"/>
      <c r="J19" s="322"/>
      <c r="K19" s="22"/>
    </row>
    <row r="20" spans="1:19" s="4" customFormat="1" ht="4.5" customHeight="1" x14ac:dyDescent="0.2">
      <c r="A20" s="319"/>
      <c r="B20" s="22"/>
      <c r="C20" s="22"/>
      <c r="D20" s="22"/>
      <c r="E20" s="13"/>
      <c r="F20" s="13"/>
      <c r="G20" s="322"/>
      <c r="H20" s="322"/>
      <c r="I20" s="22"/>
      <c r="J20" s="22"/>
      <c r="K20" s="22"/>
    </row>
    <row r="21" spans="1:19" s="4" customFormat="1" ht="4.5" customHeight="1" x14ac:dyDescent="0.2">
      <c r="E21" s="320"/>
      <c r="F21" s="321"/>
      <c r="G21" s="22"/>
      <c r="H21" s="22"/>
      <c r="I21" s="322"/>
      <c r="J21" s="322"/>
      <c r="K21" s="22"/>
    </row>
    <row r="22" spans="1:19" s="4" customFormat="1" ht="4.5" customHeight="1" x14ac:dyDescent="0.2">
      <c r="E22" s="13"/>
      <c r="F22" s="13"/>
      <c r="G22" s="322"/>
      <c r="H22" s="322"/>
      <c r="I22" s="22"/>
      <c r="J22" s="22"/>
      <c r="K22" s="22"/>
    </row>
    <row r="23" spans="1:19" s="4" customFormat="1" ht="3" customHeight="1" x14ac:dyDescent="0.2">
      <c r="A23" s="17"/>
      <c r="B23" s="17"/>
      <c r="C23" s="17"/>
      <c r="D23" s="326"/>
      <c r="E23" s="17"/>
      <c r="F23" s="17"/>
      <c r="G23" s="22"/>
      <c r="H23" s="22"/>
      <c r="I23" s="22"/>
      <c r="J23" s="22"/>
      <c r="K23" s="22"/>
      <c r="L23" s="316"/>
      <c r="S23" s="323"/>
    </row>
    <row r="24" spans="1:19" s="4" customFormat="1" ht="15" customHeight="1" x14ac:dyDescent="0.2">
      <c r="A24" s="553" t="s">
        <v>535</v>
      </c>
      <c r="B24" s="553"/>
      <c r="C24" s="553"/>
      <c r="D24" s="553"/>
      <c r="E24" s="553"/>
    </row>
    <row r="25" spans="1:19" s="4" customFormat="1" ht="15" customHeight="1" x14ac:dyDescent="0.2">
      <c r="A25" s="554"/>
      <c r="B25" s="554"/>
      <c r="C25" s="554"/>
      <c r="D25" s="554"/>
      <c r="E25" s="554"/>
      <c r="L25" s="316"/>
      <c r="M25" s="316"/>
    </row>
    <row r="26" spans="1:19" s="4" customFormat="1" ht="15" customHeight="1" x14ac:dyDescent="0.2">
      <c r="A26" s="17"/>
      <c r="B26" s="17"/>
      <c r="C26" s="17"/>
      <c r="D26" s="22"/>
      <c r="E26" s="17"/>
      <c r="F26" s="17"/>
      <c r="G26" s="22"/>
      <c r="H26" s="22"/>
      <c r="I26" s="22"/>
      <c r="J26" s="22"/>
      <c r="K26" s="22"/>
    </row>
    <row r="27" spans="1:19" s="4" customFormat="1" ht="15" customHeight="1" x14ac:dyDescent="0.2">
      <c r="A27" s="553" t="s">
        <v>536</v>
      </c>
      <c r="B27" s="553"/>
      <c r="C27" s="553"/>
      <c r="D27" s="553"/>
      <c r="E27" s="553"/>
      <c r="F27" s="555" t="s">
        <v>382</v>
      </c>
      <c r="G27" s="556"/>
      <c r="H27" s="556"/>
      <c r="I27" s="556"/>
      <c r="J27" s="556"/>
      <c r="K27" s="557"/>
    </row>
    <row r="28" spans="1:19" s="4" customFormat="1" ht="15" customHeight="1" x14ac:dyDescent="0.2">
      <c r="A28" s="554"/>
      <c r="B28" s="554"/>
      <c r="C28" s="554"/>
      <c r="D28" s="554"/>
      <c r="E28" s="554"/>
      <c r="F28" s="558" t="s">
        <v>974</v>
      </c>
      <c r="G28" s="559"/>
      <c r="H28" s="559"/>
      <c r="I28" s="559"/>
      <c r="J28" s="559"/>
      <c r="K28" s="560"/>
    </row>
    <row r="29" spans="1:19" s="4" customFormat="1" ht="3" customHeight="1" x14ac:dyDescent="0.2">
      <c r="A29" s="22"/>
      <c r="B29" s="22"/>
      <c r="C29" s="22"/>
      <c r="D29" s="17"/>
      <c r="E29" s="17"/>
      <c r="F29" s="17"/>
      <c r="G29" s="17"/>
      <c r="H29" s="17"/>
      <c r="I29" s="6"/>
      <c r="J29" s="6"/>
      <c r="K29" s="22"/>
      <c r="M29" s="316"/>
    </row>
    <row r="30" spans="1:19" s="4" customFormat="1" ht="19.5" customHeight="1" x14ac:dyDescent="0.2">
      <c r="A30" s="545"/>
      <c r="B30" s="546"/>
      <c r="C30" s="546"/>
      <c r="D30" s="546"/>
      <c r="E30" s="546"/>
      <c r="F30" s="546"/>
      <c r="G30" s="546"/>
      <c r="H30" s="546"/>
      <c r="I30" s="546"/>
      <c r="J30" s="546"/>
      <c r="K30" s="546"/>
      <c r="M30" s="316"/>
    </row>
    <row r="31" spans="1:19" s="4" customFormat="1" ht="39.75" customHeight="1" x14ac:dyDescent="0.2">
      <c r="A31" s="534" t="s">
        <v>537</v>
      </c>
      <c r="B31" s="405" t="s">
        <v>229</v>
      </c>
      <c r="C31" s="405" t="s">
        <v>230</v>
      </c>
      <c r="D31" s="405" t="s">
        <v>231</v>
      </c>
      <c r="E31" s="405" t="s">
        <v>232</v>
      </c>
      <c r="F31" s="405" t="s">
        <v>233</v>
      </c>
      <c r="G31" s="405" t="s">
        <v>234</v>
      </c>
      <c r="H31" s="406" t="s">
        <v>418</v>
      </c>
      <c r="I31" s="406" t="s">
        <v>421</v>
      </c>
      <c r="J31" s="406" t="s">
        <v>420</v>
      </c>
      <c r="K31" s="538" t="s">
        <v>539</v>
      </c>
    </row>
    <row r="32" spans="1:19" s="4" customFormat="1" ht="42.75" customHeight="1" x14ac:dyDescent="0.2">
      <c r="A32" s="535"/>
      <c r="B32" s="123" t="s">
        <v>422</v>
      </c>
      <c r="C32" s="407" t="s">
        <v>253</v>
      </c>
      <c r="D32" s="123" t="s">
        <v>423</v>
      </c>
      <c r="E32" s="123" t="s">
        <v>427</v>
      </c>
      <c r="F32" s="123" t="s">
        <v>428</v>
      </c>
      <c r="G32" s="123" t="s">
        <v>424</v>
      </c>
      <c r="H32" s="123" t="s">
        <v>419</v>
      </c>
      <c r="I32" s="123" t="s">
        <v>540</v>
      </c>
      <c r="J32" s="123" t="s">
        <v>541</v>
      </c>
      <c r="K32" s="539"/>
    </row>
    <row r="33" spans="1:16" s="4" customFormat="1" ht="44.25" customHeight="1" x14ac:dyDescent="0.2">
      <c r="A33" s="402" t="s">
        <v>860</v>
      </c>
      <c r="B33" s="61" t="str">
        <f t="shared" ref="B33:J33" si="0">IF(AND(B34="",B35=""),"",SUM(B34:B35))</f>
        <v/>
      </c>
      <c r="C33" s="61" t="str">
        <f t="shared" si="0"/>
        <v/>
      </c>
      <c r="D33" s="61" t="str">
        <f t="shared" si="0"/>
        <v/>
      </c>
      <c r="E33" s="61" t="str">
        <f t="shared" si="0"/>
        <v/>
      </c>
      <c r="F33" s="61" t="str">
        <f t="shared" si="0"/>
        <v/>
      </c>
      <c r="G33" s="61" t="str">
        <f t="shared" si="0"/>
        <v/>
      </c>
      <c r="H33" s="61" t="str">
        <f t="shared" si="0"/>
        <v/>
      </c>
      <c r="I33" s="61" t="str">
        <f t="shared" si="0"/>
        <v/>
      </c>
      <c r="J33" s="61" t="str">
        <f t="shared" si="0"/>
        <v/>
      </c>
      <c r="K33" s="61" t="str">
        <f>IF(AND(B33="",C33="",D33="",E33="",F33="",G33="",I33="",J33=""),"",SUM(B33:J33))</f>
        <v/>
      </c>
    </row>
    <row r="34" spans="1:16" s="4" customFormat="1" ht="66" customHeight="1" x14ac:dyDescent="0.2">
      <c r="A34" s="403" t="s">
        <v>1031</v>
      </c>
      <c r="B34" s="487"/>
      <c r="C34" s="487"/>
      <c r="D34" s="487"/>
      <c r="E34" s="487"/>
      <c r="F34" s="487"/>
      <c r="G34" s="487"/>
      <c r="H34" s="487"/>
      <c r="I34" s="487"/>
      <c r="J34" s="487"/>
      <c r="K34" s="61" t="str">
        <f>IF(AND(B34="",C34="",D34="",E34="",F34="",G34="",I34="",J34=""),"",SUM(B34:J34))</f>
        <v/>
      </c>
    </row>
    <row r="35" spans="1:16" s="4" customFormat="1" ht="57.75" customHeight="1" x14ac:dyDescent="0.2">
      <c r="A35" s="404" t="s">
        <v>538</v>
      </c>
      <c r="B35" s="408"/>
      <c r="C35" s="408"/>
      <c r="D35" s="408"/>
      <c r="E35" s="408"/>
      <c r="F35" s="408"/>
      <c r="G35" s="408"/>
      <c r="H35" s="408"/>
      <c r="I35" s="408"/>
      <c r="J35" s="408"/>
      <c r="K35" s="61" t="str">
        <f>IF(AND(B35="",C35="",D35="",E35="",F35="",G35="",I35="",J35=""),"",SUM(B35:J35))</f>
        <v/>
      </c>
    </row>
    <row r="36" spans="1:16" s="4" customFormat="1" ht="9.9499999999999993" customHeight="1" x14ac:dyDescent="0.2">
      <c r="A36" s="317"/>
      <c r="B36" s="324"/>
      <c r="C36" s="324"/>
      <c r="D36" s="324"/>
      <c r="E36" s="324"/>
      <c r="F36" s="324"/>
      <c r="G36" s="324"/>
      <c r="H36" s="324"/>
      <c r="I36" s="324"/>
      <c r="J36" s="324"/>
      <c r="K36" s="325"/>
    </row>
    <row r="37" spans="1:16" s="4" customFormat="1" ht="43.5" customHeight="1" x14ac:dyDescent="0.2">
      <c r="A37" s="437" t="s">
        <v>867</v>
      </c>
      <c r="B37" s="438"/>
      <c r="C37" s="438"/>
      <c r="D37" s="438"/>
      <c r="E37" s="438"/>
      <c r="F37" s="438"/>
      <c r="G37" s="438"/>
      <c r="H37" s="438"/>
      <c r="I37" s="438"/>
      <c r="J37" s="438"/>
      <c r="K37" s="439" t="str">
        <f>IF(AND(B37="",C37="",D37="",E37="",F37="",G37="",I37="",J37=""),"",SUM(B37:J37))</f>
        <v/>
      </c>
    </row>
    <row r="38" spans="1:16" s="4" customFormat="1" ht="9.9499999999999993" customHeight="1" x14ac:dyDescent="0.2">
      <c r="A38" s="317"/>
      <c r="B38" s="324"/>
      <c r="C38" s="324"/>
      <c r="D38" s="324"/>
      <c r="E38" s="324"/>
      <c r="F38" s="324"/>
      <c r="G38" s="324"/>
      <c r="H38" s="324"/>
      <c r="I38" s="324"/>
      <c r="J38" s="324"/>
      <c r="K38" s="325"/>
    </row>
    <row r="39" spans="1:16" s="4" customFormat="1" ht="34.5" customHeight="1" x14ac:dyDescent="0.2">
      <c r="A39" s="540" t="s">
        <v>936</v>
      </c>
      <c r="B39" s="541"/>
      <c r="C39" s="541"/>
      <c r="D39" s="541"/>
      <c r="E39" s="541"/>
      <c r="F39" s="541"/>
      <c r="G39" s="541"/>
      <c r="H39" s="541"/>
      <c r="I39" s="541"/>
      <c r="J39" s="542"/>
      <c r="K39" s="408"/>
    </row>
    <row r="40" spans="1:16" s="4" customFormat="1" ht="15" customHeight="1" x14ac:dyDescent="0.2">
      <c r="B40" s="326"/>
      <c r="C40" s="326"/>
      <c r="D40" s="326"/>
      <c r="E40" s="326"/>
      <c r="F40" s="326"/>
      <c r="G40" s="326"/>
      <c r="H40" s="326"/>
      <c r="I40" s="156"/>
      <c r="J40" s="156"/>
    </row>
    <row r="41" spans="1:16" s="4" customFormat="1" ht="16.5" customHeight="1" x14ac:dyDescent="0.2">
      <c r="A41" s="543" t="s">
        <v>1051</v>
      </c>
      <c r="B41" s="543"/>
      <c r="C41" s="543"/>
      <c r="D41" s="543"/>
      <c r="E41" s="543"/>
      <c r="F41" s="543"/>
      <c r="G41" s="543"/>
      <c r="H41" s="543"/>
      <c r="I41" s="543"/>
      <c r="J41" s="543"/>
      <c r="K41" s="543"/>
    </row>
    <row r="42" spans="1:16" s="4" customFormat="1" ht="111.75" customHeight="1" x14ac:dyDescent="0.2">
      <c r="A42" s="536" t="s">
        <v>1038</v>
      </c>
      <c r="B42" s="537"/>
      <c r="C42" s="537"/>
      <c r="D42" s="537"/>
      <c r="E42" s="537"/>
      <c r="F42" s="537"/>
      <c r="G42" s="537"/>
      <c r="H42" s="537"/>
      <c r="I42" s="537"/>
      <c r="J42" s="537"/>
      <c r="K42" s="537"/>
    </row>
    <row r="43" spans="1:16" s="4" customFormat="1" ht="4.5" customHeight="1" x14ac:dyDescent="0.2">
      <c r="A43" s="89"/>
      <c r="B43" s="89"/>
      <c r="C43" s="89"/>
      <c r="D43" s="89"/>
      <c r="E43" s="89"/>
      <c r="F43" s="89"/>
      <c r="G43" s="7"/>
      <c r="H43" s="7"/>
      <c r="I43" s="7"/>
      <c r="J43" s="7"/>
      <c r="K43" s="7"/>
    </row>
    <row r="44" spans="1:16" s="4" customFormat="1" ht="12.75" customHeight="1" x14ac:dyDescent="0.2">
      <c r="A44" s="423"/>
      <c r="B44" s="3"/>
      <c r="C44" s="3"/>
      <c r="D44" s="3"/>
      <c r="E44" s="3"/>
      <c r="F44" s="3"/>
      <c r="G44" s="3"/>
      <c r="H44" s="3"/>
      <c r="I44" s="3"/>
      <c r="J44" s="3"/>
      <c r="K44" s="10"/>
      <c r="L44" s="10"/>
      <c r="M44" s="3"/>
      <c r="N44" s="3"/>
      <c r="O44" s="5"/>
      <c r="P44" s="3"/>
    </row>
    <row r="45" spans="1:16" s="4" customFormat="1" ht="10.5" customHeight="1" x14ac:dyDescent="0.2">
      <c r="A45" s="544"/>
      <c r="B45" s="544"/>
      <c r="C45" s="544"/>
      <c r="D45" s="544"/>
      <c r="E45" s="544"/>
      <c r="F45" s="544"/>
      <c r="G45" s="544"/>
      <c r="H45" s="544"/>
      <c r="I45" s="544"/>
      <c r="J45" s="544"/>
      <c r="K45" s="544"/>
      <c r="L45" s="544"/>
      <c r="M45" s="544"/>
      <c r="N45" s="544"/>
      <c r="O45" s="544"/>
      <c r="P45" s="544"/>
    </row>
    <row r="46" spans="1:16" ht="19.5" customHeight="1" x14ac:dyDescent="0.2">
      <c r="A46" s="531"/>
      <c r="B46" s="532"/>
      <c r="C46" s="532"/>
      <c r="D46" s="532"/>
      <c r="E46" s="532"/>
      <c r="F46" s="532"/>
      <c r="G46" s="532"/>
      <c r="H46" s="532"/>
      <c r="I46" s="532"/>
      <c r="J46" s="532"/>
      <c r="K46" s="533"/>
    </row>
  </sheetData>
  <sheetProtection algorithmName="SHA-512" hashValue="CMD6qMwuLJqUHLus+Foxz6BnEWpzrZQJToUZW2N4aF3kCsaO28AjtgsW8+FX+AXed4djr7p+rnutz7SXFnhKoA==" saltValue="/FgxMwBH0BujRwRCxG8QNg==" spinCount="100000" sheet="1" objects="1" scenarios="1" selectLockedCells="1"/>
  <dataConsolidate/>
  <mergeCells count="25">
    <mergeCell ref="B7:C7"/>
    <mergeCell ref="I7:K7"/>
    <mergeCell ref="I15:K15"/>
    <mergeCell ref="I17:K17"/>
    <mergeCell ref="B9:K9"/>
    <mergeCell ref="B11:K11"/>
    <mergeCell ref="A30:K30"/>
    <mergeCell ref="B13:D13"/>
    <mergeCell ref="I13:K13"/>
    <mergeCell ref="A24:E24"/>
    <mergeCell ref="A25:E25"/>
    <mergeCell ref="A27:E27"/>
    <mergeCell ref="F27:K27"/>
    <mergeCell ref="A28:E28"/>
    <mergeCell ref="F28:K28"/>
    <mergeCell ref="B15:D15"/>
    <mergeCell ref="B17:D17"/>
    <mergeCell ref="A13:A14"/>
    <mergeCell ref="A46:K46"/>
    <mergeCell ref="A31:A32"/>
    <mergeCell ref="A42:K42"/>
    <mergeCell ref="K31:K32"/>
    <mergeCell ref="A39:J39"/>
    <mergeCell ref="A41:K41"/>
    <mergeCell ref="A45:P45"/>
  </mergeCells>
  <phoneticPr fontId="36" type="noConversion"/>
  <conditionalFormatting sqref="A25">
    <cfRule type="expression" dxfId="237" priority="5" stopIfTrue="1">
      <formula>LEN(TRIM(A25))=0</formula>
    </cfRule>
  </conditionalFormatting>
  <conditionalFormatting sqref="A28">
    <cfRule type="expression" dxfId="236" priority="110" stopIfTrue="1">
      <formula>LEN(TRIM(A28))=0</formula>
    </cfRule>
  </conditionalFormatting>
  <conditionalFormatting sqref="B7:C7">
    <cfRule type="expression" dxfId="235" priority="49" stopIfTrue="1">
      <formula>LEN(TRIM(B7))=0</formula>
    </cfRule>
  </conditionalFormatting>
  <conditionalFormatting sqref="B13:C13">
    <cfRule type="expression" dxfId="234" priority="120" stopIfTrue="1">
      <formula>LEN(TRIM(B13))=0</formula>
    </cfRule>
  </conditionalFormatting>
  <conditionalFormatting sqref="B15:C15">
    <cfRule type="expression" dxfId="233" priority="3" stopIfTrue="1">
      <formula>LEN(TRIM(B15))=0</formula>
    </cfRule>
  </conditionalFormatting>
  <conditionalFormatting sqref="B17:C17">
    <cfRule type="expression" dxfId="232" priority="2" stopIfTrue="1">
      <formula>LEN(TRIM(B17))=0</formula>
    </cfRule>
  </conditionalFormatting>
  <conditionalFormatting sqref="B13:D13 B15:D15">
    <cfRule type="expression" dxfId="231" priority="1">
      <formula>$A$25&lt;&gt;"Germany"</formula>
    </cfRule>
  </conditionalFormatting>
  <conditionalFormatting sqref="B34:J35">
    <cfRule type="expression" dxfId="230" priority="10" stopIfTrue="1">
      <formula>LEN(TRIM(B34))=0</formula>
    </cfRule>
  </conditionalFormatting>
  <conditionalFormatting sqref="B37:J37">
    <cfRule type="expression" dxfId="229" priority="4" stopIfTrue="1">
      <formula>LEN(TRIM(B37))=0</formula>
    </cfRule>
  </conditionalFormatting>
  <conditionalFormatting sqref="I13:J13">
    <cfRule type="expression" dxfId="228" priority="121" stopIfTrue="1">
      <formula>LEN(TRIM(I13))=0</formula>
    </cfRule>
  </conditionalFormatting>
  <conditionalFormatting sqref="K39">
    <cfRule type="expression" dxfId="227" priority="8" stopIfTrue="1">
      <formula>LEN(TRIM(K39))=0</formula>
    </cfRule>
  </conditionalFormatting>
  <dataValidations count="11">
    <dataValidation allowBlank="1" showInputMessage="1" showErrorMessage="1" errorTitle="Eingabefehler" sqref="I15:J15" xr:uid="{00000000-0002-0000-0000-000000000000}"/>
    <dataValidation type="whole" allowBlank="1" showInputMessage="1" showErrorMessage="1" errorTitle="Eingabefehler" error="Ganze Zahl zwischen 0 und 5000 eingeben." sqref="B38 B36 C38 C36 D38 D36 E38 E36 F38 F36 G38 G36 H38 H36 I38 I36 J36 J38" xr:uid="{00000000-0002-0000-0000-000001000000}">
      <formula1>0</formula1>
      <formula2>5000</formula2>
    </dataValidation>
    <dataValidation type="date" allowBlank="1" showErrorMessage="1" errorTitle="Input data error" error="Format: dd.mm.yyyy_x000a__x000a_Time period between 01.10.2025 - 31.01.2027." sqref="I13:K13" xr:uid="{00000000-0002-0000-0000-000002000000}">
      <formula1>45931</formula1>
      <formula2>46418</formula2>
    </dataValidation>
    <dataValidation type="textLength" allowBlank="1" showErrorMessage="1" errorTitle="Eingabefehler" error="Nur Texteingabe bis 100 Zeichen möglich." prompt="Name, Vorname" sqref="B17:D17" xr:uid="{00000000-0002-0000-0000-000003000000}">
      <formula1>0</formula1>
      <formula2>100</formula2>
    </dataValidation>
    <dataValidation type="list" allowBlank="1" showInputMessage="1" showErrorMessage="1" errorTitle="Hinweis" error="Auswahl treffen über Dropdown-Liste." sqref="F25" xr:uid="{00000000-0002-0000-0000-000004000000}">
      <formula1>KrebsregisterZusammenarbeit</formula1>
    </dataValidation>
    <dataValidation type="whole" allowBlank="1" showInputMessage="1" showErrorMessage="1" errorTitle="Input data error" error="Whole number between 0 and 5000." sqref="B34:J35" xr:uid="{00000000-0002-0000-0000-000005000000}">
      <formula1>0</formula1>
      <formula2>5000</formula2>
    </dataValidation>
    <dataValidation type="whole" allowBlank="1" showErrorMessage="1" errorTitle="Input data error" error="Whole number between 0 and 5000." sqref="K39" xr:uid="{00000000-0002-0000-0000-000006000000}">
      <formula1>0</formula1>
      <formula2>5000</formula2>
    </dataValidation>
    <dataValidation type="whole" allowBlank="1" showInputMessage="1" showErrorMessage="1" errorTitle="Input data error" error="&quot;Subset of primary cases - non-small cell tumours&quot; cannot be greater than &quot;Primary cases (ICD-10 C34 all histologies)&quot;" sqref="B37" xr:uid="{00000000-0002-0000-0000-000007000000}">
      <formula1>0</formula1>
      <formula2>B33</formula2>
    </dataValidation>
    <dataValidation type="textLength" allowBlank="1" showErrorMessage="1" errorTitle="Input data error" error="The Institution identification (II) number must be a 9-digit sequence of numbers beginning with 26." prompt="Name, Vorname" sqref="B13:D13" xr:uid="{00000000-0002-0000-0000-000008000000}">
      <formula1>0</formula1>
      <formula2>100</formula2>
    </dataValidation>
    <dataValidation type="textLength" allowBlank="1" showErrorMessage="1" errorTitle="Input data error" error="The Clinical sites number must be a 9-digit sequence of numbers beginning with 77." prompt="Name, Vorname" sqref="B15:D15" xr:uid="{00000000-0002-0000-0000-000009000000}">
      <formula1>0</formula1>
      <formula2>100</formula2>
    </dataValidation>
    <dataValidation type="whole" allowBlank="1" showInputMessage="1" showErrorMessage="1" errorTitle="Input data error" error="&quot;Subset of primary cases - non-small cell tumours&quot; cannot be greater than &quot;Primary cases (ICD-10 C34 all histologies)&quot;" sqref="C37 D37 E37 F37 G37 H37 I37 J37" xr:uid="{00000000-0002-0000-0000-00000A000000}">
      <formula1>0</formula1>
      <formula2>5000</formula2>
    </dataValidation>
  </dataValidations>
  <pageMargins left="0.59055118110236227" right="3.937007874015748E-2" top="0.39370078740157483" bottom="0.39370078740157483" header="0.11811023622047245" footer="0.11811023622047245"/>
  <pageSetup paperSize="9" scale="62" orientation="portrait" r:id="rId1"/>
  <headerFooter>
    <oddFooter>&amp;L&amp;"Arial,Regular"&amp;7&amp;F&amp;C&amp;"Arial,Regular"&amp;7© DKG  All rights reserved&amp;R&amp;"Arial,Regular"&amp;7&amp;P</oddFooter>
  </headerFooter>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InputMessage="1" showErrorMessage="1" errorTitle="Indication" error="Select option via drop-down list" xr:uid="{00000000-0002-0000-0000-00000B000000}">
          <x14:formula1>
            <xm:f>Datenquelle!$A$83:$A$84</xm:f>
          </x14:formula1>
          <xm:sqref>B7:C7</xm:sqref>
        </x14:dataValidation>
        <x14:dataValidation type="list" allowBlank="1" showInputMessage="1" showErrorMessage="1" errorTitle="Input data error" error="Please make a selection via drop-down list." xr:uid="{00000000-0002-0000-0000-00000D000000}">
          <x14:formula1>
            <xm:f>Datenquelle!$A$87:$A$282</xm:f>
          </x14:formula1>
          <xm:sqref>A25:E25</xm:sqref>
        </x14:dataValidation>
        <x14:dataValidation type="list" showInputMessage="1" showErrorMessage="1" errorTitle="Input data error" error="Please make a selection via drop-down list." xr:uid="{00000000-0002-0000-0000-00000C000000}">
          <x14:formula1>
            <xm:f>Datenquelle!$B$1:$B$43</xm:f>
          </x14:formula1>
          <xm:sqref>A28:E28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51"/>
  <sheetViews>
    <sheetView topLeftCell="C1" workbookViewId="0">
      <selection activeCell="A2" sqref="A2"/>
    </sheetView>
  </sheetViews>
  <sheetFormatPr defaultColWidth="9.140625" defaultRowHeight="12" x14ac:dyDescent="0.2"/>
  <cols>
    <col min="1" max="1" width="35.140625" style="519" customWidth="1"/>
    <col min="2" max="2" width="27.7109375" style="519" customWidth="1"/>
    <col min="3" max="3" width="24.140625" style="519" customWidth="1"/>
    <col min="4" max="4" width="22.28515625" style="519" customWidth="1"/>
    <col min="5" max="5" width="19.5703125" style="519" customWidth="1"/>
    <col min="6" max="6" width="27" style="519" customWidth="1"/>
    <col min="7" max="8" width="28.42578125" style="352" customWidth="1"/>
    <col min="9" max="9" width="23.7109375" style="352" customWidth="1"/>
    <col min="10" max="16384" width="9.140625" style="352"/>
  </cols>
  <sheetData>
    <row r="1" spans="1:13" ht="51" customHeight="1" x14ac:dyDescent="0.2">
      <c r="A1" s="513" t="s">
        <v>1008</v>
      </c>
      <c r="B1" s="513" t="s">
        <v>1001</v>
      </c>
      <c r="C1" s="514" t="s">
        <v>1009</v>
      </c>
      <c r="D1" s="514" t="s">
        <v>1010</v>
      </c>
      <c r="E1" s="514" t="s">
        <v>1011</v>
      </c>
      <c r="F1" s="514" t="s">
        <v>1012</v>
      </c>
      <c r="G1" s="514" t="s">
        <v>1013</v>
      </c>
      <c r="H1" s="514" t="s">
        <v>1014</v>
      </c>
      <c r="I1" s="514" t="s">
        <v>1015</v>
      </c>
      <c r="J1" s="514" t="s">
        <v>1016</v>
      </c>
      <c r="K1" s="514" t="s">
        <v>1017</v>
      </c>
      <c r="L1" s="514" t="s">
        <v>1018</v>
      </c>
      <c r="M1" s="514" t="s">
        <v>1019</v>
      </c>
    </row>
    <row r="2" spans="1:13" x14ac:dyDescent="0.2">
      <c r="A2" s="513" t="str">
        <f>IF(AND(SUM(Studies_Lung!I11:J11)=2,Studies_Lung!J11&lt;&gt;0),Studies_Lung!A11,"")</f>
        <v/>
      </c>
      <c r="B2" s="513" t="str">
        <f>IF(AND(SUM(Studies_Lung!I11:J11)=2,Studies_Lung!J11&lt;&gt;0),Studies_Lung!B11,"")</f>
        <v/>
      </c>
      <c r="C2" s="515"/>
      <c r="D2" s="515"/>
      <c r="E2" s="515"/>
      <c r="F2" s="513" t="str">
        <f>IF(AND(SUM(Studies_Lung!I11:J11)=2,Studies_Lung!J11&lt;&gt;0),Studies_Lung!C11,"")</f>
        <v/>
      </c>
      <c r="G2" s="516" t="str">
        <f>IF(AND(SUM(Studies_Lung!I11:J11)=2,Studies_Lung!J11&lt;&gt;0),Studies_Lung!D11,"")</f>
        <v/>
      </c>
      <c r="H2" s="516" t="str">
        <f>IF(AND(SUM(Studies_Lung!I11:J11)=2,Studies_Lung!J11&lt;&gt;0),Studies_Lung!E11,"")</f>
        <v/>
      </c>
      <c r="I2" s="516" t="str">
        <f>IF(AND(SUM(Studies_Lung!I11:J11)=2,Studies_Lung!J11&lt;&gt;0),Studies_Lung!F11,"")</f>
        <v/>
      </c>
      <c r="J2" s="517"/>
      <c r="K2" s="517"/>
      <c r="L2" s="517"/>
      <c r="M2" s="517"/>
    </row>
    <row r="3" spans="1:13" x14ac:dyDescent="0.2">
      <c r="A3" s="513" t="str">
        <f>IF(AND(SUM(Studies_Lung!I12:J12)=2,Studies_Lung!J12&lt;&gt;0),Studies_Lung!A12,"")</f>
        <v/>
      </c>
      <c r="B3" s="513" t="str">
        <f>IF(AND(SUM(Studies_Lung!I12:J12)=2,Studies_Lung!J12&lt;&gt;0),Studies_Lung!B12,"")</f>
        <v/>
      </c>
      <c r="C3" s="515"/>
      <c r="D3" s="515"/>
      <c r="E3" s="515"/>
      <c r="F3" s="513" t="str">
        <f>IF(AND(SUM(Studies_Lung!I12:J12)=2,Studies_Lung!J12&lt;&gt;0),Studies_Lung!C12,"")</f>
        <v/>
      </c>
      <c r="G3" s="516" t="str">
        <f>IF(AND(SUM(Studies_Lung!I12:J12)=2,Studies_Lung!J12&lt;&gt;0),Studies_Lung!D12,"")</f>
        <v/>
      </c>
      <c r="H3" s="516" t="str">
        <f>IF(AND(SUM(Studies_Lung!I12:J12)=2,Studies_Lung!J12&lt;&gt;0),Studies_Lung!E12,"")</f>
        <v/>
      </c>
      <c r="I3" s="516" t="str">
        <f>IF(AND(SUM(Studies_Lung!I12:J12)=2,Studies_Lung!J12&lt;&gt;0),Studies_Lung!F12,"")</f>
        <v/>
      </c>
      <c r="J3" s="517"/>
      <c r="K3" s="517"/>
      <c r="L3" s="517"/>
      <c r="M3" s="517"/>
    </row>
    <row r="4" spans="1:13" x14ac:dyDescent="0.2">
      <c r="A4" s="513" t="str">
        <f>IF(AND(SUM(Studies_Lung!I13:J13)=2,Studies_Lung!J13&lt;&gt;0),Studies_Lung!A13,"")</f>
        <v/>
      </c>
      <c r="B4" s="513" t="str">
        <f>IF(AND(SUM(Studies_Lung!I13:J13)=2,Studies_Lung!J13&lt;&gt;0),Studies_Lung!B13,"")</f>
        <v/>
      </c>
      <c r="C4" s="515"/>
      <c r="D4" s="515"/>
      <c r="E4" s="515"/>
      <c r="F4" s="513" t="str">
        <f>IF(AND(SUM(Studies_Lung!I13:J13)=2,Studies_Lung!J13&lt;&gt;0),Studies_Lung!C13,"")</f>
        <v/>
      </c>
      <c r="G4" s="516" t="str">
        <f>IF(AND(SUM(Studies_Lung!I13:J13)=2,Studies_Lung!J13&lt;&gt;0),Studies_Lung!D13,"")</f>
        <v/>
      </c>
      <c r="H4" s="516" t="str">
        <f>IF(AND(SUM(Studies_Lung!I13:J13)=2,Studies_Lung!J13&lt;&gt;0),Studies_Lung!E13,"")</f>
        <v/>
      </c>
      <c r="I4" s="516" t="str">
        <f>IF(AND(SUM(Studies_Lung!I13:J13)=2,Studies_Lung!J13&lt;&gt;0),Studies_Lung!F13,"")</f>
        <v/>
      </c>
      <c r="J4" s="517"/>
      <c r="K4" s="517"/>
      <c r="L4" s="517"/>
      <c r="M4" s="517"/>
    </row>
    <row r="5" spans="1:13" x14ac:dyDescent="0.2">
      <c r="A5" s="513" t="str">
        <f>IF(AND(SUM(Studies_Lung!I14:J14)=2,Studies_Lung!J14&lt;&gt;0),Studies_Lung!A14,"")</f>
        <v/>
      </c>
      <c r="B5" s="513" t="str">
        <f>IF(AND(SUM(Studies_Lung!I14:J14)=2,Studies_Lung!J14&lt;&gt;0),Studies_Lung!B14,"")</f>
        <v/>
      </c>
      <c r="C5" s="515"/>
      <c r="D5" s="515"/>
      <c r="E5" s="515"/>
      <c r="F5" s="513" t="str">
        <f>IF(AND(SUM(Studies_Lung!I14:J14)=2,Studies_Lung!J14&lt;&gt;0),Studies_Lung!C14,"")</f>
        <v/>
      </c>
      <c r="G5" s="516" t="str">
        <f>IF(AND(SUM(Studies_Lung!I14:J14)=2,Studies_Lung!J14&lt;&gt;0),Studies_Lung!D14,"")</f>
        <v/>
      </c>
      <c r="H5" s="516" t="str">
        <f>IF(AND(SUM(Studies_Lung!I14:J14)=2,Studies_Lung!J14&lt;&gt;0),Studies_Lung!E14,"")</f>
        <v/>
      </c>
      <c r="I5" s="516" t="str">
        <f>IF(AND(SUM(Studies_Lung!I14:J14)=2,Studies_Lung!J14&lt;&gt;0),Studies_Lung!F14,"")</f>
        <v/>
      </c>
      <c r="J5" s="517"/>
      <c r="K5" s="517"/>
      <c r="L5" s="517"/>
      <c r="M5" s="517"/>
    </row>
    <row r="6" spans="1:13" x14ac:dyDescent="0.2">
      <c r="A6" s="513" t="str">
        <f>IF(AND(SUM(Studies_Lung!I15:J15)=2,Studies_Lung!J15&lt;&gt;0),Studies_Lung!A15,"")</f>
        <v/>
      </c>
      <c r="B6" s="513" t="str">
        <f>IF(AND(SUM(Studies_Lung!I15:J15)=2,Studies_Lung!J15&lt;&gt;0),Studies_Lung!B15,"")</f>
        <v/>
      </c>
      <c r="C6" s="515"/>
      <c r="D6" s="515"/>
      <c r="E6" s="515"/>
      <c r="F6" s="513" t="str">
        <f>IF(AND(SUM(Studies_Lung!I15:J15)=2,Studies_Lung!J15&lt;&gt;0),Studies_Lung!C15,"")</f>
        <v/>
      </c>
      <c r="G6" s="516" t="str">
        <f>IF(AND(SUM(Studies_Lung!I15:J15)=2,Studies_Lung!J15&lt;&gt;0),Studies_Lung!D15,"")</f>
        <v/>
      </c>
      <c r="H6" s="516" t="str">
        <f>IF(AND(SUM(Studies_Lung!I15:J15)=2,Studies_Lung!J15&lt;&gt;0),Studies_Lung!E15,"")</f>
        <v/>
      </c>
      <c r="I6" s="516" t="str">
        <f>IF(AND(SUM(Studies_Lung!I15:J15)=2,Studies_Lung!J15&lt;&gt;0),Studies_Lung!F15,"")</f>
        <v/>
      </c>
      <c r="J6" s="517"/>
      <c r="K6" s="517"/>
      <c r="L6" s="517"/>
      <c r="M6" s="517"/>
    </row>
    <row r="7" spans="1:13" x14ac:dyDescent="0.2">
      <c r="A7" s="513" t="str">
        <f>IF(AND(SUM(Studies_Lung!I16:J16)=2,Studies_Lung!J16&lt;&gt;0),Studies_Lung!A16,"")</f>
        <v/>
      </c>
      <c r="B7" s="513" t="str">
        <f>IF(AND(SUM(Studies_Lung!I16:J16)=2,Studies_Lung!J16&lt;&gt;0),Studies_Lung!B16,"")</f>
        <v/>
      </c>
      <c r="C7" s="515"/>
      <c r="D7" s="515"/>
      <c r="E7" s="515"/>
      <c r="F7" s="513" t="str">
        <f>IF(AND(SUM(Studies_Lung!I16:J16)=2,Studies_Lung!J16&lt;&gt;0),Studies_Lung!C16,"")</f>
        <v/>
      </c>
      <c r="G7" s="516" t="str">
        <f>IF(AND(SUM(Studies_Lung!I16:J16)=2,Studies_Lung!J16&lt;&gt;0),Studies_Lung!D16,"")</f>
        <v/>
      </c>
      <c r="H7" s="516" t="str">
        <f>IF(AND(SUM(Studies_Lung!I16:J16)=2,Studies_Lung!J16&lt;&gt;0),Studies_Lung!E16,"")</f>
        <v/>
      </c>
      <c r="I7" s="516" t="str">
        <f>IF(AND(SUM(Studies_Lung!I16:J16)=2,Studies_Lung!J16&lt;&gt;0),Studies_Lung!F16,"")</f>
        <v/>
      </c>
      <c r="J7" s="517"/>
      <c r="K7" s="517"/>
      <c r="L7" s="517"/>
      <c r="M7" s="517"/>
    </row>
    <row r="8" spans="1:13" x14ac:dyDescent="0.2">
      <c r="A8" s="513" t="str">
        <f>IF(AND(SUM(Studies_Lung!I17:J17)=2,Studies_Lung!J17&lt;&gt;0),Studies_Lung!A17,"")</f>
        <v/>
      </c>
      <c r="B8" s="513" t="str">
        <f>IF(AND(SUM(Studies_Lung!I17:J17)=2,Studies_Lung!J17&lt;&gt;0),Studies_Lung!B17,"")</f>
        <v/>
      </c>
      <c r="C8" s="515"/>
      <c r="D8" s="515"/>
      <c r="E8" s="515"/>
      <c r="F8" s="513" t="str">
        <f>IF(AND(SUM(Studies_Lung!I17:J17)=2,Studies_Lung!J17&lt;&gt;0),Studies_Lung!C17,"")</f>
        <v/>
      </c>
      <c r="G8" s="516" t="str">
        <f>IF(AND(SUM(Studies_Lung!I17:J17)=2,Studies_Lung!J17&lt;&gt;0),Studies_Lung!D17,"")</f>
        <v/>
      </c>
      <c r="H8" s="516" t="str">
        <f>IF(AND(SUM(Studies_Lung!I17:J17)=2,Studies_Lung!J17&lt;&gt;0),Studies_Lung!E17,"")</f>
        <v/>
      </c>
      <c r="I8" s="516" t="str">
        <f>IF(AND(SUM(Studies_Lung!I17:J17)=2,Studies_Lung!J17&lt;&gt;0),Studies_Lung!F17,"")</f>
        <v/>
      </c>
      <c r="J8" s="517"/>
      <c r="K8" s="517"/>
      <c r="L8" s="517"/>
      <c r="M8" s="517"/>
    </row>
    <row r="9" spans="1:13" x14ac:dyDescent="0.2">
      <c r="A9" s="513" t="str">
        <f>IF(AND(SUM(Studies_Lung!I18:J18)=2,Studies_Lung!J18&lt;&gt;0),Studies_Lung!A18,"")</f>
        <v/>
      </c>
      <c r="B9" s="513" t="str">
        <f>IF(AND(SUM(Studies_Lung!I18:J18)=2,Studies_Lung!J18&lt;&gt;0),Studies_Lung!B18,"")</f>
        <v/>
      </c>
      <c r="C9" s="515"/>
      <c r="D9" s="515"/>
      <c r="E9" s="515"/>
      <c r="F9" s="513" t="str">
        <f>IF(AND(SUM(Studies_Lung!I18:J18)=2,Studies_Lung!J18&lt;&gt;0),Studies_Lung!C18,"")</f>
        <v/>
      </c>
      <c r="G9" s="516" t="str">
        <f>IF(AND(SUM(Studies_Lung!I18:J18)=2,Studies_Lung!J18&lt;&gt;0),Studies_Lung!D18,"")</f>
        <v/>
      </c>
      <c r="H9" s="516" t="str">
        <f>IF(AND(SUM(Studies_Lung!I18:J18)=2,Studies_Lung!J18&lt;&gt;0),Studies_Lung!E18,"")</f>
        <v/>
      </c>
      <c r="I9" s="516" t="str">
        <f>IF(AND(SUM(Studies_Lung!I18:J18)=2,Studies_Lung!J18&lt;&gt;0),Studies_Lung!F18,"")</f>
        <v/>
      </c>
      <c r="J9" s="517"/>
      <c r="K9" s="517"/>
      <c r="L9" s="517"/>
      <c r="M9" s="517"/>
    </row>
    <row r="10" spans="1:13" x14ac:dyDescent="0.2">
      <c r="A10" s="513" t="str">
        <f>IF(AND(SUM(Studies_Lung!I19:J19)=2,Studies_Lung!J19&lt;&gt;0),Studies_Lung!A19,"")</f>
        <v/>
      </c>
      <c r="B10" s="513" t="str">
        <f>IF(AND(SUM(Studies_Lung!I19:J19)=2,Studies_Lung!J19&lt;&gt;0),Studies_Lung!B19,"")</f>
        <v/>
      </c>
      <c r="C10" s="515"/>
      <c r="D10" s="515"/>
      <c r="E10" s="515"/>
      <c r="F10" s="513" t="str">
        <f>IF(AND(SUM(Studies_Lung!I19:J19)=2,Studies_Lung!J19&lt;&gt;0),Studies_Lung!C19,"")</f>
        <v/>
      </c>
      <c r="G10" s="516" t="str">
        <f>IF(AND(SUM(Studies_Lung!I19:J19)=2,Studies_Lung!J19&lt;&gt;0),Studies_Lung!D19,"")</f>
        <v/>
      </c>
      <c r="H10" s="516" t="str">
        <f>IF(AND(SUM(Studies_Lung!I19:J19)=2,Studies_Lung!J19&lt;&gt;0),Studies_Lung!E19,"")</f>
        <v/>
      </c>
      <c r="I10" s="516" t="str">
        <f>IF(AND(SUM(Studies_Lung!I19:J19)=2,Studies_Lung!J19&lt;&gt;0),Studies_Lung!F19,"")</f>
        <v/>
      </c>
      <c r="J10" s="517"/>
      <c r="K10" s="517"/>
      <c r="L10" s="517"/>
      <c r="M10" s="517"/>
    </row>
    <row r="11" spans="1:13" x14ac:dyDescent="0.2">
      <c r="A11" s="513" t="str">
        <f>IF(AND(SUM(Studies_Lung!I20:J20)=2,Studies_Lung!J20&lt;&gt;0),Studies_Lung!A20,"")</f>
        <v/>
      </c>
      <c r="B11" s="513" t="str">
        <f>IF(AND(SUM(Studies_Lung!I20:J20)=2,Studies_Lung!J20&lt;&gt;0),Studies_Lung!B20,"")</f>
        <v/>
      </c>
      <c r="C11" s="515"/>
      <c r="D11" s="515"/>
      <c r="E11" s="515"/>
      <c r="F11" s="513" t="str">
        <f>IF(AND(SUM(Studies_Lung!I20:J20)=2,Studies_Lung!J20&lt;&gt;0),Studies_Lung!C20,"")</f>
        <v/>
      </c>
      <c r="G11" s="516" t="str">
        <f>IF(AND(SUM(Studies_Lung!I20:J20)=2,Studies_Lung!J20&lt;&gt;0),Studies_Lung!D20,"")</f>
        <v/>
      </c>
      <c r="H11" s="516" t="str">
        <f>IF(AND(SUM(Studies_Lung!I20:J20)=2,Studies_Lung!J20&lt;&gt;0),Studies_Lung!E20,"")</f>
        <v/>
      </c>
      <c r="I11" s="516" t="str">
        <f>IF(AND(SUM(Studies_Lung!I20:J20)=2,Studies_Lung!J20&lt;&gt;0),Studies_Lung!F20,"")</f>
        <v/>
      </c>
      <c r="J11" s="517"/>
      <c r="K11" s="517"/>
      <c r="L11" s="517"/>
      <c r="M11" s="517"/>
    </row>
    <row r="12" spans="1:13" x14ac:dyDescent="0.2">
      <c r="A12" s="513" t="str">
        <f>IF(AND(SUM(Studies_Lung!I21:J21)=2,Studies_Lung!J21&lt;&gt;0),Studies_Lung!A21,"")</f>
        <v/>
      </c>
      <c r="B12" s="513" t="str">
        <f>IF(AND(SUM(Studies_Lung!I21:J21)=2,Studies_Lung!J21&lt;&gt;0),Studies_Lung!B21,"")</f>
        <v/>
      </c>
      <c r="C12" s="515"/>
      <c r="D12" s="515"/>
      <c r="E12" s="515"/>
      <c r="F12" s="513" t="str">
        <f>IF(AND(SUM(Studies_Lung!I21:J21)=2,Studies_Lung!J21&lt;&gt;0),Studies_Lung!C21,"")</f>
        <v/>
      </c>
      <c r="G12" s="516" t="str">
        <f>IF(AND(SUM(Studies_Lung!I21:J21)=2,Studies_Lung!J21&lt;&gt;0),Studies_Lung!D21,"")</f>
        <v/>
      </c>
      <c r="H12" s="516" t="str">
        <f>IF(AND(SUM(Studies_Lung!I21:J21)=2,Studies_Lung!J21&lt;&gt;0),Studies_Lung!E21,"")</f>
        <v/>
      </c>
      <c r="I12" s="516" t="str">
        <f>IF(AND(SUM(Studies_Lung!I21:J21)=2,Studies_Lung!J21&lt;&gt;0),Studies_Lung!F21,"")</f>
        <v/>
      </c>
      <c r="J12" s="517"/>
      <c r="K12" s="517"/>
      <c r="L12" s="517"/>
      <c r="M12" s="517"/>
    </row>
    <row r="13" spans="1:13" x14ac:dyDescent="0.2">
      <c r="A13" s="513" t="str">
        <f>IF(AND(SUM(Studies_Lung!I22:J22)=2,Studies_Lung!J22&lt;&gt;0),Studies_Lung!A22,"")</f>
        <v/>
      </c>
      <c r="B13" s="513" t="str">
        <f>IF(AND(SUM(Studies_Lung!I22:J22)=2,Studies_Lung!J22&lt;&gt;0),Studies_Lung!B22,"")</f>
        <v/>
      </c>
      <c r="C13" s="515"/>
      <c r="D13" s="515"/>
      <c r="E13" s="515"/>
      <c r="F13" s="513" t="str">
        <f>IF(AND(SUM(Studies_Lung!I22:J22)=2,Studies_Lung!J22&lt;&gt;0),Studies_Lung!C22,"")</f>
        <v/>
      </c>
      <c r="G13" s="516" t="str">
        <f>IF(AND(SUM(Studies_Lung!I22:J22)=2,Studies_Lung!J22&lt;&gt;0),Studies_Lung!D22,"")</f>
        <v/>
      </c>
      <c r="H13" s="516" t="str">
        <f>IF(AND(SUM(Studies_Lung!I22:J22)=2,Studies_Lung!J22&lt;&gt;0),Studies_Lung!E22,"")</f>
        <v/>
      </c>
      <c r="I13" s="516" t="str">
        <f>IF(AND(SUM(Studies_Lung!I22:J22)=2,Studies_Lung!J22&lt;&gt;0),Studies_Lung!F22,"")</f>
        <v/>
      </c>
      <c r="J13" s="517"/>
      <c r="K13" s="517"/>
      <c r="L13" s="517"/>
      <c r="M13" s="517"/>
    </row>
    <row r="14" spans="1:13" x14ac:dyDescent="0.2">
      <c r="A14" s="513" t="str">
        <f>IF(AND(SUM(Studies_Lung!I23:J23)=2,Studies_Lung!J23&lt;&gt;0),Studies_Lung!A23,"")</f>
        <v/>
      </c>
      <c r="B14" s="513" t="str">
        <f>IF(AND(SUM(Studies_Lung!I23:J23)=2,Studies_Lung!J23&lt;&gt;0),Studies_Lung!B23,"")</f>
        <v/>
      </c>
      <c r="C14" s="515"/>
      <c r="D14" s="515"/>
      <c r="E14" s="515"/>
      <c r="F14" s="513" t="str">
        <f>IF(AND(SUM(Studies_Lung!I23:J23)=2,Studies_Lung!J23&lt;&gt;0),Studies_Lung!C23,"")</f>
        <v/>
      </c>
      <c r="G14" s="516" t="str">
        <f>IF(AND(SUM(Studies_Lung!I23:J23)=2,Studies_Lung!J23&lt;&gt;0),Studies_Lung!D23,"")</f>
        <v/>
      </c>
      <c r="H14" s="516" t="str">
        <f>IF(AND(SUM(Studies_Lung!I23:J23)=2,Studies_Lung!J23&lt;&gt;0),Studies_Lung!E23,"")</f>
        <v/>
      </c>
      <c r="I14" s="516" t="str">
        <f>IF(AND(SUM(Studies_Lung!I23:J23)=2,Studies_Lung!J23&lt;&gt;0),Studies_Lung!F23,"")</f>
        <v/>
      </c>
      <c r="J14" s="517"/>
      <c r="K14" s="517"/>
      <c r="L14" s="517"/>
      <c r="M14" s="517"/>
    </row>
    <row r="15" spans="1:13" x14ac:dyDescent="0.2">
      <c r="A15" s="513" t="str">
        <f>IF(AND(SUM(Studies_Lung!I24:J24)=2,Studies_Lung!J24&lt;&gt;0),Studies_Lung!A24,"")</f>
        <v/>
      </c>
      <c r="B15" s="513" t="str">
        <f>IF(AND(SUM(Studies_Lung!I24:J24)=2,Studies_Lung!J24&lt;&gt;0),Studies_Lung!B24,"")</f>
        <v/>
      </c>
      <c r="C15" s="515"/>
      <c r="D15" s="515"/>
      <c r="E15" s="515"/>
      <c r="F15" s="513" t="str">
        <f>IF(AND(SUM(Studies_Lung!I24:J24)=2,Studies_Lung!J24&lt;&gt;0),Studies_Lung!C24,"")</f>
        <v/>
      </c>
      <c r="G15" s="516" t="str">
        <f>IF(AND(SUM(Studies_Lung!I24:J24)=2,Studies_Lung!J24&lt;&gt;0),Studies_Lung!D24,"")</f>
        <v/>
      </c>
      <c r="H15" s="516" t="str">
        <f>IF(AND(SUM(Studies_Lung!I24:J24)=2,Studies_Lung!J24&lt;&gt;0),Studies_Lung!E24,"")</f>
        <v/>
      </c>
      <c r="I15" s="516" t="str">
        <f>IF(AND(SUM(Studies_Lung!I24:J24)=2,Studies_Lung!J24&lt;&gt;0),Studies_Lung!F24,"")</f>
        <v/>
      </c>
      <c r="J15" s="517"/>
      <c r="K15" s="517"/>
      <c r="L15" s="517"/>
      <c r="M15" s="517"/>
    </row>
    <row r="16" spans="1:13" x14ac:dyDescent="0.2">
      <c r="A16" s="513" t="str">
        <f>IF(AND(SUM(Studies_Lung!I25:J25)=2,Studies_Lung!J25&lt;&gt;0),Studies_Lung!A25,"")</f>
        <v/>
      </c>
      <c r="B16" s="513" t="str">
        <f>IF(AND(SUM(Studies_Lung!I25:J25)=2,Studies_Lung!J25&lt;&gt;0),Studies_Lung!B25,"")</f>
        <v/>
      </c>
      <c r="C16" s="515"/>
      <c r="D16" s="515"/>
      <c r="E16" s="515"/>
      <c r="F16" s="513" t="str">
        <f>IF(AND(SUM(Studies_Lung!I25:J25)=2,Studies_Lung!J25&lt;&gt;0),Studies_Lung!C25,"")</f>
        <v/>
      </c>
      <c r="G16" s="516" t="str">
        <f>IF(AND(SUM(Studies_Lung!I25:J25)=2,Studies_Lung!J25&lt;&gt;0),Studies_Lung!D25,"")</f>
        <v/>
      </c>
      <c r="H16" s="516" t="str">
        <f>IF(AND(SUM(Studies_Lung!I25:J25)=2,Studies_Lung!J25&lt;&gt;0),Studies_Lung!E25,"")</f>
        <v/>
      </c>
      <c r="I16" s="516" t="str">
        <f>IF(AND(SUM(Studies_Lung!I25:J25)=2,Studies_Lung!J25&lt;&gt;0),Studies_Lung!F25,"")</f>
        <v/>
      </c>
      <c r="J16" s="517"/>
      <c r="K16" s="517"/>
      <c r="L16" s="517"/>
      <c r="M16" s="517"/>
    </row>
    <row r="17" spans="1:13" x14ac:dyDescent="0.2">
      <c r="A17" s="513" t="str">
        <f>IF(AND(SUM(Studies_Lung!I26:J26)=2,Studies_Lung!J26&lt;&gt;0),Studies_Lung!A26,"")</f>
        <v/>
      </c>
      <c r="B17" s="513" t="str">
        <f>IF(AND(SUM(Studies_Lung!I26:J26)=2,Studies_Lung!J26&lt;&gt;0),Studies_Lung!B26,"")</f>
        <v/>
      </c>
      <c r="C17" s="515"/>
      <c r="D17" s="515"/>
      <c r="E17" s="515"/>
      <c r="F17" s="513" t="str">
        <f>IF(AND(SUM(Studies_Lung!I26:J26)=2,Studies_Lung!J26&lt;&gt;0),Studies_Lung!C26,"")</f>
        <v/>
      </c>
      <c r="G17" s="516" t="str">
        <f>IF(AND(SUM(Studies_Lung!I26:J26)=2,Studies_Lung!J26&lt;&gt;0),Studies_Lung!D26,"")</f>
        <v/>
      </c>
      <c r="H17" s="516" t="str">
        <f>IF(AND(SUM(Studies_Lung!I26:J26)=2,Studies_Lung!J26&lt;&gt;0),Studies_Lung!E26,"")</f>
        <v/>
      </c>
      <c r="I17" s="516" t="str">
        <f>IF(AND(SUM(Studies_Lung!I26:J26)=2,Studies_Lung!J26&lt;&gt;0),Studies_Lung!F26,"")</f>
        <v/>
      </c>
      <c r="J17" s="517"/>
      <c r="K17" s="517"/>
      <c r="L17" s="517"/>
      <c r="M17" s="517"/>
    </row>
    <row r="18" spans="1:13" x14ac:dyDescent="0.2">
      <c r="A18" s="513" t="str">
        <f>IF(AND(SUM(Studies_Lung!I27:J27)=2,Studies_Lung!J27&lt;&gt;0),Studies_Lung!A27,"")</f>
        <v/>
      </c>
      <c r="B18" s="513" t="str">
        <f>IF(AND(SUM(Studies_Lung!I27:J27)=2,Studies_Lung!J27&lt;&gt;0),Studies_Lung!B27,"")</f>
        <v/>
      </c>
      <c r="C18" s="515"/>
      <c r="D18" s="515"/>
      <c r="E18" s="515"/>
      <c r="F18" s="513" t="str">
        <f>IF(AND(SUM(Studies_Lung!I27:J27)=2,Studies_Lung!J27&lt;&gt;0),Studies_Lung!C27,"")</f>
        <v/>
      </c>
      <c r="G18" s="516" t="str">
        <f>IF(AND(SUM(Studies_Lung!I27:J27)=2,Studies_Lung!J27&lt;&gt;0),Studies_Lung!D27,"")</f>
        <v/>
      </c>
      <c r="H18" s="516" t="str">
        <f>IF(AND(SUM(Studies_Lung!I27:J27)=2,Studies_Lung!J27&lt;&gt;0),Studies_Lung!E27,"")</f>
        <v/>
      </c>
      <c r="I18" s="516" t="str">
        <f>IF(AND(SUM(Studies_Lung!I27:J27)=2,Studies_Lung!J27&lt;&gt;0),Studies_Lung!F27,"")</f>
        <v/>
      </c>
      <c r="J18" s="517"/>
      <c r="K18" s="517"/>
      <c r="L18" s="517"/>
      <c r="M18" s="517"/>
    </row>
    <row r="19" spans="1:13" x14ac:dyDescent="0.2">
      <c r="A19" s="513" t="str">
        <f>IF(AND(SUM(Studies_Lung!I28:J28)=2,Studies_Lung!J28&lt;&gt;0),Studies_Lung!A28,"")</f>
        <v/>
      </c>
      <c r="B19" s="513" t="str">
        <f>IF(AND(SUM(Studies_Lung!I28:J28)=2,Studies_Lung!J28&lt;&gt;0),Studies_Lung!B28,"")</f>
        <v/>
      </c>
      <c r="C19" s="515"/>
      <c r="D19" s="515"/>
      <c r="E19" s="515"/>
      <c r="F19" s="513" t="str">
        <f>IF(AND(SUM(Studies_Lung!I28:J28)=2,Studies_Lung!J28&lt;&gt;0),Studies_Lung!C28,"")</f>
        <v/>
      </c>
      <c r="G19" s="516" t="str">
        <f>IF(AND(SUM(Studies_Lung!I28:J28)=2,Studies_Lung!J28&lt;&gt;0),Studies_Lung!D28,"")</f>
        <v/>
      </c>
      <c r="H19" s="516" t="str">
        <f>IF(AND(SUM(Studies_Lung!I28:J28)=2,Studies_Lung!J28&lt;&gt;0),Studies_Lung!E28,"")</f>
        <v/>
      </c>
      <c r="I19" s="516" t="str">
        <f>IF(AND(SUM(Studies_Lung!I28:J28)=2,Studies_Lung!J28&lt;&gt;0),Studies_Lung!F28,"")</f>
        <v/>
      </c>
      <c r="J19" s="517"/>
      <c r="K19" s="517"/>
      <c r="L19" s="517"/>
      <c r="M19" s="517"/>
    </row>
    <row r="20" spans="1:13" x14ac:dyDescent="0.2">
      <c r="A20" s="513" t="str">
        <f>IF(AND(SUM(Studies_Lung!I29:J29)=2,Studies_Lung!J29&lt;&gt;0),Studies_Lung!A29,"")</f>
        <v/>
      </c>
      <c r="B20" s="513" t="str">
        <f>IF(AND(SUM(Studies_Lung!I29:J29)=2,Studies_Lung!J29&lt;&gt;0),Studies_Lung!B29,"")</f>
        <v/>
      </c>
      <c r="C20" s="515"/>
      <c r="D20" s="515"/>
      <c r="E20" s="515"/>
      <c r="F20" s="513" t="str">
        <f>IF(AND(SUM(Studies_Lung!I29:J29)=2,Studies_Lung!J29&lt;&gt;0),Studies_Lung!C29,"")</f>
        <v/>
      </c>
      <c r="G20" s="516" t="str">
        <f>IF(AND(SUM(Studies_Lung!I29:J29)=2,Studies_Lung!J29&lt;&gt;0),Studies_Lung!D29,"")</f>
        <v/>
      </c>
      <c r="H20" s="516" t="str">
        <f>IF(AND(SUM(Studies_Lung!I29:J29)=2,Studies_Lung!J29&lt;&gt;0),Studies_Lung!E29,"")</f>
        <v/>
      </c>
      <c r="I20" s="516" t="str">
        <f>IF(AND(SUM(Studies_Lung!I29:J29)=2,Studies_Lung!J29&lt;&gt;0),Studies_Lung!F29,"")</f>
        <v/>
      </c>
      <c r="J20" s="517"/>
      <c r="K20" s="517"/>
      <c r="L20" s="517"/>
      <c r="M20" s="517"/>
    </row>
    <row r="21" spans="1:13" x14ac:dyDescent="0.2">
      <c r="A21" s="513" t="str">
        <f>IF(AND(SUM(Studies_Lung!I30:J30)=2,Studies_Lung!J30&lt;&gt;0),Studies_Lung!A30,"")</f>
        <v/>
      </c>
      <c r="B21" s="513" t="str">
        <f>IF(AND(SUM(Studies_Lung!I30:J30)=2,Studies_Lung!J30&lt;&gt;0),Studies_Lung!B30,"")</f>
        <v/>
      </c>
      <c r="C21" s="515"/>
      <c r="D21" s="515"/>
      <c r="E21" s="515"/>
      <c r="F21" s="513" t="str">
        <f>IF(AND(SUM(Studies_Lung!I30:J30)=2,Studies_Lung!J30&lt;&gt;0),Studies_Lung!C30,"")</f>
        <v/>
      </c>
      <c r="G21" s="516" t="str">
        <f>IF(AND(SUM(Studies_Lung!I30:J30)=2,Studies_Lung!J30&lt;&gt;0),Studies_Lung!D30,"")</f>
        <v/>
      </c>
      <c r="H21" s="516" t="str">
        <f>IF(AND(SUM(Studies_Lung!I30:J30)=2,Studies_Lung!J30&lt;&gt;0),Studies_Lung!E30,"")</f>
        <v/>
      </c>
      <c r="I21" s="516" t="str">
        <f>IF(AND(SUM(Studies_Lung!I30:J30)=2,Studies_Lung!J30&lt;&gt;0),Studies_Lung!F30,"")</f>
        <v/>
      </c>
      <c r="J21" s="517"/>
      <c r="K21" s="517"/>
      <c r="L21" s="517"/>
      <c r="M21" s="517"/>
    </row>
    <row r="22" spans="1:13" x14ac:dyDescent="0.2">
      <c r="A22" s="513" t="str">
        <f>IF(AND(SUM(Studies_Lung!I31:J31)=2,Studies_Lung!J31&lt;&gt;0),Studies_Lung!A31,"")</f>
        <v/>
      </c>
      <c r="B22" s="513" t="str">
        <f>IF(AND(SUM(Studies_Lung!I31:J31)=2,Studies_Lung!J31&lt;&gt;0),Studies_Lung!B31,"")</f>
        <v/>
      </c>
      <c r="C22" s="515"/>
      <c r="D22" s="515"/>
      <c r="E22" s="515"/>
      <c r="F22" s="513" t="str">
        <f>IF(AND(SUM(Studies_Lung!I31:J31)=2,Studies_Lung!J31&lt;&gt;0),Studies_Lung!C31,"")</f>
        <v/>
      </c>
      <c r="G22" s="516" t="str">
        <f>IF(AND(SUM(Studies_Lung!I31:J31)=2,Studies_Lung!J31&lt;&gt;0),Studies_Lung!D31,"")</f>
        <v/>
      </c>
      <c r="H22" s="516" t="str">
        <f>IF(AND(SUM(Studies_Lung!I31:J31)=2,Studies_Lung!J31&lt;&gt;0),Studies_Lung!E31,"")</f>
        <v/>
      </c>
      <c r="I22" s="516" t="str">
        <f>IF(AND(SUM(Studies_Lung!I31:J31)=2,Studies_Lung!J31&lt;&gt;0),Studies_Lung!F31,"")</f>
        <v/>
      </c>
      <c r="J22" s="517"/>
      <c r="K22" s="517"/>
      <c r="L22" s="517"/>
      <c r="M22" s="517"/>
    </row>
    <row r="23" spans="1:13" x14ac:dyDescent="0.2">
      <c r="A23" s="513" t="str">
        <f>IF(AND(SUM(Studies_Lung!I32:J32)=2,Studies_Lung!J32&lt;&gt;0),Studies_Lung!A32,"")</f>
        <v/>
      </c>
      <c r="B23" s="513" t="str">
        <f>IF(AND(SUM(Studies_Lung!I32:J32)=2,Studies_Lung!J32&lt;&gt;0),Studies_Lung!B32,"")</f>
        <v/>
      </c>
      <c r="C23" s="515"/>
      <c r="D23" s="515"/>
      <c r="E23" s="515"/>
      <c r="F23" s="513" t="str">
        <f>IF(AND(SUM(Studies_Lung!I32:J32)=2,Studies_Lung!J32&lt;&gt;0),Studies_Lung!C32,"")</f>
        <v/>
      </c>
      <c r="G23" s="516" t="str">
        <f>IF(AND(SUM(Studies_Lung!I32:J32)=2,Studies_Lung!J32&lt;&gt;0),Studies_Lung!D32,"")</f>
        <v/>
      </c>
      <c r="H23" s="516" t="str">
        <f>IF(AND(SUM(Studies_Lung!I32:J32)=2,Studies_Lung!J32&lt;&gt;0),Studies_Lung!E32,"")</f>
        <v/>
      </c>
      <c r="I23" s="516" t="str">
        <f>IF(AND(SUM(Studies_Lung!I32:J32)=2,Studies_Lung!J32&lt;&gt;0),Studies_Lung!F32,"")</f>
        <v/>
      </c>
      <c r="J23" s="517"/>
      <c r="K23" s="517"/>
      <c r="L23" s="517"/>
      <c r="M23" s="517"/>
    </row>
    <row r="24" spans="1:13" x14ac:dyDescent="0.2">
      <c r="A24" s="513" t="str">
        <f>IF(AND(SUM(Studies_Lung!I33:J33)=2,Studies_Lung!J33&lt;&gt;0),Studies_Lung!A33,"")</f>
        <v/>
      </c>
      <c r="B24" s="513" t="str">
        <f>IF(AND(SUM(Studies_Lung!I33:J33)=2,Studies_Lung!J33&lt;&gt;0),Studies_Lung!B33,"")</f>
        <v/>
      </c>
      <c r="C24" s="515"/>
      <c r="D24" s="515"/>
      <c r="E24" s="515"/>
      <c r="F24" s="513" t="str">
        <f>IF(AND(SUM(Studies_Lung!I33:J33)=2,Studies_Lung!J33&lt;&gt;0),Studies_Lung!C33,"")</f>
        <v/>
      </c>
      <c r="G24" s="516" t="str">
        <f>IF(AND(SUM(Studies_Lung!I33:J33)=2,Studies_Lung!J33&lt;&gt;0),Studies_Lung!D33,"")</f>
        <v/>
      </c>
      <c r="H24" s="516" t="str">
        <f>IF(AND(SUM(Studies_Lung!I33:J33)=2,Studies_Lung!J33&lt;&gt;0),Studies_Lung!E33,"")</f>
        <v/>
      </c>
      <c r="I24" s="516" t="str">
        <f>IF(AND(SUM(Studies_Lung!I33:J33)=2,Studies_Lung!J33&lt;&gt;0),Studies_Lung!F33,"")</f>
        <v/>
      </c>
      <c r="J24" s="517"/>
      <c r="K24" s="517"/>
      <c r="L24" s="517"/>
      <c r="M24" s="517"/>
    </row>
    <row r="25" spans="1:13" x14ac:dyDescent="0.2">
      <c r="A25" s="513" t="str">
        <f>IF(AND(SUM(Studies_Lung!I34:J34)=2,Studies_Lung!J34&lt;&gt;0),Studies_Lung!A34,"")</f>
        <v/>
      </c>
      <c r="B25" s="513" t="str">
        <f>IF(AND(SUM(Studies_Lung!I34:J34)=2,Studies_Lung!J34&lt;&gt;0),Studies_Lung!B34,"")</f>
        <v/>
      </c>
      <c r="C25" s="515"/>
      <c r="D25" s="515"/>
      <c r="E25" s="515"/>
      <c r="F25" s="513" t="str">
        <f>IF(AND(SUM(Studies_Lung!I34:J34)=2,Studies_Lung!J34&lt;&gt;0),Studies_Lung!C34,"")</f>
        <v/>
      </c>
      <c r="G25" s="516" t="str">
        <f>IF(AND(SUM(Studies_Lung!I34:J34)=2,Studies_Lung!J34&lt;&gt;0),Studies_Lung!D34,"")</f>
        <v/>
      </c>
      <c r="H25" s="516" t="str">
        <f>IF(AND(SUM(Studies_Lung!I34:J34)=2,Studies_Lung!J34&lt;&gt;0),Studies_Lung!E34,"")</f>
        <v/>
      </c>
      <c r="I25" s="516" t="str">
        <f>IF(AND(SUM(Studies_Lung!I34:J34)=2,Studies_Lung!J34&lt;&gt;0),Studies_Lung!F34,"")</f>
        <v/>
      </c>
      <c r="J25" s="517"/>
      <c r="K25" s="517"/>
      <c r="L25" s="517"/>
      <c r="M25" s="517"/>
    </row>
    <row r="26" spans="1:13" x14ac:dyDescent="0.2">
      <c r="A26" s="513" t="str">
        <f>IF(AND(SUM(Studies_Lung!I35:J35)=2,Studies_Lung!J35&lt;&gt;0),Studies_Lung!A35,"")</f>
        <v/>
      </c>
      <c r="B26" s="513" t="str">
        <f>IF(AND(SUM(Studies_Lung!I35:J35)=2,Studies_Lung!J35&lt;&gt;0),Studies_Lung!B35,"")</f>
        <v/>
      </c>
      <c r="C26" s="515"/>
      <c r="D26" s="515"/>
      <c r="E26" s="515"/>
      <c r="F26" s="513" t="str">
        <f>IF(AND(SUM(Studies_Lung!I35:J35)=2,Studies_Lung!J35&lt;&gt;0),Studies_Lung!C35,"")</f>
        <v/>
      </c>
      <c r="G26" s="516" t="str">
        <f>IF(AND(SUM(Studies_Lung!I35:J35)=2,Studies_Lung!J35&lt;&gt;0),Studies_Lung!D35,"")</f>
        <v/>
      </c>
      <c r="H26" s="516" t="str">
        <f>IF(AND(SUM(Studies_Lung!I35:J35)=2,Studies_Lung!J35&lt;&gt;0),Studies_Lung!E35,"")</f>
        <v/>
      </c>
      <c r="I26" s="516" t="str">
        <f>IF(AND(SUM(Studies_Lung!I35:J35)=2,Studies_Lung!J35&lt;&gt;0),Studies_Lung!F35,"")</f>
        <v/>
      </c>
      <c r="J26" s="517"/>
      <c r="K26" s="517"/>
      <c r="L26" s="517"/>
      <c r="M26" s="517"/>
    </row>
    <row r="27" spans="1:13" x14ac:dyDescent="0.2">
      <c r="A27" s="513" t="str">
        <f>IF(AND(SUM(Studies_Lung!I36:J36)=2,Studies_Lung!J36&lt;&gt;0),Studies_Lung!A36,"")</f>
        <v/>
      </c>
      <c r="B27" s="513" t="str">
        <f>IF(AND(SUM(Studies_Lung!I36:J36)=2,Studies_Lung!J36&lt;&gt;0),Studies_Lung!B36,"")</f>
        <v/>
      </c>
      <c r="C27" s="515"/>
      <c r="D27" s="515"/>
      <c r="E27" s="515"/>
      <c r="F27" s="513" t="str">
        <f>IF(AND(SUM(Studies_Lung!I36:J36)=2,Studies_Lung!J36&lt;&gt;0),Studies_Lung!C36,"")</f>
        <v/>
      </c>
      <c r="G27" s="516" t="str">
        <f>IF(AND(SUM(Studies_Lung!I36:J36)=2,Studies_Lung!J36&lt;&gt;0),Studies_Lung!D36,"")</f>
        <v/>
      </c>
      <c r="H27" s="516" t="str">
        <f>IF(AND(SUM(Studies_Lung!I36:J36)=2,Studies_Lung!J36&lt;&gt;0),Studies_Lung!E36,"")</f>
        <v/>
      </c>
      <c r="I27" s="516" t="str">
        <f>IF(AND(SUM(Studies_Lung!I36:J36)=2,Studies_Lung!J36&lt;&gt;0),Studies_Lung!F36,"")</f>
        <v/>
      </c>
      <c r="J27" s="517"/>
      <c r="K27" s="517"/>
      <c r="L27" s="517"/>
      <c r="M27" s="517"/>
    </row>
    <row r="28" spans="1:13" x14ac:dyDescent="0.2">
      <c r="A28" s="513" t="str">
        <f>IF(AND(SUM(Studies_Lung!I37:J37)=2,Studies_Lung!J37&lt;&gt;0),Studies_Lung!A37,"")</f>
        <v/>
      </c>
      <c r="B28" s="513" t="str">
        <f>IF(AND(SUM(Studies_Lung!I37:J37)=2,Studies_Lung!J37&lt;&gt;0),Studies_Lung!B37,"")</f>
        <v/>
      </c>
      <c r="C28" s="515"/>
      <c r="D28" s="515"/>
      <c r="E28" s="515"/>
      <c r="F28" s="513" t="str">
        <f>IF(AND(SUM(Studies_Lung!I37:J37)=2,Studies_Lung!J37&lt;&gt;0),Studies_Lung!C37,"")</f>
        <v/>
      </c>
      <c r="G28" s="516" t="str">
        <f>IF(AND(SUM(Studies_Lung!I37:J37)=2,Studies_Lung!J37&lt;&gt;0),Studies_Lung!D37,"")</f>
        <v/>
      </c>
      <c r="H28" s="516" t="str">
        <f>IF(AND(SUM(Studies_Lung!I37:J37)=2,Studies_Lung!J37&lt;&gt;0),Studies_Lung!E37,"")</f>
        <v/>
      </c>
      <c r="I28" s="516" t="str">
        <f>IF(AND(SUM(Studies_Lung!I37:J37)=2,Studies_Lung!J37&lt;&gt;0),Studies_Lung!F37,"")</f>
        <v/>
      </c>
      <c r="J28" s="517"/>
      <c r="K28" s="517"/>
      <c r="L28" s="517"/>
      <c r="M28" s="517"/>
    </row>
    <row r="29" spans="1:13" x14ac:dyDescent="0.2">
      <c r="A29" s="513" t="str">
        <f>IF(AND(SUM(Studies_Lung!I38:J38)=2,Studies_Lung!J38&lt;&gt;0),Studies_Lung!A38,"")</f>
        <v/>
      </c>
      <c r="B29" s="513" t="str">
        <f>IF(AND(SUM(Studies_Lung!I38:J38)=2,Studies_Lung!J38&lt;&gt;0),Studies_Lung!B38,"")</f>
        <v/>
      </c>
      <c r="C29" s="515"/>
      <c r="D29" s="515"/>
      <c r="E29" s="515"/>
      <c r="F29" s="513" t="str">
        <f>IF(AND(SUM(Studies_Lung!I38:J38)=2,Studies_Lung!J38&lt;&gt;0),Studies_Lung!C38,"")</f>
        <v/>
      </c>
      <c r="G29" s="516" t="str">
        <f>IF(AND(SUM(Studies_Lung!I38:J38)=2,Studies_Lung!J38&lt;&gt;0),Studies_Lung!D38,"")</f>
        <v/>
      </c>
      <c r="H29" s="516" t="str">
        <f>IF(AND(SUM(Studies_Lung!I38:J38)=2,Studies_Lung!J38&lt;&gt;0),Studies_Lung!E38,"")</f>
        <v/>
      </c>
      <c r="I29" s="516" t="str">
        <f>IF(AND(SUM(Studies_Lung!I38:J38)=2,Studies_Lung!J38&lt;&gt;0),Studies_Lung!F38,"")</f>
        <v/>
      </c>
      <c r="J29" s="517"/>
      <c r="K29" s="517"/>
      <c r="L29" s="517"/>
      <c r="M29" s="517"/>
    </row>
    <row r="30" spans="1:13" x14ac:dyDescent="0.2">
      <c r="A30" s="513" t="str">
        <f>IF(AND(SUM(Studies_Lung!I39:J39)=2,Studies_Lung!J39&lt;&gt;0),Studies_Lung!A39,"")</f>
        <v/>
      </c>
      <c r="B30" s="513" t="str">
        <f>IF(AND(SUM(Studies_Lung!I39:J39)=2,Studies_Lung!J39&lt;&gt;0),Studies_Lung!B39,"")</f>
        <v/>
      </c>
      <c r="C30" s="515"/>
      <c r="D30" s="515"/>
      <c r="E30" s="515"/>
      <c r="F30" s="513" t="str">
        <f>IF(AND(SUM(Studies_Lung!I39:J39)=2,Studies_Lung!J39&lt;&gt;0),Studies_Lung!C39,"")</f>
        <v/>
      </c>
      <c r="G30" s="516" t="str">
        <f>IF(AND(SUM(Studies_Lung!I39:J39)=2,Studies_Lung!J39&lt;&gt;0),Studies_Lung!D39,"")</f>
        <v/>
      </c>
      <c r="H30" s="516" t="str">
        <f>IF(AND(SUM(Studies_Lung!I39:J39)=2,Studies_Lung!J39&lt;&gt;0),Studies_Lung!E39,"")</f>
        <v/>
      </c>
      <c r="I30" s="516" t="str">
        <f>IF(AND(SUM(Studies_Lung!I39:J39)=2,Studies_Lung!J39&lt;&gt;0),Studies_Lung!F39,"")</f>
        <v/>
      </c>
      <c r="J30" s="517"/>
      <c r="K30" s="517"/>
      <c r="L30" s="517"/>
      <c r="M30" s="517"/>
    </row>
    <row r="31" spans="1:13" x14ac:dyDescent="0.2">
      <c r="A31" s="513" t="str">
        <f>IF(AND(SUM(Studies_Lung!I40:J40)=2,Studies_Lung!J40&lt;&gt;0),Studies_Lung!A40,"")</f>
        <v/>
      </c>
      <c r="B31" s="513" t="str">
        <f>IF(AND(SUM(Studies_Lung!I40:J40)=2,Studies_Lung!J40&lt;&gt;0),Studies_Lung!B40,"")</f>
        <v/>
      </c>
      <c r="C31" s="515"/>
      <c r="D31" s="515"/>
      <c r="E31" s="515"/>
      <c r="F31" s="513" t="str">
        <f>IF(AND(SUM(Studies_Lung!I40:J40)=2,Studies_Lung!J40&lt;&gt;0),Studies_Lung!C40,"")</f>
        <v/>
      </c>
      <c r="G31" s="516" t="str">
        <f>IF(AND(SUM(Studies_Lung!I40:J40)=2,Studies_Lung!J40&lt;&gt;0),Studies_Lung!D40,"")</f>
        <v/>
      </c>
      <c r="H31" s="516" t="str">
        <f>IF(AND(SUM(Studies_Lung!I40:J40)=2,Studies_Lung!J40&lt;&gt;0),Studies_Lung!E40,"")</f>
        <v/>
      </c>
      <c r="I31" s="516" t="str">
        <f>IF(AND(SUM(Studies_Lung!I40:J40)=2,Studies_Lung!J40&lt;&gt;0),Studies_Lung!F40,"")</f>
        <v/>
      </c>
      <c r="J31" s="517"/>
      <c r="K31" s="517"/>
      <c r="L31" s="517"/>
      <c r="M31" s="517"/>
    </row>
    <row r="32" spans="1:13" x14ac:dyDescent="0.2">
      <c r="A32" s="513" t="str">
        <f>IF(AND(SUM(Studies_Lung!I41:J41)=2,Studies_Lung!J41&lt;&gt;0),Studies_Lung!A41,"")</f>
        <v/>
      </c>
      <c r="B32" s="513" t="str">
        <f>IF(AND(SUM(Studies_Lung!I41:J41)=2,Studies_Lung!J41&lt;&gt;0),Studies_Lung!B41,"")</f>
        <v/>
      </c>
      <c r="C32" s="518"/>
      <c r="D32" s="518"/>
      <c r="E32" s="518"/>
      <c r="F32" s="513" t="str">
        <f>IF(AND(SUM(Studies_Lung!I41:J41)=2,Studies_Lung!J41&lt;&gt;0),Studies_Lung!C41,"")</f>
        <v/>
      </c>
      <c r="G32" s="516" t="str">
        <f>IF(AND(SUM(Studies_Lung!I41:J41)=2,Studies_Lung!J41&lt;&gt;0),Studies_Lung!D41,"")</f>
        <v/>
      </c>
      <c r="H32" s="516" t="str">
        <f>IF(AND(SUM(Studies_Lung!I41:J41)=2,Studies_Lung!J41&lt;&gt;0),Studies_Lung!E41,"")</f>
        <v/>
      </c>
      <c r="I32" s="516" t="str">
        <f>IF(AND(SUM(Studies_Lung!I41:J41)=2,Studies_Lung!J41&lt;&gt;0),Studies_Lung!F41,"")</f>
        <v/>
      </c>
      <c r="J32" s="517"/>
      <c r="K32" s="517"/>
      <c r="L32" s="517"/>
      <c r="M32" s="517"/>
    </row>
    <row r="33" spans="1:13" x14ac:dyDescent="0.2">
      <c r="A33" s="513" t="str">
        <f>IF(AND(SUM(Studies_Lung!I42:J42)=2,Studies_Lung!J42&lt;&gt;0),Studies_Lung!A42,"")</f>
        <v/>
      </c>
      <c r="B33" s="513" t="str">
        <f>IF(AND(SUM(Studies_Lung!I42:J42)=2,Studies_Lung!J42&lt;&gt;0),Studies_Lung!B42,"")</f>
        <v/>
      </c>
      <c r="C33" s="518"/>
      <c r="D33" s="518"/>
      <c r="E33" s="518"/>
      <c r="F33" s="513" t="str">
        <f>IF(AND(SUM(Studies_Lung!I42:J42)=2,Studies_Lung!J42&lt;&gt;0),Studies_Lung!C42,"")</f>
        <v/>
      </c>
      <c r="G33" s="516" t="str">
        <f>IF(AND(SUM(Studies_Lung!I42:J42)=2,Studies_Lung!J42&lt;&gt;0),Studies_Lung!D42,"")</f>
        <v/>
      </c>
      <c r="H33" s="516" t="str">
        <f>IF(AND(SUM(Studies_Lung!I42:J42)=2,Studies_Lung!J42&lt;&gt;0),Studies_Lung!E42,"")</f>
        <v/>
      </c>
      <c r="I33" s="516" t="str">
        <f>IF(AND(SUM(Studies_Lung!I42:J42)=2,Studies_Lung!J42&lt;&gt;0),Studies_Lung!F42,"")</f>
        <v/>
      </c>
      <c r="J33" s="517"/>
      <c r="K33" s="517"/>
      <c r="L33" s="517"/>
      <c r="M33" s="517"/>
    </row>
    <row r="34" spans="1:13" x14ac:dyDescent="0.2">
      <c r="A34" s="513" t="str">
        <f>IF(AND(SUM(Studies_Lung!I43:J43)=2,Studies_Lung!J43&lt;&gt;0),Studies_Lung!A43,"")</f>
        <v/>
      </c>
      <c r="B34" s="513" t="str">
        <f>IF(AND(SUM(Studies_Lung!I43:J43)=2,Studies_Lung!J43&lt;&gt;0),Studies_Lung!B43,"")</f>
        <v/>
      </c>
      <c r="C34" s="518"/>
      <c r="D34" s="518"/>
      <c r="E34" s="518"/>
      <c r="F34" s="513" t="str">
        <f>IF(AND(SUM(Studies_Lung!I43:J43)=2,Studies_Lung!J43&lt;&gt;0),Studies_Lung!C43,"")</f>
        <v/>
      </c>
      <c r="G34" s="516" t="str">
        <f>IF(AND(SUM(Studies_Lung!I43:J43)=2,Studies_Lung!J43&lt;&gt;0),Studies_Lung!D43,"")</f>
        <v/>
      </c>
      <c r="H34" s="516" t="str">
        <f>IF(AND(SUM(Studies_Lung!I43:J43)=2,Studies_Lung!J43&lt;&gt;0),Studies_Lung!E43,"")</f>
        <v/>
      </c>
      <c r="I34" s="516" t="str">
        <f>IF(AND(SUM(Studies_Lung!I43:J43)=2,Studies_Lung!J43&lt;&gt;0),Studies_Lung!F43,"")</f>
        <v/>
      </c>
      <c r="J34" s="517"/>
      <c r="K34" s="517"/>
      <c r="L34" s="517"/>
      <c r="M34" s="517"/>
    </row>
    <row r="35" spans="1:13" x14ac:dyDescent="0.2">
      <c r="A35" s="513" t="str">
        <f>IF(AND(SUM(Studies_Lung!I44:J44)=2,Studies_Lung!J44&lt;&gt;0),Studies_Lung!A44,"")</f>
        <v/>
      </c>
      <c r="B35" s="513" t="str">
        <f>IF(AND(SUM(Studies_Lung!I44:J44)=2,Studies_Lung!J44&lt;&gt;0),Studies_Lung!B44,"")</f>
        <v/>
      </c>
      <c r="C35" s="518"/>
      <c r="D35" s="518"/>
      <c r="E35" s="518"/>
      <c r="F35" s="513" t="str">
        <f>IF(AND(SUM(Studies_Lung!I44:J44)=2,Studies_Lung!J44&lt;&gt;0),Studies_Lung!C44,"")</f>
        <v/>
      </c>
      <c r="G35" s="516" t="str">
        <f>IF(AND(SUM(Studies_Lung!I44:J44)=2,Studies_Lung!J44&lt;&gt;0),Studies_Lung!D44,"")</f>
        <v/>
      </c>
      <c r="H35" s="516" t="str">
        <f>IF(AND(SUM(Studies_Lung!I44:J44)=2,Studies_Lung!J44&lt;&gt;0),Studies_Lung!E44,"")</f>
        <v/>
      </c>
      <c r="I35" s="516" t="str">
        <f>IF(AND(SUM(Studies_Lung!I44:J44)=2,Studies_Lung!J44&lt;&gt;0),Studies_Lung!F44,"")</f>
        <v/>
      </c>
      <c r="J35" s="517"/>
      <c r="K35" s="517"/>
      <c r="L35" s="517"/>
      <c r="M35" s="517"/>
    </row>
    <row r="36" spans="1:13" x14ac:dyDescent="0.2">
      <c r="A36" s="513" t="str">
        <f>IF(AND(SUM(Studies_Lung!I45:J45)=2,Studies_Lung!J45&lt;&gt;0),Studies_Lung!A45,"")</f>
        <v/>
      </c>
      <c r="B36" s="513" t="str">
        <f>IF(AND(SUM(Studies_Lung!I45:J45)=2,Studies_Lung!J45&lt;&gt;0),Studies_Lung!B45,"")</f>
        <v/>
      </c>
      <c r="C36" s="518"/>
      <c r="D36" s="518"/>
      <c r="E36" s="518"/>
      <c r="F36" s="513" t="str">
        <f>IF(AND(SUM(Studies_Lung!I45:J45)=2,Studies_Lung!J45&lt;&gt;0),Studies_Lung!C45,"")</f>
        <v/>
      </c>
      <c r="G36" s="516" t="str">
        <f>IF(AND(SUM(Studies_Lung!I45:J45)=2,Studies_Lung!J45&lt;&gt;0),Studies_Lung!D45,"")</f>
        <v/>
      </c>
      <c r="H36" s="516" t="str">
        <f>IF(AND(SUM(Studies_Lung!I45:J45)=2,Studies_Lung!J45&lt;&gt;0),Studies_Lung!E45,"")</f>
        <v/>
      </c>
      <c r="I36" s="516" t="str">
        <f>IF(AND(SUM(Studies_Lung!I45:J45)=2,Studies_Lung!J45&lt;&gt;0),Studies_Lung!F45,"")</f>
        <v/>
      </c>
      <c r="J36" s="517"/>
      <c r="K36" s="517"/>
      <c r="L36" s="517"/>
      <c r="M36" s="517"/>
    </row>
    <row r="37" spans="1:13" x14ac:dyDescent="0.2">
      <c r="A37" s="513" t="str">
        <f>IF(AND(SUM(Studies_Lung!I46:J46)=2,Studies_Lung!J46&lt;&gt;0),Studies_Lung!A46,"")</f>
        <v/>
      </c>
      <c r="B37" s="513" t="str">
        <f>IF(AND(SUM(Studies_Lung!I46:J46)=2,Studies_Lung!J46&lt;&gt;0),Studies_Lung!B46,"")</f>
        <v/>
      </c>
      <c r="C37" s="518"/>
      <c r="D37" s="518"/>
      <c r="E37" s="518"/>
      <c r="F37" s="513" t="str">
        <f>IF(AND(SUM(Studies_Lung!I46:J46)=2,Studies_Lung!J46&lt;&gt;0),Studies_Lung!C46,"")</f>
        <v/>
      </c>
      <c r="G37" s="516" t="str">
        <f>IF(AND(SUM(Studies_Lung!I46:J46)=2,Studies_Lung!J46&lt;&gt;0),Studies_Lung!D46,"")</f>
        <v/>
      </c>
      <c r="H37" s="516" t="str">
        <f>IF(AND(SUM(Studies_Lung!I46:J46)=2,Studies_Lung!J46&lt;&gt;0),Studies_Lung!E46,"")</f>
        <v/>
      </c>
      <c r="I37" s="516" t="str">
        <f>IF(AND(SUM(Studies_Lung!I46:J46)=2,Studies_Lung!J46&lt;&gt;0),Studies_Lung!F46,"")</f>
        <v/>
      </c>
      <c r="J37" s="517"/>
      <c r="K37" s="517"/>
      <c r="L37" s="517"/>
      <c r="M37" s="517"/>
    </row>
    <row r="38" spans="1:13" x14ac:dyDescent="0.2">
      <c r="A38" s="513" t="str">
        <f>IF(AND(SUM(Studies_Lung!I47:J47)=2,Studies_Lung!J47&lt;&gt;0),Studies_Lung!A47,"")</f>
        <v/>
      </c>
      <c r="B38" s="513" t="str">
        <f>IF(AND(SUM(Studies_Lung!I47:J47)=2,Studies_Lung!J47&lt;&gt;0),Studies_Lung!B47,"")</f>
        <v/>
      </c>
      <c r="C38" s="518"/>
      <c r="D38" s="518"/>
      <c r="E38" s="518"/>
      <c r="F38" s="513" t="str">
        <f>IF(AND(SUM(Studies_Lung!I47:J47)=2,Studies_Lung!J47&lt;&gt;0),Studies_Lung!C47,"")</f>
        <v/>
      </c>
      <c r="G38" s="516" t="str">
        <f>IF(AND(SUM(Studies_Lung!I47:J47)=2,Studies_Lung!J47&lt;&gt;0),Studies_Lung!D47,"")</f>
        <v/>
      </c>
      <c r="H38" s="516" t="str">
        <f>IF(AND(SUM(Studies_Lung!I47:J47)=2,Studies_Lung!J47&lt;&gt;0),Studies_Lung!E47,"")</f>
        <v/>
      </c>
      <c r="I38" s="516" t="str">
        <f>IF(AND(SUM(Studies_Lung!I47:J47)=2,Studies_Lung!J47&lt;&gt;0),Studies_Lung!F47,"")</f>
        <v/>
      </c>
      <c r="J38" s="517"/>
      <c r="K38" s="517"/>
      <c r="L38" s="517"/>
      <c r="M38" s="517"/>
    </row>
    <row r="39" spans="1:13" x14ac:dyDescent="0.2">
      <c r="A39" s="513" t="str">
        <f>IF(AND(SUM(Studies_Lung!I48:J48)=2,Studies_Lung!J48&lt;&gt;0),Studies_Lung!A48,"")</f>
        <v/>
      </c>
      <c r="B39" s="513" t="str">
        <f>IF(AND(SUM(Studies_Lung!I48:J48)=2,Studies_Lung!J48&lt;&gt;0),Studies_Lung!B48,"")</f>
        <v/>
      </c>
      <c r="C39" s="518"/>
      <c r="D39" s="518"/>
      <c r="E39" s="518"/>
      <c r="F39" s="513" t="str">
        <f>IF(AND(SUM(Studies_Lung!I48:J48)=2,Studies_Lung!J48&lt;&gt;0),Studies_Lung!C48,"")</f>
        <v/>
      </c>
      <c r="G39" s="516" t="str">
        <f>IF(AND(SUM(Studies_Lung!I48:J48)=2,Studies_Lung!J48&lt;&gt;0),Studies_Lung!D48,"")</f>
        <v/>
      </c>
      <c r="H39" s="516" t="str">
        <f>IF(AND(SUM(Studies_Lung!I48:J48)=2,Studies_Lung!J48&lt;&gt;0),Studies_Lung!E48,"")</f>
        <v/>
      </c>
      <c r="I39" s="516" t="str">
        <f>IF(AND(SUM(Studies_Lung!I48:J48)=2,Studies_Lung!J48&lt;&gt;0),Studies_Lung!F48,"")</f>
        <v/>
      </c>
      <c r="J39" s="517"/>
      <c r="K39" s="517"/>
      <c r="L39" s="517"/>
      <c r="M39" s="517"/>
    </row>
    <row r="40" spans="1:13" x14ac:dyDescent="0.2">
      <c r="A40" s="513" t="str">
        <f>IF(AND(SUM(Studies_Lung!I49:J49)=2,Studies_Lung!J49&lt;&gt;0),Studies_Lung!A49,"")</f>
        <v/>
      </c>
      <c r="B40" s="513" t="str">
        <f>IF(AND(SUM(Studies_Lung!I49:J49)=2,Studies_Lung!J49&lt;&gt;0),Studies_Lung!B49,"")</f>
        <v/>
      </c>
      <c r="C40" s="518"/>
      <c r="D40" s="518"/>
      <c r="E40" s="518"/>
      <c r="F40" s="513" t="str">
        <f>IF(AND(SUM(Studies_Lung!I49:J49)=2,Studies_Lung!J49&lt;&gt;0),Studies_Lung!C49,"")</f>
        <v/>
      </c>
      <c r="G40" s="516" t="str">
        <f>IF(AND(SUM(Studies_Lung!I49:J49)=2,Studies_Lung!J49&lt;&gt;0),Studies_Lung!D49,"")</f>
        <v/>
      </c>
      <c r="H40" s="516" t="str">
        <f>IF(AND(SUM(Studies_Lung!I49:J49)=2,Studies_Lung!J49&lt;&gt;0),Studies_Lung!E49,"")</f>
        <v/>
      </c>
      <c r="I40" s="516" t="str">
        <f>IF(AND(SUM(Studies_Lung!I49:J49)=2,Studies_Lung!J49&lt;&gt;0),Studies_Lung!F49,"")</f>
        <v/>
      </c>
      <c r="J40" s="517"/>
      <c r="K40" s="517"/>
      <c r="L40" s="517"/>
      <c r="M40" s="517"/>
    </row>
    <row r="41" spans="1:13" x14ac:dyDescent="0.2">
      <c r="A41" s="513" t="str">
        <f>IF(AND(SUM(Studies_Lung!I50:J50)=2,Studies_Lung!J50&lt;&gt;0),Studies_Lung!A50,"")</f>
        <v/>
      </c>
      <c r="B41" s="513" t="str">
        <f>IF(AND(SUM(Studies_Lung!I50:J50)=2,Studies_Lung!J50&lt;&gt;0),Studies_Lung!B50,"")</f>
        <v/>
      </c>
      <c r="C41" s="518"/>
      <c r="D41" s="518"/>
      <c r="E41" s="518"/>
      <c r="F41" s="513" t="str">
        <f>IF(AND(SUM(Studies_Lung!I50:J50)=2,Studies_Lung!J50&lt;&gt;0),Studies_Lung!C50,"")</f>
        <v/>
      </c>
      <c r="G41" s="516" t="str">
        <f>IF(AND(SUM(Studies_Lung!I50:J50)=2,Studies_Lung!J50&lt;&gt;0),Studies_Lung!D50,"")</f>
        <v/>
      </c>
      <c r="H41" s="516" t="str">
        <f>IF(AND(SUM(Studies_Lung!I50:J50)=2,Studies_Lung!J50&lt;&gt;0),Studies_Lung!E50,"")</f>
        <v/>
      </c>
      <c r="I41" s="516" t="str">
        <f>IF(AND(SUM(Studies_Lung!I50:J50)=2,Studies_Lung!J50&lt;&gt;0),Studies_Lung!F50,"")</f>
        <v/>
      </c>
      <c r="J41" s="517"/>
      <c r="K41" s="517"/>
      <c r="L41" s="517"/>
      <c r="M41" s="517"/>
    </row>
    <row r="42" spans="1:13" x14ac:dyDescent="0.2">
      <c r="A42" s="513" t="str">
        <f>IF(AND(SUM(Studies_Lung!I51:J51)=2,Studies_Lung!J51&lt;&gt;0),Studies_Lung!A51,"")</f>
        <v/>
      </c>
      <c r="B42" s="513" t="str">
        <f>IF(AND(SUM(Studies_Lung!I51:J51)=2,Studies_Lung!J51&lt;&gt;0),Studies_Lung!B51,"")</f>
        <v/>
      </c>
      <c r="C42" s="518"/>
      <c r="D42" s="518"/>
      <c r="E42" s="518"/>
      <c r="F42" s="513" t="str">
        <f>IF(AND(SUM(Studies_Lung!I51:J51)=2,Studies_Lung!J51&lt;&gt;0),Studies_Lung!C51,"")</f>
        <v/>
      </c>
      <c r="G42" s="516" t="str">
        <f>IF(AND(SUM(Studies_Lung!I51:J51)=2,Studies_Lung!J51&lt;&gt;0),Studies_Lung!D51,"")</f>
        <v/>
      </c>
      <c r="H42" s="516" t="str">
        <f>IF(AND(SUM(Studies_Lung!I51:J51)=2,Studies_Lung!J51&lt;&gt;0),Studies_Lung!E51,"")</f>
        <v/>
      </c>
      <c r="I42" s="516" t="str">
        <f>IF(AND(SUM(Studies_Lung!I51:J51)=2,Studies_Lung!J51&lt;&gt;0),Studies_Lung!F51,"")</f>
        <v/>
      </c>
      <c r="J42" s="517"/>
      <c r="K42" s="517"/>
      <c r="L42" s="517"/>
      <c r="M42" s="517"/>
    </row>
    <row r="43" spans="1:13" x14ac:dyDescent="0.2">
      <c r="A43" s="513" t="str">
        <f>IF(AND(SUM(Studies_Lung!I52:J52)=2,Studies_Lung!J52&lt;&gt;0),Studies_Lung!A52,"")</f>
        <v/>
      </c>
      <c r="B43" s="513" t="str">
        <f>IF(AND(SUM(Studies_Lung!I52:J52)=2,Studies_Lung!J52&lt;&gt;0),Studies_Lung!B52,"")</f>
        <v/>
      </c>
      <c r="C43" s="518"/>
      <c r="D43" s="518"/>
      <c r="E43" s="518"/>
      <c r="F43" s="513" t="str">
        <f>IF(AND(SUM(Studies_Lung!I52:J52)=2,Studies_Lung!J52&lt;&gt;0),Studies_Lung!C52,"")</f>
        <v/>
      </c>
      <c r="G43" s="516" t="str">
        <f>IF(AND(SUM(Studies_Lung!I52:J52)=2,Studies_Lung!J52&lt;&gt;0),Studies_Lung!D52,"")</f>
        <v/>
      </c>
      <c r="H43" s="516" t="str">
        <f>IF(AND(SUM(Studies_Lung!I52:J52)=2,Studies_Lung!J52&lt;&gt;0),Studies_Lung!E52,"")</f>
        <v/>
      </c>
      <c r="I43" s="516" t="str">
        <f>IF(AND(SUM(Studies_Lung!I52:J52)=2,Studies_Lung!J52&lt;&gt;0),Studies_Lung!F52,"")</f>
        <v/>
      </c>
      <c r="J43" s="517"/>
      <c r="K43" s="517"/>
      <c r="L43" s="517"/>
      <c r="M43" s="517"/>
    </row>
    <row r="44" spans="1:13" x14ac:dyDescent="0.2">
      <c r="A44" s="513" t="str">
        <f>IF(AND(SUM(Studies_Lung!I53:J53)=2,Studies_Lung!J53&lt;&gt;0),Studies_Lung!A53,"")</f>
        <v/>
      </c>
      <c r="B44" s="513" t="str">
        <f>IF(AND(SUM(Studies_Lung!I53:J53)=2,Studies_Lung!J53&lt;&gt;0),Studies_Lung!B53,"")</f>
        <v/>
      </c>
      <c r="C44" s="518"/>
      <c r="D44" s="518"/>
      <c r="E44" s="518"/>
      <c r="F44" s="513" t="str">
        <f>IF(AND(SUM(Studies_Lung!I53:J53)=2,Studies_Lung!J53&lt;&gt;0),Studies_Lung!C53,"")</f>
        <v/>
      </c>
      <c r="G44" s="516" t="str">
        <f>IF(AND(SUM(Studies_Lung!I53:J53)=2,Studies_Lung!J53&lt;&gt;0),Studies_Lung!D53,"")</f>
        <v/>
      </c>
      <c r="H44" s="516" t="str">
        <f>IF(AND(SUM(Studies_Lung!I53:J53)=2,Studies_Lung!J53&lt;&gt;0),Studies_Lung!E53,"")</f>
        <v/>
      </c>
      <c r="I44" s="516" t="str">
        <f>IF(AND(SUM(Studies_Lung!I53:J53)=2,Studies_Lung!J53&lt;&gt;0),Studies_Lung!F53,"")</f>
        <v/>
      </c>
      <c r="J44" s="517"/>
      <c r="K44" s="517"/>
      <c r="L44" s="517"/>
      <c r="M44" s="517"/>
    </row>
    <row r="45" spans="1:13" x14ac:dyDescent="0.2">
      <c r="A45" s="513" t="str">
        <f>IF(AND(SUM(Studies_Lung!I54:J54)=2,Studies_Lung!J54&lt;&gt;0),Studies_Lung!A54,"")</f>
        <v/>
      </c>
      <c r="B45" s="513" t="str">
        <f>IF(AND(SUM(Studies_Lung!I54:J54)=2,Studies_Lung!J54&lt;&gt;0),Studies_Lung!B54,"")</f>
        <v/>
      </c>
      <c r="C45" s="518"/>
      <c r="D45" s="518"/>
      <c r="E45" s="518"/>
      <c r="F45" s="513" t="str">
        <f>IF(AND(SUM(Studies_Lung!I54:J54)=2,Studies_Lung!J54&lt;&gt;0),Studies_Lung!C54,"")</f>
        <v/>
      </c>
      <c r="G45" s="516" t="str">
        <f>IF(AND(SUM(Studies_Lung!I54:J54)=2,Studies_Lung!J54&lt;&gt;0),Studies_Lung!D54,"")</f>
        <v/>
      </c>
      <c r="H45" s="516" t="str">
        <f>IF(AND(SUM(Studies_Lung!I54:J54)=2,Studies_Lung!J54&lt;&gt;0),Studies_Lung!E54,"")</f>
        <v/>
      </c>
      <c r="I45" s="516" t="str">
        <f>IF(AND(SUM(Studies_Lung!I54:J54)=2,Studies_Lung!J54&lt;&gt;0),Studies_Lung!F54,"")</f>
        <v/>
      </c>
      <c r="J45" s="517"/>
      <c r="K45" s="517"/>
      <c r="L45" s="517"/>
      <c r="M45" s="517"/>
    </row>
    <row r="46" spans="1:13" x14ac:dyDescent="0.2">
      <c r="A46" s="513" t="str">
        <f>IF(AND(SUM(Studies_Lung!I55:J55)=2,Studies_Lung!J55&lt;&gt;0),Studies_Lung!A55,"")</f>
        <v/>
      </c>
      <c r="B46" s="513" t="str">
        <f>IF(AND(SUM(Studies_Lung!I55:J55)=2,Studies_Lung!J55&lt;&gt;0),Studies_Lung!B55,"")</f>
        <v/>
      </c>
      <c r="C46" s="518"/>
      <c r="D46" s="518"/>
      <c r="E46" s="518"/>
      <c r="F46" s="513" t="str">
        <f>IF(AND(SUM(Studies_Lung!I55:J55)=2,Studies_Lung!J55&lt;&gt;0),Studies_Lung!C55,"")</f>
        <v/>
      </c>
      <c r="G46" s="516" t="str">
        <f>IF(AND(SUM(Studies_Lung!I55:J55)=2,Studies_Lung!J55&lt;&gt;0),Studies_Lung!D55,"")</f>
        <v/>
      </c>
      <c r="H46" s="516" t="str">
        <f>IF(AND(SUM(Studies_Lung!I55:J55)=2,Studies_Lung!J55&lt;&gt;0),Studies_Lung!E55,"")</f>
        <v/>
      </c>
      <c r="I46" s="516" t="str">
        <f>IF(AND(SUM(Studies_Lung!I55:J55)=2,Studies_Lung!J55&lt;&gt;0),Studies_Lung!F55,"")</f>
        <v/>
      </c>
      <c r="J46" s="517"/>
      <c r="K46" s="517"/>
      <c r="L46" s="517"/>
      <c r="M46" s="517"/>
    </row>
    <row r="47" spans="1:13" x14ac:dyDescent="0.2">
      <c r="A47" s="513" t="str">
        <f>IF(AND(SUM(Studies_Lung!I56:J56)=2,Studies_Lung!J56&lt;&gt;0),Studies_Lung!A56,"")</f>
        <v/>
      </c>
      <c r="B47" s="513" t="str">
        <f>IF(AND(SUM(Studies_Lung!I56:J56)=2,Studies_Lung!J56&lt;&gt;0),Studies_Lung!B56,"")</f>
        <v/>
      </c>
      <c r="C47" s="518"/>
      <c r="D47" s="518"/>
      <c r="E47" s="518"/>
      <c r="F47" s="513" t="str">
        <f>IF(AND(SUM(Studies_Lung!I56:J56)=2,Studies_Lung!J56&lt;&gt;0),Studies_Lung!C56,"")</f>
        <v/>
      </c>
      <c r="G47" s="516" t="str">
        <f>IF(AND(SUM(Studies_Lung!I56:J56)=2,Studies_Lung!J56&lt;&gt;0),Studies_Lung!D56,"")</f>
        <v/>
      </c>
      <c r="H47" s="516" t="str">
        <f>IF(AND(SUM(Studies_Lung!I56:J56)=2,Studies_Lung!J56&lt;&gt;0),Studies_Lung!E56,"")</f>
        <v/>
      </c>
      <c r="I47" s="516" t="str">
        <f>IF(AND(SUM(Studies_Lung!I56:J56)=2,Studies_Lung!J56&lt;&gt;0),Studies_Lung!F56,"")</f>
        <v/>
      </c>
      <c r="J47" s="517"/>
      <c r="K47" s="517"/>
      <c r="L47" s="517"/>
      <c r="M47" s="517"/>
    </row>
    <row r="48" spans="1:13" x14ac:dyDescent="0.2">
      <c r="A48" s="513" t="str">
        <f>IF(AND(SUM(Studies_Lung!I57:J57)=2,Studies_Lung!J57&lt;&gt;0),Studies_Lung!A57,"")</f>
        <v/>
      </c>
      <c r="B48" s="513" t="str">
        <f>IF(AND(SUM(Studies_Lung!I57:J57)=2,Studies_Lung!J57&lt;&gt;0),Studies_Lung!B57,"")</f>
        <v/>
      </c>
      <c r="C48" s="518"/>
      <c r="D48" s="518"/>
      <c r="E48" s="518"/>
      <c r="F48" s="513" t="str">
        <f>IF(AND(SUM(Studies_Lung!I57:J57)=2,Studies_Lung!J57&lt;&gt;0),Studies_Lung!C57,"")</f>
        <v/>
      </c>
      <c r="G48" s="516" t="str">
        <f>IF(AND(SUM(Studies_Lung!I57:J57)=2,Studies_Lung!J57&lt;&gt;0),Studies_Lung!D57,"")</f>
        <v/>
      </c>
      <c r="H48" s="516" t="str">
        <f>IF(AND(SUM(Studies_Lung!I57:J57)=2,Studies_Lung!J57&lt;&gt;0),Studies_Lung!E57,"")</f>
        <v/>
      </c>
      <c r="I48" s="516" t="str">
        <f>IF(AND(SUM(Studies_Lung!I57:J57)=2,Studies_Lung!J57&lt;&gt;0),Studies_Lung!F57,"")</f>
        <v/>
      </c>
      <c r="J48" s="517"/>
      <c r="K48" s="517"/>
      <c r="L48" s="517"/>
      <c r="M48" s="517"/>
    </row>
    <row r="49" spans="1:13" x14ac:dyDescent="0.2">
      <c r="A49" s="513" t="str">
        <f>IF(AND(SUM(Studies_Lung!I58:J58)=2,Studies_Lung!J58&lt;&gt;0),Studies_Lung!A58,"")</f>
        <v/>
      </c>
      <c r="B49" s="513" t="str">
        <f>IF(AND(SUM(Studies_Lung!I58:J58)=2,Studies_Lung!J58&lt;&gt;0),Studies_Lung!B58,"")</f>
        <v/>
      </c>
      <c r="C49" s="518"/>
      <c r="D49" s="518"/>
      <c r="E49" s="518"/>
      <c r="F49" s="513" t="str">
        <f>IF(AND(SUM(Studies_Lung!I58:J58)=2,Studies_Lung!J58&lt;&gt;0),Studies_Lung!C58,"")</f>
        <v/>
      </c>
      <c r="G49" s="516" t="str">
        <f>IF(AND(SUM(Studies_Lung!I58:J58)=2,Studies_Lung!J58&lt;&gt;0),Studies_Lung!D58,"")</f>
        <v/>
      </c>
      <c r="H49" s="516" t="str">
        <f>IF(AND(SUM(Studies_Lung!I58:J58)=2,Studies_Lung!J58&lt;&gt;0),Studies_Lung!E58,"")</f>
        <v/>
      </c>
      <c r="I49" s="516" t="str">
        <f>IF(AND(SUM(Studies_Lung!I58:J58)=2,Studies_Lung!J58&lt;&gt;0),Studies_Lung!F58,"")</f>
        <v/>
      </c>
      <c r="J49" s="517"/>
      <c r="K49" s="517"/>
      <c r="L49" s="517"/>
      <c r="M49" s="517"/>
    </row>
    <row r="50" spans="1:13" x14ac:dyDescent="0.2">
      <c r="A50" s="513" t="str">
        <f>IF(AND(SUM(Studies_Lung!I59:J59)=2,Studies_Lung!J59&lt;&gt;0),Studies_Lung!A59,"")</f>
        <v/>
      </c>
      <c r="B50" s="513" t="str">
        <f>IF(AND(SUM(Studies_Lung!I59:J59)=2,Studies_Lung!J59&lt;&gt;0),Studies_Lung!B59,"")</f>
        <v/>
      </c>
      <c r="C50" s="518"/>
      <c r="D50" s="518"/>
      <c r="E50" s="518"/>
      <c r="F50" s="513" t="str">
        <f>IF(AND(SUM(Studies_Lung!I59:J59)=2,Studies_Lung!J59&lt;&gt;0),Studies_Lung!C59,"")</f>
        <v/>
      </c>
      <c r="G50" s="516" t="str">
        <f>IF(AND(SUM(Studies_Lung!I59:J59)=2,Studies_Lung!J59&lt;&gt;0),Studies_Lung!D59,"")</f>
        <v/>
      </c>
      <c r="H50" s="516" t="str">
        <f>IF(AND(SUM(Studies_Lung!I59:J59)=2,Studies_Lung!J59&lt;&gt;0),Studies_Lung!E59,"")</f>
        <v/>
      </c>
      <c r="I50" s="516" t="str">
        <f>IF(AND(SUM(Studies_Lung!I59:J59)=2,Studies_Lung!J59&lt;&gt;0),Studies_Lung!F59,"")</f>
        <v/>
      </c>
      <c r="J50" s="517"/>
      <c r="K50" s="517"/>
      <c r="L50" s="517"/>
      <c r="M50" s="517"/>
    </row>
    <row r="51" spans="1:13" x14ac:dyDescent="0.2">
      <c r="A51" s="513" t="str">
        <f>IF(AND(SUM(Studies_Lung!I60:J60)=2,Studies_Lung!J60&lt;&gt;0),Studies_Lung!A60,"")</f>
        <v/>
      </c>
      <c r="B51" s="513" t="str">
        <f>IF(AND(SUM(Studies_Lung!I60:J60)=2,Studies_Lung!J60&lt;&gt;0),Studies_Lung!B60,"")</f>
        <v/>
      </c>
      <c r="C51" s="518"/>
      <c r="D51" s="518"/>
      <c r="E51" s="518"/>
      <c r="F51" s="513" t="str">
        <f>IF(AND(SUM(Studies_Lung!I60:J60)=2,Studies_Lung!J60&lt;&gt;0),Studies_Lung!C60,"")</f>
        <v/>
      </c>
      <c r="G51" s="516" t="str">
        <f>IF(AND(SUM(Studies_Lung!I60:J60)=2,Studies_Lung!J60&lt;&gt;0),Studies_Lung!D60,"")</f>
        <v/>
      </c>
      <c r="H51" s="516" t="str">
        <f>IF(AND(SUM(Studies_Lung!I60:J60)=2,Studies_Lung!J60&lt;&gt;0),Studies_Lung!E60,"")</f>
        <v/>
      </c>
      <c r="I51" s="516" t="str">
        <f>IF(AND(SUM(Studies_Lung!I60:J60)=2,Studies_Lung!J60&lt;&gt;0),Studies_Lung!F60,"")</f>
        <v/>
      </c>
      <c r="J51" s="517"/>
      <c r="K51" s="517"/>
      <c r="L51" s="517"/>
      <c r="M51" s="517"/>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3"/>
  <dimension ref="A1:S132"/>
  <sheetViews>
    <sheetView showGridLines="0" showRuler="0" zoomScaleNormal="100" zoomScaleSheetLayoutView="100" workbookViewId="0">
      <selection activeCell="Q10" sqref="Q10:Q12"/>
    </sheetView>
  </sheetViews>
  <sheetFormatPr defaultColWidth="11.42578125" defaultRowHeight="14.25" x14ac:dyDescent="0.2"/>
  <cols>
    <col min="1" max="1" width="6.42578125" style="3" customWidth="1"/>
    <col min="2" max="2" width="5.140625" style="3" customWidth="1"/>
    <col min="3" max="3" width="20.85546875" style="3" customWidth="1"/>
    <col min="4" max="4" width="12.42578125" style="3" customWidth="1"/>
    <col min="5" max="5" width="12.5703125" style="3" customWidth="1"/>
    <col min="6" max="6" width="14.85546875" style="3" customWidth="1"/>
    <col min="7" max="7" width="11.5703125" style="3" customWidth="1"/>
    <col min="8" max="8" width="13.5703125" style="3" customWidth="1"/>
    <col min="9" max="9" width="9.5703125" style="3" customWidth="1"/>
    <col min="10" max="10" width="6" style="3" customWidth="1"/>
    <col min="11" max="11" width="4" style="10" customWidth="1"/>
    <col min="12" max="12" width="4.7109375" style="10" customWidth="1"/>
    <col min="13" max="13" width="5.5703125" style="3" customWidth="1"/>
    <col min="14" max="14" width="10.140625" style="3" customWidth="1"/>
    <col min="15" max="15" width="9.28515625" style="5" customWidth="1"/>
    <col min="16" max="16" width="8.5703125" style="3" customWidth="1"/>
    <col min="17" max="18" width="76.140625" style="3" customWidth="1"/>
    <col min="19" max="19" width="9.140625" style="3" hidden="1" customWidth="1"/>
    <col min="20" max="256" width="9.140625" style="3" customWidth="1"/>
    <col min="257" max="16384" width="11.42578125" style="3"/>
  </cols>
  <sheetData>
    <row r="1" spans="1:18" ht="9.9499999999999993" customHeight="1" x14ac:dyDescent="0.2">
      <c r="O1" s="3"/>
    </row>
    <row r="2" spans="1:18" ht="12.95" customHeight="1" x14ac:dyDescent="0.2">
      <c r="A2" s="307" t="str">
        <f>'Basic Data'!A2</f>
        <v>Annex CR Version J2.1 (Audit year 2026 / Indicator year 2025)</v>
      </c>
      <c r="O2" s="3"/>
    </row>
    <row r="3" spans="1:18" ht="16.5" customHeight="1" x14ac:dyDescent="0.2">
      <c r="A3" s="415" t="s">
        <v>763</v>
      </c>
      <c r="N3" s="19"/>
      <c r="O3" s="3"/>
    </row>
    <row r="4" spans="1:18" ht="12.75" customHeight="1" x14ac:dyDescent="0.2">
      <c r="N4" s="19"/>
      <c r="O4" s="3"/>
    </row>
    <row r="5" spans="1:18" s="22" customFormat="1" ht="6.95" customHeight="1" x14ac:dyDescent="0.2">
      <c r="A5" s="416"/>
      <c r="B5" s="6"/>
      <c r="C5" s="21"/>
      <c r="D5" s="10"/>
      <c r="E5" s="10"/>
      <c r="F5" s="10"/>
      <c r="G5" s="10"/>
      <c r="H5" s="10"/>
      <c r="I5" s="10"/>
      <c r="J5" s="10"/>
      <c r="K5" s="10"/>
      <c r="L5" s="10"/>
      <c r="M5" s="10"/>
      <c r="N5" s="19"/>
      <c r="O5" s="10"/>
      <c r="P5" s="17"/>
      <c r="Q5" s="19"/>
      <c r="R5" s="19"/>
    </row>
    <row r="6" spans="1:18" s="22" customFormat="1" ht="15" customHeight="1" x14ac:dyDescent="0.2">
      <c r="A6" s="319" t="s">
        <v>741</v>
      </c>
      <c r="B6" s="25"/>
      <c r="C6" s="485" t="str">
        <f>IF('Basic Data'!B7=0,"",'Basic Data'!B7)</f>
        <v/>
      </c>
      <c r="D6" s="325" t="s">
        <v>740</v>
      </c>
      <c r="E6" s="634" t="str">
        <f>IF('Basic Data'!B9=0,"",'Basic Data'!B9)</f>
        <v/>
      </c>
      <c r="F6" s="728"/>
      <c r="G6" s="728"/>
      <c r="H6" s="728"/>
      <c r="I6" s="728"/>
      <c r="J6" s="728"/>
      <c r="K6" s="728"/>
      <c r="L6" s="728"/>
      <c r="M6" s="728"/>
      <c r="N6" s="729"/>
      <c r="O6" s="10"/>
      <c r="P6" s="17"/>
      <c r="Q6" s="19"/>
      <c r="R6" s="19"/>
    </row>
    <row r="7" spans="1:18" ht="5.25" customHeight="1" thickBot="1" x14ac:dyDescent="0.3">
      <c r="A7" s="417"/>
      <c r="B7" s="9"/>
      <c r="D7" s="10"/>
      <c r="E7" s="10"/>
      <c r="F7" s="10"/>
      <c r="G7" s="10"/>
      <c r="H7" s="10"/>
      <c r="I7" s="10"/>
      <c r="J7" s="10"/>
      <c r="M7" s="10"/>
      <c r="N7" s="19"/>
      <c r="O7" s="3"/>
    </row>
    <row r="8" spans="1:18" s="8" customFormat="1" ht="15" customHeight="1" thickBot="1" x14ac:dyDescent="0.3">
      <c r="A8" s="757" t="s">
        <v>766</v>
      </c>
      <c r="B8" s="757" t="s">
        <v>853</v>
      </c>
      <c r="C8" s="757" t="s">
        <v>743</v>
      </c>
      <c r="D8" s="759" t="s">
        <v>767</v>
      </c>
      <c r="E8" s="760"/>
      <c r="F8" s="759" t="s">
        <v>768</v>
      </c>
      <c r="G8" s="760"/>
      <c r="H8" s="754" t="s">
        <v>769</v>
      </c>
      <c r="I8" s="755"/>
      <c r="J8" s="751" t="s">
        <v>770</v>
      </c>
      <c r="K8" s="753" t="s">
        <v>745</v>
      </c>
      <c r="L8" s="753"/>
      <c r="M8" s="751" t="s">
        <v>770</v>
      </c>
      <c r="N8" s="759" t="s">
        <v>771</v>
      </c>
      <c r="O8" s="775"/>
      <c r="P8" s="757" t="s">
        <v>748</v>
      </c>
      <c r="Q8" s="770" t="s">
        <v>750</v>
      </c>
      <c r="R8" s="771"/>
    </row>
    <row r="9" spans="1:18" s="8" customFormat="1" ht="22.5" customHeight="1" thickBot="1" x14ac:dyDescent="0.3">
      <c r="A9" s="758"/>
      <c r="B9" s="758"/>
      <c r="C9" s="758"/>
      <c r="D9" s="761"/>
      <c r="E9" s="762"/>
      <c r="F9" s="761"/>
      <c r="G9" s="762"/>
      <c r="H9" s="756"/>
      <c r="I9" s="755"/>
      <c r="J9" s="752"/>
      <c r="K9" s="753"/>
      <c r="L9" s="753"/>
      <c r="M9" s="752"/>
      <c r="N9" s="776"/>
      <c r="O9" s="777"/>
      <c r="P9" s="774"/>
      <c r="Q9" s="412" t="s">
        <v>772</v>
      </c>
      <c r="R9" s="412" t="s">
        <v>755</v>
      </c>
    </row>
    <row r="10" spans="1:18" ht="27.75" customHeight="1" thickBot="1" x14ac:dyDescent="0.25">
      <c r="A10" s="577" t="s">
        <v>815</v>
      </c>
      <c r="B10" s="580" t="s">
        <v>237</v>
      </c>
      <c r="C10" s="661" t="s">
        <v>773</v>
      </c>
      <c r="D10" s="583" t="s">
        <v>774</v>
      </c>
      <c r="E10" s="586"/>
      <c r="F10" s="583" t="s">
        <v>799</v>
      </c>
      <c r="G10" s="586"/>
      <c r="H10" s="583" t="s">
        <v>225</v>
      </c>
      <c r="I10" s="586"/>
      <c r="J10" s="707"/>
      <c r="K10" s="589" t="s">
        <v>265</v>
      </c>
      <c r="L10" s="710"/>
      <c r="M10" s="707"/>
      <c r="N10" s="716" t="s">
        <v>747</v>
      </c>
      <c r="O10" s="713">
        <f>IF('Basic Data'!$K$33="",0,'Basic Data'!$K$33)</f>
        <v>0</v>
      </c>
      <c r="P10" s="717" t="str">
        <f>IF(O10=0,Berechnung1!$F$5, IF(O10=0,Berechnung1!$D$5,IF(OR(O10&lt; Berechnung1!E27,O10&gt; Berechnung1!F27),Berechnung1!$G$5,IF(OR(ROUND(O10,4)&lt;Berechnung1!J27,ROUND(O10,4)&gt;Berechnung1!K27),Berechnung1!$D$5,IF(OR(ROUND(O10,4)&lt;Berechnung1!G27,ROUND(O10,4)&gt;Berechnung1!H27),Berechnung1!$E$5,Berechnung1!$C$5)))))</f>
        <v>Incomplete</v>
      </c>
      <c r="Q10" s="767"/>
      <c r="R10" s="725"/>
    </row>
    <row r="11" spans="1:18" ht="27.75" customHeight="1" thickBot="1" x14ac:dyDescent="0.25">
      <c r="A11" s="602"/>
      <c r="B11" s="603"/>
      <c r="C11" s="668"/>
      <c r="D11" s="584"/>
      <c r="E11" s="587"/>
      <c r="F11" s="584"/>
      <c r="G11" s="587"/>
      <c r="H11" s="584"/>
      <c r="I11" s="587"/>
      <c r="J11" s="708"/>
      <c r="K11" s="601"/>
      <c r="L11" s="711"/>
      <c r="M11" s="708"/>
      <c r="N11" s="716"/>
      <c r="O11" s="723"/>
      <c r="P11" s="718"/>
      <c r="Q11" s="768"/>
      <c r="R11" s="773"/>
    </row>
    <row r="12" spans="1:18" ht="27.75" customHeight="1" thickBot="1" x14ac:dyDescent="0.25">
      <c r="A12" s="598"/>
      <c r="B12" s="599"/>
      <c r="C12" s="669"/>
      <c r="D12" s="585"/>
      <c r="E12" s="588"/>
      <c r="F12" s="585"/>
      <c r="G12" s="588"/>
      <c r="H12" s="585"/>
      <c r="I12" s="588"/>
      <c r="J12" s="709"/>
      <c r="K12" s="664"/>
      <c r="L12" s="712"/>
      <c r="M12" s="709"/>
      <c r="N12" s="716"/>
      <c r="O12" s="724"/>
      <c r="P12" s="719"/>
      <c r="Q12" s="769"/>
      <c r="R12" s="773"/>
    </row>
    <row r="13" spans="1:18" ht="27.75" customHeight="1" thickBot="1" x14ac:dyDescent="0.25">
      <c r="A13" s="577" t="s">
        <v>816</v>
      </c>
      <c r="B13" s="805"/>
      <c r="C13" s="661" t="s">
        <v>817</v>
      </c>
      <c r="D13" s="706" t="s">
        <v>225</v>
      </c>
      <c r="E13" s="747"/>
      <c r="F13" s="583" t="s">
        <v>986</v>
      </c>
      <c r="G13" s="747"/>
      <c r="H13" s="706" t="s">
        <v>225</v>
      </c>
      <c r="I13" s="747"/>
      <c r="J13" s="577"/>
      <c r="K13" s="798" t="s">
        <v>777</v>
      </c>
      <c r="L13" s="799"/>
      <c r="M13" s="577"/>
      <c r="N13" s="778" t="s">
        <v>747</v>
      </c>
      <c r="O13" s="781"/>
      <c r="P13" s="717" t="str">
        <f>IF(O13="",Berechnung1!$F$5, IF(O13=0,Berechnung1!$H$5,IF(OR(O13&lt; Berechnung1!E30,O13&gt; Berechnung1!F30),Berechnung1!$G$5,IF(OR(ROUND(O13,4)&lt;Berechnung1!J30,ROUND(O13,4)&gt;Berechnung1!K30),Berechnung1!$D$5,IF(OR(ROUND(O13,4)&lt;Berechnung1!G30,ROUND(O13,4)&gt;Berechnung1!H30),Berechnung1!$E$5,Berechnung1!$C$5)))))</f>
        <v>Incomplete</v>
      </c>
      <c r="Q13" s="767"/>
      <c r="R13" s="725"/>
    </row>
    <row r="14" spans="1:18" ht="27.75" customHeight="1" thickBot="1" x14ac:dyDescent="0.25">
      <c r="A14" s="578"/>
      <c r="B14" s="806"/>
      <c r="C14" s="662"/>
      <c r="D14" s="600"/>
      <c r="E14" s="748"/>
      <c r="F14" s="600"/>
      <c r="G14" s="748"/>
      <c r="H14" s="600"/>
      <c r="I14" s="748"/>
      <c r="J14" s="578"/>
      <c r="K14" s="800"/>
      <c r="L14" s="801"/>
      <c r="M14" s="578"/>
      <c r="N14" s="779"/>
      <c r="O14" s="782"/>
      <c r="P14" s="718"/>
      <c r="Q14" s="768"/>
      <c r="R14" s="773"/>
    </row>
    <row r="15" spans="1:18" ht="27.75" customHeight="1" thickBot="1" x14ac:dyDescent="0.25">
      <c r="A15" s="579"/>
      <c r="B15" s="807"/>
      <c r="C15" s="663"/>
      <c r="D15" s="660"/>
      <c r="E15" s="749"/>
      <c r="F15" s="660"/>
      <c r="G15" s="749"/>
      <c r="H15" s="660"/>
      <c r="I15" s="749"/>
      <c r="J15" s="579"/>
      <c r="K15" s="802"/>
      <c r="L15" s="803"/>
      <c r="M15" s="579"/>
      <c r="N15" s="780"/>
      <c r="O15" s="783"/>
      <c r="P15" s="719"/>
      <c r="Q15" s="769"/>
      <c r="R15" s="773"/>
    </row>
    <row r="16" spans="1:18" ht="27" customHeight="1" thickBot="1" x14ac:dyDescent="0.25">
      <c r="A16" s="577" t="s">
        <v>235</v>
      </c>
      <c r="B16" s="580" t="s">
        <v>238</v>
      </c>
      <c r="C16" s="661" t="s">
        <v>818</v>
      </c>
      <c r="D16" s="583" t="s">
        <v>819</v>
      </c>
      <c r="E16" s="586"/>
      <c r="F16" s="583" t="s">
        <v>820</v>
      </c>
      <c r="G16" s="586"/>
      <c r="H16" s="583" t="s">
        <v>841</v>
      </c>
      <c r="I16" s="586"/>
      <c r="J16" s="707"/>
      <c r="K16" s="772" t="s">
        <v>258</v>
      </c>
      <c r="L16" s="710"/>
      <c r="M16" s="707"/>
      <c r="N16" s="418" t="s">
        <v>768</v>
      </c>
      <c r="O16" s="40"/>
      <c r="P16" s="766" t="str">
        <f>IF(O18=Berechnung1!D33,Berechnung1!$F$5,IF(OR(O18&lt; Berechnung1!E33,O18&gt; Berechnung1!F33),Berechnung1!$G$5,IF(OR(ROUND(O18,4)&lt;Berechnung1!J33,ROUND(O18,4)&gt;Berechnung1!K33),Berechnung1!$D$5,IF(OR(ROUND(O18,4)&lt;Berechnung1!G33,ROUND(O18,4)&gt;Berechnung1!H33),Berechnung1!$E$5,Berechnung1!$C$5))))</f>
        <v>Incomplete</v>
      </c>
      <c r="Q16" s="767"/>
      <c r="R16" s="763"/>
    </row>
    <row r="17" spans="1:19" ht="27" customHeight="1" thickBot="1" x14ac:dyDescent="0.25">
      <c r="A17" s="602"/>
      <c r="B17" s="603"/>
      <c r="C17" s="668"/>
      <c r="D17" s="584"/>
      <c r="E17" s="587"/>
      <c r="F17" s="584"/>
      <c r="G17" s="587"/>
      <c r="H17" s="584"/>
      <c r="I17" s="587"/>
      <c r="J17" s="708"/>
      <c r="K17" s="601"/>
      <c r="L17" s="711"/>
      <c r="M17" s="708"/>
      <c r="N17" s="418" t="s">
        <v>775</v>
      </c>
      <c r="O17" s="62">
        <f>IF('Basic Data'!$K$33="",0,'Basic Data'!$K$33)</f>
        <v>0</v>
      </c>
      <c r="P17" s="766"/>
      <c r="Q17" s="768"/>
      <c r="R17" s="773"/>
    </row>
    <row r="18" spans="1:19" ht="27" customHeight="1" thickBot="1" x14ac:dyDescent="0.25">
      <c r="A18" s="598"/>
      <c r="B18" s="599"/>
      <c r="C18" s="669"/>
      <c r="D18" s="585"/>
      <c r="E18" s="588"/>
      <c r="F18" s="585"/>
      <c r="G18" s="588"/>
      <c r="H18" s="585"/>
      <c r="I18" s="588"/>
      <c r="J18" s="709"/>
      <c r="K18" s="664"/>
      <c r="L18" s="712"/>
      <c r="M18" s="709"/>
      <c r="N18" s="418" t="s">
        <v>18</v>
      </c>
      <c r="O18" s="238" t="str">
        <f>IF(O16="","n.d.",IF(O17="","n.d.",IF(O17=0,"",O16 /O17)))</f>
        <v>n.d.</v>
      </c>
      <c r="P18" s="766"/>
      <c r="Q18" s="769"/>
      <c r="R18" s="773"/>
    </row>
    <row r="19" spans="1:19" ht="27.75" customHeight="1" thickBot="1" x14ac:dyDescent="0.25">
      <c r="A19" s="577" t="s">
        <v>236</v>
      </c>
      <c r="B19" s="580" t="s">
        <v>238</v>
      </c>
      <c r="C19" s="661" t="s">
        <v>987</v>
      </c>
      <c r="D19" s="583" t="s">
        <v>855</v>
      </c>
      <c r="E19" s="586"/>
      <c r="F19" s="583" t="s">
        <v>856</v>
      </c>
      <c r="G19" s="586"/>
      <c r="H19" s="583" t="s">
        <v>988</v>
      </c>
      <c r="I19" s="586"/>
      <c r="J19" s="707"/>
      <c r="K19" s="772" t="s">
        <v>390</v>
      </c>
      <c r="L19" s="710"/>
      <c r="M19" s="707"/>
      <c r="N19" s="418" t="s">
        <v>768</v>
      </c>
      <c r="O19" s="40"/>
      <c r="P19" s="766" t="str">
        <f>IF(O21=Berechnung1!D36,Berechnung1!$F$5,IF(OR(O21&lt; Berechnung1!E36,O21&gt; Berechnung1!F36),Berechnung1!$G$5,IF(OR(ROUND(O21,4)&lt;Berechnung1!J36,ROUND(O21,4)&gt;Berechnung1!K36),Berechnung1!$D$5,IF(OR(ROUND(O21,4)&lt;Berechnung1!G36,ROUND(O21,4)&gt;Berechnung1!H36),Berechnung1!$E$5,Berechnung1!$C$5))))</f>
        <v>Incomplete</v>
      </c>
      <c r="Q19" s="767"/>
      <c r="R19" s="763"/>
    </row>
    <row r="20" spans="1:19" ht="27.75" customHeight="1" thickBot="1" x14ac:dyDescent="0.25">
      <c r="A20" s="602"/>
      <c r="B20" s="603"/>
      <c r="C20" s="668"/>
      <c r="D20" s="584"/>
      <c r="E20" s="587"/>
      <c r="F20" s="584"/>
      <c r="G20" s="587"/>
      <c r="H20" s="584"/>
      <c r="I20" s="587"/>
      <c r="J20" s="708"/>
      <c r="K20" s="601"/>
      <c r="L20" s="711"/>
      <c r="M20" s="708"/>
      <c r="N20" s="418" t="s">
        <v>775</v>
      </c>
      <c r="O20" s="62">
        <f>O13</f>
        <v>0</v>
      </c>
      <c r="P20" s="766"/>
      <c r="Q20" s="768"/>
      <c r="R20" s="764"/>
    </row>
    <row r="21" spans="1:19" ht="27.75" customHeight="1" thickBot="1" x14ac:dyDescent="0.25">
      <c r="A21" s="598"/>
      <c r="B21" s="599"/>
      <c r="C21" s="669"/>
      <c r="D21" s="585"/>
      <c r="E21" s="588"/>
      <c r="F21" s="585"/>
      <c r="G21" s="588"/>
      <c r="H21" s="585"/>
      <c r="I21" s="588"/>
      <c r="J21" s="709"/>
      <c r="K21" s="664"/>
      <c r="L21" s="712"/>
      <c r="M21" s="709"/>
      <c r="N21" s="418" t="s">
        <v>18</v>
      </c>
      <c r="O21" s="238" t="str">
        <f>IF(O19="","n.d.",IF(O20="","n.d.",IF(O20=0,"",O19 /O20)))</f>
        <v>n.d.</v>
      </c>
      <c r="P21" s="766"/>
      <c r="Q21" s="769"/>
      <c r="R21" s="765"/>
    </row>
    <row r="22" spans="1:19" ht="27" customHeight="1" thickBot="1" x14ac:dyDescent="0.25">
      <c r="A22" s="577">
        <v>3</v>
      </c>
      <c r="B22" s="580" t="s">
        <v>239</v>
      </c>
      <c r="C22" s="661" t="s">
        <v>821</v>
      </c>
      <c r="D22" s="583" t="s">
        <v>822</v>
      </c>
      <c r="E22" s="586"/>
      <c r="F22" s="583" t="s">
        <v>1033</v>
      </c>
      <c r="G22" s="586"/>
      <c r="H22" s="583" t="s">
        <v>825</v>
      </c>
      <c r="I22" s="586"/>
      <c r="J22" s="707"/>
      <c r="K22" s="589" t="s">
        <v>390</v>
      </c>
      <c r="L22" s="710"/>
      <c r="M22" s="707"/>
      <c r="N22" s="418" t="s">
        <v>768</v>
      </c>
      <c r="O22" s="40"/>
      <c r="P22" s="766" t="str">
        <f>IF(O24=Berechnung1!D39,Berechnung1!$F$5,IF(OR(O24&lt; Berechnung1!E39,O24&gt; Berechnung1!F39),Berechnung1!$G$5,IF(OR(ROUND(O24,4)&lt;Berechnung1!J39,ROUND(O24,4)&gt;Berechnung1!K39),Berechnung1!$D$5,IF(OR(ROUND(O24,4)&lt;Berechnung1!G39,ROUND(O24,4)&gt;Berechnung1!H39),Berechnung1!$E$5,Berechnung1!$C$5))))</f>
        <v>Incomplete</v>
      </c>
      <c r="Q22" s="767"/>
      <c r="R22" s="763"/>
    </row>
    <row r="23" spans="1:19" ht="27" customHeight="1" thickBot="1" x14ac:dyDescent="0.25">
      <c r="A23" s="602"/>
      <c r="B23" s="603"/>
      <c r="C23" s="668"/>
      <c r="D23" s="584"/>
      <c r="E23" s="587"/>
      <c r="F23" s="584"/>
      <c r="G23" s="587"/>
      <c r="H23" s="584"/>
      <c r="I23" s="587"/>
      <c r="J23" s="708"/>
      <c r="K23" s="601"/>
      <c r="L23" s="711"/>
      <c r="M23" s="708"/>
      <c r="N23" s="418" t="s">
        <v>775</v>
      </c>
      <c r="O23" s="62">
        <f>IF(SUM('Basic Data'!$C$34:$G$34)="",0,SUM('Basic Data'!$C$34:$G$34))</f>
        <v>0</v>
      </c>
      <c r="P23" s="766"/>
      <c r="Q23" s="768"/>
      <c r="R23" s="764"/>
    </row>
    <row r="24" spans="1:19" ht="27" customHeight="1" thickBot="1" x14ac:dyDescent="0.25">
      <c r="A24" s="598"/>
      <c r="B24" s="599"/>
      <c r="C24" s="669"/>
      <c r="D24" s="585"/>
      <c r="E24" s="588"/>
      <c r="F24" s="585"/>
      <c r="G24" s="588"/>
      <c r="H24" s="585"/>
      <c r="I24" s="588"/>
      <c r="J24" s="709"/>
      <c r="K24" s="664"/>
      <c r="L24" s="712"/>
      <c r="M24" s="709"/>
      <c r="N24" s="418" t="s">
        <v>18</v>
      </c>
      <c r="O24" s="238" t="str">
        <f>IF(O22="","n.d.",IF(O23="","n.d.",IF(O23=0,"",O22 /O23)))</f>
        <v>n.d.</v>
      </c>
      <c r="P24" s="766"/>
      <c r="Q24" s="769"/>
      <c r="R24" s="765"/>
    </row>
    <row r="25" spans="1:19" ht="27" customHeight="1" thickBot="1" x14ac:dyDescent="0.25">
      <c r="A25" s="577" t="s">
        <v>948</v>
      </c>
      <c r="B25" s="580"/>
      <c r="C25" s="661" t="s">
        <v>870</v>
      </c>
      <c r="D25" s="583" t="s">
        <v>871</v>
      </c>
      <c r="E25" s="586"/>
      <c r="F25" s="583" t="s">
        <v>872</v>
      </c>
      <c r="G25" s="586"/>
      <c r="H25" s="583" t="s">
        <v>873</v>
      </c>
      <c r="I25" s="586"/>
      <c r="J25" s="707"/>
      <c r="K25" s="589" t="s">
        <v>777</v>
      </c>
      <c r="L25" s="710"/>
      <c r="M25" s="707"/>
      <c r="N25" s="419" t="s">
        <v>768</v>
      </c>
      <c r="O25" s="354"/>
      <c r="P25" s="766" t="str">
        <f>IF(AND(O25&lt;&gt;"",O26&lt;&gt;"",O25=0,O26=0),Berechnung1!$H$5,IF(O27=Berechnung1!D42,Berechnung1!$F$5,IF(OR(O27&lt; Berechnung1!E42,O27&gt; Berechnung1!F42),Berechnung1!$G$5,IF(OR(ROUND(O27,4)&lt;Berechnung1!J42,ROUND(O27,4)&gt;Berechnung1!K42),Berechnung1!$D$5,IF(OR(ROUND(O27,4)&lt;Berechnung1!G42,ROUND(O27,4)&gt;Berechnung1!H42),Berechnung1!$E$5,Berechnung1!$C$5)))))</f>
        <v>Incomplete</v>
      </c>
      <c r="Q25" s="767"/>
      <c r="R25" s="725"/>
    </row>
    <row r="26" spans="1:19" ht="27" customHeight="1" thickBot="1" x14ac:dyDescent="0.25">
      <c r="A26" s="602"/>
      <c r="B26" s="603"/>
      <c r="C26" s="668"/>
      <c r="D26" s="584"/>
      <c r="E26" s="587"/>
      <c r="F26" s="584"/>
      <c r="G26" s="587"/>
      <c r="H26" s="584"/>
      <c r="I26" s="587"/>
      <c r="J26" s="708"/>
      <c r="K26" s="601"/>
      <c r="L26" s="711"/>
      <c r="M26" s="708"/>
      <c r="N26" s="419" t="s">
        <v>775</v>
      </c>
      <c r="O26" s="354"/>
      <c r="P26" s="766"/>
      <c r="Q26" s="768"/>
      <c r="R26" s="726"/>
      <c r="S26" s="3">
        <f>SUM('Basic Data'!B33:H33)</f>
        <v>0</v>
      </c>
    </row>
    <row r="27" spans="1:19" ht="27" customHeight="1" thickBot="1" x14ac:dyDescent="0.25">
      <c r="A27" s="598"/>
      <c r="B27" s="599"/>
      <c r="C27" s="669"/>
      <c r="D27" s="585"/>
      <c r="E27" s="588"/>
      <c r="F27" s="585"/>
      <c r="G27" s="588"/>
      <c r="H27" s="585"/>
      <c r="I27" s="588"/>
      <c r="J27" s="709"/>
      <c r="K27" s="664"/>
      <c r="L27" s="712"/>
      <c r="M27" s="709"/>
      <c r="N27" s="419" t="s">
        <v>18</v>
      </c>
      <c r="O27" s="355" t="str">
        <f>IF(O25="","n.d.",IF(O26="","n.d.",IF(O26=0,"",O25/O26)))</f>
        <v>n.d.</v>
      </c>
      <c r="P27" s="766"/>
      <c r="Q27" s="769"/>
      <c r="R27" s="727"/>
    </row>
    <row r="28" spans="1:19" ht="27" customHeight="1" thickBot="1" x14ac:dyDescent="0.25">
      <c r="A28" s="577" t="s">
        <v>949</v>
      </c>
      <c r="B28" s="580"/>
      <c r="C28" s="661" t="s">
        <v>874</v>
      </c>
      <c r="D28" s="583" t="s">
        <v>875</v>
      </c>
      <c r="E28" s="586"/>
      <c r="F28" s="583" t="s">
        <v>876</v>
      </c>
      <c r="G28" s="586"/>
      <c r="H28" s="583" t="s">
        <v>877</v>
      </c>
      <c r="I28" s="586"/>
      <c r="J28" s="707"/>
      <c r="K28" s="589" t="s">
        <v>878</v>
      </c>
      <c r="L28" s="710"/>
      <c r="M28" s="707"/>
      <c r="N28" s="419" t="s">
        <v>768</v>
      </c>
      <c r="O28" s="354"/>
      <c r="P28" s="766" t="str">
        <f>IF(O30=Berechnung1!D45,Berechnung1!$F$5,IF(OR(O30&lt; Berechnung1!E45,O30&gt; Berechnung1!F45),Berechnung1!$G$5,IF(OR(ROUND(O30,4)&lt;Berechnung1!J45,ROUND(O30,4)&gt;Berechnung1!K45),Berechnung1!$D$5,IF(OR(ROUND(O30,4)&lt;Berechnung1!G45,ROUND(O30,4)&gt;Berechnung1!H45),Berechnung1!$E$5,Berechnung1!$C$5))))</f>
        <v>Incomplete</v>
      </c>
      <c r="Q28" s="767"/>
      <c r="R28" s="725"/>
    </row>
    <row r="29" spans="1:19" ht="27" customHeight="1" thickBot="1" x14ac:dyDescent="0.25">
      <c r="A29" s="602"/>
      <c r="B29" s="603"/>
      <c r="C29" s="668"/>
      <c r="D29" s="584"/>
      <c r="E29" s="587"/>
      <c r="F29" s="584"/>
      <c r="G29" s="587"/>
      <c r="H29" s="584"/>
      <c r="I29" s="587"/>
      <c r="J29" s="708"/>
      <c r="K29" s="601"/>
      <c r="L29" s="711"/>
      <c r="M29" s="708"/>
      <c r="N29" s="419" t="s">
        <v>775</v>
      </c>
      <c r="O29" s="486">
        <f>IF(OR(O10=0,O13=""),0,O10+O13)</f>
        <v>0</v>
      </c>
      <c r="P29" s="766"/>
      <c r="Q29" s="768"/>
      <c r="R29" s="726"/>
    </row>
    <row r="30" spans="1:19" ht="27" customHeight="1" thickBot="1" x14ac:dyDescent="0.25">
      <c r="A30" s="598"/>
      <c r="B30" s="599"/>
      <c r="C30" s="669"/>
      <c r="D30" s="585"/>
      <c r="E30" s="588"/>
      <c r="F30" s="585"/>
      <c r="G30" s="588"/>
      <c r="H30" s="585"/>
      <c r="I30" s="588"/>
      <c r="J30" s="709"/>
      <c r="K30" s="664"/>
      <c r="L30" s="712"/>
      <c r="M30" s="709"/>
      <c r="N30" s="419" t="s">
        <v>18</v>
      </c>
      <c r="O30" s="355" t="str">
        <f>IF(O28="","n.d.",IF(O29="","n.d.",IF(O29=0,"",O28 /O29)))</f>
        <v>n.d.</v>
      </c>
      <c r="P30" s="766"/>
      <c r="Q30" s="769"/>
      <c r="R30" s="727"/>
    </row>
    <row r="31" spans="1:19" ht="27.75" customHeight="1" thickBot="1" x14ac:dyDescent="0.25">
      <c r="A31" s="577">
        <v>6</v>
      </c>
      <c r="B31" s="580"/>
      <c r="C31" s="661" t="s">
        <v>958</v>
      </c>
      <c r="D31" s="583" t="s">
        <v>879</v>
      </c>
      <c r="E31" s="586"/>
      <c r="F31" s="583" t="s">
        <v>800</v>
      </c>
      <c r="G31" s="586"/>
      <c r="H31" s="583" t="s">
        <v>824</v>
      </c>
      <c r="I31" s="586"/>
      <c r="J31" s="784" t="s">
        <v>429</v>
      </c>
      <c r="K31" s="589" t="s">
        <v>777</v>
      </c>
      <c r="L31" s="710"/>
      <c r="M31" s="707" t="s">
        <v>275</v>
      </c>
      <c r="N31" s="418" t="s">
        <v>768</v>
      </c>
      <c r="O31" s="40"/>
      <c r="P31" s="766" t="str">
        <f>IF(O33=Berechnung1!D48,Berechnung1!$F$5,IF(OR(O33&lt; Berechnung1!E48,O33&gt; Berechnung1!F48),Berechnung1!$G$5,IF(OR(ROUND(O33,4)&lt;Berechnung1!J48,ROUND(O33,4)&gt;Berechnung1!K48),Berechnung1!$D$5,IF(OR(ROUND(O33,4)&lt;Berechnung1!G48,ROUND(O33,4)&gt;Berechnung1!H48),Berechnung1!$E$5,Berechnung1!$C$5))))</f>
        <v>Incomplete</v>
      </c>
      <c r="Q31" s="767"/>
      <c r="R31" s="763"/>
    </row>
    <row r="32" spans="1:19" ht="27.75" customHeight="1" thickBot="1" x14ac:dyDescent="0.25">
      <c r="A32" s="602"/>
      <c r="B32" s="603"/>
      <c r="C32" s="668"/>
      <c r="D32" s="584"/>
      <c r="E32" s="587"/>
      <c r="F32" s="584"/>
      <c r="G32" s="587"/>
      <c r="H32" s="584"/>
      <c r="I32" s="587"/>
      <c r="J32" s="708"/>
      <c r="K32" s="601"/>
      <c r="L32" s="711"/>
      <c r="M32" s="708"/>
      <c r="N32" s="418" t="s">
        <v>775</v>
      </c>
      <c r="O32" s="287">
        <f>IF(OR(O10=0,O13=""),0,O10+O13)</f>
        <v>0</v>
      </c>
      <c r="P32" s="766"/>
      <c r="Q32" s="768"/>
      <c r="R32" s="773"/>
    </row>
    <row r="33" spans="1:19" ht="27.75" customHeight="1" thickBot="1" x14ac:dyDescent="0.25">
      <c r="A33" s="598"/>
      <c r="B33" s="599"/>
      <c r="C33" s="669"/>
      <c r="D33" s="585"/>
      <c r="E33" s="588"/>
      <c r="F33" s="585"/>
      <c r="G33" s="588"/>
      <c r="H33" s="585"/>
      <c r="I33" s="588"/>
      <c r="J33" s="709"/>
      <c r="K33" s="664"/>
      <c r="L33" s="712"/>
      <c r="M33" s="709"/>
      <c r="N33" s="418" t="s">
        <v>18</v>
      </c>
      <c r="O33" s="238" t="str">
        <f>IF(O31="","n.d.",IF(O32="","n.d.",IF(O32=0,"",O31 /O32)))</f>
        <v>n.d.</v>
      </c>
      <c r="P33" s="766"/>
      <c r="Q33" s="769"/>
      <c r="R33" s="773"/>
    </row>
    <row r="34" spans="1:19" ht="27.75" customHeight="1" thickBot="1" x14ac:dyDescent="0.25">
      <c r="A34" s="577">
        <v>7</v>
      </c>
      <c r="B34" s="580" t="s">
        <v>240</v>
      </c>
      <c r="C34" s="661" t="s">
        <v>959</v>
      </c>
      <c r="D34" s="583" t="s">
        <v>779</v>
      </c>
      <c r="E34" s="586"/>
      <c r="F34" s="583" t="s">
        <v>780</v>
      </c>
      <c r="G34" s="586"/>
      <c r="H34" s="583" t="s">
        <v>826</v>
      </c>
      <c r="I34" s="586"/>
      <c r="J34" s="707"/>
      <c r="K34" s="589" t="s">
        <v>391</v>
      </c>
      <c r="L34" s="710"/>
      <c r="M34" s="707"/>
      <c r="N34" s="418" t="s">
        <v>768</v>
      </c>
      <c r="O34" s="62">
        <f>IF(Studies_Lung!$F$5="",0,Studies_Lung!$F$5)</f>
        <v>0</v>
      </c>
      <c r="P34" s="766" t="str">
        <f>IF(O36=Berechnung1!D51,Berechnung1!$F$5,IF(OR(O36&lt; Berechnung1!E51,O36&gt; Berechnung1!F51),Berechnung1!$G$5,IF(OR(ROUND(O36,4)&lt;Berechnung1!J51,ROUND(O36,4)&gt;Berechnung1!K51),Berechnung1!$D$5,IF(OR(ROUND(O36,4)&lt;Berechnung1!G51,ROUND(O36,3)&gt;Berechnung1!H51),Berechnung1!$E$5,Berechnung1!$C$5))))</f>
        <v>Incomplete</v>
      </c>
      <c r="Q34" s="767"/>
      <c r="R34" s="763"/>
    </row>
    <row r="35" spans="1:19" ht="27.75" customHeight="1" thickBot="1" x14ac:dyDescent="0.25">
      <c r="A35" s="602"/>
      <c r="B35" s="603"/>
      <c r="C35" s="668"/>
      <c r="D35" s="584"/>
      <c r="E35" s="587"/>
      <c r="F35" s="584"/>
      <c r="G35" s="587"/>
      <c r="H35" s="584"/>
      <c r="I35" s="587"/>
      <c r="J35" s="708"/>
      <c r="K35" s="601"/>
      <c r="L35" s="711"/>
      <c r="M35" s="708"/>
      <c r="N35" s="418" t="s">
        <v>775</v>
      </c>
      <c r="O35" s="62">
        <f>IF('Basic Data'!$K$33="",0,'Basic Data'!$K$33)</f>
        <v>0</v>
      </c>
      <c r="P35" s="766"/>
      <c r="Q35" s="768"/>
      <c r="R35" s="764"/>
    </row>
    <row r="36" spans="1:19" ht="27.75" customHeight="1" thickBot="1" x14ac:dyDescent="0.25">
      <c r="A36" s="598"/>
      <c r="B36" s="599"/>
      <c r="C36" s="669"/>
      <c r="D36" s="585"/>
      <c r="E36" s="588"/>
      <c r="F36" s="585"/>
      <c r="G36" s="588"/>
      <c r="H36" s="585"/>
      <c r="I36" s="588"/>
      <c r="J36" s="709"/>
      <c r="K36" s="664"/>
      <c r="L36" s="712"/>
      <c r="M36" s="709"/>
      <c r="N36" s="418" t="s">
        <v>18</v>
      </c>
      <c r="O36" s="238" t="str">
        <f>IF(O34="0","n.d.",IF(O35="0","n.d.",IF(O35=0,"n.d.",O34 /O35)))</f>
        <v>n.d.</v>
      </c>
      <c r="P36" s="766"/>
      <c r="Q36" s="769"/>
      <c r="R36" s="765"/>
    </row>
    <row r="37" spans="1:19" ht="27.75" customHeight="1" thickBot="1" x14ac:dyDescent="0.25">
      <c r="A37" s="577" t="s">
        <v>978</v>
      </c>
      <c r="B37" s="580" t="s">
        <v>241</v>
      </c>
      <c r="C37" s="661" t="s">
        <v>781</v>
      </c>
      <c r="D37" s="583" t="s">
        <v>774</v>
      </c>
      <c r="E37" s="586"/>
      <c r="F37" s="583" t="s">
        <v>782</v>
      </c>
      <c r="G37" s="586"/>
      <c r="H37" s="583" t="s">
        <v>225</v>
      </c>
      <c r="I37" s="586"/>
      <c r="J37" s="707"/>
      <c r="K37" s="589" t="s">
        <v>257</v>
      </c>
      <c r="L37" s="710"/>
      <c r="M37" s="707"/>
      <c r="N37" s="716" t="s">
        <v>747</v>
      </c>
      <c r="O37" s="713">
        <f>IF(SUM(Expertise_Lung!M11:M14)=0,0,SUM(Expertise_Lung!M11:M14))</f>
        <v>0</v>
      </c>
      <c r="P37" s="717" t="str">
        <f>Expertise_Lung!P11</f>
        <v>Incomplete</v>
      </c>
      <c r="Q37" s="703" t="str">
        <f>IF(AND(Expertise_Lung!Q11="",Expertise_Lung!Q12="",Expertise_Lung!Q13="",Expertise_Lung!Q14=""),"",CONCATENATE(Expertise_Lung!Q11,CHAR(10),Expertise_Lung!Q12,CHAR(10),Expertise_Lung!Q13,CHAR(10),Expertise_Lung!Q14,CHAR(10)))</f>
        <v/>
      </c>
      <c r="R37" s="703" t="str">
        <f>IF(Expertise_Lung!R11="","",CONCATENATE(Expertise_Lung!R11,CHAR(10),Expertise_Lung!R12,CHAR(10),Expertise_Lung!R13,CHAR(10),Expertise_Lung!R14,CHAR(10)))</f>
        <v/>
      </c>
    </row>
    <row r="38" spans="1:19" ht="27.75" customHeight="1" thickBot="1" x14ac:dyDescent="0.25">
      <c r="A38" s="602"/>
      <c r="B38" s="603"/>
      <c r="C38" s="668"/>
      <c r="D38" s="584"/>
      <c r="E38" s="587"/>
      <c r="F38" s="584"/>
      <c r="G38" s="587"/>
      <c r="H38" s="584"/>
      <c r="I38" s="587"/>
      <c r="J38" s="708"/>
      <c r="K38" s="601"/>
      <c r="L38" s="711"/>
      <c r="M38" s="708"/>
      <c r="N38" s="716"/>
      <c r="O38" s="714"/>
      <c r="P38" s="718"/>
      <c r="Q38" s="704"/>
      <c r="R38" s="704"/>
    </row>
    <row r="39" spans="1:19" ht="27.75" customHeight="1" thickBot="1" x14ac:dyDescent="0.25">
      <c r="A39" s="598"/>
      <c r="B39" s="599"/>
      <c r="C39" s="669"/>
      <c r="D39" s="585"/>
      <c r="E39" s="588"/>
      <c r="F39" s="585"/>
      <c r="G39" s="588"/>
      <c r="H39" s="585"/>
      <c r="I39" s="588"/>
      <c r="J39" s="709"/>
      <c r="K39" s="664"/>
      <c r="L39" s="712"/>
      <c r="M39" s="709"/>
      <c r="N39" s="716"/>
      <c r="O39" s="715"/>
      <c r="P39" s="719"/>
      <c r="Q39" s="705"/>
      <c r="R39" s="705"/>
    </row>
    <row r="40" spans="1:19" ht="27.75" customHeight="1" thickBot="1" x14ac:dyDescent="0.25">
      <c r="A40" s="577" t="s">
        <v>979</v>
      </c>
      <c r="B40" s="580"/>
      <c r="C40" s="661" t="s">
        <v>1024</v>
      </c>
      <c r="D40" s="583" t="s">
        <v>774</v>
      </c>
      <c r="E40" s="586"/>
      <c r="F40" s="583" t="s">
        <v>1025</v>
      </c>
      <c r="G40" s="586"/>
      <c r="H40" s="706" t="s">
        <v>225</v>
      </c>
      <c r="I40" s="586"/>
      <c r="J40" s="707"/>
      <c r="K40" s="589" t="s">
        <v>266</v>
      </c>
      <c r="L40" s="710"/>
      <c r="M40" s="707"/>
      <c r="N40" s="716" t="s">
        <v>747</v>
      </c>
      <c r="O40" s="713">
        <f>IF(SUM(Expertise_Lung!M15:M18)=0,0,SUM(Expertise_Lung!M15:M18))</f>
        <v>0</v>
      </c>
      <c r="P40" s="717" t="str">
        <f>Expertise_Lung!P15</f>
        <v>Incomplete</v>
      </c>
      <c r="Q40" s="703" t="str">
        <f>IF(AND(Expertise_Lung!Q15="",Expertise_Lung!Q16="",Expertise_Lung!Q17="",Expertise_Lung!Q18=""),"",CONCATENATE(Expertise_Lung!Q15,CHAR(10),Expertise_Lung!Q16,CHAR(10),Expertise_Lung!Q17,CHAR(10),Expertise_Lung!Q18,CHAR(10)))</f>
        <v/>
      </c>
      <c r="R40" s="703" t="str">
        <f>IF(Expertise_Lung!R15="","",CONCATENATE(Expertise_Lung!R15,CHAR(10),Expertise_Lung!R16,CHAR(10),Expertise_Lung!R17,CHAR(10),Expertise_Lung!R18,CHAR(10)))</f>
        <v/>
      </c>
    </row>
    <row r="41" spans="1:19" ht="27.75" customHeight="1" thickBot="1" x14ac:dyDescent="0.25">
      <c r="A41" s="602"/>
      <c r="B41" s="603"/>
      <c r="C41" s="668"/>
      <c r="D41" s="584"/>
      <c r="E41" s="587"/>
      <c r="F41" s="584"/>
      <c r="G41" s="587"/>
      <c r="H41" s="584"/>
      <c r="I41" s="587"/>
      <c r="J41" s="708"/>
      <c r="K41" s="601"/>
      <c r="L41" s="711"/>
      <c r="M41" s="708"/>
      <c r="N41" s="716"/>
      <c r="O41" s="714"/>
      <c r="P41" s="718"/>
      <c r="Q41" s="704"/>
      <c r="R41" s="704"/>
    </row>
    <row r="42" spans="1:19" ht="27.75" customHeight="1" thickBot="1" x14ac:dyDescent="0.25">
      <c r="A42" s="598"/>
      <c r="B42" s="599"/>
      <c r="C42" s="669"/>
      <c r="D42" s="585"/>
      <c r="E42" s="588"/>
      <c r="F42" s="585"/>
      <c r="G42" s="588"/>
      <c r="H42" s="585"/>
      <c r="I42" s="588"/>
      <c r="J42" s="709"/>
      <c r="K42" s="664"/>
      <c r="L42" s="712"/>
      <c r="M42" s="709"/>
      <c r="N42" s="716"/>
      <c r="O42" s="715"/>
      <c r="P42" s="719"/>
      <c r="Q42" s="705"/>
      <c r="R42" s="705"/>
    </row>
    <row r="43" spans="1:19" ht="27.75" customHeight="1" thickBot="1" x14ac:dyDescent="0.25">
      <c r="A43" s="577">
        <v>9</v>
      </c>
      <c r="B43" s="580" t="s">
        <v>241</v>
      </c>
      <c r="C43" s="661" t="s">
        <v>783</v>
      </c>
      <c r="D43" s="583" t="s">
        <v>774</v>
      </c>
      <c r="E43" s="586"/>
      <c r="F43" s="583" t="s">
        <v>1035</v>
      </c>
      <c r="G43" s="586"/>
      <c r="H43" s="583" t="s">
        <v>225</v>
      </c>
      <c r="I43" s="586"/>
      <c r="J43" s="707"/>
      <c r="K43" s="589" t="s">
        <v>393</v>
      </c>
      <c r="L43" s="710"/>
      <c r="M43" s="720"/>
      <c r="N43" s="716" t="s">
        <v>747</v>
      </c>
      <c r="O43" s="713">
        <f>IF(SUM(Expertise_Lung!M19:M22)=0,0,SUM(Expertise_Lung!M19:M22))</f>
        <v>0</v>
      </c>
      <c r="P43" s="717" t="str">
        <f>Expertise_Lung!P19</f>
        <v>Incomplete</v>
      </c>
      <c r="Q43" s="703" t="str">
        <f>IF(AND(Expertise_Lung!Q19="",Expertise_Lung!Q20="",Expertise_Lung!Q21="",Expertise_Lung!Q22=""),"",CONCATENATE(Expertise_Lung!Q19,CHAR(10),Expertise_Lung!Q20,CHAR(10),Expertise_Lung!Q21,CHAR(10),Expertise_Lung!Q22,CHAR(10)))</f>
        <v/>
      </c>
      <c r="R43" s="703" t="str">
        <f>IF(Expertise_Lung!R19="","",CONCATENATE(Expertise_Lung!R19,CHAR(10),Expertise_Lung!R20,CHAR(10),Expertise_Lung!R21,CHAR(10),Expertise_Lung!R22,CHAR(10)))</f>
        <v/>
      </c>
    </row>
    <row r="44" spans="1:19" ht="27.75" customHeight="1" thickBot="1" x14ac:dyDescent="0.25">
      <c r="A44" s="602"/>
      <c r="B44" s="603"/>
      <c r="C44" s="668"/>
      <c r="D44" s="584"/>
      <c r="E44" s="587"/>
      <c r="F44" s="584"/>
      <c r="G44" s="587"/>
      <c r="H44" s="584"/>
      <c r="I44" s="587"/>
      <c r="J44" s="708"/>
      <c r="K44" s="601"/>
      <c r="L44" s="711"/>
      <c r="M44" s="721"/>
      <c r="N44" s="716"/>
      <c r="O44" s="714"/>
      <c r="P44" s="718"/>
      <c r="Q44" s="704"/>
      <c r="R44" s="704"/>
    </row>
    <row r="45" spans="1:19" ht="27.75" customHeight="1" thickBot="1" x14ac:dyDescent="0.25">
      <c r="A45" s="598"/>
      <c r="B45" s="599"/>
      <c r="C45" s="669"/>
      <c r="D45" s="585"/>
      <c r="E45" s="588"/>
      <c r="F45" s="585"/>
      <c r="G45" s="588"/>
      <c r="H45" s="585"/>
      <c r="I45" s="588"/>
      <c r="J45" s="709"/>
      <c r="K45" s="664"/>
      <c r="L45" s="712"/>
      <c r="M45" s="722"/>
      <c r="N45" s="716"/>
      <c r="O45" s="715"/>
      <c r="P45" s="719"/>
      <c r="Q45" s="705"/>
      <c r="R45" s="705"/>
    </row>
    <row r="46" spans="1:19" ht="27.75" customHeight="1" thickBot="1" x14ac:dyDescent="0.25">
      <c r="A46" s="577" t="s">
        <v>950</v>
      </c>
      <c r="B46" s="580" t="s">
        <v>842</v>
      </c>
      <c r="C46" s="661" t="s">
        <v>880</v>
      </c>
      <c r="D46" s="583" t="s">
        <v>881</v>
      </c>
      <c r="E46" s="586"/>
      <c r="F46" s="583" t="s">
        <v>882</v>
      </c>
      <c r="G46" s="586"/>
      <c r="H46" s="583" t="s">
        <v>883</v>
      </c>
      <c r="I46" s="586"/>
      <c r="J46" s="707"/>
      <c r="K46" s="589" t="s">
        <v>777</v>
      </c>
      <c r="L46" s="710"/>
      <c r="M46" s="707"/>
      <c r="N46" s="419" t="s">
        <v>768</v>
      </c>
      <c r="O46" s="354"/>
      <c r="P46" s="574" t="str">
        <f>IF(O48=Berechnung1!D63,Berechnung1!$F$5,IF(OR(O48&lt; Berechnung1!E63,O48&gt; Berechnung1!F63),Berechnung1!$G$5,IF(OR(ROUND(O48,4)&lt;Berechnung1!J63,ROUND(O48,4)&gt;Berechnung1!K63),Berechnung1!$D$5,IF(OR(ROUND(O48,4)&lt;Berechnung1!G63,ROUND(O48,4)&gt;Berechnung1!H63),Berechnung1!$E$5,Berechnung1!$C$5))))</f>
        <v>Incomplete</v>
      </c>
      <c r="Q46" s="725"/>
      <c r="R46" s="725"/>
    </row>
    <row r="47" spans="1:19" ht="27.75" customHeight="1" thickBot="1" x14ac:dyDescent="0.25">
      <c r="A47" s="602"/>
      <c r="B47" s="603"/>
      <c r="C47" s="668"/>
      <c r="D47" s="584"/>
      <c r="E47" s="587"/>
      <c r="F47" s="584"/>
      <c r="G47" s="587"/>
      <c r="H47" s="584"/>
      <c r="I47" s="587"/>
      <c r="J47" s="708"/>
      <c r="K47" s="601"/>
      <c r="L47" s="711"/>
      <c r="M47" s="708"/>
      <c r="N47" s="419" t="s">
        <v>775</v>
      </c>
      <c r="O47" s="354"/>
      <c r="P47" s="785"/>
      <c r="Q47" s="726"/>
      <c r="R47" s="726"/>
      <c r="S47" s="3">
        <f>SUM('Basic Data'!C33:G33)</f>
        <v>0</v>
      </c>
    </row>
    <row r="48" spans="1:19" ht="27.75" customHeight="1" thickBot="1" x14ac:dyDescent="0.25">
      <c r="A48" s="598"/>
      <c r="B48" s="599"/>
      <c r="C48" s="669"/>
      <c r="D48" s="585"/>
      <c r="E48" s="588"/>
      <c r="F48" s="585"/>
      <c r="G48" s="588"/>
      <c r="H48" s="585"/>
      <c r="I48" s="588"/>
      <c r="J48" s="709"/>
      <c r="K48" s="664"/>
      <c r="L48" s="712"/>
      <c r="M48" s="709"/>
      <c r="N48" s="419" t="s">
        <v>18</v>
      </c>
      <c r="O48" s="355" t="str">
        <f>IF(O46="","n.d.",IF(O47="","n.d.",IF(O47=0,"",O46 /O47)))</f>
        <v>n.d.</v>
      </c>
      <c r="P48" s="786"/>
      <c r="Q48" s="727"/>
      <c r="R48" s="727"/>
    </row>
    <row r="49" spans="1:18" ht="27.75" customHeight="1" thickBot="1" x14ac:dyDescent="0.25">
      <c r="A49" s="577" t="s">
        <v>884</v>
      </c>
      <c r="B49" s="580" t="s">
        <v>242</v>
      </c>
      <c r="C49" s="661" t="s">
        <v>784</v>
      </c>
      <c r="D49" s="583" t="s">
        <v>774</v>
      </c>
      <c r="E49" s="747"/>
      <c r="F49" s="583" t="s">
        <v>962</v>
      </c>
      <c r="G49" s="586"/>
      <c r="H49" s="583" t="s">
        <v>225</v>
      </c>
      <c r="I49" s="586"/>
      <c r="J49" s="707"/>
      <c r="K49" s="589" t="s">
        <v>777</v>
      </c>
      <c r="L49" s="710"/>
      <c r="M49" s="720"/>
      <c r="N49" s="716" t="s">
        <v>747</v>
      </c>
      <c r="O49" s="713">
        <f>IF('Basic Data'!$K$34="",0,'Basic Data'!$K$34)</f>
        <v>0</v>
      </c>
      <c r="P49" s="717" t="str">
        <f>IF(O49=0,Berechnung1!$F$5, IF(O49=0,Berechnung1!$D$5,IF(OR(O49&lt; Berechnung1!E60,O49&gt; Berechnung1!F60),Berechnung1!$G$5,IF(OR(ROUND(O49,4)&lt;Berechnung1!J60,ROUND(O49,4)&gt;Berechnung1!K60),Berechnung1!$D$5,IF(OR(ROUND(O49,4)&lt;Berechnung1!G60,ROUND(O49,4)&gt;Berechnung1!H60),Berechnung1!$E$5,Berechnung1!$C$5)))))</f>
        <v>Incomplete</v>
      </c>
      <c r="Q49" s="725"/>
      <c r="R49" s="763"/>
    </row>
    <row r="50" spans="1:18" ht="27.75" customHeight="1" thickBot="1" x14ac:dyDescent="0.25">
      <c r="A50" s="602"/>
      <c r="B50" s="581"/>
      <c r="C50" s="662"/>
      <c r="D50" s="600"/>
      <c r="E50" s="748"/>
      <c r="F50" s="584"/>
      <c r="G50" s="587"/>
      <c r="H50" s="584"/>
      <c r="I50" s="587"/>
      <c r="J50" s="708"/>
      <c r="K50" s="601"/>
      <c r="L50" s="711"/>
      <c r="M50" s="721"/>
      <c r="N50" s="716"/>
      <c r="O50" s="723"/>
      <c r="P50" s="718"/>
      <c r="Q50" s="726"/>
      <c r="R50" s="764"/>
    </row>
    <row r="51" spans="1:18" ht="27.75" customHeight="1" thickBot="1" x14ac:dyDescent="0.25">
      <c r="A51" s="598"/>
      <c r="B51" s="581"/>
      <c r="C51" s="662"/>
      <c r="D51" s="600"/>
      <c r="E51" s="748"/>
      <c r="F51" s="585"/>
      <c r="G51" s="588"/>
      <c r="H51" s="585"/>
      <c r="I51" s="588"/>
      <c r="J51" s="709"/>
      <c r="K51" s="664"/>
      <c r="L51" s="712"/>
      <c r="M51" s="722"/>
      <c r="N51" s="716"/>
      <c r="O51" s="724"/>
      <c r="P51" s="719"/>
      <c r="Q51" s="727"/>
      <c r="R51" s="765"/>
    </row>
    <row r="52" spans="1:18" ht="27.75" customHeight="1" thickBot="1" x14ac:dyDescent="0.25">
      <c r="A52" s="577" t="s">
        <v>885</v>
      </c>
      <c r="B52" s="581"/>
      <c r="C52" s="662"/>
      <c r="D52" s="600"/>
      <c r="E52" s="748"/>
      <c r="F52" s="583" t="s">
        <v>969</v>
      </c>
      <c r="G52" s="586"/>
      <c r="H52" s="583" t="s">
        <v>225</v>
      </c>
      <c r="I52" s="586"/>
      <c r="J52" s="707"/>
      <c r="K52" s="589" t="s">
        <v>264</v>
      </c>
      <c r="L52" s="710"/>
      <c r="M52" s="720"/>
      <c r="N52" s="716" t="s">
        <v>747</v>
      </c>
      <c r="O52" s="713">
        <f>IF('Basic Data'!K39="",0,'Basic Data'!K39)</f>
        <v>0</v>
      </c>
      <c r="P52" s="717" t="str">
        <f>IF(O52=0,Berechnung1!$F$5, IF(O52=0,Berechnung1!$D$5,IF(OR(O52&lt; Berechnung1!E69,O52&gt; Berechnung1!F69),Berechnung1!$G$5,IF(OR(ROUND(O52,4)&lt;Berechnung1!J69,ROUND(O52,4)&gt;Berechnung1!K69),Berechnung1!$D$5,IF(OR(ROUND(O52,4)&lt;Berechnung1!G69,ROUND(O52,4)&gt;Berechnung1!H69),Berechnung1!$E$5,Berechnung1!$C$5)))))</f>
        <v>Incomplete</v>
      </c>
      <c r="Q52" s="725"/>
      <c r="R52" s="763"/>
    </row>
    <row r="53" spans="1:18" ht="27.75" customHeight="1" thickBot="1" x14ac:dyDescent="0.25">
      <c r="A53" s="602"/>
      <c r="B53" s="581"/>
      <c r="C53" s="662"/>
      <c r="D53" s="600"/>
      <c r="E53" s="748"/>
      <c r="F53" s="584"/>
      <c r="G53" s="587"/>
      <c r="H53" s="584"/>
      <c r="I53" s="587"/>
      <c r="J53" s="708"/>
      <c r="K53" s="601"/>
      <c r="L53" s="711"/>
      <c r="M53" s="721"/>
      <c r="N53" s="716"/>
      <c r="O53" s="723"/>
      <c r="P53" s="718"/>
      <c r="Q53" s="726"/>
      <c r="R53" s="764"/>
    </row>
    <row r="54" spans="1:18" ht="27.75" customHeight="1" thickBot="1" x14ac:dyDescent="0.25">
      <c r="A54" s="598"/>
      <c r="B54" s="581"/>
      <c r="C54" s="662"/>
      <c r="D54" s="600"/>
      <c r="E54" s="748"/>
      <c r="F54" s="585"/>
      <c r="G54" s="588"/>
      <c r="H54" s="585"/>
      <c r="I54" s="588"/>
      <c r="J54" s="709"/>
      <c r="K54" s="664"/>
      <c r="L54" s="712"/>
      <c r="M54" s="722"/>
      <c r="N54" s="716"/>
      <c r="O54" s="724"/>
      <c r="P54" s="719"/>
      <c r="Q54" s="727"/>
      <c r="R54" s="765"/>
    </row>
    <row r="55" spans="1:18" ht="27.75" customHeight="1" thickBot="1" x14ac:dyDescent="0.25">
      <c r="A55" s="577">
        <v>12</v>
      </c>
      <c r="B55" s="580"/>
      <c r="C55" s="661" t="s">
        <v>915</v>
      </c>
      <c r="D55" s="583" t="s">
        <v>916</v>
      </c>
      <c r="E55" s="586"/>
      <c r="F55" s="583" t="s">
        <v>917</v>
      </c>
      <c r="G55" s="586"/>
      <c r="H55" s="583" t="s">
        <v>918</v>
      </c>
      <c r="I55" s="586"/>
      <c r="J55" s="707" t="s">
        <v>429</v>
      </c>
      <c r="K55" s="589" t="s">
        <v>777</v>
      </c>
      <c r="L55" s="710"/>
      <c r="M55" s="720"/>
      <c r="N55" s="418" t="s">
        <v>768</v>
      </c>
      <c r="O55" s="40"/>
      <c r="P55" s="766" t="str">
        <f>IF(O57=Berechnung1!D72,Berechnung1!$F$5,IF(OR(O57&lt; Berechnung1!E72,O57&gt; Berechnung1!F72),Berechnung1!$G$5,IF(OR(ROUND(O57,4)&lt;Berechnung1!G72,ROUND(O57,4)&gt;Berechnung1!H72),Berechnung1!$E$5,IF(OR(ROUND(O57,4)&lt;Berechnung1!J72,ROUND(O57,4)&gt;Berechnung1!K72),Berechnung1!$D$5,Berechnung1!$C$5))))</f>
        <v>Incomplete</v>
      </c>
      <c r="Q55" s="763"/>
      <c r="R55" s="763"/>
    </row>
    <row r="56" spans="1:18" ht="27.75" customHeight="1" thickBot="1" x14ac:dyDescent="0.25">
      <c r="A56" s="602"/>
      <c r="B56" s="603"/>
      <c r="C56" s="668"/>
      <c r="D56" s="584"/>
      <c r="E56" s="587"/>
      <c r="F56" s="584"/>
      <c r="G56" s="587"/>
      <c r="H56" s="584"/>
      <c r="I56" s="587"/>
      <c r="J56" s="708"/>
      <c r="K56" s="601"/>
      <c r="L56" s="711"/>
      <c r="M56" s="721"/>
      <c r="N56" s="418" t="s">
        <v>775</v>
      </c>
      <c r="O56" s="40"/>
      <c r="P56" s="766"/>
      <c r="Q56" s="764"/>
      <c r="R56" s="764"/>
    </row>
    <row r="57" spans="1:18" ht="27.75" customHeight="1" thickBot="1" x14ac:dyDescent="0.25">
      <c r="A57" s="598"/>
      <c r="B57" s="599"/>
      <c r="C57" s="669"/>
      <c r="D57" s="585"/>
      <c r="E57" s="588"/>
      <c r="F57" s="585"/>
      <c r="G57" s="588"/>
      <c r="H57" s="585"/>
      <c r="I57" s="588"/>
      <c r="J57" s="709"/>
      <c r="K57" s="664"/>
      <c r="L57" s="712"/>
      <c r="M57" s="722"/>
      <c r="N57" s="418" t="s">
        <v>18</v>
      </c>
      <c r="O57" s="238" t="str">
        <f>IF(O55="","n.d.",IF(O56="","n.d.",IF(O56=0,"",O55 /O56)))</f>
        <v>n.d.</v>
      </c>
      <c r="P57" s="766"/>
      <c r="Q57" s="765"/>
      <c r="R57" s="765"/>
    </row>
    <row r="58" spans="1:18" s="55" customFormat="1" ht="27.75" customHeight="1" thickBot="1" x14ac:dyDescent="0.25">
      <c r="A58" s="577">
        <v>13</v>
      </c>
      <c r="B58" s="580" t="s">
        <v>242</v>
      </c>
      <c r="C58" s="661" t="s">
        <v>989</v>
      </c>
      <c r="D58" s="583" t="s">
        <v>990</v>
      </c>
      <c r="E58" s="586"/>
      <c r="F58" s="583" t="s">
        <v>991</v>
      </c>
      <c r="G58" s="586"/>
      <c r="H58" s="583" t="s">
        <v>886</v>
      </c>
      <c r="I58" s="586"/>
      <c r="J58" s="707"/>
      <c r="K58" s="589" t="s">
        <v>777</v>
      </c>
      <c r="L58" s="710"/>
      <c r="M58" s="720"/>
      <c r="N58" s="418" t="s">
        <v>768</v>
      </c>
      <c r="O58" s="40"/>
      <c r="P58" s="766" t="str">
        <f>IF(O60=Berechnung1!D75,Berechnung1!$F$5,IF(OR(O60&lt; Berechnung1!E75,O60&gt; Berechnung1!F75),Berechnung1!$G$5,IF(OR(ROUND(O60,4)&lt;Berechnung1!J75,ROUND(O60,4)&gt;Berechnung1!K75),Berechnung1!$D$5,IF(OR(ROUND(O60,4)&lt;Berechnung1!G75,ROUND(O60,4)&gt;Berechnung1!H75),Berechnung1!$E$5,Berechnung1!$C$5))))</f>
        <v>Incomplete</v>
      </c>
      <c r="Q58" s="763"/>
      <c r="R58" s="763"/>
    </row>
    <row r="59" spans="1:18" s="55" customFormat="1" ht="27.75" customHeight="1" thickBot="1" x14ac:dyDescent="0.25">
      <c r="A59" s="602"/>
      <c r="B59" s="603"/>
      <c r="C59" s="668"/>
      <c r="D59" s="584"/>
      <c r="E59" s="587"/>
      <c r="F59" s="584"/>
      <c r="G59" s="587"/>
      <c r="H59" s="584"/>
      <c r="I59" s="587"/>
      <c r="J59" s="708"/>
      <c r="K59" s="601"/>
      <c r="L59" s="711"/>
      <c r="M59" s="721"/>
      <c r="N59" s="418" t="s">
        <v>775</v>
      </c>
      <c r="O59" s="62">
        <f>IF('Basic Data'!$K$34="",0,'Basic Data'!$K$34)</f>
        <v>0</v>
      </c>
      <c r="P59" s="766"/>
      <c r="Q59" s="764"/>
      <c r="R59" s="764"/>
    </row>
    <row r="60" spans="1:18" s="55" customFormat="1" ht="27.75" customHeight="1" thickBot="1" x14ac:dyDescent="0.25">
      <c r="A60" s="598"/>
      <c r="B60" s="599"/>
      <c r="C60" s="669"/>
      <c r="D60" s="585"/>
      <c r="E60" s="588"/>
      <c r="F60" s="585"/>
      <c r="G60" s="588"/>
      <c r="H60" s="585"/>
      <c r="I60" s="588"/>
      <c r="J60" s="709"/>
      <c r="K60" s="664"/>
      <c r="L60" s="712"/>
      <c r="M60" s="722"/>
      <c r="N60" s="418" t="s">
        <v>18</v>
      </c>
      <c r="O60" s="238" t="str">
        <f>IF(O58="","n.d.",IF(O59="","n.d.",IF(O59=0,"",O58 /O59)))</f>
        <v>n.d.</v>
      </c>
      <c r="P60" s="766"/>
      <c r="Q60" s="765"/>
      <c r="R60" s="765"/>
    </row>
    <row r="61" spans="1:18" ht="27.75" customHeight="1" thickBot="1" x14ac:dyDescent="0.25">
      <c r="A61" s="577">
        <v>14</v>
      </c>
      <c r="B61" s="580" t="s">
        <v>243</v>
      </c>
      <c r="C61" s="661" t="s">
        <v>785</v>
      </c>
      <c r="D61" s="583" t="s">
        <v>828</v>
      </c>
      <c r="E61" s="586"/>
      <c r="F61" s="583" t="s">
        <v>811</v>
      </c>
      <c r="G61" s="586"/>
      <c r="H61" s="583" t="s">
        <v>938</v>
      </c>
      <c r="I61" s="586"/>
      <c r="J61" s="707" t="s">
        <v>268</v>
      </c>
      <c r="K61" s="589" t="s">
        <v>279</v>
      </c>
      <c r="L61" s="710"/>
      <c r="M61" s="707"/>
      <c r="N61" s="418" t="s">
        <v>768</v>
      </c>
      <c r="O61" s="40"/>
      <c r="P61" s="766" t="str">
        <f>IF(O63=Berechnung1!D78,Berechnung1!$F$5,IF(OR(O63&lt; Berechnung1!E78,O63&gt; Berechnung1!F78),Berechnung1!$G$5,IF(OR(O63&lt;Berechnung1!J78,O63&gt;Berechnung1!K78),Berechnung1!$D$5,IF(OR(ROUND(O63,4)&lt;Berechnung1!G78,ROUND(O63,4)&gt;Berechnung1!H78),Berechnung1!$E$5,Berechnung1!$C$5))))</f>
        <v>Incomplete</v>
      </c>
      <c r="Q61" s="763"/>
      <c r="R61" s="763"/>
    </row>
    <row r="62" spans="1:18" ht="27.75" customHeight="1" thickBot="1" x14ac:dyDescent="0.25">
      <c r="A62" s="602"/>
      <c r="B62" s="603"/>
      <c r="C62" s="668"/>
      <c r="D62" s="584"/>
      <c r="E62" s="587"/>
      <c r="F62" s="584"/>
      <c r="G62" s="587"/>
      <c r="H62" s="584"/>
      <c r="I62" s="587"/>
      <c r="J62" s="708"/>
      <c r="K62" s="601"/>
      <c r="L62" s="711"/>
      <c r="M62" s="708"/>
      <c r="N62" s="418" t="s">
        <v>775</v>
      </c>
      <c r="O62" s="62">
        <f>IF('Basic Data'!$K$34="",0,'Basic Data'!$K$34)</f>
        <v>0</v>
      </c>
      <c r="P62" s="766"/>
      <c r="Q62" s="764"/>
      <c r="R62" s="764"/>
    </row>
    <row r="63" spans="1:18" ht="27.75" customHeight="1" thickBot="1" x14ac:dyDescent="0.25">
      <c r="A63" s="598"/>
      <c r="B63" s="599"/>
      <c r="C63" s="669"/>
      <c r="D63" s="585"/>
      <c r="E63" s="588"/>
      <c r="F63" s="585"/>
      <c r="G63" s="588"/>
      <c r="H63" s="585"/>
      <c r="I63" s="588"/>
      <c r="J63" s="709"/>
      <c r="K63" s="664"/>
      <c r="L63" s="712"/>
      <c r="M63" s="709"/>
      <c r="N63" s="418" t="s">
        <v>18</v>
      </c>
      <c r="O63" s="238" t="str">
        <f>IF(O61="","n.d.",IF(O62="","n.d.",IF(O62=0,"",O61 /O62)))</f>
        <v>n.d.</v>
      </c>
      <c r="P63" s="766"/>
      <c r="Q63" s="765"/>
      <c r="R63" s="765"/>
    </row>
    <row r="64" spans="1:18" ht="27.75" customHeight="1" thickBot="1" x14ac:dyDescent="0.25">
      <c r="A64" s="577">
        <v>15</v>
      </c>
      <c r="B64" s="580" t="s">
        <v>243</v>
      </c>
      <c r="C64" s="661" t="s">
        <v>786</v>
      </c>
      <c r="D64" s="583" t="s">
        <v>829</v>
      </c>
      <c r="E64" s="586"/>
      <c r="F64" s="583" t="s">
        <v>802</v>
      </c>
      <c r="G64" s="586"/>
      <c r="H64" s="583" t="s">
        <v>938</v>
      </c>
      <c r="I64" s="586"/>
      <c r="J64" s="707" t="s">
        <v>268</v>
      </c>
      <c r="K64" s="589" t="s">
        <v>279</v>
      </c>
      <c r="L64" s="710"/>
      <c r="M64" s="707"/>
      <c r="N64" s="418" t="s">
        <v>768</v>
      </c>
      <c r="O64" s="40"/>
      <c r="P64" s="766" t="str">
        <f>IF(O66=Berechnung1!D81,Berechnung1!$F$5,IF(OR(O66&lt; Berechnung1!E81,O66&gt; Berechnung1!F81),Berechnung1!$G$5,IF(OR(O66&lt;Berechnung1!J81,O66&gt;Berechnung1!K81),Berechnung1!$D$5,IF(OR(ROUND(O66,4)&lt;Berechnung1!G81,ROUND(O66,4)&gt;Berechnung1!H81),Berechnung1!$E$5,Berechnung1!$C$5))))</f>
        <v>Incomplete</v>
      </c>
      <c r="Q64" s="763"/>
      <c r="R64" s="763"/>
    </row>
    <row r="65" spans="1:19" ht="27.75" customHeight="1" thickBot="1" x14ac:dyDescent="0.25">
      <c r="A65" s="602"/>
      <c r="B65" s="603"/>
      <c r="C65" s="668"/>
      <c r="D65" s="584"/>
      <c r="E65" s="587"/>
      <c r="F65" s="584"/>
      <c r="G65" s="587"/>
      <c r="H65" s="584"/>
      <c r="I65" s="587"/>
      <c r="J65" s="708"/>
      <c r="K65" s="601"/>
      <c r="L65" s="711"/>
      <c r="M65" s="708"/>
      <c r="N65" s="418" t="s">
        <v>775</v>
      </c>
      <c r="O65" s="62">
        <f>IF('Basic Data'!$K$34="",0,'Basic Data'!$K$34)</f>
        <v>0</v>
      </c>
      <c r="P65" s="766"/>
      <c r="Q65" s="764"/>
      <c r="R65" s="773"/>
    </row>
    <row r="66" spans="1:19" ht="27.75" customHeight="1" thickBot="1" x14ac:dyDescent="0.25">
      <c r="A66" s="598"/>
      <c r="B66" s="599"/>
      <c r="C66" s="669"/>
      <c r="D66" s="585"/>
      <c r="E66" s="588"/>
      <c r="F66" s="585"/>
      <c r="G66" s="588"/>
      <c r="H66" s="585"/>
      <c r="I66" s="588"/>
      <c r="J66" s="709"/>
      <c r="K66" s="664"/>
      <c r="L66" s="712"/>
      <c r="M66" s="709"/>
      <c r="N66" s="418" t="s">
        <v>18</v>
      </c>
      <c r="O66" s="238" t="str">
        <f>IF(O64="","n.d.",IF(O65="","n.d.",IF(O65=0,"",O64 /O65)))</f>
        <v>n.d.</v>
      </c>
      <c r="P66" s="766"/>
      <c r="Q66" s="765"/>
      <c r="R66" s="773"/>
    </row>
    <row r="67" spans="1:19" ht="27" customHeight="1" thickBot="1" x14ac:dyDescent="0.25">
      <c r="A67" s="577">
        <v>16</v>
      </c>
      <c r="B67" s="580" t="s">
        <v>243</v>
      </c>
      <c r="C67" s="661" t="s">
        <v>787</v>
      </c>
      <c r="D67" s="583" t="s">
        <v>830</v>
      </c>
      <c r="E67" s="586"/>
      <c r="F67" s="583" t="s">
        <v>803</v>
      </c>
      <c r="G67" s="586"/>
      <c r="H67" s="583" t="s">
        <v>804</v>
      </c>
      <c r="I67" s="586"/>
      <c r="J67" s="707"/>
      <c r="K67" s="589" t="s">
        <v>259</v>
      </c>
      <c r="L67" s="710"/>
      <c r="M67" s="707"/>
      <c r="N67" s="418" t="s">
        <v>768</v>
      </c>
      <c r="O67" s="40"/>
      <c r="P67" s="766" t="str">
        <f>IF(O69=Berechnung1!D84,Berechnung1!$F$5,IF(OR(O69&lt; Berechnung1!E84,O69&gt; Berechnung1!F84),Berechnung1!$G$5,IF(OR(ROUND(O69,4)&lt;Berechnung1!J84,ROUND(O69,4)&gt;Berechnung1!K84),Berechnung1!$D$5,IF(OR(ROUND(O69,4)&lt;Berechnung1!G84,ROUND(O69,4)&gt;Berechnung1!H84),Berechnung1!$E$5,Berechnung1!$C$5))))</f>
        <v>Incomplete</v>
      </c>
      <c r="Q67" s="763"/>
      <c r="R67" s="763"/>
    </row>
    <row r="68" spans="1:19" ht="27" customHeight="1" thickBot="1" x14ac:dyDescent="0.25">
      <c r="A68" s="602"/>
      <c r="B68" s="603"/>
      <c r="C68" s="668"/>
      <c r="D68" s="584"/>
      <c r="E68" s="587"/>
      <c r="F68" s="584"/>
      <c r="G68" s="587"/>
      <c r="H68" s="584"/>
      <c r="I68" s="587"/>
      <c r="J68" s="708"/>
      <c r="K68" s="601"/>
      <c r="L68" s="711"/>
      <c r="M68" s="708"/>
      <c r="N68" s="418" t="s">
        <v>775</v>
      </c>
      <c r="O68" s="62">
        <f>IF(SUM('Basic Data'!$B$34:$E$34)=0,0,SUM('Basic Data'!$B$34:$E$34))</f>
        <v>0</v>
      </c>
      <c r="P68" s="766"/>
      <c r="Q68" s="764"/>
      <c r="R68" s="773"/>
    </row>
    <row r="69" spans="1:19" ht="27" customHeight="1" thickBot="1" x14ac:dyDescent="0.25">
      <c r="A69" s="598"/>
      <c r="B69" s="599"/>
      <c r="C69" s="669"/>
      <c r="D69" s="585"/>
      <c r="E69" s="588"/>
      <c r="F69" s="585"/>
      <c r="G69" s="588"/>
      <c r="H69" s="585"/>
      <c r="I69" s="588"/>
      <c r="J69" s="709"/>
      <c r="K69" s="664"/>
      <c r="L69" s="712"/>
      <c r="M69" s="709"/>
      <c r="N69" s="418" t="s">
        <v>18</v>
      </c>
      <c r="O69" s="238" t="str">
        <f>IF(O67="","n.d.",IF(O68="","n.d.",IF(O68=0,"",O67 /O68)))</f>
        <v>n.d.</v>
      </c>
      <c r="P69" s="766"/>
      <c r="Q69" s="765"/>
      <c r="R69" s="773"/>
    </row>
    <row r="70" spans="1:19" ht="27" customHeight="1" thickBot="1" x14ac:dyDescent="0.25">
      <c r="A70" s="577">
        <v>17</v>
      </c>
      <c r="B70" s="580" t="s">
        <v>243</v>
      </c>
      <c r="C70" s="661" t="s">
        <v>788</v>
      </c>
      <c r="D70" s="583" t="s">
        <v>830</v>
      </c>
      <c r="E70" s="586"/>
      <c r="F70" s="583" t="s">
        <v>803</v>
      </c>
      <c r="G70" s="586"/>
      <c r="H70" s="583" t="s">
        <v>887</v>
      </c>
      <c r="I70" s="586"/>
      <c r="J70" s="707"/>
      <c r="K70" s="589" t="s">
        <v>260</v>
      </c>
      <c r="L70" s="710"/>
      <c r="M70" s="793"/>
      <c r="N70" s="418" t="s">
        <v>768</v>
      </c>
      <c r="O70" s="40"/>
      <c r="P70" s="766" t="str">
        <f>IF(AND(O70&lt;&gt;"",O71&lt;&gt;"",O70=0,O71=0),Berechnung1!$H$5,IF(O72=Berechnung1!D87,Berechnung1!$F$5,IF(OR(O72&lt;Berechnung1!E87,O72&gt;Berechnung1!F87),Berechnung1!$G$5,IF(OR(ROUND(O72,4)&lt;Berechnung1!J87,ROUND(O72,4)&gt;Berechnung1!K87),Berechnung1!$D$5,IF(OR(ROUND(O72,4)&lt;Berechnung1!G87,ROUND(O72,4)&gt;Berechnung1!H87),Berechnung1!$E$5,Berechnung1!$C$5)))))</f>
        <v>Incomplete</v>
      </c>
      <c r="Q70" s="763"/>
      <c r="R70" s="763"/>
    </row>
    <row r="71" spans="1:19" ht="27" customHeight="1" thickBot="1" x14ac:dyDescent="0.25">
      <c r="A71" s="602"/>
      <c r="B71" s="796"/>
      <c r="C71" s="668"/>
      <c r="D71" s="584"/>
      <c r="E71" s="587"/>
      <c r="F71" s="584"/>
      <c r="G71" s="587"/>
      <c r="H71" s="584"/>
      <c r="I71" s="587"/>
      <c r="J71" s="708"/>
      <c r="K71" s="601"/>
      <c r="L71" s="711"/>
      <c r="M71" s="794"/>
      <c r="N71" s="418" t="s">
        <v>775</v>
      </c>
      <c r="O71" s="62">
        <f>IF(SUM('Basic Data'!$F$34:$G$34)=0,0,SUM('Basic Data'!$F$34:$G$34))</f>
        <v>0</v>
      </c>
      <c r="P71" s="766"/>
      <c r="Q71" s="764"/>
      <c r="R71" s="764"/>
    </row>
    <row r="72" spans="1:19" ht="27" customHeight="1" thickBot="1" x14ac:dyDescent="0.25">
      <c r="A72" s="598"/>
      <c r="B72" s="797"/>
      <c r="C72" s="669"/>
      <c r="D72" s="585"/>
      <c r="E72" s="588"/>
      <c r="F72" s="585"/>
      <c r="G72" s="588"/>
      <c r="H72" s="585"/>
      <c r="I72" s="588"/>
      <c r="J72" s="709"/>
      <c r="K72" s="664"/>
      <c r="L72" s="712"/>
      <c r="M72" s="795"/>
      <c r="N72" s="418" t="s">
        <v>18</v>
      </c>
      <c r="O72" s="238" t="str">
        <f>IF(O70="","n.d.",IF(O71="","n.d.",IF(O71=0,"",O70 /O71)))</f>
        <v>n.d.</v>
      </c>
      <c r="P72" s="766"/>
      <c r="Q72" s="765"/>
      <c r="R72" s="765"/>
    </row>
    <row r="73" spans="1:19" ht="27" customHeight="1" thickBot="1" x14ac:dyDescent="0.25">
      <c r="A73" s="577">
        <v>18</v>
      </c>
      <c r="B73" s="580" t="s">
        <v>436</v>
      </c>
      <c r="C73" s="661" t="s">
        <v>789</v>
      </c>
      <c r="D73" s="583" t="s">
        <v>774</v>
      </c>
      <c r="E73" s="586"/>
      <c r="F73" s="583" t="s">
        <v>947</v>
      </c>
      <c r="G73" s="586"/>
      <c r="H73" s="583" t="s">
        <v>225</v>
      </c>
      <c r="I73" s="586"/>
      <c r="J73" s="707"/>
      <c r="K73" s="589" t="s">
        <v>266</v>
      </c>
      <c r="L73" s="710"/>
      <c r="M73" s="707"/>
      <c r="N73" s="716" t="s">
        <v>747</v>
      </c>
      <c r="O73" s="713">
        <f>IF(SUM(Expertise_Lung!M23:M26)=0,0,SUM(Expertise_Lung!M23:M26))</f>
        <v>0</v>
      </c>
      <c r="P73" s="717" t="str">
        <f>Expertise_Lung!P23</f>
        <v>Incomplete</v>
      </c>
      <c r="Q73" s="703" t="str">
        <f>IF(AND(Expertise_Lung!Q23="",Expertise_Lung!Q24="",Expertise_Lung!Q25="",Expertise_Lung!Q26=""),"",CONCATENATE(Expertise_Lung!Q23,CHAR(10),Expertise_Lung!Q24,CHAR(10),Expertise_Lung!Q25,CHAR(10),Expertise_Lung!Q26,CHAR(10)))</f>
        <v/>
      </c>
      <c r="R73" s="703" t="str">
        <f>IF(Expertise_Lung!R23="","",CONCATENATE(Expertise_Lung!R23,CHAR(10),Expertise_Lung!R24,CHAR(10),Expertise_Lung!R25,CHAR(10),Expertise_Lung!R26,CHAR(10)))</f>
        <v/>
      </c>
    </row>
    <row r="74" spans="1:19" ht="27" customHeight="1" thickBot="1" x14ac:dyDescent="0.25">
      <c r="A74" s="578"/>
      <c r="B74" s="581"/>
      <c r="C74" s="662"/>
      <c r="D74" s="600"/>
      <c r="E74" s="587"/>
      <c r="F74" s="600"/>
      <c r="G74" s="587"/>
      <c r="H74" s="600"/>
      <c r="I74" s="587"/>
      <c r="J74" s="708"/>
      <c r="K74" s="601"/>
      <c r="L74" s="711"/>
      <c r="M74" s="708"/>
      <c r="N74" s="716"/>
      <c r="O74" s="714"/>
      <c r="P74" s="718"/>
      <c r="Q74" s="704"/>
      <c r="R74" s="704"/>
    </row>
    <row r="75" spans="1:19" ht="27" customHeight="1" thickBot="1" x14ac:dyDescent="0.25">
      <c r="A75" s="598"/>
      <c r="B75" s="599"/>
      <c r="C75" s="669"/>
      <c r="D75" s="585"/>
      <c r="E75" s="588"/>
      <c r="F75" s="585"/>
      <c r="G75" s="588"/>
      <c r="H75" s="585"/>
      <c r="I75" s="588"/>
      <c r="J75" s="709"/>
      <c r="K75" s="664"/>
      <c r="L75" s="712"/>
      <c r="M75" s="709"/>
      <c r="N75" s="716"/>
      <c r="O75" s="715"/>
      <c r="P75" s="719"/>
      <c r="Q75" s="705"/>
      <c r="R75" s="705"/>
    </row>
    <row r="76" spans="1:19" ht="27" customHeight="1" thickBot="1" x14ac:dyDescent="0.25">
      <c r="A76" s="577" t="s">
        <v>951</v>
      </c>
      <c r="B76" s="580" t="s">
        <v>842</v>
      </c>
      <c r="C76" s="661" t="s">
        <v>889</v>
      </c>
      <c r="D76" s="583" t="s">
        <v>890</v>
      </c>
      <c r="E76" s="586"/>
      <c r="F76" s="583" t="s">
        <v>891</v>
      </c>
      <c r="G76" s="586"/>
      <c r="H76" s="583" t="s">
        <v>892</v>
      </c>
      <c r="I76" s="586"/>
      <c r="J76" s="707"/>
      <c r="K76" s="589" t="s">
        <v>777</v>
      </c>
      <c r="L76" s="710"/>
      <c r="M76" s="707"/>
      <c r="N76" s="419" t="s">
        <v>768</v>
      </c>
      <c r="O76" s="354"/>
      <c r="P76" s="766" t="str">
        <f>IF(AND(O76&lt;&gt;"",O77&lt;&gt;"",O76=0,O77=0),Berechnung1!$H$5,IF(O78=Berechnung1!D93,Berechnung1!$F$5,IF(OR(O78&lt;Berechnung1!E93,O78&gt;Berechnung1!F93),Berechnung1!$G$5,IF(OR(ROUND(O78,4)&lt;Berechnung1!J93,ROUND(O78,4)&gt;Berechnung1!K93),Berechnung1!$D$5,IF(OR(ROUND(O78,4)&lt;Berechnung1!G93,ROUND(O78,4)&gt;Berechnung1!H93),Berechnung1!$E$5,Berechnung1!$C$5)))))</f>
        <v>Incomplete</v>
      </c>
      <c r="Q76" s="725"/>
      <c r="R76" s="725"/>
    </row>
    <row r="77" spans="1:19" ht="27" customHeight="1" thickBot="1" x14ac:dyDescent="0.25">
      <c r="A77" s="578"/>
      <c r="B77" s="581"/>
      <c r="C77" s="662"/>
      <c r="D77" s="600"/>
      <c r="E77" s="587"/>
      <c r="F77" s="600"/>
      <c r="G77" s="587"/>
      <c r="H77" s="600"/>
      <c r="I77" s="587"/>
      <c r="J77" s="708"/>
      <c r="K77" s="601"/>
      <c r="L77" s="711"/>
      <c r="M77" s="708"/>
      <c r="N77" s="419" t="s">
        <v>775</v>
      </c>
      <c r="O77" s="354"/>
      <c r="P77" s="766"/>
      <c r="Q77" s="726"/>
      <c r="R77" s="726"/>
      <c r="S77" s="3">
        <f>SUM('Basic Data'!B33:D33)</f>
        <v>0</v>
      </c>
    </row>
    <row r="78" spans="1:19" ht="27" customHeight="1" thickBot="1" x14ac:dyDescent="0.25">
      <c r="A78" s="598"/>
      <c r="B78" s="599"/>
      <c r="C78" s="669"/>
      <c r="D78" s="585"/>
      <c r="E78" s="588"/>
      <c r="F78" s="585"/>
      <c r="G78" s="588"/>
      <c r="H78" s="585"/>
      <c r="I78" s="588"/>
      <c r="J78" s="709"/>
      <c r="K78" s="664"/>
      <c r="L78" s="712"/>
      <c r="M78" s="709"/>
      <c r="N78" s="419" t="s">
        <v>18</v>
      </c>
      <c r="O78" s="355" t="str">
        <f>IF(O76="","n.d.",IF(O77="","n.d.",IF(O77=0,"",O76 /O77)))</f>
        <v>n.d.</v>
      </c>
      <c r="P78" s="766"/>
      <c r="Q78" s="727"/>
      <c r="R78" s="727"/>
    </row>
    <row r="79" spans="1:19" ht="27.75" customHeight="1" thickBot="1" x14ac:dyDescent="0.25">
      <c r="A79" s="577">
        <v>20</v>
      </c>
      <c r="B79" s="580" t="s">
        <v>437</v>
      </c>
      <c r="C79" s="661" t="s">
        <v>790</v>
      </c>
      <c r="D79" s="583" t="s">
        <v>774</v>
      </c>
      <c r="E79" s="586"/>
      <c r="F79" s="583" t="s">
        <v>791</v>
      </c>
      <c r="G79" s="586"/>
      <c r="H79" s="583" t="s">
        <v>228</v>
      </c>
      <c r="I79" s="586"/>
      <c r="J79" s="707"/>
      <c r="K79" s="589" t="s">
        <v>792</v>
      </c>
      <c r="L79" s="710"/>
      <c r="M79" s="707"/>
      <c r="N79" s="716" t="s">
        <v>747</v>
      </c>
      <c r="O79" s="713">
        <f>IF(SUM(Expertise_Lung!M27:M30)=0,0,SUM(Expertise_Lung!M27:M30))</f>
        <v>0</v>
      </c>
      <c r="P79" s="717" t="str">
        <f>Expertise_Lung!P27</f>
        <v>Incomplete</v>
      </c>
      <c r="Q79" s="703" t="str">
        <f>IF(AND(Expertise_Lung!Q27="",Expertise_Lung!Q28="",Expertise_Lung!Q29="",Expertise_Lung!Q30=""),"",CONCATENATE(Expertise_Lung!Q27,CHAR(10),Expertise_Lung!Q28,CHAR(10),Expertise_Lung!Q29,CHAR(10),Expertise_Lung!Q30,CHAR(10)))</f>
        <v/>
      </c>
      <c r="R79" s="703" t="str">
        <f>IF(Expertise_Lung!R27="","",CONCATENATE(Expertise_Lung!R27,CHAR(10),Expertise_Lung!R28,CHAR(10),Expertise_Lung!R29,CHAR(10),Expertise_Lung!R30,CHAR(10)))</f>
        <v/>
      </c>
    </row>
    <row r="80" spans="1:19" ht="27.75" customHeight="1" thickBot="1" x14ac:dyDescent="0.25">
      <c r="A80" s="578"/>
      <c r="B80" s="581"/>
      <c r="C80" s="662"/>
      <c r="D80" s="600"/>
      <c r="E80" s="587"/>
      <c r="F80" s="600"/>
      <c r="G80" s="587"/>
      <c r="H80" s="600"/>
      <c r="I80" s="587"/>
      <c r="J80" s="708"/>
      <c r="K80" s="601"/>
      <c r="L80" s="711"/>
      <c r="M80" s="708"/>
      <c r="N80" s="716"/>
      <c r="O80" s="714"/>
      <c r="P80" s="718"/>
      <c r="Q80" s="704"/>
      <c r="R80" s="704"/>
    </row>
    <row r="81" spans="1:19" ht="27.75" customHeight="1" thickBot="1" x14ac:dyDescent="0.25">
      <c r="A81" s="598"/>
      <c r="B81" s="599"/>
      <c r="C81" s="669"/>
      <c r="D81" s="585"/>
      <c r="E81" s="588"/>
      <c r="F81" s="585"/>
      <c r="G81" s="588"/>
      <c r="H81" s="585"/>
      <c r="I81" s="588"/>
      <c r="J81" s="709"/>
      <c r="K81" s="664"/>
      <c r="L81" s="712"/>
      <c r="M81" s="709"/>
      <c r="N81" s="716"/>
      <c r="O81" s="715"/>
      <c r="P81" s="719"/>
      <c r="Q81" s="705"/>
      <c r="R81" s="705"/>
    </row>
    <row r="82" spans="1:19" ht="27" customHeight="1" thickBot="1" x14ac:dyDescent="0.25">
      <c r="A82" s="577">
        <v>21</v>
      </c>
      <c r="B82" s="580" t="s">
        <v>842</v>
      </c>
      <c r="C82" s="661" t="s">
        <v>992</v>
      </c>
      <c r="D82" s="583" t="s">
        <v>993</v>
      </c>
      <c r="E82" s="586"/>
      <c r="F82" s="583" t="s">
        <v>994</v>
      </c>
      <c r="G82" s="586"/>
      <c r="H82" s="583" t="s">
        <v>995</v>
      </c>
      <c r="I82" s="586"/>
      <c r="J82" s="707"/>
      <c r="K82" s="589" t="s">
        <v>777</v>
      </c>
      <c r="L82" s="710"/>
      <c r="M82" s="707"/>
      <c r="N82" s="419" t="s">
        <v>768</v>
      </c>
      <c r="O82" s="354"/>
      <c r="P82" s="574" t="str">
        <f>IF(O84=Berechnung1!D99,Berechnung1!$F$5,IF(OR(O84&lt; Berechnung1!E99,O84&gt; Berechnung1!F99),Berechnung1!$G$5,IF(OR(ROUND(O84,4)&lt;Berechnung1!J99,ROUND(O84,4)&gt;Berechnung1!K99),Berechnung1!$D$5,IF(OR(ROUND(O84,4)&lt;Berechnung1!G99,ROUND(O84,4)&gt;Berechnung1!H99),Berechnung1!$E$5,Berechnung1!$C$5))))</f>
        <v>Incomplete</v>
      </c>
      <c r="Q82" s="725"/>
      <c r="R82" s="725"/>
    </row>
    <row r="83" spans="1:19" ht="27" customHeight="1" thickBot="1" x14ac:dyDescent="0.25">
      <c r="A83" s="602"/>
      <c r="B83" s="603"/>
      <c r="C83" s="668"/>
      <c r="D83" s="584"/>
      <c r="E83" s="587"/>
      <c r="F83" s="584"/>
      <c r="G83" s="587"/>
      <c r="H83" s="584"/>
      <c r="I83" s="587"/>
      <c r="J83" s="708"/>
      <c r="K83" s="601"/>
      <c r="L83" s="711"/>
      <c r="M83" s="708"/>
      <c r="N83" s="419" t="s">
        <v>775</v>
      </c>
      <c r="O83" s="354"/>
      <c r="P83" s="785"/>
      <c r="Q83" s="726"/>
      <c r="R83" s="773"/>
    </row>
    <row r="84" spans="1:19" ht="27" customHeight="1" thickBot="1" x14ac:dyDescent="0.25">
      <c r="A84" s="598"/>
      <c r="B84" s="599"/>
      <c r="C84" s="669"/>
      <c r="D84" s="585"/>
      <c r="E84" s="588"/>
      <c r="F84" s="585"/>
      <c r="G84" s="588"/>
      <c r="H84" s="585"/>
      <c r="I84" s="588"/>
      <c r="J84" s="709"/>
      <c r="K84" s="664"/>
      <c r="L84" s="712"/>
      <c r="M84" s="709"/>
      <c r="N84" s="419" t="s">
        <v>18</v>
      </c>
      <c r="O84" s="355" t="str">
        <f>IF(O82="","n.d.",IF(O83="","n.d.",IF(O83=0,"",O82 /O83)))</f>
        <v>n.d.</v>
      </c>
      <c r="P84" s="786"/>
      <c r="Q84" s="727"/>
      <c r="R84" s="773"/>
    </row>
    <row r="85" spans="1:19" ht="27" customHeight="1" thickBot="1" x14ac:dyDescent="0.25">
      <c r="A85" s="577">
        <v>22</v>
      </c>
      <c r="B85" s="580" t="s">
        <v>842</v>
      </c>
      <c r="C85" s="661" t="s">
        <v>795</v>
      </c>
      <c r="D85" s="583" t="s">
        <v>832</v>
      </c>
      <c r="E85" s="586"/>
      <c r="F85" s="583" t="s">
        <v>813</v>
      </c>
      <c r="G85" s="586"/>
      <c r="H85" s="583" t="s">
        <v>796</v>
      </c>
      <c r="I85" s="586"/>
      <c r="J85" s="790"/>
      <c r="K85" s="589" t="s">
        <v>849</v>
      </c>
      <c r="L85" s="710"/>
      <c r="M85" s="787"/>
      <c r="N85" s="418" t="s">
        <v>768</v>
      </c>
      <c r="O85" s="40"/>
      <c r="P85" s="766" t="str">
        <f>IF(O87=Berechnung1!D102,Berechnung1!$F$5,IF(OR(O87&lt; Berechnung1!E102,O87&gt; Berechnung1!F102),Berechnung1!$G$5,IF(OR(ROUND(O87,4)&lt;Berechnung1!J102,ROUND(O87,4)&gt;Berechnung1!K102),Berechnung1!$D$5,IF(OR(ROUND(O87,4)&lt;Berechnung1!G102,ROUND(O87,4)&gt;Berechnung1!H102),Berechnung1!$E$5,Berechnung1!$C$5))))</f>
        <v>Incomplete</v>
      </c>
      <c r="Q85" s="763"/>
      <c r="R85" s="763"/>
    </row>
    <row r="86" spans="1:19" ht="27" customHeight="1" thickBot="1" x14ac:dyDescent="0.25">
      <c r="A86" s="602"/>
      <c r="B86" s="603"/>
      <c r="C86" s="668"/>
      <c r="D86" s="584"/>
      <c r="E86" s="587"/>
      <c r="F86" s="584"/>
      <c r="G86" s="587"/>
      <c r="H86" s="584"/>
      <c r="I86" s="587"/>
      <c r="J86" s="791"/>
      <c r="K86" s="601"/>
      <c r="L86" s="711"/>
      <c r="M86" s="788"/>
      <c r="N86" s="418" t="s">
        <v>775</v>
      </c>
      <c r="O86" s="40"/>
      <c r="P86" s="766"/>
      <c r="Q86" s="764"/>
      <c r="R86" s="773"/>
    </row>
    <row r="87" spans="1:19" ht="27" customHeight="1" thickBot="1" x14ac:dyDescent="0.25">
      <c r="A87" s="598"/>
      <c r="B87" s="599"/>
      <c r="C87" s="669"/>
      <c r="D87" s="585"/>
      <c r="E87" s="588"/>
      <c r="F87" s="585"/>
      <c r="G87" s="588"/>
      <c r="H87" s="585"/>
      <c r="I87" s="588"/>
      <c r="J87" s="792"/>
      <c r="K87" s="664"/>
      <c r="L87" s="712"/>
      <c r="M87" s="789"/>
      <c r="N87" s="418" t="s">
        <v>18</v>
      </c>
      <c r="O87" s="238" t="str">
        <f>IF(O85="","n.d.",IF(O86="","n.d.",IF(O86=0,"",O85 /O86)))</f>
        <v>n.d.</v>
      </c>
      <c r="P87" s="766"/>
      <c r="Q87" s="765"/>
      <c r="R87" s="773"/>
    </row>
    <row r="88" spans="1:19" ht="27" customHeight="1" thickBot="1" x14ac:dyDescent="0.25">
      <c r="A88" s="577" t="s">
        <v>952</v>
      </c>
      <c r="B88" s="580" t="s">
        <v>842</v>
      </c>
      <c r="C88" s="661" t="s">
        <v>944</v>
      </c>
      <c r="D88" s="583" t="s">
        <v>893</v>
      </c>
      <c r="E88" s="586"/>
      <c r="F88" s="583" t="s">
        <v>894</v>
      </c>
      <c r="G88" s="586"/>
      <c r="H88" s="583" t="s">
        <v>895</v>
      </c>
      <c r="I88" s="586"/>
      <c r="J88" s="790"/>
      <c r="K88" s="589" t="s">
        <v>777</v>
      </c>
      <c r="L88" s="710"/>
      <c r="M88" s="787"/>
      <c r="N88" s="419" t="s">
        <v>768</v>
      </c>
      <c r="O88" s="40"/>
      <c r="P88" s="766" t="str">
        <f>IF(O90=Berechnung1!D105,Berechnung1!$F$5,IF(OR(O90&lt; Berechnung1!E105,O90&gt; Berechnung1!F105),Berechnung1!$G$5,IF(OR(ROUND(O90,4)&lt;Berechnung1!J105,ROUND(O90,4)&gt;Berechnung1!K105),Berechnung1!$D$5,IF(OR(ROUND(O90,4)&lt;Berechnung1!G105,ROUND(O90,4)&gt;Berechnung1!H105),Berechnung1!$E$5,Berechnung1!$C$5))))</f>
        <v>Incomplete</v>
      </c>
      <c r="Q88" s="763"/>
      <c r="R88" s="763"/>
    </row>
    <row r="89" spans="1:19" ht="27" customHeight="1" thickBot="1" x14ac:dyDescent="0.25">
      <c r="A89" s="602"/>
      <c r="B89" s="603"/>
      <c r="C89" s="668"/>
      <c r="D89" s="584"/>
      <c r="E89" s="587"/>
      <c r="F89" s="584"/>
      <c r="G89" s="587"/>
      <c r="H89" s="584"/>
      <c r="I89" s="587"/>
      <c r="J89" s="791"/>
      <c r="K89" s="601"/>
      <c r="L89" s="711"/>
      <c r="M89" s="788"/>
      <c r="N89" s="419" t="s">
        <v>775</v>
      </c>
      <c r="O89" s="40"/>
      <c r="P89" s="766"/>
      <c r="Q89" s="764"/>
      <c r="R89" s="773"/>
    </row>
    <row r="90" spans="1:19" ht="27" customHeight="1" thickBot="1" x14ac:dyDescent="0.25">
      <c r="A90" s="598"/>
      <c r="B90" s="599"/>
      <c r="C90" s="669"/>
      <c r="D90" s="585"/>
      <c r="E90" s="588"/>
      <c r="F90" s="585"/>
      <c r="G90" s="588"/>
      <c r="H90" s="585"/>
      <c r="I90" s="588"/>
      <c r="J90" s="792"/>
      <c r="K90" s="664"/>
      <c r="L90" s="712"/>
      <c r="M90" s="789"/>
      <c r="N90" s="419" t="s">
        <v>18</v>
      </c>
      <c r="O90" s="238" t="str">
        <f>IF(O88="","n.d.",IF(O89="","n.d.",IF(O89=0,"",O88 /O89)))</f>
        <v>n.d.</v>
      </c>
      <c r="P90" s="766"/>
      <c r="Q90" s="765"/>
      <c r="R90" s="773"/>
    </row>
    <row r="91" spans="1:19" ht="33" customHeight="1" thickBot="1" x14ac:dyDescent="0.25">
      <c r="A91" s="577">
        <v>24</v>
      </c>
      <c r="B91" s="750" t="s">
        <v>842</v>
      </c>
      <c r="C91" s="661" t="s">
        <v>926</v>
      </c>
      <c r="D91" s="583" t="s">
        <v>1034</v>
      </c>
      <c r="E91" s="586"/>
      <c r="F91" s="583" t="s">
        <v>897</v>
      </c>
      <c r="G91" s="586"/>
      <c r="H91" s="583" t="s">
        <v>898</v>
      </c>
      <c r="I91" s="586"/>
      <c r="J91" s="787"/>
      <c r="K91" s="589" t="s">
        <v>833</v>
      </c>
      <c r="L91" s="710"/>
      <c r="M91" s="707"/>
      <c r="N91" s="419" t="s">
        <v>768</v>
      </c>
      <c r="O91" s="354"/>
      <c r="P91" s="766" t="str">
        <f>IF(AND(O91&lt;&gt;"",O92&lt;&gt;"",O91=0,O92=0),Berechnung1!$H$5,IF(O93=Berechnung1!D108,Berechnung1!$F$5,IF(OR(O93&lt; Berechnung1!E108,O93&gt; Berechnung1!F108),Berechnung1!$G$5,IF(OR(ROUND(O93,4)&lt;Berechnung1!J108,ROUND(O93,4)&gt;Berechnung1!K108),Berechnung1!$D$5,IF(OR(ROUND(O93,4)&lt;Berechnung1!G108,ROUND(O93,4)&gt;Berechnung1!H108),Berechnung1!$E$5,Berechnung1!$C$5)))))</f>
        <v>Incomplete</v>
      </c>
      <c r="Q91" s="808"/>
      <c r="R91" s="725"/>
    </row>
    <row r="92" spans="1:19" ht="33" customHeight="1" thickBot="1" x14ac:dyDescent="0.25">
      <c r="A92" s="602"/>
      <c r="B92" s="603"/>
      <c r="C92" s="668"/>
      <c r="D92" s="584"/>
      <c r="E92" s="587"/>
      <c r="F92" s="584"/>
      <c r="G92" s="587"/>
      <c r="H92" s="584"/>
      <c r="I92" s="587"/>
      <c r="J92" s="708"/>
      <c r="K92" s="601"/>
      <c r="L92" s="711"/>
      <c r="M92" s="708"/>
      <c r="N92" s="419" t="s">
        <v>775</v>
      </c>
      <c r="O92" s="354"/>
      <c r="P92" s="766"/>
      <c r="Q92" s="726"/>
      <c r="R92" s="726"/>
      <c r="S92" s="350">
        <f>SUM('Basic Data'!I33:J33)</f>
        <v>0</v>
      </c>
    </row>
    <row r="93" spans="1:19" ht="33" customHeight="1" thickBot="1" x14ac:dyDescent="0.25">
      <c r="A93" s="598"/>
      <c r="B93" s="599"/>
      <c r="C93" s="669"/>
      <c r="D93" s="585"/>
      <c r="E93" s="588"/>
      <c r="F93" s="585"/>
      <c r="G93" s="588"/>
      <c r="H93" s="585"/>
      <c r="I93" s="588"/>
      <c r="J93" s="709"/>
      <c r="K93" s="664"/>
      <c r="L93" s="712"/>
      <c r="M93" s="709"/>
      <c r="N93" s="419" t="s">
        <v>18</v>
      </c>
      <c r="O93" s="488" t="str">
        <f>IF(O91="","n.d.",IF(O92="","n.d.",IF(O92=0,"",O91/O92)))</f>
        <v>n.d.</v>
      </c>
      <c r="P93" s="766"/>
      <c r="Q93" s="727"/>
      <c r="R93" s="727"/>
    </row>
    <row r="94" spans="1:19" ht="33" customHeight="1" thickBot="1" x14ac:dyDescent="0.25">
      <c r="A94" s="577" t="s">
        <v>953</v>
      </c>
      <c r="B94" s="750" t="s">
        <v>842</v>
      </c>
      <c r="C94" s="661" t="s">
        <v>997</v>
      </c>
      <c r="D94" s="583" t="s">
        <v>998</v>
      </c>
      <c r="E94" s="586"/>
      <c r="F94" s="583" t="s">
        <v>924</v>
      </c>
      <c r="G94" s="586"/>
      <c r="H94" s="583" t="s">
        <v>925</v>
      </c>
      <c r="I94" s="586"/>
      <c r="J94" s="707" t="s">
        <v>1037</v>
      </c>
      <c r="K94" s="589" t="s">
        <v>777</v>
      </c>
      <c r="L94" s="710"/>
      <c r="M94" s="707"/>
      <c r="N94" s="419" t="s">
        <v>768</v>
      </c>
      <c r="O94" s="354"/>
      <c r="P94" s="665" t="str">
        <f>IF(AND(O94&lt;&gt;"",O95&lt;&gt;"",O94=0,O95=0),Berechnung1!$H$5,IF(O96=Berechnung1!D111,Berechnung1!$F$5,IF(OR(O96&lt;Berechnung1!E111,O96&gt;Berechnung1!F111),Berechnung1!$G$5,IF(OR(ROUND(O96,4)&lt;Berechnung1!J111,ROUND(O96,4)&gt;Berechnung1!K111),Berechnung1!$D$5,IF(OR(ROUND(O96,4)&lt;Berechnung1!G111,ROUND(O96,4)&gt;Berechnung1!H111),Berechnung1!$E$5,Berechnung1!$C$5)))))</f>
        <v>Incomplete</v>
      </c>
      <c r="Q94" s="808"/>
      <c r="R94" s="725"/>
    </row>
    <row r="95" spans="1:19" ht="33" customHeight="1" thickBot="1" x14ac:dyDescent="0.25">
      <c r="A95" s="602"/>
      <c r="B95" s="603"/>
      <c r="C95" s="668"/>
      <c r="D95" s="584"/>
      <c r="E95" s="587"/>
      <c r="F95" s="584"/>
      <c r="G95" s="587"/>
      <c r="H95" s="584"/>
      <c r="I95" s="587"/>
      <c r="J95" s="708"/>
      <c r="K95" s="601"/>
      <c r="L95" s="711"/>
      <c r="M95" s="708"/>
      <c r="N95" s="419" t="s">
        <v>775</v>
      </c>
      <c r="O95" s="354"/>
      <c r="P95" s="665"/>
      <c r="Q95" s="726"/>
      <c r="R95" s="726"/>
      <c r="S95" s="3">
        <f>SUM('Basic Data'!C33:F33)</f>
        <v>0</v>
      </c>
    </row>
    <row r="96" spans="1:19" ht="33" customHeight="1" thickBot="1" x14ac:dyDescent="0.25">
      <c r="A96" s="598"/>
      <c r="B96" s="599"/>
      <c r="C96" s="669"/>
      <c r="D96" s="585"/>
      <c r="E96" s="588"/>
      <c r="F96" s="585"/>
      <c r="G96" s="588"/>
      <c r="H96" s="585"/>
      <c r="I96" s="588"/>
      <c r="J96" s="709"/>
      <c r="K96" s="664"/>
      <c r="L96" s="712"/>
      <c r="M96" s="709"/>
      <c r="N96" s="419" t="s">
        <v>18</v>
      </c>
      <c r="O96" s="488" t="str">
        <f>IF(O94="","n.d.",IF(O95="","n.d.",IF(O95=0,"",O94 /O95)))</f>
        <v>n.d.</v>
      </c>
      <c r="P96" s="665"/>
      <c r="Q96" s="727"/>
      <c r="R96" s="727"/>
    </row>
    <row r="97" spans="1:19" ht="27" customHeight="1" thickBot="1" x14ac:dyDescent="0.25">
      <c r="A97" s="577">
        <v>26</v>
      </c>
      <c r="B97" s="750" t="s">
        <v>842</v>
      </c>
      <c r="C97" s="661" t="s">
        <v>863</v>
      </c>
      <c r="D97" s="583" t="s">
        <v>834</v>
      </c>
      <c r="E97" s="586"/>
      <c r="F97" s="583" t="s">
        <v>806</v>
      </c>
      <c r="G97" s="586"/>
      <c r="H97" s="583" t="s">
        <v>905</v>
      </c>
      <c r="I97" s="586"/>
      <c r="J97" s="707" t="s">
        <v>430</v>
      </c>
      <c r="K97" s="589" t="s">
        <v>777</v>
      </c>
      <c r="L97" s="710"/>
      <c r="M97" s="707"/>
      <c r="N97" s="419" t="s">
        <v>768</v>
      </c>
      <c r="O97" s="354"/>
      <c r="P97" s="766" t="str">
        <f>IF(AND(O97&lt;&gt;"",O98&lt;&gt;"",O97=0,O98=0),Berechnung1!$H$5,IF(O99=Berechnung1!D114,Berechnung1!$F$5,IF(OR(O99&lt; Berechnung1!E114,O99&gt; Berechnung1!F114),Berechnung1!$G$5,IF(OR(ROUND(O99,4)&lt;Berechnung1!J114,ROUND(O99,4)&gt;Berechnung1!K114),Berechnung1!$D$5,IF(OR(ROUND(O99,4)&lt;Berechnung1!G114,ROUND(O99,4)&gt;Berechnung1!H114),Berechnung1!$E$5,Berechnung1!$C$5)))))</f>
        <v>Incomplete</v>
      </c>
      <c r="Q97" s="808"/>
      <c r="R97" s="725"/>
    </row>
    <row r="98" spans="1:19" ht="27" customHeight="1" thickBot="1" x14ac:dyDescent="0.25">
      <c r="A98" s="602"/>
      <c r="B98" s="603"/>
      <c r="C98" s="668"/>
      <c r="D98" s="584"/>
      <c r="E98" s="587"/>
      <c r="F98" s="584"/>
      <c r="G98" s="587"/>
      <c r="H98" s="584"/>
      <c r="I98" s="587"/>
      <c r="J98" s="708"/>
      <c r="K98" s="601"/>
      <c r="L98" s="711"/>
      <c r="M98" s="708"/>
      <c r="N98" s="419" t="s">
        <v>775</v>
      </c>
      <c r="O98" s="354"/>
      <c r="P98" s="766"/>
      <c r="Q98" s="726"/>
      <c r="R98" s="726"/>
      <c r="S98" s="350">
        <f>SUM('Basic Data'!E34:H34)</f>
        <v>0</v>
      </c>
    </row>
    <row r="99" spans="1:19" ht="27" customHeight="1" thickBot="1" x14ac:dyDescent="0.25">
      <c r="A99" s="598"/>
      <c r="B99" s="599"/>
      <c r="C99" s="669"/>
      <c r="D99" s="585"/>
      <c r="E99" s="588"/>
      <c r="F99" s="585"/>
      <c r="G99" s="588"/>
      <c r="H99" s="585"/>
      <c r="I99" s="588"/>
      <c r="J99" s="709"/>
      <c r="K99" s="664"/>
      <c r="L99" s="712"/>
      <c r="M99" s="709"/>
      <c r="N99" s="419" t="s">
        <v>18</v>
      </c>
      <c r="O99" s="488" t="str">
        <f>IF(O97="","n.d.",IF(O98="","n.d.",IF(O98=0,"",O97/O98)))</f>
        <v>n.d.</v>
      </c>
      <c r="P99" s="766"/>
      <c r="Q99" s="727"/>
      <c r="R99" s="727"/>
    </row>
    <row r="100" spans="1:19" ht="27" customHeight="1" thickBot="1" x14ac:dyDescent="0.25">
      <c r="A100" s="577" t="s">
        <v>999</v>
      </c>
      <c r="B100" s="750"/>
      <c r="C100" s="661" t="s">
        <v>906</v>
      </c>
      <c r="D100" s="583" t="s">
        <v>908</v>
      </c>
      <c r="E100" s="586"/>
      <c r="F100" s="583" t="s">
        <v>910</v>
      </c>
      <c r="G100" s="586"/>
      <c r="H100" s="583" t="s">
        <v>912</v>
      </c>
      <c r="I100" s="586"/>
      <c r="J100" s="707"/>
      <c r="K100" s="589" t="s">
        <v>777</v>
      </c>
      <c r="L100" s="710"/>
      <c r="M100" s="707"/>
      <c r="N100" s="419" t="s">
        <v>768</v>
      </c>
      <c r="O100" s="354"/>
      <c r="P100" s="665" t="str">
        <f>IF(AND(O100&lt;&gt;"",O101&lt;&gt;"",O100=0,O101=0),Berechnung1!$H$5,IF(O102=Berechnung1!D117,Berechnung1!$F$5,IF(OR(O102&lt;Berechnung1!E117,O102&gt;Berechnung1!F117),Berechnung1!$G$5,IF(OR(ROUND(O102,4)&lt;Berechnung1!J117,ROUND(O102,4)&gt;Berechnung1!K117),Berechnung1!$D$5,IF(OR(ROUND(O102,4)&lt;Berechnung1!G117,ROUND(O102,4)&gt;Berechnung1!H117),Berechnung1!$E$5,Berechnung1!$C$5)))))</f>
        <v>Incomplete</v>
      </c>
      <c r="Q100" s="808"/>
      <c r="R100" s="725"/>
    </row>
    <row r="101" spans="1:19" ht="27" customHeight="1" thickBot="1" x14ac:dyDescent="0.25">
      <c r="A101" s="602"/>
      <c r="B101" s="603"/>
      <c r="C101" s="668"/>
      <c r="D101" s="584"/>
      <c r="E101" s="587"/>
      <c r="F101" s="584"/>
      <c r="G101" s="587"/>
      <c r="H101" s="584"/>
      <c r="I101" s="587"/>
      <c r="J101" s="708"/>
      <c r="K101" s="601"/>
      <c r="L101" s="711"/>
      <c r="M101" s="708"/>
      <c r="N101" s="419" t="s">
        <v>775</v>
      </c>
      <c r="O101" s="354"/>
      <c r="P101" s="665"/>
      <c r="Q101" s="726"/>
      <c r="R101" s="726"/>
      <c r="S101" s="350">
        <f>O10</f>
        <v>0</v>
      </c>
    </row>
    <row r="102" spans="1:19" ht="27" customHeight="1" thickBot="1" x14ac:dyDescent="0.25">
      <c r="A102" s="598"/>
      <c r="B102" s="599"/>
      <c r="C102" s="669"/>
      <c r="D102" s="585"/>
      <c r="E102" s="588"/>
      <c r="F102" s="585"/>
      <c r="G102" s="588"/>
      <c r="H102" s="585"/>
      <c r="I102" s="588"/>
      <c r="J102" s="709"/>
      <c r="K102" s="664"/>
      <c r="L102" s="712"/>
      <c r="M102" s="709"/>
      <c r="N102" s="419" t="s">
        <v>18</v>
      </c>
      <c r="O102" s="488" t="str">
        <f>IF(O100="","n.d.",IF(O101="","n.d.",IF(O101=0,"",O100/O101)))</f>
        <v>n.d.</v>
      </c>
      <c r="P102" s="665"/>
      <c r="Q102" s="727"/>
      <c r="R102" s="727"/>
    </row>
    <row r="103" spans="1:19" ht="27" customHeight="1" thickBot="1" x14ac:dyDescent="0.25">
      <c r="A103" s="577" t="s">
        <v>1000</v>
      </c>
      <c r="B103" s="750"/>
      <c r="C103" s="661" t="s">
        <v>907</v>
      </c>
      <c r="D103" s="583" t="s">
        <v>909</v>
      </c>
      <c r="E103" s="586"/>
      <c r="F103" s="583" t="s">
        <v>911</v>
      </c>
      <c r="G103" s="586"/>
      <c r="H103" s="583" t="s">
        <v>913</v>
      </c>
      <c r="I103" s="586"/>
      <c r="J103" s="707"/>
      <c r="K103" s="589" t="s">
        <v>777</v>
      </c>
      <c r="L103" s="710"/>
      <c r="M103" s="707"/>
      <c r="N103" s="419" t="s">
        <v>768</v>
      </c>
      <c r="O103" s="354"/>
      <c r="P103" s="665" t="str">
        <f>IF(AND(O103&lt;&gt;"",O104&lt;&gt;"",O103=0,O104=0),Berechnung1!$H$5,IF(O105=Berechnung1!D120,Berechnung1!$F$5,IF(OR(O105&lt;Berechnung1!E120,O105&gt;Berechnung1!F120),Berechnung1!$G$5,IF(OR(ROUND(O105,4)&lt;Berechnung1!J120,ROUND(O105,4)&gt;Berechnung1!K120),Berechnung1!$D$5,IF(OR(ROUND(O105,4)&lt;Berechnung1!G120,ROUND(O105,4)&gt;Berechnung1!H120),Berechnung1!$E$5,Berechnung1!$C$5)))))</f>
        <v>Incomplete</v>
      </c>
      <c r="Q103" s="808"/>
      <c r="R103" s="725"/>
    </row>
    <row r="104" spans="1:19" ht="27" customHeight="1" thickBot="1" x14ac:dyDescent="0.25">
      <c r="A104" s="602"/>
      <c r="B104" s="603"/>
      <c r="C104" s="668"/>
      <c r="D104" s="584"/>
      <c r="E104" s="587"/>
      <c r="F104" s="584"/>
      <c r="G104" s="587"/>
      <c r="H104" s="584"/>
      <c r="I104" s="587"/>
      <c r="J104" s="708"/>
      <c r="K104" s="601"/>
      <c r="L104" s="711"/>
      <c r="M104" s="708"/>
      <c r="N104" s="419" t="s">
        <v>775</v>
      </c>
      <c r="O104" s="354"/>
      <c r="P104" s="665"/>
      <c r="Q104" s="726"/>
      <c r="R104" s="726"/>
      <c r="S104" s="3">
        <f>SUM('Basic Data'!I33:J33)</f>
        <v>0</v>
      </c>
    </row>
    <row r="105" spans="1:19" ht="27" customHeight="1" thickBot="1" x14ac:dyDescent="0.25">
      <c r="A105" s="598"/>
      <c r="B105" s="599"/>
      <c r="C105" s="669"/>
      <c r="D105" s="585"/>
      <c r="E105" s="588"/>
      <c r="F105" s="585"/>
      <c r="G105" s="588"/>
      <c r="H105" s="585"/>
      <c r="I105" s="588"/>
      <c r="J105" s="709"/>
      <c r="K105" s="664"/>
      <c r="L105" s="712"/>
      <c r="M105" s="709"/>
      <c r="N105" s="419" t="s">
        <v>18</v>
      </c>
      <c r="O105" s="488" t="str">
        <f>IF(O103="","n.d.",IF(O104="","n.d.",IF(O104=0,"",O103/O104)))</f>
        <v>n.d.</v>
      </c>
      <c r="P105" s="665"/>
      <c r="Q105" s="727"/>
      <c r="R105" s="727"/>
    </row>
    <row r="106" spans="1:19" ht="27" customHeight="1" thickBot="1" x14ac:dyDescent="0.25">
      <c r="A106" s="577">
        <v>29</v>
      </c>
      <c r="B106" s="750"/>
      <c r="C106" s="661" t="s">
        <v>797</v>
      </c>
      <c r="D106" s="583" t="s">
        <v>843</v>
      </c>
      <c r="E106" s="586"/>
      <c r="F106" s="583" t="s">
        <v>807</v>
      </c>
      <c r="G106" s="586"/>
      <c r="H106" s="583" t="s">
        <v>798</v>
      </c>
      <c r="I106" s="586"/>
      <c r="J106" s="707"/>
      <c r="K106" s="589" t="s">
        <v>777</v>
      </c>
      <c r="L106" s="710"/>
      <c r="M106" s="707" t="s">
        <v>431</v>
      </c>
      <c r="N106" s="419" t="s">
        <v>768</v>
      </c>
      <c r="O106" s="354"/>
      <c r="P106" s="766" t="str">
        <f>IF(O108=Berechnung1!D123,Berechnung1!$F$5,IF(OR(O108&lt; Berechnung1!E123,O108&gt; Berechnung1!F123),Berechnung1!$G$5,IF(OR(ROUND(O108,4)&lt;Berechnung1!J123,ROUND(O108,4)&gt;Berechnung1!K123),Berechnung1!$D$5,IF(OR(ROUND(O108,4)&lt;Berechnung1!G123,ROUND(O108,4)&gt;Berechnung1!H123),Berechnung1!$E$5,Berechnung1!$C$5))))</f>
        <v>Incomplete</v>
      </c>
      <c r="Q106" s="767"/>
      <c r="R106" s="725"/>
    </row>
    <row r="107" spans="1:19" ht="27" customHeight="1" thickBot="1" x14ac:dyDescent="0.25">
      <c r="A107" s="602"/>
      <c r="B107" s="603"/>
      <c r="C107" s="668"/>
      <c r="D107" s="584"/>
      <c r="E107" s="587"/>
      <c r="F107" s="584"/>
      <c r="G107" s="587"/>
      <c r="H107" s="584"/>
      <c r="I107" s="587"/>
      <c r="J107" s="708"/>
      <c r="K107" s="601"/>
      <c r="L107" s="711"/>
      <c r="M107" s="708"/>
      <c r="N107" s="419" t="s">
        <v>775</v>
      </c>
      <c r="O107" s="354"/>
      <c r="P107" s="766"/>
      <c r="Q107" s="764"/>
      <c r="R107" s="726"/>
      <c r="S107" s="350">
        <f>SUM('Basic Data'!F33:J33)</f>
        <v>0</v>
      </c>
    </row>
    <row r="108" spans="1:19" ht="27" customHeight="1" thickBot="1" x14ac:dyDescent="0.25">
      <c r="A108" s="598"/>
      <c r="B108" s="599"/>
      <c r="C108" s="669"/>
      <c r="D108" s="584"/>
      <c r="E108" s="587"/>
      <c r="F108" s="585"/>
      <c r="G108" s="588"/>
      <c r="H108" s="585"/>
      <c r="I108" s="588"/>
      <c r="J108" s="709"/>
      <c r="K108" s="664"/>
      <c r="L108" s="712"/>
      <c r="M108" s="709"/>
      <c r="N108" s="419" t="s">
        <v>18</v>
      </c>
      <c r="O108" s="355" t="str">
        <f>IF(O106="","n.d.",IF(O107="","n.d.",IF(O107=0,"",O106/O107)))</f>
        <v>n.d.</v>
      </c>
      <c r="P108" s="766"/>
      <c r="Q108" s="765"/>
      <c r="R108" s="727"/>
    </row>
    <row r="109" spans="1:19" ht="27" customHeight="1" thickBot="1" x14ac:dyDescent="0.25">
      <c r="A109" s="577">
        <v>30</v>
      </c>
      <c r="B109" s="750"/>
      <c r="C109" s="661" t="s">
        <v>939</v>
      </c>
      <c r="D109" s="583" t="s">
        <v>835</v>
      </c>
      <c r="E109" s="747"/>
      <c r="F109" s="583" t="s">
        <v>945</v>
      </c>
      <c r="G109" s="747"/>
      <c r="H109" s="583" t="s">
        <v>914</v>
      </c>
      <c r="I109" s="747"/>
      <c r="J109" s="707" t="s">
        <v>836</v>
      </c>
      <c r="K109" s="589" t="s">
        <v>777</v>
      </c>
      <c r="L109" s="710"/>
      <c r="M109" s="707"/>
      <c r="N109" s="419" t="s">
        <v>768</v>
      </c>
      <c r="O109" s="354"/>
      <c r="P109" s="809" t="str">
        <f>IF(O111=Berechnung1!D126,Berechnung1!$F$5,IF(OR(O111&lt; Berechnung1!E126,O111&gt; Berechnung1!F126),Berechnung1!$G$5,IF(OR(ROUND(O111,4)&lt;Berechnung1!J126,ROUND(O111,4)&gt;Berechnung1!K126),Berechnung1!$D$5,IF(OR(ROUND(O111,4)&lt;Berechnung1!G126,ROUND(O111,4)&gt;Berechnung1!H126),Berechnung1!$E$5,Berechnung1!$C$5))))</f>
        <v>Incomplete</v>
      </c>
      <c r="Q109" s="767"/>
      <c r="R109" s="725"/>
    </row>
    <row r="110" spans="1:19" ht="27" customHeight="1" thickBot="1" x14ac:dyDescent="0.25">
      <c r="A110" s="602"/>
      <c r="B110" s="603"/>
      <c r="C110" s="662"/>
      <c r="D110" s="600"/>
      <c r="E110" s="748"/>
      <c r="F110" s="600"/>
      <c r="G110" s="748"/>
      <c r="H110" s="600"/>
      <c r="I110" s="748"/>
      <c r="J110" s="708"/>
      <c r="K110" s="601"/>
      <c r="L110" s="711"/>
      <c r="M110" s="708"/>
      <c r="N110" s="419" t="s">
        <v>775</v>
      </c>
      <c r="O110" s="424">
        <f>IF(OR('Basic Data'!I33="",'Basic Data'!J33="",O13="",),0,'Basic Data'!I33+'Basic Data'!J33+O13)</f>
        <v>0</v>
      </c>
      <c r="P110" s="809"/>
      <c r="Q110" s="764"/>
      <c r="R110" s="726"/>
    </row>
    <row r="111" spans="1:19" ht="27" customHeight="1" thickBot="1" x14ac:dyDescent="0.25">
      <c r="A111" s="598"/>
      <c r="B111" s="599"/>
      <c r="C111" s="663"/>
      <c r="D111" s="660"/>
      <c r="E111" s="749"/>
      <c r="F111" s="660"/>
      <c r="G111" s="749"/>
      <c r="H111" s="660"/>
      <c r="I111" s="749"/>
      <c r="J111" s="709"/>
      <c r="K111" s="664"/>
      <c r="L111" s="712"/>
      <c r="M111" s="709"/>
      <c r="N111" s="419" t="s">
        <v>18</v>
      </c>
      <c r="O111" s="355" t="str">
        <f>IF(O109="","n.d.",IF(O110="","n.d.",IF(O110=0,"",O109/O110)))</f>
        <v>n.d.</v>
      </c>
      <c r="P111" s="809"/>
      <c r="Q111" s="765"/>
      <c r="R111" s="727"/>
    </row>
    <row r="112" spans="1:19" ht="27" customHeight="1" thickBot="1" x14ac:dyDescent="0.25">
      <c r="A112" s="577">
        <v>31</v>
      </c>
      <c r="B112" s="750"/>
      <c r="C112" s="661" t="s">
        <v>862</v>
      </c>
      <c r="D112" s="583" t="s">
        <v>837</v>
      </c>
      <c r="E112" s="747"/>
      <c r="F112" s="583" t="s">
        <v>838</v>
      </c>
      <c r="G112" s="747"/>
      <c r="H112" s="583" t="s">
        <v>850</v>
      </c>
      <c r="I112" s="747"/>
      <c r="J112" s="707"/>
      <c r="K112" s="589" t="s">
        <v>833</v>
      </c>
      <c r="L112" s="710"/>
      <c r="M112" s="707"/>
      <c r="N112" s="419" t="s">
        <v>768</v>
      </c>
      <c r="O112" s="354"/>
      <c r="P112" s="809" t="str">
        <f>IF(O114=Berechnung1!D129,Berechnung1!$F$5,IF(OR(O114&lt; Berechnung1!E129,O114&gt; Berechnung1!F129),Berechnung1!$G$5,IF(OR(ROUND(O114,4)&lt;Berechnung1!J129,ROUND(O114,4)&gt;Berechnung1!K129),Berechnung1!$D$5,IF(OR(ROUND(O114,4)&lt;Berechnung1!G129,ROUND(O114,4)&gt;Berechnung1!H129),Berechnung1!$E$5,Berechnung1!$C$5))))</f>
        <v>Incomplete</v>
      </c>
      <c r="Q112" s="763"/>
      <c r="R112" s="725"/>
    </row>
    <row r="113" spans="1:19" ht="27" customHeight="1" thickBot="1" x14ac:dyDescent="0.25">
      <c r="A113" s="602"/>
      <c r="B113" s="603"/>
      <c r="C113" s="662"/>
      <c r="D113" s="600"/>
      <c r="E113" s="748"/>
      <c r="F113" s="600"/>
      <c r="G113" s="748"/>
      <c r="H113" s="600"/>
      <c r="I113" s="748"/>
      <c r="J113" s="708"/>
      <c r="K113" s="601"/>
      <c r="L113" s="711"/>
      <c r="M113" s="708"/>
      <c r="N113" s="419" t="s">
        <v>775</v>
      </c>
      <c r="O113" s="354"/>
      <c r="P113" s="809"/>
      <c r="Q113" s="764"/>
      <c r="R113" s="726"/>
      <c r="S113" s="3">
        <f>SUM('Basic Data'!F33:H33)</f>
        <v>0</v>
      </c>
    </row>
    <row r="114" spans="1:19" ht="27" customHeight="1" thickBot="1" x14ac:dyDescent="0.25">
      <c r="A114" s="598"/>
      <c r="B114" s="599"/>
      <c r="C114" s="663"/>
      <c r="D114" s="660"/>
      <c r="E114" s="749"/>
      <c r="F114" s="660"/>
      <c r="G114" s="749"/>
      <c r="H114" s="660"/>
      <c r="I114" s="749"/>
      <c r="J114" s="709"/>
      <c r="K114" s="664"/>
      <c r="L114" s="712"/>
      <c r="M114" s="709"/>
      <c r="N114" s="419" t="s">
        <v>18</v>
      </c>
      <c r="O114" s="355" t="str">
        <f t="shared" ref="O114" si="0">IF(O112="","n.d.",IF(O113="","n.d.",IF(O113=0,"",O112/O113)))</f>
        <v>n.d.</v>
      </c>
      <c r="P114" s="809"/>
      <c r="Q114" s="765"/>
      <c r="R114" s="727"/>
    </row>
    <row r="115" spans="1:19" ht="27" customHeight="1" thickBot="1" x14ac:dyDescent="0.25">
      <c r="A115" s="577">
        <v>32</v>
      </c>
      <c r="B115" s="750"/>
      <c r="C115" s="661" t="s">
        <v>852</v>
      </c>
      <c r="D115" s="583" t="s">
        <v>839</v>
      </c>
      <c r="E115" s="747"/>
      <c r="F115" s="583" t="s">
        <v>840</v>
      </c>
      <c r="G115" s="747"/>
      <c r="H115" s="583" t="s">
        <v>851</v>
      </c>
      <c r="I115" s="747"/>
      <c r="J115" s="707"/>
      <c r="K115" s="589" t="s">
        <v>833</v>
      </c>
      <c r="L115" s="710"/>
      <c r="M115" s="707"/>
      <c r="N115" s="419" t="s">
        <v>768</v>
      </c>
      <c r="O115" s="354"/>
      <c r="P115" s="809" t="str">
        <f>IF(O117=Berechnung1!D132,Berechnung1!$F$5,IF(OR(O117&lt; Berechnung1!E132,O117&gt; Berechnung1!F132),Berechnung1!$G$5,IF(OR(ROUND(O117,4)&lt;Berechnung1!J132,ROUND(O117,4)&gt;Berechnung1!K132),Berechnung1!$D$5,IF(OR(ROUND(O117,4)&lt;Berechnung1!G132,ROUND(O117,4)&gt;Berechnung1!H132),Berechnung1!$E$5,Berechnung1!$C$5))))</f>
        <v>Incomplete</v>
      </c>
      <c r="Q115" s="763"/>
      <c r="R115" s="725"/>
    </row>
    <row r="116" spans="1:19" ht="27" customHeight="1" thickBot="1" x14ac:dyDescent="0.25">
      <c r="A116" s="602"/>
      <c r="B116" s="603"/>
      <c r="C116" s="662"/>
      <c r="D116" s="600"/>
      <c r="E116" s="748"/>
      <c r="F116" s="600"/>
      <c r="G116" s="748"/>
      <c r="H116" s="600"/>
      <c r="I116" s="748"/>
      <c r="J116" s="708"/>
      <c r="K116" s="601"/>
      <c r="L116" s="711"/>
      <c r="M116" s="708"/>
      <c r="N116" s="419" t="s">
        <v>775</v>
      </c>
      <c r="O116" s="354"/>
      <c r="P116" s="809"/>
      <c r="Q116" s="764"/>
      <c r="R116" s="726"/>
      <c r="S116" s="3">
        <f>SUM('Basic Data'!I33:J33)</f>
        <v>0</v>
      </c>
    </row>
    <row r="117" spans="1:19" ht="27" customHeight="1" thickBot="1" x14ac:dyDescent="0.25">
      <c r="A117" s="598"/>
      <c r="B117" s="599"/>
      <c r="C117" s="663"/>
      <c r="D117" s="660"/>
      <c r="E117" s="749"/>
      <c r="F117" s="660"/>
      <c r="G117" s="749"/>
      <c r="H117" s="660"/>
      <c r="I117" s="749"/>
      <c r="J117" s="709"/>
      <c r="K117" s="664"/>
      <c r="L117" s="712"/>
      <c r="M117" s="709"/>
      <c r="N117" s="419" t="s">
        <v>18</v>
      </c>
      <c r="O117" s="355" t="str">
        <f t="shared" ref="O117" si="1">IF(O115="","n.d.",IF(O116="","n.d.",IF(O116=0,"",O115/O116)))</f>
        <v>n.d.</v>
      </c>
      <c r="P117" s="809"/>
      <c r="Q117" s="765"/>
      <c r="R117" s="727"/>
    </row>
    <row r="118" spans="1:19" customFormat="1" ht="6" customHeight="1" x14ac:dyDescent="0.25">
      <c r="K118" s="242"/>
      <c r="L118" s="242"/>
    </row>
    <row r="119" spans="1:19" customFormat="1" ht="18" customHeight="1" thickBot="1" x14ac:dyDescent="0.3">
      <c r="A119" s="425" t="s">
        <v>864</v>
      </c>
      <c r="K119" s="242"/>
      <c r="L119" s="242"/>
    </row>
    <row r="120" spans="1:19" customFormat="1" ht="18" customHeight="1" thickBot="1" x14ac:dyDescent="0.3">
      <c r="B120" s="733" t="s">
        <v>868</v>
      </c>
      <c r="C120" s="734"/>
      <c r="D120" s="428" t="s">
        <v>859</v>
      </c>
      <c r="E120" s="429" t="str">
        <f>CONCATENATE(TEXT(Berechnung1!C9,"0,00%")," (",Berechnung1!$C$6, ")")</f>
        <v>0,00% (0)</v>
      </c>
      <c r="F120" s="737" t="str">
        <f>CONCATENATE(TEXT(Berechnung1!D10,"0,00%")," (",Berechnung1!$D$7, ")")</f>
        <v>0,00% (0)</v>
      </c>
      <c r="G120" s="745" t="s">
        <v>866</v>
      </c>
      <c r="K120" s="242"/>
      <c r="L120" s="242"/>
    </row>
    <row r="121" spans="1:19" customFormat="1" ht="26.25" customHeight="1" thickBot="1" x14ac:dyDescent="0.3">
      <c r="B121" s="735"/>
      <c r="C121" s="736"/>
      <c r="D121" s="426" t="s">
        <v>757</v>
      </c>
      <c r="E121" s="430" t="str">
        <f>CONCATENATE(TEXT(Berechnung1!K9,"0,00%")," (",Berechnung1!$K$6, ")")</f>
        <v>0,00% (0)</v>
      </c>
      <c r="F121" s="737"/>
      <c r="G121" s="746"/>
      <c r="K121" s="242"/>
      <c r="L121" s="242"/>
    </row>
    <row r="122" spans="1:19" customFormat="1" ht="18" customHeight="1" thickBot="1" x14ac:dyDescent="0.3">
      <c r="B122" s="738" t="s">
        <v>865</v>
      </c>
      <c r="C122" s="739"/>
      <c r="D122" s="739"/>
      <c r="E122" s="740"/>
      <c r="F122" s="431" t="str">
        <f>CONCATENATE(TEXT(Berechnung1!E10,"0,00%")," (",Berechnung1!$E$7, ")")</f>
        <v>0,00% (0)</v>
      </c>
      <c r="G122" s="436" t="str">
        <f>CONCATENATE(TEXT(Berechnung1!E11,"0,00%")," (",Berechnung1!$E$8, ")")</f>
        <v>0,00% (0)</v>
      </c>
      <c r="K122" s="242"/>
      <c r="L122" s="242"/>
    </row>
    <row r="123" spans="1:19" customFormat="1" ht="18" customHeight="1" thickBot="1" x14ac:dyDescent="0.3">
      <c r="B123" s="741" t="s">
        <v>764</v>
      </c>
      <c r="C123" s="742"/>
      <c r="D123" s="432" t="s">
        <v>760</v>
      </c>
      <c r="E123" s="433" t="str">
        <f>CONCATENATE(TEXT(Berechnung1!G9,"0,00%")," (",Berechnung1!$G$6, ")")</f>
        <v>0,00% (0)</v>
      </c>
      <c r="F123" s="737" t="str">
        <f>CONCATENATE(TEXT(Berechnung1!G10,"0,00%")," (",Berechnung1!$G$8, ")")</f>
        <v>100,00% (36)</v>
      </c>
      <c r="G123" s="737"/>
      <c r="K123" s="242"/>
      <c r="L123" s="242"/>
    </row>
    <row r="124" spans="1:19" customFormat="1" ht="18" customHeight="1" thickBot="1" x14ac:dyDescent="0.3">
      <c r="B124" s="743"/>
      <c r="C124" s="744"/>
      <c r="D124" s="434" t="s">
        <v>759</v>
      </c>
      <c r="E124" s="435" t="str">
        <f>CONCATENATE(TEXT(Berechnung1!F9,"0,00%")," (",Berechnung1!$F$6, ")")</f>
        <v>100,00% (36)</v>
      </c>
      <c r="F124" s="737"/>
      <c r="G124" s="737"/>
      <c r="K124" s="242"/>
      <c r="L124" s="242"/>
    </row>
    <row r="125" spans="1:19" customFormat="1" ht="18" customHeight="1" x14ac:dyDescent="0.25">
      <c r="B125" s="427"/>
      <c r="C125" s="427"/>
      <c r="D125" s="427"/>
      <c r="E125" s="427"/>
      <c r="F125" s="427"/>
      <c r="G125" s="427"/>
      <c r="K125" s="242"/>
      <c r="L125" s="242"/>
    </row>
    <row r="126" spans="1:19" customFormat="1" ht="9.75" customHeight="1" x14ac:dyDescent="0.25">
      <c r="A126" s="420" t="s">
        <v>808</v>
      </c>
      <c r="B126" s="421"/>
      <c r="C126" s="422"/>
      <c r="D126" s="421"/>
      <c r="E126" s="421"/>
      <c r="F126" s="421"/>
      <c r="G126" s="421"/>
      <c r="H126" s="421"/>
      <c r="I126" s="421"/>
      <c r="J126" s="421"/>
      <c r="K126" s="421"/>
      <c r="L126" s="421"/>
      <c r="M126" s="421"/>
      <c r="N126" s="421"/>
      <c r="O126" s="421"/>
      <c r="P126" s="421"/>
    </row>
    <row r="127" spans="1:19" customFormat="1" ht="26.25" customHeight="1" x14ac:dyDescent="0.25">
      <c r="A127" s="804" t="s">
        <v>765</v>
      </c>
      <c r="B127" s="804"/>
      <c r="C127" s="804"/>
      <c r="D127" s="804"/>
      <c r="E127" s="804"/>
      <c r="F127" s="804"/>
      <c r="G127" s="804"/>
      <c r="H127" s="804"/>
      <c r="I127" s="804"/>
      <c r="J127" s="804"/>
      <c r="K127" s="804"/>
      <c r="L127" s="804"/>
      <c r="M127" s="804"/>
      <c r="N127" s="804"/>
      <c r="O127" s="804"/>
      <c r="P127" s="804"/>
    </row>
    <row r="128" spans="1:19" ht="130.5" customHeight="1" x14ac:dyDescent="0.2">
      <c r="A128" s="531" t="s">
        <v>809</v>
      </c>
      <c r="B128" s="532"/>
      <c r="C128" s="532"/>
      <c r="D128" s="532"/>
      <c r="E128" s="532"/>
      <c r="F128" s="532"/>
      <c r="G128" s="532"/>
      <c r="H128" s="532"/>
      <c r="I128" s="532"/>
      <c r="J128" s="532"/>
      <c r="K128" s="532"/>
      <c r="L128" s="532"/>
      <c r="M128" s="532"/>
      <c r="N128" s="532"/>
      <c r="O128" s="532"/>
      <c r="P128" s="532"/>
    </row>
    <row r="129" spans="1:17" ht="14.25" customHeight="1" x14ac:dyDescent="0.2">
      <c r="A129" s="423" t="s">
        <v>857</v>
      </c>
    </row>
    <row r="130" spans="1:17" ht="12.75" customHeight="1" x14ac:dyDescent="0.25">
      <c r="A130" s="308" t="s">
        <v>858</v>
      </c>
      <c r="B130"/>
      <c r="C130"/>
      <c r="D130"/>
      <c r="E130"/>
      <c r="F130"/>
      <c r="G130"/>
      <c r="H130"/>
      <c r="I130"/>
      <c r="J130"/>
      <c r="K130" s="3"/>
      <c r="L130" s="3"/>
      <c r="M130"/>
      <c r="N130"/>
      <c r="O130"/>
      <c r="P130"/>
    </row>
    <row r="131" spans="1:17" ht="22.5" customHeight="1" x14ac:dyDescent="0.2">
      <c r="A131" s="544" t="s">
        <v>970</v>
      </c>
      <c r="B131" s="730"/>
      <c r="C131" s="730"/>
      <c r="D131" s="730"/>
      <c r="E131" s="730"/>
      <c r="F131" s="730"/>
      <c r="G131" s="730"/>
      <c r="H131" s="730"/>
      <c r="I131" s="730"/>
      <c r="J131" s="730"/>
      <c r="K131" s="730"/>
      <c r="L131" s="730"/>
      <c r="M131" s="730"/>
      <c r="N131" s="730"/>
      <c r="O131" s="730"/>
      <c r="P131" s="730"/>
      <c r="Q131" s="730"/>
    </row>
    <row r="132" spans="1:17" ht="21.75" customHeight="1" x14ac:dyDescent="0.2">
      <c r="A132" s="731" t="s">
        <v>971</v>
      </c>
      <c r="B132" s="732"/>
      <c r="C132" s="732"/>
      <c r="D132" s="732"/>
      <c r="E132" s="732"/>
      <c r="F132" s="732"/>
      <c r="G132" s="732"/>
      <c r="H132" s="732"/>
      <c r="I132" s="732"/>
      <c r="J132" s="732"/>
      <c r="K132" s="732"/>
      <c r="L132" s="732"/>
      <c r="M132" s="732"/>
      <c r="N132" s="732"/>
      <c r="O132" s="732"/>
      <c r="P132" s="732"/>
      <c r="Q132" s="732"/>
    </row>
  </sheetData>
  <sheetProtection password="CA09" sheet="1" objects="1" scenarios="1" selectLockedCells="1"/>
  <dataConsolidate/>
  <mergeCells count="470">
    <mergeCell ref="A94:A96"/>
    <mergeCell ref="B94:B96"/>
    <mergeCell ref="C94:C96"/>
    <mergeCell ref="D94:E96"/>
    <mergeCell ref="F94:G96"/>
    <mergeCell ref="H94:I96"/>
    <mergeCell ref="J94:J96"/>
    <mergeCell ref="K94:L96"/>
    <mergeCell ref="M94:M96"/>
    <mergeCell ref="P88:P90"/>
    <mergeCell ref="Q88:Q90"/>
    <mergeCell ref="R88:R90"/>
    <mergeCell ref="A100:A102"/>
    <mergeCell ref="B100:B102"/>
    <mergeCell ref="C100:C102"/>
    <mergeCell ref="D100:E102"/>
    <mergeCell ref="F100:G102"/>
    <mergeCell ref="H100:I102"/>
    <mergeCell ref="J100:J102"/>
    <mergeCell ref="K100:L102"/>
    <mergeCell ref="M100:M102"/>
    <mergeCell ref="P100:P102"/>
    <mergeCell ref="Q100:Q102"/>
    <mergeCell ref="R100:R102"/>
    <mergeCell ref="A88:A90"/>
    <mergeCell ref="B88:B90"/>
    <mergeCell ref="C88:C90"/>
    <mergeCell ref="D88:E90"/>
    <mergeCell ref="F88:G90"/>
    <mergeCell ref="H88:I90"/>
    <mergeCell ref="J88:J90"/>
    <mergeCell ref="K88:L90"/>
    <mergeCell ref="M88:M90"/>
    <mergeCell ref="A76:A78"/>
    <mergeCell ref="B76:B78"/>
    <mergeCell ref="C76:C78"/>
    <mergeCell ref="D76:E78"/>
    <mergeCell ref="F76:G78"/>
    <mergeCell ref="H76:I78"/>
    <mergeCell ref="J76:J78"/>
    <mergeCell ref="K76:L78"/>
    <mergeCell ref="M76:M78"/>
    <mergeCell ref="R25:R27"/>
    <mergeCell ref="A46:A48"/>
    <mergeCell ref="B46:B48"/>
    <mergeCell ref="C46:C48"/>
    <mergeCell ref="D46:E48"/>
    <mergeCell ref="F46:G48"/>
    <mergeCell ref="H46:I48"/>
    <mergeCell ref="J46:J48"/>
    <mergeCell ref="K46:L48"/>
    <mergeCell ref="M46:M48"/>
    <mergeCell ref="P46:P48"/>
    <mergeCell ref="Q46:Q48"/>
    <mergeCell ref="R46:R48"/>
    <mergeCell ref="A25:A27"/>
    <mergeCell ref="B25:B27"/>
    <mergeCell ref="C25:C27"/>
    <mergeCell ref="D25:E27"/>
    <mergeCell ref="F25:G27"/>
    <mergeCell ref="H25:I27"/>
    <mergeCell ref="J25:J27"/>
    <mergeCell ref="K25:L27"/>
    <mergeCell ref="M25:M27"/>
    <mergeCell ref="R37:R39"/>
    <mergeCell ref="M37:M39"/>
    <mergeCell ref="P115:P117"/>
    <mergeCell ref="Q115:Q117"/>
    <mergeCell ref="R115:R117"/>
    <mergeCell ref="C109:C111"/>
    <mergeCell ref="D109:E111"/>
    <mergeCell ref="F109:G111"/>
    <mergeCell ref="H109:I111"/>
    <mergeCell ref="J109:J111"/>
    <mergeCell ref="K109:L111"/>
    <mergeCell ref="C112:C114"/>
    <mergeCell ref="D112:E114"/>
    <mergeCell ref="P109:P111"/>
    <mergeCell ref="Q109:Q111"/>
    <mergeCell ref="R109:R111"/>
    <mergeCell ref="M115:M117"/>
    <mergeCell ref="P112:P114"/>
    <mergeCell ref="Q112:Q114"/>
    <mergeCell ref="R112:R114"/>
    <mergeCell ref="K112:L114"/>
    <mergeCell ref="M112:M114"/>
    <mergeCell ref="D91:E93"/>
    <mergeCell ref="F91:G93"/>
    <mergeCell ref="H91:I93"/>
    <mergeCell ref="J91:J93"/>
    <mergeCell ref="K91:L93"/>
    <mergeCell ref="M91:M93"/>
    <mergeCell ref="K103:L105"/>
    <mergeCell ref="M103:M105"/>
    <mergeCell ref="M109:M111"/>
    <mergeCell ref="F97:G99"/>
    <mergeCell ref="Q91:Q93"/>
    <mergeCell ref="R91:R93"/>
    <mergeCell ref="P97:P99"/>
    <mergeCell ref="P106:P108"/>
    <mergeCell ref="Q97:Q99"/>
    <mergeCell ref="Q106:Q108"/>
    <mergeCell ref="P103:P105"/>
    <mergeCell ref="Q103:Q105"/>
    <mergeCell ref="R103:R105"/>
    <mergeCell ref="P94:P96"/>
    <mergeCell ref="Q94:Q96"/>
    <mergeCell ref="R106:R108"/>
    <mergeCell ref="R97:R99"/>
    <mergeCell ref="R94:R96"/>
    <mergeCell ref="A115:A117"/>
    <mergeCell ref="B115:B117"/>
    <mergeCell ref="A103:A105"/>
    <mergeCell ref="B103:B105"/>
    <mergeCell ref="C103:C105"/>
    <mergeCell ref="D103:E105"/>
    <mergeCell ref="F103:G105"/>
    <mergeCell ref="H103:I105"/>
    <mergeCell ref="J103:J105"/>
    <mergeCell ref="B106:B108"/>
    <mergeCell ref="A112:A114"/>
    <mergeCell ref="B112:B114"/>
    <mergeCell ref="J112:J114"/>
    <mergeCell ref="F106:G108"/>
    <mergeCell ref="A109:A111"/>
    <mergeCell ref="B109:B111"/>
    <mergeCell ref="A13:A15"/>
    <mergeCell ref="B13:B15"/>
    <mergeCell ref="C13:C15"/>
    <mergeCell ref="D13:E15"/>
    <mergeCell ref="F13:G15"/>
    <mergeCell ref="H13:I15"/>
    <mergeCell ref="H19:I21"/>
    <mergeCell ref="B22:B24"/>
    <mergeCell ref="A16:A18"/>
    <mergeCell ref="B16:B18"/>
    <mergeCell ref="C16:C18"/>
    <mergeCell ref="A19:A21"/>
    <mergeCell ref="B19:B21"/>
    <mergeCell ref="D16:E18"/>
    <mergeCell ref="C22:C24"/>
    <mergeCell ref="D22:E24"/>
    <mergeCell ref="F16:G18"/>
    <mergeCell ref="H16:I18"/>
    <mergeCell ref="C19:C21"/>
    <mergeCell ref="D19:E21"/>
    <mergeCell ref="F19:G21"/>
    <mergeCell ref="F22:G24"/>
    <mergeCell ref="H22:I24"/>
    <mergeCell ref="A22:A24"/>
    <mergeCell ref="J13:J15"/>
    <mergeCell ref="K13:L15"/>
    <mergeCell ref="M13:M15"/>
    <mergeCell ref="A70:A72"/>
    <mergeCell ref="C79:C81"/>
    <mergeCell ref="A127:P127"/>
    <mergeCell ref="A82:A84"/>
    <mergeCell ref="B82:B84"/>
    <mergeCell ref="C82:C84"/>
    <mergeCell ref="P64:P66"/>
    <mergeCell ref="F61:G63"/>
    <mergeCell ref="H61:I63"/>
    <mergeCell ref="F58:G60"/>
    <mergeCell ref="H58:I60"/>
    <mergeCell ref="K58:L60"/>
    <mergeCell ref="D58:E60"/>
    <mergeCell ref="A67:A69"/>
    <mergeCell ref="B67:B69"/>
    <mergeCell ref="C67:C69"/>
    <mergeCell ref="A64:A66"/>
    <mergeCell ref="B64:B66"/>
    <mergeCell ref="C64:C66"/>
    <mergeCell ref="D64:E66"/>
    <mergeCell ref="A61:A63"/>
    <mergeCell ref="A128:P128"/>
    <mergeCell ref="A73:A75"/>
    <mergeCell ref="A79:A81"/>
    <mergeCell ref="A91:A93"/>
    <mergeCell ref="B91:B93"/>
    <mergeCell ref="C91:C93"/>
    <mergeCell ref="P91:P93"/>
    <mergeCell ref="C70:C72"/>
    <mergeCell ref="M79:M81"/>
    <mergeCell ref="J79:J81"/>
    <mergeCell ref="N79:N81"/>
    <mergeCell ref="O79:O81"/>
    <mergeCell ref="J97:J99"/>
    <mergeCell ref="M97:M99"/>
    <mergeCell ref="M106:M108"/>
    <mergeCell ref="D97:E99"/>
    <mergeCell ref="D106:E108"/>
    <mergeCell ref="F112:G114"/>
    <mergeCell ref="H112:I114"/>
    <mergeCell ref="H97:I99"/>
    <mergeCell ref="H106:I108"/>
    <mergeCell ref="J106:J108"/>
    <mergeCell ref="K97:L99"/>
    <mergeCell ref="K106:L108"/>
    <mergeCell ref="B70:B72"/>
    <mergeCell ref="P85:P87"/>
    <mergeCell ref="D79:E81"/>
    <mergeCell ref="F79:G81"/>
    <mergeCell ref="H79:I81"/>
    <mergeCell ref="K79:L81"/>
    <mergeCell ref="B73:B75"/>
    <mergeCell ref="C73:C75"/>
    <mergeCell ref="D73:E75"/>
    <mergeCell ref="F73:G75"/>
    <mergeCell ref="H73:I75"/>
    <mergeCell ref="B79:B81"/>
    <mergeCell ref="D85:E87"/>
    <mergeCell ref="Q79:Q81"/>
    <mergeCell ref="F70:G72"/>
    <mergeCell ref="Q70:Q72"/>
    <mergeCell ref="R70:R72"/>
    <mergeCell ref="P73:P75"/>
    <mergeCell ref="Q73:Q75"/>
    <mergeCell ref="K70:L72"/>
    <mergeCell ref="J70:J72"/>
    <mergeCell ref="D70:E72"/>
    <mergeCell ref="R79:R81"/>
    <mergeCell ref="P70:P72"/>
    <mergeCell ref="N73:N75"/>
    <mergeCell ref="O73:O75"/>
    <mergeCell ref="M73:M75"/>
    <mergeCell ref="J73:J75"/>
    <mergeCell ref="K73:L75"/>
    <mergeCell ref="H70:I72"/>
    <mergeCell ref="M70:M72"/>
    <mergeCell ref="R73:R75"/>
    <mergeCell ref="P79:P81"/>
    <mergeCell ref="P76:P78"/>
    <mergeCell ref="Q76:Q78"/>
    <mergeCell ref="R76:R78"/>
    <mergeCell ref="R82:R84"/>
    <mergeCell ref="A85:A87"/>
    <mergeCell ref="B85:B87"/>
    <mergeCell ref="C85:C87"/>
    <mergeCell ref="R85:R87"/>
    <mergeCell ref="Q85:Q87"/>
    <mergeCell ref="P82:P84"/>
    <mergeCell ref="Q82:Q84"/>
    <mergeCell ref="M82:M84"/>
    <mergeCell ref="M85:M87"/>
    <mergeCell ref="F85:G87"/>
    <mergeCell ref="K85:L87"/>
    <mergeCell ref="J85:J87"/>
    <mergeCell ref="F82:G84"/>
    <mergeCell ref="H82:I84"/>
    <mergeCell ref="J82:J84"/>
    <mergeCell ref="K82:L84"/>
    <mergeCell ref="H85:I87"/>
    <mergeCell ref="D82:E84"/>
    <mergeCell ref="J67:J69"/>
    <mergeCell ref="F64:G66"/>
    <mergeCell ref="H64:I66"/>
    <mergeCell ref="K64:L66"/>
    <mergeCell ref="R64:R66"/>
    <mergeCell ref="J64:J66"/>
    <mergeCell ref="M64:M66"/>
    <mergeCell ref="M67:M69"/>
    <mergeCell ref="K67:L69"/>
    <mergeCell ref="F67:G69"/>
    <mergeCell ref="H67:I69"/>
    <mergeCell ref="Q67:Q69"/>
    <mergeCell ref="P67:P69"/>
    <mergeCell ref="D49:E54"/>
    <mergeCell ref="D67:E69"/>
    <mergeCell ref="J52:J54"/>
    <mergeCell ref="K52:L54"/>
    <mergeCell ref="M52:M54"/>
    <mergeCell ref="R58:R60"/>
    <mergeCell ref="J58:J60"/>
    <mergeCell ref="M58:M60"/>
    <mergeCell ref="P61:P63"/>
    <mergeCell ref="K61:L63"/>
    <mergeCell ref="P58:P60"/>
    <mergeCell ref="Q58:Q60"/>
    <mergeCell ref="J61:J63"/>
    <mergeCell ref="M61:M63"/>
    <mergeCell ref="Q61:Q63"/>
    <mergeCell ref="R61:R63"/>
    <mergeCell ref="Q55:Q57"/>
    <mergeCell ref="R55:R57"/>
    <mergeCell ref="N52:N54"/>
    <mergeCell ref="O52:O54"/>
    <mergeCell ref="P52:P54"/>
    <mergeCell ref="Q52:Q54"/>
    <mergeCell ref="Q64:Q66"/>
    <mergeCell ref="R67:R69"/>
    <mergeCell ref="R49:R51"/>
    <mergeCell ref="K49:L51"/>
    <mergeCell ref="N49:N51"/>
    <mergeCell ref="M49:M51"/>
    <mergeCell ref="P55:P57"/>
    <mergeCell ref="R52:R54"/>
    <mergeCell ref="R43:R45"/>
    <mergeCell ref="A55:A57"/>
    <mergeCell ref="B55:B57"/>
    <mergeCell ref="C55:C57"/>
    <mergeCell ref="M55:M57"/>
    <mergeCell ref="D55:E57"/>
    <mergeCell ref="J55:J57"/>
    <mergeCell ref="H52:I54"/>
    <mergeCell ref="A43:A45"/>
    <mergeCell ref="B43:B45"/>
    <mergeCell ref="C43:C45"/>
    <mergeCell ref="D43:E45"/>
    <mergeCell ref="J49:J51"/>
    <mergeCell ref="J43:J45"/>
    <mergeCell ref="F43:G45"/>
    <mergeCell ref="H43:I45"/>
    <mergeCell ref="F55:G57"/>
    <mergeCell ref="H55:I57"/>
    <mergeCell ref="A34:A36"/>
    <mergeCell ref="B34:B36"/>
    <mergeCell ref="O37:O39"/>
    <mergeCell ref="K34:L36"/>
    <mergeCell ref="J34:J36"/>
    <mergeCell ref="Q37:Q39"/>
    <mergeCell ref="P37:P39"/>
    <mergeCell ref="A37:A39"/>
    <mergeCell ref="B37:B39"/>
    <mergeCell ref="C37:C39"/>
    <mergeCell ref="D37:E39"/>
    <mergeCell ref="F37:G39"/>
    <mergeCell ref="H37:I39"/>
    <mergeCell ref="K37:L39"/>
    <mergeCell ref="N37:N39"/>
    <mergeCell ref="J37:J39"/>
    <mergeCell ref="C34:C36"/>
    <mergeCell ref="D34:E36"/>
    <mergeCell ref="F34:G36"/>
    <mergeCell ref="H34:I36"/>
    <mergeCell ref="P34:P36"/>
    <mergeCell ref="Q34:Q36"/>
    <mergeCell ref="M34:M36"/>
    <mergeCell ref="A31:A33"/>
    <mergeCell ref="B31:B33"/>
    <mergeCell ref="R31:R33"/>
    <mergeCell ref="M31:M33"/>
    <mergeCell ref="A28:A30"/>
    <mergeCell ref="Q31:Q33"/>
    <mergeCell ref="M28:M30"/>
    <mergeCell ref="B28:B30"/>
    <mergeCell ref="K28:L30"/>
    <mergeCell ref="Q28:Q30"/>
    <mergeCell ref="P28:P30"/>
    <mergeCell ref="J28:J30"/>
    <mergeCell ref="J31:J33"/>
    <mergeCell ref="C31:C33"/>
    <mergeCell ref="D31:E33"/>
    <mergeCell ref="F31:G33"/>
    <mergeCell ref="H31:I33"/>
    <mergeCell ref="H28:I30"/>
    <mergeCell ref="C28:C30"/>
    <mergeCell ref="D28:E30"/>
    <mergeCell ref="F28:G30"/>
    <mergeCell ref="K31:L33"/>
    <mergeCell ref="P31:P33"/>
    <mergeCell ref="R28:R30"/>
    <mergeCell ref="R19:R21"/>
    <mergeCell ref="M19:M21"/>
    <mergeCell ref="Q22:Q24"/>
    <mergeCell ref="R22:R24"/>
    <mergeCell ref="K22:L24"/>
    <mergeCell ref="K19:L21"/>
    <mergeCell ref="J16:J18"/>
    <mergeCell ref="J19:J21"/>
    <mergeCell ref="P22:P24"/>
    <mergeCell ref="P19:P21"/>
    <mergeCell ref="M22:M24"/>
    <mergeCell ref="J22:J24"/>
    <mergeCell ref="R34:R36"/>
    <mergeCell ref="P25:P27"/>
    <mergeCell ref="Q25:Q27"/>
    <mergeCell ref="Q8:R8"/>
    <mergeCell ref="K16:L18"/>
    <mergeCell ref="N10:N12"/>
    <mergeCell ref="O10:O12"/>
    <mergeCell ref="P10:P12"/>
    <mergeCell ref="Q10:Q12"/>
    <mergeCell ref="R10:R12"/>
    <mergeCell ref="M10:M12"/>
    <mergeCell ref="P16:P18"/>
    <mergeCell ref="Q16:Q18"/>
    <mergeCell ref="R16:R18"/>
    <mergeCell ref="P8:P9"/>
    <mergeCell ref="M8:M9"/>
    <mergeCell ref="N8:O9"/>
    <mergeCell ref="N13:N15"/>
    <mergeCell ref="O13:O15"/>
    <mergeCell ref="P13:P15"/>
    <mergeCell ref="Q13:Q15"/>
    <mergeCell ref="R13:R15"/>
    <mergeCell ref="M16:M18"/>
    <mergeCell ref="Q19:Q21"/>
    <mergeCell ref="C10:C12"/>
    <mergeCell ref="J8:J9"/>
    <mergeCell ref="K8:L9"/>
    <mergeCell ref="J10:J12"/>
    <mergeCell ref="H8:I9"/>
    <mergeCell ref="A8:A9"/>
    <mergeCell ref="B8:B9"/>
    <mergeCell ref="C8:C9"/>
    <mergeCell ref="D8:E9"/>
    <mergeCell ref="F8:G9"/>
    <mergeCell ref="A10:A12"/>
    <mergeCell ref="B10:B12"/>
    <mergeCell ref="D10:E12"/>
    <mergeCell ref="H10:I12"/>
    <mergeCell ref="K10:L12"/>
    <mergeCell ref="E6:N6"/>
    <mergeCell ref="A131:Q131"/>
    <mergeCell ref="A132:Q132"/>
    <mergeCell ref="B120:C121"/>
    <mergeCell ref="F120:F121"/>
    <mergeCell ref="B122:E122"/>
    <mergeCell ref="B123:C124"/>
    <mergeCell ref="F123:G124"/>
    <mergeCell ref="G120:G121"/>
    <mergeCell ref="C115:C117"/>
    <mergeCell ref="D115:E117"/>
    <mergeCell ref="F115:G117"/>
    <mergeCell ref="H115:I117"/>
    <mergeCell ref="J115:J117"/>
    <mergeCell ref="K115:L117"/>
    <mergeCell ref="A97:A99"/>
    <mergeCell ref="B97:B99"/>
    <mergeCell ref="A106:A108"/>
    <mergeCell ref="A58:A60"/>
    <mergeCell ref="B58:B60"/>
    <mergeCell ref="C58:C60"/>
    <mergeCell ref="F10:G12"/>
    <mergeCell ref="C97:C99"/>
    <mergeCell ref="C106:C108"/>
    <mergeCell ref="A52:A54"/>
    <mergeCell ref="F52:G54"/>
    <mergeCell ref="B61:B63"/>
    <mergeCell ref="C61:C63"/>
    <mergeCell ref="D61:E63"/>
    <mergeCell ref="O40:O42"/>
    <mergeCell ref="N40:N42"/>
    <mergeCell ref="P40:P42"/>
    <mergeCell ref="Q40:Q42"/>
    <mergeCell ref="Q43:Q45"/>
    <mergeCell ref="M43:M45"/>
    <mergeCell ref="O43:O45"/>
    <mergeCell ref="P43:P45"/>
    <mergeCell ref="K43:L45"/>
    <mergeCell ref="N43:N45"/>
    <mergeCell ref="O49:O51"/>
    <mergeCell ref="P49:P51"/>
    <mergeCell ref="Q49:Q51"/>
    <mergeCell ref="K55:L57"/>
    <mergeCell ref="A49:A51"/>
    <mergeCell ref="F49:G51"/>
    <mergeCell ref="H49:I51"/>
    <mergeCell ref="B49:B54"/>
    <mergeCell ref="C49:C54"/>
    <mergeCell ref="R40:R42"/>
    <mergeCell ref="A40:A42"/>
    <mergeCell ref="B40:B42"/>
    <mergeCell ref="C40:C42"/>
    <mergeCell ref="D40:E42"/>
    <mergeCell ref="F40:G42"/>
    <mergeCell ref="H40:I42"/>
    <mergeCell ref="J40:J42"/>
    <mergeCell ref="K40:L42"/>
    <mergeCell ref="M40:M42"/>
  </mergeCells>
  <phoneticPr fontId="36" type="noConversion"/>
  <conditionalFormatting sqref="O13">
    <cfRule type="expression" dxfId="109" priority="104" stopIfTrue="1">
      <formula>LEN(TRIM(O13))=0</formula>
    </cfRule>
  </conditionalFormatting>
  <conditionalFormatting sqref="O16">
    <cfRule type="expression" dxfId="108" priority="255" stopIfTrue="1">
      <formula>LEN(TRIM(O16))=0</formula>
    </cfRule>
  </conditionalFormatting>
  <conditionalFormatting sqref="O19">
    <cfRule type="expression" dxfId="107" priority="238" stopIfTrue="1">
      <formula>LEN(TRIM(O19))=0</formula>
    </cfRule>
  </conditionalFormatting>
  <conditionalFormatting sqref="O22:O77 O79:O92 O94:O95 O97:O98 O100:O101 O103:O104 O106:O116">
    <cfRule type="expression" dxfId="106" priority="74" stopIfTrue="1">
      <formula>LEN(TRIM(O22))=0</formula>
    </cfRule>
  </conditionalFormatting>
  <conditionalFormatting sqref="P10:P13">
    <cfRule type="cellIs" dxfId="105" priority="85" stopIfTrue="1" operator="equal">
      <formula>"Exception (Plausibility unclear)"</formula>
    </cfRule>
    <cfRule type="cellIs" dxfId="104" priority="288" stopIfTrue="1" operator="equal">
      <formula>"OK (Plausibility unclear)"</formula>
    </cfRule>
    <cfRule type="cellIs" dxfId="103" priority="290" stopIfTrue="1" operator="equal">
      <formula>"OK"</formula>
    </cfRule>
    <cfRule type="cellIs" dxfId="102" priority="289" stopIfTrue="1" operator="equal">
      <formula>"Target value not met"</formula>
    </cfRule>
    <cfRule type="expression" dxfId="101" priority="287" stopIfTrue="1">
      <formula>OR(P10=$D$123,P10=$D$124)</formula>
    </cfRule>
  </conditionalFormatting>
  <conditionalFormatting sqref="P16:P24 P28:P54">
    <cfRule type="cellIs" dxfId="100" priority="286" stopIfTrue="1" operator="equal">
      <formula>"OK"</formula>
    </cfRule>
    <cfRule type="cellIs" dxfId="99" priority="285" stopIfTrue="1" operator="equal">
      <formula>"Target value not met"</formula>
    </cfRule>
  </conditionalFormatting>
  <conditionalFormatting sqref="P16:P27">
    <cfRule type="expression" dxfId="98" priority="25" stopIfTrue="1">
      <formula>OR(P16=$D$123,P16=$D$124)</formula>
    </cfRule>
  </conditionalFormatting>
  <conditionalFormatting sqref="P19:P24 P28:P69 P73:P75 P79:P84">
    <cfRule type="cellIs" dxfId="97" priority="172" stopIfTrue="1" operator="equal">
      <formula>"Target value not met"</formula>
    </cfRule>
  </conditionalFormatting>
  <conditionalFormatting sqref="P19:P24 P28:P69 P73:P75 P79:P117">
    <cfRule type="cellIs" dxfId="96" priority="173" stopIfTrue="1" operator="equal">
      <formula>"OK"</formula>
    </cfRule>
  </conditionalFormatting>
  <conditionalFormatting sqref="P25:P27">
    <cfRule type="cellIs" dxfId="95" priority="27" stopIfTrue="1" operator="equal">
      <formula>"Target value not met"</formula>
    </cfRule>
    <cfRule type="cellIs" dxfId="94" priority="23" stopIfTrue="1" operator="equal">
      <formula>"Exception (Plausibility unclear)"</formula>
    </cfRule>
    <cfRule type="cellIs" dxfId="93" priority="24" stopIfTrue="1" operator="equal">
      <formula>"OK"</formula>
    </cfRule>
    <cfRule type="cellIs" dxfId="92" priority="26" stopIfTrue="1" operator="equal">
      <formula>"OK (Plausibility unclear)"</formula>
    </cfRule>
  </conditionalFormatting>
  <conditionalFormatting sqref="P28:P30">
    <cfRule type="cellIs" dxfId="91" priority="41" stopIfTrue="1" operator="equal">
      <formula>"optional - Exception (Plausibility unclear)"</formula>
    </cfRule>
    <cfRule type="cellIs" dxfId="90" priority="87" stopIfTrue="1" operator="equal">
      <formula>"optional - OK (Plausibility unclear)"</formula>
    </cfRule>
    <cfRule type="cellIs" dxfId="89" priority="88" stopIfTrue="1" operator="equal">
      <formula>"optional - Target value not met"</formula>
    </cfRule>
    <cfRule type="cellIs" dxfId="88" priority="89" stopIfTrue="1" operator="equal">
      <formula>"optional - OK"</formula>
    </cfRule>
    <cfRule type="cellIs" dxfId="87" priority="40" stopIfTrue="1" operator="equal">
      <formula>"optional - Incorrect"</formula>
    </cfRule>
  </conditionalFormatting>
  <conditionalFormatting sqref="P28:P69 P16:P24 P73:P75 P79:P84">
    <cfRule type="cellIs" dxfId="86" priority="171" stopIfTrue="1" operator="equal">
      <formula>"OK (Plausibility unclear)"</formula>
    </cfRule>
  </conditionalFormatting>
  <conditionalFormatting sqref="P28:P69">
    <cfRule type="expression" dxfId="85" priority="62" stopIfTrue="1">
      <formula>OR(P28=$D$123,P28=$D$124)</formula>
    </cfRule>
    <cfRule type="expression" dxfId="84" priority="170" stopIfTrue="1">
      <formula>OR(P28=$D$123,P28=$D$124)</formula>
    </cfRule>
  </conditionalFormatting>
  <conditionalFormatting sqref="P46:P48">
    <cfRule type="expression" dxfId="83" priority="36" stopIfTrue="1">
      <formula>OR(P46=$D$123,P46=$D$124)</formula>
    </cfRule>
    <cfRule type="cellIs" dxfId="82" priority="37" stopIfTrue="1" operator="equal">
      <formula>"optional - OK (Plausibility unclear)"</formula>
    </cfRule>
    <cfRule type="cellIs" dxfId="81" priority="38" stopIfTrue="1" operator="equal">
      <formula>"optional - Target value not met"</formula>
    </cfRule>
    <cfRule type="cellIs" dxfId="80" priority="39" stopIfTrue="1" operator="equal">
      <formula>"optional - OK"</formula>
    </cfRule>
    <cfRule type="cellIs" dxfId="79" priority="35" stopIfTrue="1" operator="equal">
      <formula>"optional - Exception (Plausibility unclear)"</formula>
    </cfRule>
    <cfRule type="cellIs" dxfId="78" priority="34" stopIfTrue="1" operator="equal">
      <formula>"optional - Incorrect"</formula>
    </cfRule>
  </conditionalFormatting>
  <conditionalFormatting sqref="P70:P72">
    <cfRule type="cellIs" dxfId="77" priority="6" stopIfTrue="1" operator="equal">
      <formula>"Exception (Plausibility unclear)"</formula>
    </cfRule>
    <cfRule type="cellIs" dxfId="76" priority="7" stopIfTrue="1" operator="equal">
      <formula>"OK"</formula>
    </cfRule>
    <cfRule type="cellIs" dxfId="75" priority="9" stopIfTrue="1" operator="equal">
      <formula>"OK (Plausibility unclear)"</formula>
    </cfRule>
    <cfRule type="cellIs" dxfId="74" priority="10" stopIfTrue="1" operator="equal">
      <formula>"Target value not met"</formula>
    </cfRule>
  </conditionalFormatting>
  <conditionalFormatting sqref="P70:P75">
    <cfRule type="expression" dxfId="73" priority="8" stopIfTrue="1">
      <formula>OR(P70=$D$123,P70=$D$124)</formula>
    </cfRule>
  </conditionalFormatting>
  <conditionalFormatting sqref="P76:P78">
    <cfRule type="cellIs" dxfId="72" priority="2" stopIfTrue="1" operator="equal">
      <formula>"OK"</formula>
    </cfRule>
    <cfRule type="cellIs" dxfId="71" priority="4" stopIfTrue="1" operator="equal">
      <formula>"OK (Plausibility unclear)"</formula>
    </cfRule>
    <cfRule type="cellIs" dxfId="70" priority="5" stopIfTrue="1" operator="equal">
      <formula>"Target value not met"</formula>
    </cfRule>
    <cfRule type="cellIs" dxfId="69" priority="1" stopIfTrue="1" operator="equal">
      <formula>"Exception (Plausibility unclear)"</formula>
    </cfRule>
  </conditionalFormatting>
  <conditionalFormatting sqref="P76:P90">
    <cfRule type="expression" dxfId="68" priority="3" stopIfTrue="1">
      <formula>OR(P76=$D$123,P76=$D$124)</formula>
    </cfRule>
  </conditionalFormatting>
  <conditionalFormatting sqref="P85:P117">
    <cfRule type="expression" dxfId="67" priority="1822" stopIfTrue="1">
      <formula>OR(P85=$D$123,P85=$D$124)</formula>
    </cfRule>
    <cfRule type="cellIs" dxfId="66" priority="1823" stopIfTrue="1" operator="equal">
      <formula>"OK (Plausibility unclear)"</formula>
    </cfRule>
    <cfRule type="cellIs" dxfId="65" priority="1824" stopIfTrue="1" operator="equal">
      <formula>"Target value not met"</formula>
    </cfRule>
  </conditionalFormatting>
  <conditionalFormatting sqref="P91:P105">
    <cfRule type="cellIs" dxfId="64" priority="123" stopIfTrue="1" operator="equal">
      <formula>"Exception (Plausibility unclear)"</formula>
    </cfRule>
  </conditionalFormatting>
  <conditionalFormatting sqref="P109:P111">
    <cfRule type="cellIs" dxfId="63" priority="98" operator="equal">
      <formula>"OK (Plausibility unclear)"</formula>
    </cfRule>
    <cfRule type="cellIs" dxfId="62" priority="97" operator="equal">
      <formula>"OK"</formula>
    </cfRule>
    <cfRule type="cellIs" dxfId="61" priority="96" operator="equal">
      <formula>"Target value not met"</formula>
    </cfRule>
  </conditionalFormatting>
  <conditionalFormatting sqref="Q10:Q84 Q91:Q105">
    <cfRule type="expression" dxfId="60" priority="110">
      <formula>OR($P10="Incomplete",$P10="Target value not met",$P10="OK (Plausibility unclear)",$P10=" Plausibel ",$P10=" optional - incomplete ",$P10="optional - Target value not met",$P10="optional - OK (Plausibility unclear)", $P10="optional - incorrect",$P10="incorrect",$P10="optional - Incomplete",$P10="Exception (Plausibility unclear)")</formula>
    </cfRule>
  </conditionalFormatting>
  <conditionalFormatting sqref="Q10:Q117">
    <cfRule type="notContainsBlanks" dxfId="59" priority="43">
      <formula>LEN(TRIM(Q10))&gt;0</formula>
    </cfRule>
  </conditionalFormatting>
  <conditionalFormatting sqref="Q13:Q15">
    <cfRule type="expression" dxfId="58" priority="106">
      <formula>OR($P13="Incomplete",$P13="Target value not met",$P13=" OK (Plausibility unclear)",$P13=" Plausibel ",$P13=" optional - incomplete ",$P13=" optional - Target value not met",$P13=" optional - OK (Plausibility unclear)", $P13="Exception (Plausibility unclear)",$P13="incorrect")</formula>
    </cfRule>
  </conditionalFormatting>
  <conditionalFormatting sqref="Q85:Q117">
    <cfRule type="expression" dxfId="57" priority="108">
      <formula>OR($P85="Incomplete",$P85="Target value not met",$P85=" OK (Plausibility unclear)",$P85=" Plausibel ",$P85=" optional - incomplete ",$P85=" optional - Target value not met",$P85=" optional - OK (Plausibility unclear)", $P85="optional - incorrect",$P85="incorrect")</formula>
    </cfRule>
  </conditionalFormatting>
  <conditionalFormatting sqref="Q94:Q105">
    <cfRule type="expression" dxfId="56" priority="44">
      <formula>OR($P94="Incomplete",$P94="Target value not met",$P94="OK (Plausibility unclear)",$P94=" Plausibel ",$P94=" optional - incomplete ",$P94="optional - Target value not met",$P94="optional - OK (Plausibility unclear)", $P94="optional - incorrect",$P94="incorrect",$P94="optional - Incomplete")</formula>
    </cfRule>
  </conditionalFormatting>
  <conditionalFormatting sqref="Q100:Q105">
    <cfRule type="expression" dxfId="55" priority="42">
      <formula>OR($P100="Incomplete",$P100="Target value not met",$P100="OK (Plausibility unclear)",$P100=" Plausibel ",$P100=" optional - incomplete ",$P100="optional - Target value not met",$P100="optional - OK (Plausibility unclear)", $P100="optional - incorrect",$P100="incorrect",$P100="optional - Incomplete")</formula>
    </cfRule>
  </conditionalFormatting>
  <conditionalFormatting sqref="Q109:Q111">
    <cfRule type="expression" dxfId="54" priority="107">
      <formula>OR($P109="optional - Incomplete",$P109="optional - Target value not met",$P109=" OK (Plausibility unclear)",$P109=" Plausibel ",$P109=" optional - incomplete ",$P109=" optional - Target value not met",$P109="optional - OK (Plausibility unclear)", $P109="optional - incorrect",$P109="incorrect")</formula>
    </cfRule>
  </conditionalFormatting>
  <conditionalFormatting sqref="Q112:Q114">
    <cfRule type="expression" dxfId="53" priority="1838">
      <formula>OR($P112="optional - Incomplete",$P112="optional - Target value not met",$P112=" OK (Plausibility unclear)",$P91=" Plausibel ",$P91=" optional - incomplete ",$P91=" optional - Target value not met",$P91=" optional - OK (Plausibility unclear)", $P112="optional - incorrect",$P112="incorrect")</formula>
    </cfRule>
  </conditionalFormatting>
  <conditionalFormatting sqref="Q115:Q117">
    <cfRule type="expression" dxfId="52" priority="1839">
      <formula>OR($P115="optional - Incomplete",$P115="optional - Target value not met",#REF!=" OK (Plausibility unclear)",#REF!=" Plausibel ",#REF!=" optional - incomplete ",#REF!=" optional - Target value not met",#REF!=" optional - OK (Plausibility unclear)", $P115="optional - incorrect",$P115="incorrect")</formula>
    </cfRule>
  </conditionalFormatting>
  <dataValidations xWindow="985" yWindow="727" count="38">
    <dataValidation type="whole" showInputMessage="1" showErrorMessage="1" errorTitle="Input data error" error="1. Sheet „Basic data“ has to be filled out completely._x000a_2. Numerator has to be a positive whole number._x000a_3. Numerator cannot be greater than denominator.  " sqref="O31" xr:uid="{00000000-0002-0000-0900-000000000000}">
      <formula1>0</formula1>
      <formula2>IF(O32="",0,O32)</formula2>
    </dataValidation>
    <dataValidation type="textLength" allowBlank="1" showInputMessage="1" showErrorMessage="1" errorTitle="Zeichenlänge" error="Minimal 30 Zeichen und max. 200 Zeichen." sqref="Q118:R125" xr:uid="{00000000-0002-0000-0900-000001000000}">
      <formula1>30</formula1>
      <formula2>200</formula2>
    </dataValidation>
    <dataValidation errorStyle="information" allowBlank="1" showInputMessage="1" showErrorMessage="1" errorTitle="Kennzahl" promptTitle="Kennzahl" sqref="A8:B9" xr:uid="{00000000-0002-0000-0900-000002000000}"/>
    <dataValidation showInputMessage="1" showErrorMessage="1" errorTitle="Eingabefehler" error="1. Tabellenblatt Basisdaten muss vollständig bearbeitet sein!_x000a_2. Zähler muss eine positive ganze Zahl sein_x000a_3. Zähler kann nicht größer als Nenner sein_x000a_" sqref="O49:O51 O10:O12" xr:uid="{00000000-0002-0000-0900-000003000000}"/>
    <dataValidation type="whole" showInputMessage="1" showErrorMessage="1" errorTitle="Input data error" error="1. Sheet „Basic data“ has to be filled out completely._x000a_2. Numerator has to be a positive whole number._x000a_3. Numerator cannot be greater than denominator." sqref="O70 O16 O67 O58 O61 O64 O22" xr:uid="{00000000-0002-0000-0900-000004000000}">
      <formula1>0</formula1>
      <formula2>IF(O17="",0,O17)</formula2>
    </dataValidation>
    <dataValidation type="whole" showInputMessage="1" showErrorMessage="1" errorTitle="Input data error" error="1. Numerator has to be a positive whole number._x000a_2. Numerator cannot be greater than denominator._x000a_" sqref="O19" xr:uid="{00000000-0002-0000-0900-000005000000}">
      <formula1>0</formula1>
      <formula2>IF(O20="",5000,O20)</formula2>
    </dataValidation>
    <dataValidation operator="equal" showInputMessage="1" showErrorMessage="1" errorTitle="Input data error" error="1. Denominator has to be a positive whole number_x000a_2. Denominator cannot be smaller than numerator" sqref="O20" xr:uid="{00000000-0002-0000-0900-000006000000}"/>
    <dataValidation type="whole" showInputMessage="1" showErrorMessage="1" errorTitle="Input data error" error="1. Sheet „Basic data“ has to be filled out completely._x000a_2. Numerator has to be a positive whole number._x000a_3. Numerator cannot be greater than denominator._x000a_4. Numerator cannot be greater than number of surgical primary cases." sqref="O85" xr:uid="{00000000-0002-0000-0900-000007000000}">
      <formula1>0</formula1>
      <formula2>IF(O86="",$O$10,O86)</formula2>
    </dataValidation>
    <dataValidation type="custom" operator="equal" showInputMessage="1" showErrorMessage="1" errorTitle="Input data error" error="1. Sheet Basic data has to be filled out completely._x000a_2. Denominator has to be a positive whole number._x000a_3. Denominator cannot be smaller than numerator._x000a_4. Denominator cannot be greater than number primary cases." sqref="O86" xr:uid="{00000000-0002-0000-0900-000008000000}">
      <formula1>IF(ISNUMBER(O86),IF(O86&gt;0,IF(AND(O86&gt;=O85,O86&lt;=$O$10),O86,FALSE),FALSE),FALSE)</formula1>
    </dataValidation>
    <dataValidation type="whole" showInputMessage="1" showErrorMessage="1" errorTitle="Input data error" error="1. Sheet „Basic data“ has to be filled out completely._x000a_2. Numerator has to be a positive whole number._x000a_3. Numerator cannot be greater than denominator._x000a_4. Numerator cannot be greater than number of surgical primary cases." sqref="O82" xr:uid="{00000000-0002-0000-0900-000009000000}">
      <formula1>0</formula1>
      <formula2>IF(O83="",$O$49,O83)</formula2>
    </dataValidation>
    <dataValidation type="custom" operator="equal" showInputMessage="1" showErrorMessage="1" errorTitle="Input data error" error="1. Sheet Basic data has to be filled out completely._x000a_2. Denominator has to be a positive whole number._x000a_3. Denominator cannot be smaller than numerator._x000a_4. Denominator cannot be greater than number of surgical primary cases." sqref="O83" xr:uid="{00000000-0002-0000-0900-00000A000000}">
      <formula1>IF(ISNUMBER(O83),IF(O83&gt;0,IF(AND(O83&gt;=O82,O83&lt;=$O$49),O83,FALSE),FALSE),FALSE)</formula1>
    </dataValidation>
    <dataValidation type="whole" showInputMessage="1" showErrorMessage="1" errorTitle="Input data error" error="1. Sheet „Basic data“ has to be filled out completely._x000a_2. Numerator has to be a positive whole number." sqref="O34" xr:uid="{00000000-0002-0000-0900-00000B000000}">
      <formula1>0</formula1>
      <formula2>IF(O35="",0,10000)</formula2>
    </dataValidation>
    <dataValidation showInputMessage="1" showErrorMessage="1" errorTitle="Eingabefehler" error="1. Ganze Zahl bitte eingeben zwischen 0 und 5000._x000a_" sqref="O52:O54" xr:uid="{00000000-0002-0000-0900-00000C000000}"/>
    <dataValidation type="whole" showErrorMessage="1" errorTitle="Input data error" error="1. Denominator has to be a positive whole number._x000a_2. Denominator cannot be smaller than numerator._x000a_3. Denominator cannot be greater than number of stage IIB - IIIC primary cases." sqref="O98" xr:uid="{00000000-0002-0000-0900-00000D000000}">
      <formula1>O97</formula1>
      <formula2>S98</formula2>
    </dataValidation>
    <dataValidation type="whole" allowBlank="1" showInputMessage="1" showErrorMessage="1" errorTitle="Input data error" error="1. Numerator has to be a positive whole number._x000a_2. Numerator cannot be greater than denominator." sqref="O115 O109 O97 O106 O91 O94 O112" xr:uid="{00000000-0002-0000-0900-00000E000000}">
      <formula1>0</formula1>
      <formula2>IF(O92="",5000,O92)</formula2>
    </dataValidation>
    <dataValidation type="custom" showErrorMessage="1" errorTitle="Input data error" error="1. Denominator has to be a positive whole number._x000a_2. Denominator cannot be smaller than numerator._x000a_3. Denominator cannot be greater than number of stage IV primary cases." sqref="O116" xr:uid="{00000000-0002-0000-0900-00000F000000}">
      <formula1>IF(ISNUMBER(O116),IF(O116&gt;0,IF(AND(O116&gt;=O115,O116&lt;=S116),O116,FALSE),FALSE),FALSE)</formula1>
    </dataValidation>
    <dataValidation type="custom" showInputMessage="1" showErrorMessage="1" errorTitle="Input data error" error="1. Sheet Basic data has to be filled out completely._x000a_2. Denominator has to be a positive whole number._x000a_3. Denominator cannot be smaller than numerator._x000a_4. Denominator cannot be greater than number of surgical primary cases." sqref="O56" xr:uid="{00000000-0002-0000-0900-000010000000}">
      <formula1>IF(ISNUMBER(O56),IF(O56&gt;0,IF(AND(O56&gt;=O55,O56&lt;=$O$49),O56,FALSE),FALSE),FALSE)</formula1>
    </dataValidation>
    <dataValidation type="whole" showErrorMessage="1" errorTitle="Input data error" error="1. Denominator has to be a positive whole number._x000a_2. Denominator cannot be smaller than numerator._x000a_3. Denominator cannot be greater than number of stage IV primary cases." sqref="O92" xr:uid="{00000000-0002-0000-0900-000011000000}">
      <formula1>O91</formula1>
      <formula2>S92</formula2>
    </dataValidation>
    <dataValidation type="whole" showErrorMessage="1" errorTitle="Input data error" error="1. Sheet „Basic data“ has to be filled out completely._x000a_2. Numerator has to be a positive whole number._x000a_3. Numerator cannot be greater than denominator._x000a_4. Numerator cannot be greater than number of surgical primary cases." sqref="O55" xr:uid="{00000000-0002-0000-0900-000012000000}">
      <formula1>0</formula1>
      <formula2>IF(O56="",O10,O56)</formula2>
    </dataValidation>
    <dataValidation type="whole" showInputMessage="1" showErrorMessage="1" errorTitle="Input data error" error="1. Sheet „Basic data“ has to be filled out completely._x000a_2. Numerator has to be a positive whole number._x000a_3. Numerator cannot be greater than denominator. " sqref="O28" xr:uid="{00000000-0002-0000-0900-000013000000}">
      <formula1>0</formula1>
      <formula2>IF(O29="",0,O29)</formula2>
    </dataValidation>
    <dataValidation type="textLength" allowBlank="1" showInputMessage="1" showErrorMessage="1" errorTitle="Characters" error="Minimum 30 characters and maximum 500 characters." sqref="R16:R36 Q82:R117 Q46:R48 Q49:Q54 R10:R13 Q10:Q36 Q55:R72" xr:uid="{00000000-0002-0000-0900-000014000000}">
      <formula1>30</formula1>
      <formula2>500</formula2>
    </dataValidation>
    <dataValidation type="whole" showInputMessage="1" showErrorMessage="1" errorTitle="Input data error" error="Whole number between 0 and 5000." sqref="O13:O15" xr:uid="{00000000-0002-0000-0900-000015000000}">
      <formula1>0</formula1>
      <formula2>5000</formula2>
    </dataValidation>
    <dataValidation showErrorMessage="1" errorTitle="Input data error" error="1. Denominator has to be a positive whole number._x000a_2. Denominator cannot be smaller than numerator._x000a_3. Denominator cannot be greater than number of stage III - IV primary cases." sqref="O110" xr:uid="{00000000-0002-0000-0900-000016000000}"/>
    <dataValidation type="custom" showErrorMessage="1" errorTitle="Input data error" error="1. Denominator has to be a positive whole number._x000a_2. Denominator cannot be smaller than numerator._x000a_3. Denominator cannot be greater than number of stage III - IV primary cases." sqref="O107" xr:uid="{00000000-0002-0000-0900-000017000000}">
      <formula1>IF(ISNUMBER(O107),IF(O107&gt;0,IF(AND(O107&gt;=O106,O107&lt;=S107),O107,FALSE),FALSE),FALSE)</formula1>
    </dataValidation>
    <dataValidation type="custom" showErrorMessage="1" errorTitle="Input data error" error="1. Denominator has to be a positive whole number._x000a_2. Denominator cannot be smaller than numerator._x000a_3. Denominator cannot be greater than number of stage III primary cases." sqref="O113" xr:uid="{00000000-0002-0000-0900-000018000000}">
      <formula1>IF(ISNUMBER(O113),IF(O113&gt;0,IF(AND(O113&gt;=O112,O113&lt;=S113),O113,FALSE),FALSE),FALSE)</formula1>
    </dataValidation>
    <dataValidation allowBlank="1" showInputMessage="1" showErrorMessage="1" errorTitle="Characters" error="Minimum 30 characters and maximum 500 characters." sqref="Q73:Q81 Q37:R45 R49:R54" xr:uid="{00000000-0002-0000-0900-000019000000}"/>
    <dataValidation type="whole" allowBlank="1" showInputMessage="1" showErrorMessage="1" errorTitle="Input data error" error="1. Sheet Basic data has to be filled out completely._x000a_2. Denominator has to be a positive whole number._x000a_3. Denominator cannot be smaller than numerator._x000a_4. Denominator cannot be greater than primary cases stage I-III." sqref="O26" xr:uid="{00000000-0002-0000-0900-00001A000000}">
      <formula1>O25</formula1>
      <formula2>S26</formula2>
    </dataValidation>
    <dataValidation type="whole" allowBlank="1" showInputMessage="1" showErrorMessage="1" errorTitle="Input data error" error="1. Sheet „Basic data“ has to be filled out completely._x000a_2. Numerator has to be a positive whole number._x000a_3. Numerator cannot be greater than denominator.  " sqref="O46" xr:uid="{00000000-0002-0000-0900-00001B000000}">
      <formula1>0</formula1>
      <formula2>IF(O47="",0,O47)</formula2>
    </dataValidation>
    <dataValidation type="whole" allowBlank="1" showInputMessage="1" showErrorMessage="1" errorTitle="Input data error" error="1. Sheet Basic data has to be filled out completely._x000a_2. Denominator has to be a positive whole number._x000a_3. Denominator cannot be smaller than numerator." sqref="O47" xr:uid="{00000000-0002-0000-0900-00001C000000}">
      <formula1>O46</formula1>
      <formula2>5000</formula2>
    </dataValidation>
    <dataValidation type="whole" showInputMessage="1" showErrorMessage="1" errorTitle="Input data error" error="1. Sheet „Basic data“ has to be filled out completely._x000a_2. Numerator has to be a positive whole number._x000a_3. Numerator cannot be greater than denominator." sqref="O76" xr:uid="{00000000-0002-0000-0900-00001D000000}">
      <formula1>0</formula1>
      <formula2>IF(O77="",5000,O77)</formula2>
    </dataValidation>
    <dataValidation type="whole" allowBlank="1" showInputMessage="1" showErrorMessage="1" errorTitle="Input data error" error="1. Sheet Basic data has to be filled out completely._x000a_2. Denominator has to be a positive whole number._x000a_3. Denominator cannot be smaller than numerator._x000a_4. Denominator cannot be greater than primary cases stage IA-IIA." sqref="O77" xr:uid="{00000000-0002-0000-0900-00001E000000}">
      <formula1>O76</formula1>
      <formula2>S77</formula2>
    </dataValidation>
    <dataValidation type="whole" allowBlank="1" showInputMessage="1" showErrorMessage="1" errorTitle="Input data error" error="1. Sheet „Basic data“ has to be filled out completely._x000a_2. Numerator has to be a positive whole number._x000a_3. Numerator cannot be greater than denominator._x000a_4. Numerator cannot be greater than number of primary cases." sqref="O88" xr:uid="{00000000-0002-0000-0900-00001F000000}">
      <formula1>0</formula1>
      <formula2>IF(O89="",$O$10,O89)</formula2>
    </dataValidation>
    <dataValidation type="custom" showInputMessage="1" showErrorMessage="1" errorTitle="Input data error" error="1. Sheet Basic data has to be filled out completely._x000a_2. Denominator has to be a positive whole number._x000a_3. Denominator cannot be smaller than numerator._x000a_4. Denominator cannot be greater than number primary cases." sqref="O89" xr:uid="{00000000-0002-0000-0900-000020000000}">
      <formula1>IF(ISNUMBER(O89),IF(O89&gt;0,IF(AND(O89&gt;=O88,O89&lt;=$O$10),O89,FALSE),FALSE),FALSE)</formula1>
    </dataValidation>
    <dataValidation type="whole" showInputMessage="1" showErrorMessage="1" errorTitle="Input data error" error="1. Denominator has to be a positive whole number._x000a_2. Denominator cannot be smaller than numerator._x000a_3. Denominator cannot be greater than number of stage IB-IIIA primary cases." sqref="O95" xr:uid="{00000000-0002-0000-0900-000021000000}">
      <formula1>O94</formula1>
      <formula2>S95</formula2>
    </dataValidation>
    <dataValidation type="whole" showInputMessage="1" showErrorMessage="1" errorTitle="Input data error" error="1. Numerator has to be a positive whole number._x000a_2. Numerator cannot be greater than denominator." sqref="O100 O103" xr:uid="{00000000-0002-0000-0900-000022000000}">
      <formula1>0</formula1>
      <formula2>IF(O101="",5000,O101)</formula2>
    </dataValidation>
    <dataValidation type="whole" allowBlank="1" showInputMessage="1" showErrorMessage="1" errorTitle="Input data error" error="1. Denominator has to be a positive whole number._x000a_2. Denominator cannot be smaller than numerator._x000a_3. Denominator cannot be greater than number of stage IV primary cases." sqref="O101" xr:uid="{00000000-0002-0000-0900-000023000000}">
      <formula1>O100</formula1>
      <formula2>S101</formula2>
    </dataValidation>
    <dataValidation type="whole" showInputMessage="1" showErrorMessage="1" errorTitle="Input data error" error="1. Denominator has to be a positive whole number._x000a_2. Denominator cannot be smaller than numerator._x000a_3. Denominator cannot be greater than number of stage IV primary cases." sqref="O104" xr:uid="{00000000-0002-0000-0900-000024000000}">
      <formula1>O103</formula1>
      <formula2>S104</formula2>
    </dataValidation>
    <dataValidation type="whole" allowBlank="1" showInputMessage="1" showErrorMessage="1" errorTitle="Input data error" error="1. Sheet „Basic data“ has to be filled out completely._x000a_2. Numerator has to be a positive whole number._x000a_3. Numerator cannot be greater than denominator." sqref="O25" xr:uid="{00000000-0002-0000-0900-000025000000}">
      <formula1>0</formula1>
      <formula2>IF(O26="",0,O26)</formula2>
    </dataValidation>
  </dataValidations>
  <pageMargins left="0.39370078740157483" right="0.19685039370078741" top="0.59055118110236227" bottom="0.39370078740157483" header="0.11811023622047245" footer="0.11811023622047245"/>
  <pageSetup paperSize="9" scale="83" orientation="landscape" r:id="rId1"/>
  <headerFooter>
    <oddFooter>&amp;L&amp;"Arial,Regular"&amp;7&amp;F&amp;C&amp;"Arial,Regular"&amp;7© DKG  All rights reserved&amp;R&amp;"Arial,Regular"&amp;7&amp;P</oddFooter>
  </headerFooter>
  <rowBreaks count="6" manualBreakCount="6">
    <brk id="27" max="15" man="1"/>
    <brk id="45" max="15" man="1"/>
    <brk id="63" max="15" man="1"/>
    <brk id="81" max="15" man="1"/>
    <brk id="96" max="15" man="1"/>
    <brk id="111" max="15" man="1"/>
  </rowBreaks>
  <drawing r:id="rId2"/>
  <legacyDrawing r:id="rId3"/>
  <legacyDrawingHF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3:O134"/>
  <sheetViews>
    <sheetView topLeftCell="A75" zoomScaleNormal="100" workbookViewId="0">
      <selection activeCell="J112" sqref="J112"/>
    </sheetView>
  </sheetViews>
  <sheetFormatPr defaultColWidth="11.42578125" defaultRowHeight="11.25" x14ac:dyDescent="0.2"/>
  <cols>
    <col min="1" max="1" width="9.140625" style="7" customWidth="1"/>
    <col min="2" max="2" width="14.85546875" style="7" customWidth="1"/>
    <col min="3" max="3" width="9.140625" style="7" customWidth="1"/>
    <col min="4" max="4" width="13.7109375" style="7" customWidth="1"/>
    <col min="5" max="5" width="18.42578125" style="7" customWidth="1"/>
    <col min="6" max="6" width="16.85546875" style="7" customWidth="1"/>
    <col min="7" max="7" width="18.140625" style="7" customWidth="1"/>
    <col min="8" max="9" width="20.28515625" style="7" customWidth="1"/>
    <col min="10" max="10" width="14.5703125" style="7" customWidth="1"/>
    <col min="11" max="11" width="15.42578125" style="7" customWidth="1"/>
    <col min="12" max="12" width="16.28515625" style="7" customWidth="1"/>
    <col min="13" max="256" width="9.140625" style="7" customWidth="1"/>
    <col min="257" max="16384" width="11.42578125" style="7"/>
  </cols>
  <sheetData>
    <row r="3" spans="2:15" x14ac:dyDescent="0.2">
      <c r="C3" s="82" t="s">
        <v>161</v>
      </c>
      <c r="M3" s="83"/>
      <c r="N3" s="83"/>
      <c r="O3" s="83"/>
    </row>
    <row r="4" spans="2:15" x14ac:dyDescent="0.2">
      <c r="D4" s="32" t="s">
        <v>155</v>
      </c>
      <c r="I4" s="32"/>
      <c r="M4" s="83"/>
      <c r="N4" s="83"/>
      <c r="O4" s="83"/>
    </row>
    <row r="5" spans="2:15" ht="22.5" x14ac:dyDescent="0.2">
      <c r="C5" s="32" t="s">
        <v>756</v>
      </c>
      <c r="D5" s="32" t="s">
        <v>757</v>
      </c>
      <c r="E5" s="32" t="s">
        <v>758</v>
      </c>
      <c r="F5" s="32" t="s">
        <v>759</v>
      </c>
      <c r="G5" s="32" t="s">
        <v>760</v>
      </c>
      <c r="H5" s="356" t="s">
        <v>762</v>
      </c>
      <c r="I5" s="32" t="s">
        <v>761</v>
      </c>
      <c r="K5" s="356" t="s">
        <v>520</v>
      </c>
      <c r="M5" s="83"/>
      <c r="N5" s="83"/>
      <c r="O5" s="83"/>
    </row>
    <row r="6" spans="2:15" x14ac:dyDescent="0.2">
      <c r="C6" s="32">
        <f>COUNTIF('Indicator sheet_(IS)'!$P$10:$P$115,C5)</f>
        <v>0</v>
      </c>
      <c r="D6" s="32">
        <f>COUNTIF('Indicator sheet_(IS)'!$P$10:$P$115,D5)</f>
        <v>0</v>
      </c>
      <c r="E6" s="32">
        <f>COUNTIF('Indicator sheet_(IS)'!$P$10:$P$115,E5)</f>
        <v>0</v>
      </c>
      <c r="F6" s="32">
        <f>COUNTIF('Indicator sheet_(IS)'!$P$10:$P$115,F5)</f>
        <v>36</v>
      </c>
      <c r="G6" s="32">
        <f>COUNTIF('Indicator sheet_(IS)'!$P$10:$P$115,G5)</f>
        <v>0</v>
      </c>
      <c r="H6" s="32">
        <f>COUNTIF('Indicator sheet_(IS)'!$P$10:$P$115,H5)</f>
        <v>0</v>
      </c>
      <c r="I6" s="32">
        <f t="shared" ref="I6:I11" si="0">SUM(C6:H6)</f>
        <v>36</v>
      </c>
      <c r="K6" s="85">
        <f>D6+H6</f>
        <v>0</v>
      </c>
      <c r="M6" s="83"/>
      <c r="N6" s="83"/>
      <c r="O6" s="83"/>
    </row>
    <row r="7" spans="2:15" x14ac:dyDescent="0.2">
      <c r="C7" s="32"/>
      <c r="D7" s="32">
        <f>C6+D6+H6</f>
        <v>0</v>
      </c>
      <c r="E7" s="32">
        <f>E6</f>
        <v>0</v>
      </c>
      <c r="F7" s="32"/>
      <c r="G7" s="32">
        <f>F6+G6</f>
        <v>36</v>
      </c>
      <c r="I7" s="32">
        <f t="shared" si="0"/>
        <v>36</v>
      </c>
      <c r="K7" s="85"/>
      <c r="M7" s="83"/>
      <c r="N7" s="83"/>
      <c r="O7" s="83"/>
    </row>
    <row r="8" spans="2:15" x14ac:dyDescent="0.2">
      <c r="B8" s="7" t="s">
        <v>369</v>
      </c>
      <c r="C8" s="32"/>
      <c r="D8" s="32"/>
      <c r="E8" s="32">
        <f>D7+E7</f>
        <v>0</v>
      </c>
      <c r="F8" s="32"/>
      <c r="G8" s="32">
        <f>G7</f>
        <v>36</v>
      </c>
      <c r="I8" s="32">
        <f t="shared" si="0"/>
        <v>36</v>
      </c>
      <c r="K8" s="85"/>
      <c r="M8" s="83"/>
      <c r="N8" s="83"/>
      <c r="O8" s="83"/>
    </row>
    <row r="9" spans="2:15" x14ac:dyDescent="0.2">
      <c r="B9" s="315">
        <v>36</v>
      </c>
      <c r="C9" s="442">
        <f t="shared" ref="C9:H9" si="1">ROUND(C6/$B$9,4)</f>
        <v>0</v>
      </c>
      <c r="D9" s="442">
        <f>ROUND(D6/$B$9,4)</f>
        <v>0</v>
      </c>
      <c r="E9" s="442">
        <f>ROUND(E6/$B$9,4)</f>
        <v>0</v>
      </c>
      <c r="F9" s="442">
        <f t="shared" si="1"/>
        <v>1</v>
      </c>
      <c r="G9" s="442">
        <f t="shared" si="1"/>
        <v>0</v>
      </c>
      <c r="H9" s="442">
        <f t="shared" si="1"/>
        <v>0</v>
      </c>
      <c r="I9" s="442">
        <f t="shared" si="0"/>
        <v>1</v>
      </c>
      <c r="K9" s="382">
        <f>D9+H9</f>
        <v>0</v>
      </c>
      <c r="M9" s="83"/>
      <c r="N9" s="83"/>
      <c r="O9" s="83"/>
    </row>
    <row r="10" spans="2:15" x14ac:dyDescent="0.2">
      <c r="C10" s="442"/>
      <c r="D10" s="442">
        <f>ROUND((C6+D6+H6)/$B$9,4)</f>
        <v>0</v>
      </c>
      <c r="E10" s="442">
        <f>ROUND(E6/$B$9,4)</f>
        <v>0</v>
      </c>
      <c r="F10" s="442"/>
      <c r="G10" s="442">
        <f>ROUND((F6+G6)/$B$9,4)</f>
        <v>1</v>
      </c>
      <c r="I10" s="442">
        <f t="shared" si="0"/>
        <v>1</v>
      </c>
      <c r="M10" s="83"/>
      <c r="N10" s="83"/>
      <c r="O10" s="83"/>
    </row>
    <row r="11" spans="2:15" x14ac:dyDescent="0.2">
      <c r="C11" s="305"/>
      <c r="D11" s="305"/>
      <c r="E11" s="442">
        <f>ROUND((C6+D6+E6+H6)/$B$9,4)</f>
        <v>0</v>
      </c>
      <c r="F11" s="305"/>
      <c r="G11" s="442">
        <f>G10</f>
        <v>1</v>
      </c>
      <c r="I11" s="442">
        <f t="shared" si="0"/>
        <v>1</v>
      </c>
      <c r="M11" s="83"/>
      <c r="N11" s="83"/>
      <c r="O11" s="83"/>
    </row>
    <row r="12" spans="2:15" x14ac:dyDescent="0.2">
      <c r="E12" s="443"/>
      <c r="G12" s="443"/>
      <c r="H12" s="443"/>
      <c r="I12" s="443"/>
      <c r="M12" s="83"/>
      <c r="N12" s="83"/>
      <c r="O12" s="83"/>
    </row>
    <row r="13" spans="2:15" x14ac:dyDescent="0.2">
      <c r="M13" s="83"/>
      <c r="N13" s="83"/>
      <c r="O13" s="83"/>
    </row>
    <row r="14" spans="2:15" x14ac:dyDescent="0.2">
      <c r="M14" s="83"/>
      <c r="N14" s="83"/>
      <c r="O14" s="83"/>
    </row>
    <row r="15" spans="2:15" x14ac:dyDescent="0.2">
      <c r="M15" s="83"/>
      <c r="N15" s="83"/>
      <c r="O15" s="83"/>
    </row>
    <row r="16" spans="2:15" x14ac:dyDescent="0.2">
      <c r="C16" s="82" t="s">
        <v>162</v>
      </c>
      <c r="M16" s="83"/>
      <c r="N16" s="83"/>
      <c r="O16" s="83"/>
    </row>
    <row r="17" spans="1:15" ht="33.75" x14ac:dyDescent="0.2">
      <c r="B17" s="383"/>
      <c r="C17" s="33" t="s">
        <v>844</v>
      </c>
      <c r="D17" s="33" t="s">
        <v>845</v>
      </c>
      <c r="E17" s="33" t="s">
        <v>846</v>
      </c>
      <c r="F17" s="33" t="s">
        <v>847</v>
      </c>
      <c r="G17" s="33" t="s">
        <v>848</v>
      </c>
      <c r="H17" s="356" t="s">
        <v>927</v>
      </c>
      <c r="M17" s="83"/>
      <c r="N17" s="83"/>
      <c r="O17" s="83"/>
    </row>
    <row r="18" spans="1:15" x14ac:dyDescent="0.2">
      <c r="B18" s="383"/>
      <c r="C18" s="33"/>
      <c r="D18" s="33"/>
      <c r="E18" s="33"/>
      <c r="F18" s="33"/>
      <c r="G18" s="33"/>
      <c r="M18" s="83"/>
      <c r="N18" s="83"/>
      <c r="O18" s="83"/>
    </row>
    <row r="19" spans="1:15" x14ac:dyDescent="0.2">
      <c r="C19" s="33"/>
      <c r="D19" s="33"/>
      <c r="E19" s="33"/>
      <c r="F19" s="33"/>
      <c r="G19" s="33"/>
      <c r="M19" s="83"/>
      <c r="N19" s="83"/>
      <c r="O19" s="83"/>
    </row>
    <row r="20" spans="1:15" x14ac:dyDescent="0.2">
      <c r="C20" s="33"/>
      <c r="D20" s="33"/>
      <c r="E20" s="33"/>
      <c r="F20" s="33"/>
      <c r="G20" s="33"/>
      <c r="M20" s="83"/>
      <c r="N20" s="83"/>
      <c r="O20" s="83"/>
    </row>
    <row r="21" spans="1:15" x14ac:dyDescent="0.2">
      <c r="B21" s="33"/>
      <c r="C21" s="33"/>
      <c r="D21" s="33"/>
      <c r="E21" s="33"/>
      <c r="F21" s="33"/>
      <c r="M21" s="83"/>
      <c r="N21" s="83"/>
      <c r="O21" s="83"/>
    </row>
    <row r="22" spans="1:15" x14ac:dyDescent="0.2">
      <c r="B22" s="33"/>
      <c r="C22" s="84" t="s">
        <v>153</v>
      </c>
      <c r="D22" s="71"/>
      <c r="E22" s="33"/>
      <c r="F22" s="33"/>
      <c r="M22" s="83"/>
      <c r="N22" s="83"/>
      <c r="O22" s="83"/>
    </row>
    <row r="23" spans="1:15" x14ac:dyDescent="0.2">
      <c r="M23" s="83"/>
      <c r="N23" s="83"/>
      <c r="O23" s="83"/>
    </row>
    <row r="24" spans="1:15" x14ac:dyDescent="0.2">
      <c r="C24" s="77" t="s">
        <v>15</v>
      </c>
      <c r="D24" s="77" t="s">
        <v>166</v>
      </c>
      <c r="E24" s="77" t="s">
        <v>174</v>
      </c>
      <c r="F24" s="77" t="s">
        <v>173</v>
      </c>
      <c r="G24" s="77" t="s">
        <v>171</v>
      </c>
      <c r="H24" s="77" t="s">
        <v>172</v>
      </c>
      <c r="I24" s="77"/>
      <c r="J24" s="77" t="s">
        <v>175</v>
      </c>
      <c r="K24" s="77" t="s">
        <v>176</v>
      </c>
      <c r="L24" s="77" t="s">
        <v>170</v>
      </c>
      <c r="M24" s="77" t="s">
        <v>106</v>
      </c>
      <c r="N24" s="77" t="s">
        <v>105</v>
      </c>
      <c r="O24" s="77" t="s">
        <v>104</v>
      </c>
    </row>
    <row r="25" spans="1:15" x14ac:dyDescent="0.2">
      <c r="A25" s="85"/>
      <c r="C25" s="78"/>
      <c r="D25" s="78"/>
      <c r="E25" s="78"/>
      <c r="F25" s="78"/>
      <c r="G25" s="78"/>
      <c r="H25" s="78"/>
      <c r="I25" s="78"/>
      <c r="J25" s="78"/>
      <c r="K25" s="78"/>
      <c r="L25" s="78"/>
      <c r="M25" s="78"/>
      <c r="N25" s="78"/>
      <c r="O25" s="79"/>
    </row>
    <row r="26" spans="1:15" x14ac:dyDescent="0.2">
      <c r="A26" s="85"/>
      <c r="C26" s="78"/>
      <c r="D26" s="78"/>
      <c r="E26" s="78"/>
      <c r="F26" s="78"/>
      <c r="G26" s="78"/>
      <c r="H26" s="78"/>
      <c r="I26" s="78"/>
      <c r="J26" s="78"/>
      <c r="K26" s="78"/>
      <c r="L26" s="78"/>
      <c r="M26" s="78"/>
      <c r="N26" s="78"/>
      <c r="O26" s="79"/>
    </row>
    <row r="27" spans="1:15" x14ac:dyDescent="0.2">
      <c r="A27" s="85"/>
      <c r="C27" s="56" t="s">
        <v>815</v>
      </c>
      <c r="D27" s="57" t="s">
        <v>167</v>
      </c>
      <c r="E27" s="444">
        <v>0</v>
      </c>
      <c r="F27" s="444">
        <v>1000000000000</v>
      </c>
      <c r="G27" s="445">
        <v>200</v>
      </c>
      <c r="H27" s="444">
        <v>1000000000000000</v>
      </c>
      <c r="I27" s="444"/>
      <c r="J27" s="444">
        <v>-10000</v>
      </c>
      <c r="K27" s="444">
        <v>1000000000000</v>
      </c>
      <c r="L27" s="446">
        <f>'Indicator sheet_(IS)'!O10</f>
        <v>0</v>
      </c>
      <c r="M27" s="446">
        <f>IF('Indicator sheet_(IS)'!P10=Berechnung1!$G$5,1,IF('Indicator sheet_(IS)'!P10=Berechnung1!$F$5,1,IF('Indicator sheet_(IS)'!P10=Berechnung1!$E$5,2,IF('Indicator sheet_(IS)'!P10=Berechnung1!$D$5,3,IF('Indicator sheet_(IS)'!P10=Berechnung1!$C$5,4,"")))))</f>
        <v>1</v>
      </c>
      <c r="N27" s="446">
        <f>IF(M27&gt;1,M27+3,M27)</f>
        <v>1</v>
      </c>
      <c r="O27" s="446">
        <f>IF('Indicator sheet_(IS)'!R10="",0,1)</f>
        <v>0</v>
      </c>
    </row>
    <row r="28" spans="1:15" x14ac:dyDescent="0.2">
      <c r="A28" s="85"/>
      <c r="C28" s="80"/>
      <c r="D28" s="81"/>
      <c r="E28" s="447"/>
      <c r="F28" s="447"/>
      <c r="G28" s="447"/>
      <c r="H28" s="447"/>
      <c r="I28" s="447"/>
      <c r="J28" s="447"/>
      <c r="K28" s="447"/>
      <c r="L28" s="447"/>
      <c r="M28" s="447"/>
      <c r="N28" s="447"/>
      <c r="O28" s="448"/>
    </row>
    <row r="29" spans="1:15" x14ac:dyDescent="0.2">
      <c r="A29" s="85"/>
      <c r="C29" s="80"/>
      <c r="D29" s="81"/>
      <c r="E29" s="447"/>
      <c r="F29" s="447"/>
      <c r="G29" s="447"/>
      <c r="H29" s="447"/>
      <c r="I29" s="447"/>
      <c r="J29" s="447"/>
      <c r="K29" s="447"/>
      <c r="L29" s="447"/>
      <c r="M29" s="447"/>
      <c r="N29" s="447"/>
      <c r="O29" s="448"/>
    </row>
    <row r="30" spans="1:15" ht="12.75" customHeight="1" x14ac:dyDescent="0.2">
      <c r="B30" s="7" t="s">
        <v>521</v>
      </c>
      <c r="C30" s="381" t="s">
        <v>816</v>
      </c>
      <c r="D30" s="381" t="s">
        <v>167</v>
      </c>
      <c r="E30" s="380">
        <v>0</v>
      </c>
      <c r="F30" s="380">
        <v>1000000000000</v>
      </c>
      <c r="G30" s="449">
        <v>-100000000000000</v>
      </c>
      <c r="H30" s="449">
        <v>1000000000000000</v>
      </c>
      <c r="I30" s="381"/>
      <c r="J30" s="450">
        <v>-10000</v>
      </c>
      <c r="K30" s="380">
        <v>1000000000000</v>
      </c>
      <c r="L30" s="451">
        <f>'Indicator sheet_(IS)'!O13</f>
        <v>0</v>
      </c>
      <c r="M30" s="452">
        <f>IF('Indicator sheet_(IS)'!P13=Berechnung1!$H$5,5,IF('Indicator sheet_(IS)'!P13=Berechnung1!$G$5,1,IF('Indicator sheet_(IS)'!P13=Berechnung1!$F$5,1,IF('Indicator sheet_(IS)'!P13=Berechnung1!$E$5,2,IF('Indicator sheet_(IS)'!P13=Berechnung1!$D$5,3,IF('Indicator sheet_(IS)'!P13=Berechnung1!$C$5,4,""))))))</f>
        <v>1</v>
      </c>
      <c r="N30" s="381">
        <f>IF(M30&gt;1,M30+3,M30)</f>
        <v>1</v>
      </c>
      <c r="O30" s="381">
        <f>IF('Indicator sheet_(IS)'!R13="",0,1)</f>
        <v>0</v>
      </c>
    </row>
    <row r="31" spans="1:15" x14ac:dyDescent="0.2">
      <c r="A31" s="85"/>
      <c r="C31" s="80"/>
      <c r="D31" s="81"/>
      <c r="E31" s="447"/>
      <c r="F31" s="447"/>
      <c r="G31" s="447"/>
      <c r="H31" s="447"/>
      <c r="I31" s="447"/>
      <c r="J31" s="447"/>
      <c r="K31" s="447"/>
      <c r="L31" s="447"/>
      <c r="M31" s="447"/>
      <c r="N31" s="447"/>
      <c r="O31" s="448"/>
    </row>
    <row r="32" spans="1:15" x14ac:dyDescent="0.2">
      <c r="A32" s="85"/>
      <c r="C32" s="80"/>
      <c r="D32" s="81"/>
      <c r="E32" s="447"/>
      <c r="F32" s="447"/>
      <c r="G32" s="447"/>
      <c r="H32" s="447"/>
      <c r="I32" s="447"/>
      <c r="J32" s="447"/>
      <c r="K32" s="447"/>
      <c r="L32" s="447"/>
      <c r="M32" s="447"/>
      <c r="N32" s="447"/>
      <c r="O32" s="448"/>
    </row>
    <row r="33" spans="1:15" x14ac:dyDescent="0.2">
      <c r="A33" s="85"/>
      <c r="C33" s="56" t="s">
        <v>235</v>
      </c>
      <c r="D33" s="57" t="s">
        <v>167</v>
      </c>
      <c r="E33" s="444">
        <v>0</v>
      </c>
      <c r="F33" s="444">
        <v>1</v>
      </c>
      <c r="G33" s="444">
        <v>0.9</v>
      </c>
      <c r="H33" s="444">
        <v>10000</v>
      </c>
      <c r="I33" s="444"/>
      <c r="J33" s="444">
        <v>-10000</v>
      </c>
      <c r="K33" s="444">
        <v>10000</v>
      </c>
      <c r="L33" s="444" t="str">
        <f>'Indicator sheet_(IS)'!O18</f>
        <v>n.d.</v>
      </c>
      <c r="M33" s="446">
        <f>IF('Indicator sheet_(IS)'!P16=Berechnung1!$G$5,1,IF('Indicator sheet_(IS)'!P16=Berechnung1!$F$5,1,IF('Indicator sheet_(IS)'!P16=Berechnung1!$E$5,2,IF('Indicator sheet_(IS)'!P16=Berechnung1!$D$5,3,IF('Indicator sheet_(IS)'!P16=Berechnung1!$C$5,4,"")))))</f>
        <v>1</v>
      </c>
      <c r="N33" s="446">
        <f>IF(M33&gt;1,M33+3,M33)</f>
        <v>1</v>
      </c>
      <c r="O33" s="446">
        <f>IF('Indicator sheet_(IS)'!R16="",0,1)</f>
        <v>0</v>
      </c>
    </row>
    <row r="34" spans="1:15" x14ac:dyDescent="0.2">
      <c r="A34" s="85"/>
      <c r="C34" s="30"/>
      <c r="D34" s="30"/>
      <c r="E34" s="30"/>
      <c r="F34" s="30"/>
      <c r="G34" s="30"/>
      <c r="H34" s="30"/>
      <c r="I34" s="30"/>
      <c r="J34" s="30"/>
      <c r="K34" s="30"/>
      <c r="L34" s="30"/>
      <c r="M34" s="30"/>
      <c r="N34" s="30"/>
      <c r="O34" s="30"/>
    </row>
    <row r="35" spans="1:15" x14ac:dyDescent="0.2">
      <c r="A35" s="85"/>
      <c r="C35" s="80"/>
      <c r="D35" s="81"/>
      <c r="E35" s="447"/>
      <c r="F35" s="447"/>
      <c r="G35" s="447"/>
      <c r="H35" s="447"/>
      <c r="I35" s="447"/>
      <c r="J35" s="447"/>
      <c r="K35" s="447"/>
      <c r="L35" s="447"/>
      <c r="M35" s="447"/>
      <c r="N35" s="447"/>
      <c r="O35" s="448"/>
    </row>
    <row r="36" spans="1:15" x14ac:dyDescent="0.2">
      <c r="A36" s="85"/>
      <c r="C36" s="56" t="s">
        <v>236</v>
      </c>
      <c r="D36" s="57" t="s">
        <v>167</v>
      </c>
      <c r="E36" s="444">
        <v>0</v>
      </c>
      <c r="F36" s="444">
        <v>1</v>
      </c>
      <c r="G36" s="444">
        <v>0.9</v>
      </c>
      <c r="H36" s="444">
        <v>10000</v>
      </c>
      <c r="I36" s="444"/>
      <c r="J36" s="444">
        <v>-10000</v>
      </c>
      <c r="K36" s="444">
        <v>10000</v>
      </c>
      <c r="L36" s="444" t="str">
        <f>'Indicator sheet_(IS)'!O21</f>
        <v>n.d.</v>
      </c>
      <c r="M36" s="446">
        <f>IF('Indicator sheet_(IS)'!P19=Berechnung1!$G$5,1,IF('Indicator sheet_(IS)'!P19=Berechnung1!$F$5,1,IF('Indicator sheet_(IS)'!P19=Berechnung1!$E$5,2,IF('Indicator sheet_(IS)'!P19=Berechnung1!$D$5,3,IF('Indicator sheet_(IS)'!P19=Berechnung1!$C$5,4,"")))))</f>
        <v>1</v>
      </c>
      <c r="N36" s="446">
        <f>IF(M36&gt;1,M36+3,M36)</f>
        <v>1</v>
      </c>
      <c r="O36" s="446">
        <f>IF('Indicator sheet_(IS)'!R19="",0,1)</f>
        <v>0</v>
      </c>
    </row>
    <row r="37" spans="1:15" x14ac:dyDescent="0.2">
      <c r="A37" s="85"/>
      <c r="C37" s="30"/>
      <c r="D37" s="30"/>
      <c r="E37" s="30"/>
      <c r="F37" s="30"/>
      <c r="G37" s="447"/>
      <c r="H37" s="30"/>
      <c r="I37" s="30"/>
      <c r="J37" s="30"/>
      <c r="K37" s="30"/>
      <c r="L37" s="30"/>
      <c r="M37" s="30"/>
      <c r="N37" s="30"/>
      <c r="O37" s="30"/>
    </row>
    <row r="38" spans="1:15" x14ac:dyDescent="0.2">
      <c r="A38" s="85"/>
      <c r="C38" s="80"/>
      <c r="D38" s="81"/>
      <c r="E38" s="447"/>
      <c r="F38" s="447"/>
      <c r="G38" s="447"/>
      <c r="H38" s="447"/>
      <c r="I38" s="447"/>
      <c r="J38" s="447"/>
      <c r="K38" s="447"/>
      <c r="L38" s="447"/>
      <c r="M38" s="447"/>
      <c r="N38" s="447"/>
      <c r="O38" s="448"/>
    </row>
    <row r="39" spans="1:15" x14ac:dyDescent="0.2">
      <c r="A39" s="85"/>
      <c r="C39" s="56">
        <v>3</v>
      </c>
      <c r="D39" s="57" t="s">
        <v>167</v>
      </c>
      <c r="E39" s="444">
        <v>0</v>
      </c>
      <c r="F39" s="444">
        <v>1</v>
      </c>
      <c r="G39" s="444">
        <v>0.9</v>
      </c>
      <c r="H39" s="444">
        <v>10000</v>
      </c>
      <c r="I39" s="444"/>
      <c r="J39" s="444">
        <v>-10000</v>
      </c>
      <c r="K39" s="444">
        <v>1000000</v>
      </c>
      <c r="L39" s="444" t="str">
        <f>'Indicator sheet_(IS)'!O24</f>
        <v>n.d.</v>
      </c>
      <c r="M39" s="446">
        <f>IF('Indicator sheet_(IS)'!P22=Berechnung1!$G$5,1,IF('Indicator sheet_(IS)'!P22=Berechnung1!$F$5,1,IF('Indicator sheet_(IS)'!P22=Berechnung1!$E$5,2,IF('Indicator sheet_(IS)'!P22=Berechnung1!$D$5,3,IF('Indicator sheet_(IS)'!P22=Berechnung1!$C$5,4,"")))))</f>
        <v>1</v>
      </c>
      <c r="N39" s="446">
        <f>IF(M39&gt;1,M39+3,M39)</f>
        <v>1</v>
      </c>
      <c r="O39" s="446">
        <f>IF('Indicator sheet_(IS)'!R22="",0,1)</f>
        <v>0</v>
      </c>
    </row>
    <row r="40" spans="1:15" x14ac:dyDescent="0.2">
      <c r="A40" s="85"/>
      <c r="C40" s="80"/>
      <c r="D40" s="81"/>
      <c r="E40" s="447"/>
      <c r="F40" s="447"/>
      <c r="G40" s="447"/>
      <c r="H40" s="447"/>
      <c r="I40" s="447"/>
      <c r="J40" s="447"/>
      <c r="K40" s="447"/>
      <c r="L40" s="447"/>
      <c r="M40" s="447"/>
      <c r="N40" s="447"/>
      <c r="O40" s="448"/>
    </row>
    <row r="41" spans="1:15" x14ac:dyDescent="0.2">
      <c r="A41" s="85"/>
      <c r="C41" s="80"/>
      <c r="D41" s="81"/>
      <c r="E41" s="447"/>
      <c r="F41" s="447"/>
      <c r="G41" s="447"/>
      <c r="H41" s="447"/>
      <c r="I41" s="447"/>
      <c r="J41" s="447"/>
      <c r="K41" s="447"/>
      <c r="L41" s="447"/>
      <c r="M41" s="447"/>
      <c r="N41" s="447"/>
      <c r="O41" s="448"/>
    </row>
    <row r="42" spans="1:15" x14ac:dyDescent="0.2">
      <c r="A42" s="85"/>
      <c r="B42" s="7" t="s">
        <v>521</v>
      </c>
      <c r="C42" s="57">
        <v>4</v>
      </c>
      <c r="D42" s="57" t="s">
        <v>167</v>
      </c>
      <c r="E42" s="444">
        <v>0</v>
      </c>
      <c r="F42" s="444">
        <v>1</v>
      </c>
      <c r="G42" s="444">
        <v>-10000</v>
      </c>
      <c r="H42" s="444">
        <v>10000</v>
      </c>
      <c r="I42" s="444"/>
      <c r="J42" s="444">
        <v>-10000</v>
      </c>
      <c r="K42" s="444">
        <v>1000000</v>
      </c>
      <c r="L42" s="444" t="str">
        <f>'Indicator sheet_(IS)'!O27</f>
        <v>n.d.</v>
      </c>
      <c r="M42" s="446">
        <f>IF('Indicator sheet_(IS)'!P25=Berechnung1!$H$5,5,IF('Indicator sheet_(IS)'!P25=Berechnung1!$G$5,1,IF('Indicator sheet_(IS)'!P25=Berechnung1!$F$5,1,IF('Indicator sheet_(IS)'!P25=Berechnung1!$E$5,2,IF('Indicator sheet_(IS)'!P25=Berechnung1!$D$5,3,IF('Indicator sheet_(IS)'!P25=Berechnung1!$C$5,4,""))))))</f>
        <v>1</v>
      </c>
      <c r="N42" s="446">
        <f>IF(M42&gt;1,M42+3,M42)</f>
        <v>1</v>
      </c>
      <c r="O42" s="446">
        <f>IF('Indicator sheet_(IS)'!R25="",0,1)</f>
        <v>0</v>
      </c>
    </row>
    <row r="43" spans="1:15" x14ac:dyDescent="0.2">
      <c r="A43" s="85"/>
      <c r="C43" s="80"/>
      <c r="D43" s="81"/>
      <c r="E43" s="447"/>
      <c r="F43" s="447"/>
      <c r="G43" s="447"/>
      <c r="H43" s="447"/>
      <c r="I43" s="447"/>
      <c r="J43" s="447"/>
      <c r="K43" s="447"/>
      <c r="L43" s="447"/>
      <c r="M43" s="447"/>
      <c r="N43" s="447"/>
      <c r="O43" s="448"/>
    </row>
    <row r="44" spans="1:15" x14ac:dyDescent="0.2">
      <c r="A44" s="85"/>
      <c r="C44" s="80"/>
      <c r="D44" s="81"/>
      <c r="E44" s="447"/>
      <c r="F44" s="447"/>
      <c r="G44" s="447"/>
      <c r="H44" s="447"/>
      <c r="I44" s="447"/>
      <c r="J44" s="447"/>
      <c r="K44" s="447"/>
      <c r="L44" s="447"/>
      <c r="M44" s="447"/>
      <c r="N44" s="447"/>
      <c r="O44" s="448"/>
    </row>
    <row r="45" spans="1:15" x14ac:dyDescent="0.2">
      <c r="A45" s="85"/>
      <c r="C45" s="57">
        <v>5</v>
      </c>
      <c r="D45" s="57" t="s">
        <v>167</v>
      </c>
      <c r="E45" s="444">
        <v>0</v>
      </c>
      <c r="F45" s="444">
        <v>1</v>
      </c>
      <c r="G45" s="444">
        <v>0.65</v>
      </c>
      <c r="H45" s="444">
        <v>10000</v>
      </c>
      <c r="I45" s="444"/>
      <c r="J45" s="444">
        <v>-10000</v>
      </c>
      <c r="K45" s="444">
        <v>10000</v>
      </c>
      <c r="L45" s="444" t="str">
        <f>'Indicator sheet_(IS)'!O30</f>
        <v>n.d.</v>
      </c>
      <c r="M45" s="453">
        <f>IF('Indicator sheet_(IS)'!P28=Berechnung1!$G$5,1,IF('Indicator sheet_(IS)'!P28=Berechnung1!$F$5,1,IF('Indicator sheet_(IS)'!P28=Berechnung1!$E$5,2,IF('Indicator sheet_(IS)'!P28=Berechnung1!$D$5,3,IF('Indicator sheet_(IS)'!P28=Berechnung1!$C$5,4,"")))))</f>
        <v>1</v>
      </c>
      <c r="N45" s="446">
        <f>IF(M45&gt;1,M45+3,M45)</f>
        <v>1</v>
      </c>
      <c r="O45" s="446">
        <f>IF('Indicator sheet_(IS)'!R28="",0,1)</f>
        <v>0</v>
      </c>
    </row>
    <row r="46" spans="1:15" x14ac:dyDescent="0.2">
      <c r="A46" s="85"/>
      <c r="C46" s="80"/>
      <c r="D46" s="81"/>
      <c r="E46" s="447"/>
      <c r="F46" s="447"/>
      <c r="G46" s="447"/>
      <c r="H46" s="447"/>
      <c r="I46" s="447"/>
      <c r="J46" s="447"/>
      <c r="K46" s="447"/>
      <c r="L46" s="447"/>
      <c r="M46" s="447"/>
      <c r="N46" s="447"/>
      <c r="O46" s="448"/>
    </row>
    <row r="47" spans="1:15" x14ac:dyDescent="0.2">
      <c r="A47" s="85"/>
      <c r="C47" s="80"/>
      <c r="D47" s="81"/>
      <c r="E47" s="447"/>
      <c r="F47" s="447"/>
      <c r="G47" s="447"/>
      <c r="H47" s="447"/>
      <c r="I47" s="447"/>
      <c r="J47" s="447"/>
      <c r="K47" s="447"/>
      <c r="L47" s="447"/>
      <c r="M47" s="447"/>
      <c r="N47" s="447"/>
      <c r="O47" s="448"/>
    </row>
    <row r="48" spans="1:15" x14ac:dyDescent="0.2">
      <c r="A48" s="85"/>
      <c r="C48" s="57">
        <v>6</v>
      </c>
      <c r="D48" s="57" t="s">
        <v>167</v>
      </c>
      <c r="E48" s="444">
        <v>0</v>
      </c>
      <c r="F48" s="444">
        <v>1</v>
      </c>
      <c r="G48" s="444">
        <v>-10000</v>
      </c>
      <c r="H48" s="444">
        <v>10000</v>
      </c>
      <c r="I48" s="444"/>
      <c r="J48" s="444">
        <v>0.5</v>
      </c>
      <c r="K48" s="444">
        <v>0.9</v>
      </c>
      <c r="L48" s="444" t="str">
        <f>'Indicator sheet_(IS)'!O33</f>
        <v>n.d.</v>
      </c>
      <c r="M48" s="446">
        <f>IF('Indicator sheet_(IS)'!P31=Berechnung1!$G$5,1,IF('Indicator sheet_(IS)'!P31=Berechnung1!$F$5,1,IF('Indicator sheet_(IS)'!P31=Berechnung1!$E$5,2,IF('Indicator sheet_(IS)'!P31=Berechnung1!$D$5,3,IF('Indicator sheet_(IS)'!P31=Berechnung1!$C$5,4,"")))))</f>
        <v>1</v>
      </c>
      <c r="N48" s="446">
        <f>IF(M48&gt;1,M48+3,M48)</f>
        <v>1</v>
      </c>
      <c r="O48" s="446">
        <f>IF('Indicator sheet_(IS)'!R31="",0,1)</f>
        <v>0</v>
      </c>
    </row>
    <row r="49" spans="1:15" x14ac:dyDescent="0.2">
      <c r="A49" s="85"/>
      <c r="C49" s="80"/>
      <c r="D49" s="81"/>
      <c r="E49" s="447"/>
      <c r="F49" s="447"/>
      <c r="G49" s="447"/>
      <c r="H49" s="447"/>
      <c r="I49" s="447"/>
      <c r="J49" s="447"/>
      <c r="K49" s="447"/>
      <c r="L49" s="447"/>
      <c r="M49" s="447"/>
      <c r="N49" s="447"/>
      <c r="O49" s="448"/>
    </row>
    <row r="50" spans="1:15" x14ac:dyDescent="0.2">
      <c r="A50" s="85"/>
      <c r="C50" s="80"/>
      <c r="D50" s="81"/>
      <c r="E50" s="447"/>
      <c r="F50" s="447"/>
      <c r="G50" s="447"/>
      <c r="H50" s="447"/>
      <c r="I50" s="447"/>
      <c r="J50" s="447"/>
      <c r="K50" s="447"/>
      <c r="L50" s="447"/>
      <c r="M50" s="447"/>
      <c r="N50" s="447"/>
      <c r="O50" s="448"/>
    </row>
    <row r="51" spans="1:15" x14ac:dyDescent="0.2">
      <c r="A51" s="85"/>
      <c r="C51" s="57">
        <v>7</v>
      </c>
      <c r="D51" s="57" t="s">
        <v>167</v>
      </c>
      <c r="E51" s="444">
        <v>0</v>
      </c>
      <c r="F51" s="444">
        <v>1000000000000</v>
      </c>
      <c r="G51" s="444">
        <v>0.05</v>
      </c>
      <c r="H51" s="444">
        <v>10000</v>
      </c>
      <c r="I51" s="444"/>
      <c r="J51" s="444">
        <v>-10000</v>
      </c>
      <c r="K51" s="444">
        <v>10000</v>
      </c>
      <c r="L51" s="444" t="str">
        <f>'Indicator sheet_(IS)'!O36</f>
        <v>n.d.</v>
      </c>
      <c r="M51" s="446">
        <f>IF('Indicator sheet_(IS)'!P34=Berechnung1!$G$5,1,IF('Indicator sheet_(IS)'!P34=Berechnung1!$F$5,1,IF('Indicator sheet_(IS)'!P34=Berechnung1!$E$5,2,IF('Indicator sheet_(IS)'!P34=Berechnung1!$D$5,3,IF('Indicator sheet_(IS)'!P34=Berechnung1!$C$5,4,"")))))</f>
        <v>1</v>
      </c>
      <c r="N51" s="446">
        <f>IF(M51&gt;1,M51+3,M51)</f>
        <v>1</v>
      </c>
      <c r="O51" s="446">
        <f>IF('Indicator sheet_(IS)'!R34="",0,1)</f>
        <v>0</v>
      </c>
    </row>
    <row r="52" spans="1:15" x14ac:dyDescent="0.2">
      <c r="A52" s="85"/>
      <c r="C52" s="80"/>
      <c r="D52" s="81"/>
      <c r="E52" s="447"/>
      <c r="F52" s="447"/>
      <c r="G52" s="447"/>
      <c r="H52" s="447"/>
      <c r="I52" s="447"/>
      <c r="J52" s="447"/>
      <c r="K52" s="447"/>
      <c r="L52" s="447"/>
      <c r="M52" s="447"/>
      <c r="N52" s="447"/>
      <c r="O52" s="448"/>
    </row>
    <row r="53" spans="1:15" x14ac:dyDescent="0.2">
      <c r="A53" s="85"/>
      <c r="C53" s="80"/>
      <c r="D53" s="81"/>
      <c r="E53" s="447"/>
      <c r="F53" s="447"/>
      <c r="G53" s="447"/>
      <c r="H53" s="447"/>
      <c r="I53" s="447"/>
      <c r="J53" s="447"/>
      <c r="K53" s="447"/>
      <c r="L53" s="447"/>
      <c r="M53" s="447"/>
      <c r="N53" s="447"/>
      <c r="O53" s="448"/>
    </row>
    <row r="54" spans="1:15" x14ac:dyDescent="0.2">
      <c r="A54" s="85"/>
      <c r="C54" s="57" t="s">
        <v>978</v>
      </c>
      <c r="D54" s="57" t="s">
        <v>167</v>
      </c>
      <c r="E54" s="444">
        <v>0</v>
      </c>
      <c r="F54" s="444">
        <v>1000000000000</v>
      </c>
      <c r="G54" s="445">
        <v>500</v>
      </c>
      <c r="H54" s="444">
        <v>1000000000000000</v>
      </c>
      <c r="I54" s="444"/>
      <c r="J54" s="444">
        <v>-10000</v>
      </c>
      <c r="K54" s="444">
        <v>1000000000000</v>
      </c>
      <c r="L54" s="446">
        <f>SUM(Expertise_Lung!M11:M14)</f>
        <v>0</v>
      </c>
      <c r="M54" s="446">
        <f>IF('Indicator sheet_(IS)'!P37=Berechnung1!$G$5,1,IF('Indicator sheet_(IS)'!P37=Berechnung1!$F$5,1,IF('Indicator sheet_(IS)'!P37=Berechnung1!$E$5,2,IF('Indicator sheet_(IS)'!P37=Berechnung1!$D$5,3,IF('Indicator sheet_(IS)'!P37=Berechnung1!$C$5,4,"")))))</f>
        <v>1</v>
      </c>
      <c r="N54" s="446">
        <f>IF(M54&gt;1,M54+3,M54)</f>
        <v>1</v>
      </c>
      <c r="O54" s="446">
        <f>IF('Indicator sheet_(IS)'!R37="",0,1)</f>
        <v>0</v>
      </c>
    </row>
    <row r="55" spans="1:15" x14ac:dyDescent="0.2">
      <c r="A55" s="85"/>
      <c r="C55" s="81"/>
      <c r="D55" s="81"/>
      <c r="E55" s="454"/>
      <c r="F55" s="454"/>
      <c r="G55" s="455"/>
      <c r="H55" s="454"/>
      <c r="I55" s="454"/>
      <c r="J55" s="454"/>
      <c r="K55" s="454"/>
      <c r="L55" s="456"/>
      <c r="M55" s="456"/>
      <c r="N55" s="456"/>
      <c r="O55" s="456"/>
    </row>
    <row r="56" spans="1:15" x14ac:dyDescent="0.2">
      <c r="A56" s="85"/>
      <c r="C56" s="81"/>
      <c r="D56" s="81"/>
      <c r="E56" s="454"/>
      <c r="F56" s="454"/>
      <c r="G56" s="455"/>
      <c r="H56" s="454"/>
      <c r="I56" s="454"/>
      <c r="J56" s="454"/>
      <c r="K56" s="454"/>
      <c r="L56" s="456"/>
      <c r="M56" s="456"/>
      <c r="N56" s="456"/>
      <c r="O56" s="456"/>
    </row>
    <row r="57" spans="1:15" x14ac:dyDescent="0.2">
      <c r="A57" s="85"/>
      <c r="C57" s="57" t="s">
        <v>979</v>
      </c>
      <c r="D57" s="57" t="s">
        <v>167</v>
      </c>
      <c r="E57" s="444">
        <v>0</v>
      </c>
      <c r="F57" s="444">
        <v>1000000000000</v>
      </c>
      <c r="G57" s="445">
        <v>50</v>
      </c>
      <c r="H57" s="444">
        <v>1000000000000000</v>
      </c>
      <c r="I57" s="444"/>
      <c r="J57" s="444">
        <v>-10000</v>
      </c>
      <c r="K57" s="444">
        <v>1000000000000</v>
      </c>
      <c r="L57" s="446">
        <f>SUM(Expertise_Lung!M14:M17)</f>
        <v>0</v>
      </c>
      <c r="M57" s="446">
        <f>IF('Indicator sheet_(IS)'!P40=Berechnung1!$G$5,1,IF('Indicator sheet_(IS)'!P40=Berechnung1!$F$5,1,IF('Indicator sheet_(IS)'!P40=Berechnung1!$E$5,2,IF('Indicator sheet_(IS)'!P40=Berechnung1!$D$5,3,IF('Indicator sheet_(IS)'!P40=Berechnung1!$C$5,4,"")))))</f>
        <v>1</v>
      </c>
      <c r="N57" s="446">
        <f t="shared" ref="N57" si="2">IF(M57&gt;1,M57+3,M57)</f>
        <v>1</v>
      </c>
      <c r="O57" s="446">
        <f>IF('Indicator sheet_(IS)'!R40="",0,1)</f>
        <v>0</v>
      </c>
    </row>
    <row r="58" spans="1:15" x14ac:dyDescent="0.2">
      <c r="A58" s="85"/>
      <c r="C58" s="80"/>
      <c r="D58" s="81"/>
      <c r="E58" s="447"/>
      <c r="F58" s="447"/>
      <c r="G58" s="447"/>
      <c r="H58" s="447"/>
      <c r="I58" s="447"/>
      <c r="J58" s="447"/>
      <c r="K58" s="447"/>
      <c r="L58" s="447"/>
      <c r="M58" s="447"/>
      <c r="N58" s="447"/>
      <c r="O58" s="448"/>
    </row>
    <row r="59" spans="1:15" x14ac:dyDescent="0.2">
      <c r="A59" s="85"/>
      <c r="C59" s="80"/>
      <c r="D59" s="81"/>
      <c r="E59" s="447"/>
      <c r="F59" s="447"/>
      <c r="G59" s="447"/>
      <c r="H59" s="447"/>
      <c r="I59" s="447"/>
      <c r="J59" s="447"/>
      <c r="K59" s="447"/>
      <c r="L59" s="447"/>
      <c r="M59" s="447"/>
      <c r="N59" s="447"/>
      <c r="O59" s="448"/>
    </row>
    <row r="60" spans="1:15" x14ac:dyDescent="0.2">
      <c r="A60" s="85"/>
      <c r="C60" s="57">
        <v>9</v>
      </c>
      <c r="D60" s="57" t="s">
        <v>167</v>
      </c>
      <c r="E60" s="444">
        <v>0</v>
      </c>
      <c r="F60" s="444">
        <v>1000000000000</v>
      </c>
      <c r="G60" s="445">
        <v>10</v>
      </c>
      <c r="H60" s="444">
        <v>1000000000000000</v>
      </c>
      <c r="I60" s="444"/>
      <c r="J60" s="444">
        <v>-10000</v>
      </c>
      <c r="K60" s="444">
        <v>1000000000000</v>
      </c>
      <c r="L60" s="446">
        <f>SUM(Expertise_Lung!M19:M22)</f>
        <v>0</v>
      </c>
      <c r="M60" s="446">
        <f>IF('Indicator sheet_(IS)'!P43=Berechnung1!$G$5,1,IF('Indicator sheet_(IS)'!P43=Berechnung1!$F$5,1,IF('Indicator sheet_(IS)'!P43=Berechnung1!$E$5,2,IF('Indicator sheet_(IS)'!P43=Berechnung1!$D$5,3,IF('Indicator sheet_(IS)'!P43=Berechnung1!$C$5,4,"")))))</f>
        <v>1</v>
      </c>
      <c r="N60" s="446">
        <f>IF(M60&gt;1,M60+3,M60)</f>
        <v>1</v>
      </c>
      <c r="O60" s="446">
        <f>IF('Indicator sheet_(IS)'!R43="",0,1)</f>
        <v>0</v>
      </c>
    </row>
    <row r="61" spans="1:15" x14ac:dyDescent="0.2">
      <c r="A61" s="85"/>
      <c r="C61" s="80"/>
      <c r="D61" s="81"/>
      <c r="E61" s="447"/>
      <c r="F61" s="447"/>
      <c r="G61" s="447"/>
      <c r="H61" s="447"/>
      <c r="I61" s="447"/>
      <c r="J61" s="447"/>
      <c r="K61" s="447"/>
      <c r="L61" s="447"/>
      <c r="M61" s="447"/>
      <c r="N61" s="447"/>
      <c r="O61" s="448"/>
    </row>
    <row r="62" spans="1:15" x14ac:dyDescent="0.2">
      <c r="A62" s="85"/>
      <c r="C62" s="80"/>
      <c r="D62" s="81"/>
      <c r="E62" s="447"/>
      <c r="F62" s="447"/>
      <c r="G62" s="447"/>
      <c r="H62" s="447"/>
      <c r="I62" s="447"/>
      <c r="J62" s="447"/>
      <c r="K62" s="447"/>
      <c r="L62" s="447"/>
      <c r="M62" s="447"/>
      <c r="N62" s="447"/>
      <c r="O62" s="448"/>
    </row>
    <row r="63" spans="1:15" x14ac:dyDescent="0.2">
      <c r="A63" s="85"/>
      <c r="C63" s="57">
        <v>10</v>
      </c>
      <c r="D63" s="57" t="s">
        <v>167</v>
      </c>
      <c r="E63" s="444">
        <v>0</v>
      </c>
      <c r="F63" s="444">
        <v>1000000000000</v>
      </c>
      <c r="G63" s="444">
        <v>-10000</v>
      </c>
      <c r="H63" s="444">
        <v>10000</v>
      </c>
      <c r="I63" s="444"/>
      <c r="J63" s="444">
        <v>-10000</v>
      </c>
      <c r="K63" s="444">
        <v>1000000000000</v>
      </c>
      <c r="L63" s="444" t="str">
        <f>'Indicator sheet_(IS)'!O48</f>
        <v>n.d.</v>
      </c>
      <c r="M63" s="453">
        <f>IF('Indicator sheet_(IS)'!P46=Berechnung1!$G$5,1,IF('Indicator sheet_(IS)'!P46=Berechnung1!$F$5,1,IF('Indicator sheet_(IS)'!P46=Berechnung1!$E$5,2,IF('Indicator sheet_(IS)'!P46=Berechnung1!$D$5,3,IF('Indicator sheet_(IS)'!P46=Berechnung1!$C$5,4,"")))))</f>
        <v>1</v>
      </c>
      <c r="N63" s="453">
        <f>IF(M63&gt;1,M63+3,M63)</f>
        <v>1</v>
      </c>
      <c r="O63" s="453">
        <f>IF('Indicator sheet_(IS)'!R46="",0,1)</f>
        <v>0</v>
      </c>
    </row>
    <row r="64" spans="1:15" x14ac:dyDescent="0.2">
      <c r="A64" s="85"/>
      <c r="C64" s="80"/>
      <c r="D64" s="81"/>
      <c r="E64" s="447"/>
      <c r="F64" s="447"/>
      <c r="G64" s="447"/>
      <c r="H64" s="447"/>
      <c r="I64" s="447"/>
      <c r="J64" s="447"/>
      <c r="K64" s="447"/>
      <c r="L64" s="447"/>
      <c r="M64" s="447"/>
      <c r="N64" s="447"/>
      <c r="O64" s="448"/>
    </row>
    <row r="65" spans="1:15" x14ac:dyDescent="0.2">
      <c r="A65" s="85"/>
      <c r="C65" s="80"/>
      <c r="D65" s="81"/>
      <c r="E65" s="447"/>
      <c r="F65" s="447"/>
      <c r="G65" s="447"/>
      <c r="H65" s="447"/>
      <c r="I65" s="447"/>
      <c r="J65" s="447"/>
      <c r="K65" s="447"/>
      <c r="L65" s="447"/>
      <c r="M65" s="447"/>
      <c r="N65" s="447"/>
      <c r="O65" s="448"/>
    </row>
    <row r="66" spans="1:15" x14ac:dyDescent="0.2">
      <c r="A66" s="85"/>
      <c r="C66" s="57" t="s">
        <v>884</v>
      </c>
      <c r="D66" s="57" t="s">
        <v>167</v>
      </c>
      <c r="E66" s="444">
        <v>0</v>
      </c>
      <c r="F66" s="444">
        <v>1000000000000</v>
      </c>
      <c r="G66" s="444">
        <v>-10000</v>
      </c>
      <c r="H66" s="444">
        <v>1000000000000000</v>
      </c>
      <c r="I66" s="444"/>
      <c r="J66" s="444">
        <v>-10000</v>
      </c>
      <c r="K66" s="444">
        <v>1000000000000</v>
      </c>
      <c r="L66" s="446">
        <f>'Indicator sheet_(IS)'!O49</f>
        <v>0</v>
      </c>
      <c r="M66" s="446">
        <f>IF('Indicator sheet_(IS)'!P49=Berechnung1!$G$5,1,IF('Indicator sheet_(IS)'!P49=Berechnung1!$F$5,1,IF('Indicator sheet_(IS)'!P49=Berechnung1!$E$5,2,IF('Indicator sheet_(IS)'!P49=Berechnung1!$D$5,3,IF('Indicator sheet_(IS)'!P49=Berechnung1!$C$5,4,"")))))</f>
        <v>1</v>
      </c>
      <c r="N66" s="446">
        <f>IF(M66&gt;1,M66+3,M66)</f>
        <v>1</v>
      </c>
      <c r="O66" s="446">
        <f>IF('Indicator sheet_(IS)'!R49="",0,1)</f>
        <v>0</v>
      </c>
    </row>
    <row r="67" spans="1:15" x14ac:dyDescent="0.2">
      <c r="A67" s="85"/>
      <c r="C67" s="80"/>
      <c r="D67" s="81"/>
      <c r="E67" s="447"/>
      <c r="F67" s="447"/>
      <c r="G67" s="447"/>
      <c r="H67" s="447"/>
      <c r="I67" s="447"/>
      <c r="J67" s="447"/>
      <c r="K67" s="447"/>
      <c r="L67" s="447"/>
      <c r="M67" s="447"/>
      <c r="N67" s="447"/>
      <c r="O67" s="448"/>
    </row>
    <row r="68" spans="1:15" x14ac:dyDescent="0.2">
      <c r="A68" s="85"/>
      <c r="C68" s="80"/>
      <c r="D68" s="81"/>
      <c r="E68" s="447"/>
      <c r="F68" s="447"/>
      <c r="G68" s="447"/>
      <c r="H68" s="447"/>
      <c r="I68" s="447"/>
      <c r="J68" s="447"/>
      <c r="K68" s="447"/>
      <c r="L68" s="447"/>
      <c r="M68" s="447"/>
      <c r="N68" s="447"/>
      <c r="O68" s="448"/>
    </row>
    <row r="69" spans="1:15" x14ac:dyDescent="0.2">
      <c r="A69" s="85"/>
      <c r="B69" s="85"/>
      <c r="C69" s="57" t="s">
        <v>885</v>
      </c>
      <c r="D69" s="57" t="s">
        <v>167</v>
      </c>
      <c r="E69" s="444">
        <v>0</v>
      </c>
      <c r="F69" s="444">
        <v>1000000000000</v>
      </c>
      <c r="G69" s="445">
        <v>75</v>
      </c>
      <c r="H69" s="444">
        <v>1000000000000000</v>
      </c>
      <c r="I69" s="444"/>
      <c r="J69" s="444">
        <v>-10000</v>
      </c>
      <c r="K69" s="444">
        <v>1000000000000</v>
      </c>
      <c r="L69" s="446">
        <f>'Indicator sheet_(IS)'!O52</f>
        <v>0</v>
      </c>
      <c r="M69" s="446">
        <f>IF('Indicator sheet_(IS)'!P52=Berechnung1!$G$5,1,IF('Indicator sheet_(IS)'!P52=Berechnung1!$F$5,1,IF('Indicator sheet_(IS)'!P52=Berechnung1!$E$5,2,IF('Indicator sheet_(IS)'!P52=Berechnung1!$D$5,3,IF('Indicator sheet_(IS)'!P52=Berechnung1!$C$5,4,"")))))</f>
        <v>1</v>
      </c>
      <c r="N69" s="446">
        <f>IF(M69&gt;1,M69+3,M69)</f>
        <v>1</v>
      </c>
      <c r="O69" s="446">
        <f>IF('Indicator sheet_(IS)'!R52="",0,1)</f>
        <v>0</v>
      </c>
    </row>
    <row r="70" spans="1:15" x14ac:dyDescent="0.2">
      <c r="A70" s="85"/>
      <c r="C70" s="81"/>
      <c r="D70" s="81"/>
      <c r="E70" s="454"/>
      <c r="F70" s="454"/>
      <c r="G70" s="455"/>
      <c r="H70" s="454"/>
      <c r="I70" s="454"/>
      <c r="J70" s="454"/>
      <c r="K70" s="454"/>
      <c r="L70" s="456"/>
      <c r="M70" s="456"/>
      <c r="N70" s="456"/>
      <c r="O70" s="456"/>
    </row>
    <row r="71" spans="1:15" x14ac:dyDescent="0.2">
      <c r="A71" s="85"/>
      <c r="C71" s="81"/>
      <c r="D71" s="81"/>
      <c r="E71" s="454"/>
      <c r="F71" s="454"/>
      <c r="G71" s="455"/>
      <c r="H71" s="454"/>
      <c r="I71" s="454"/>
      <c r="J71" s="454"/>
      <c r="K71" s="454"/>
      <c r="L71" s="456"/>
      <c r="M71" s="456"/>
      <c r="N71" s="456"/>
      <c r="O71" s="456"/>
    </row>
    <row r="72" spans="1:15" x14ac:dyDescent="0.2">
      <c r="A72" s="85"/>
      <c r="C72" s="57">
        <v>12</v>
      </c>
      <c r="D72" s="57" t="s">
        <v>167</v>
      </c>
      <c r="E72" s="444">
        <v>0</v>
      </c>
      <c r="F72" s="444">
        <v>1</v>
      </c>
      <c r="G72" s="444">
        <v>-10000</v>
      </c>
      <c r="H72" s="444">
        <v>1000000000000000</v>
      </c>
      <c r="I72" s="444"/>
      <c r="J72" s="444">
        <v>0.5</v>
      </c>
      <c r="K72" s="444">
        <v>1000000000000</v>
      </c>
      <c r="L72" s="444" t="str">
        <f>'Indicator sheet_(IS)'!O57</f>
        <v>n.d.</v>
      </c>
      <c r="M72" s="446">
        <f>IF('Indicator sheet_(IS)'!P55=Berechnung1!$G$5,1,IF('Indicator sheet_(IS)'!P55=Berechnung1!$F$5,1,IF('Indicator sheet_(IS)'!P55=Berechnung1!$E$5,2,IF('Indicator sheet_(IS)'!P55=Berechnung1!$D$5,3,IF('Indicator sheet_(IS)'!P55=Berechnung1!$C$5,4,"")))))</f>
        <v>1</v>
      </c>
      <c r="N72" s="446">
        <f>IF(M72&gt;1,M72+3,M72)</f>
        <v>1</v>
      </c>
      <c r="O72" s="446">
        <f>IF('Indicator sheet_(IS)'!R55="",0,1)</f>
        <v>0</v>
      </c>
    </row>
    <row r="73" spans="1:15" x14ac:dyDescent="0.2">
      <c r="A73" s="85"/>
      <c r="C73" s="80"/>
      <c r="D73" s="81"/>
      <c r="E73" s="447"/>
      <c r="F73" s="447"/>
      <c r="G73" s="447"/>
      <c r="H73" s="447"/>
      <c r="I73" s="447"/>
      <c r="J73" s="447"/>
      <c r="K73" s="447"/>
      <c r="L73" s="447"/>
      <c r="M73" s="447"/>
      <c r="N73" s="447"/>
      <c r="O73" s="448"/>
    </row>
    <row r="74" spans="1:15" x14ac:dyDescent="0.2">
      <c r="A74" s="85"/>
      <c r="C74" s="80"/>
      <c r="D74" s="81"/>
      <c r="E74" s="447"/>
      <c r="F74" s="447"/>
      <c r="G74" s="447"/>
      <c r="H74" s="447"/>
      <c r="I74" s="447"/>
      <c r="J74" s="447"/>
      <c r="K74" s="447"/>
      <c r="L74" s="447"/>
      <c r="M74" s="447"/>
      <c r="N74" s="447"/>
      <c r="O74" s="448"/>
    </row>
    <row r="75" spans="1:15" x14ac:dyDescent="0.2">
      <c r="A75" s="85"/>
      <c r="C75" s="57">
        <v>13</v>
      </c>
      <c r="D75" s="57" t="s">
        <v>167</v>
      </c>
      <c r="E75" s="444">
        <v>0</v>
      </c>
      <c r="F75" s="444">
        <v>1</v>
      </c>
      <c r="G75" s="444">
        <v>-10000</v>
      </c>
      <c r="H75" s="444">
        <v>10000</v>
      </c>
      <c r="I75" s="444"/>
      <c r="J75" s="444">
        <v>-10000</v>
      </c>
      <c r="K75" s="444">
        <v>10000</v>
      </c>
      <c r="L75" s="444" t="str">
        <f>'Indicator sheet_(IS)'!O60</f>
        <v>n.d.</v>
      </c>
      <c r="M75" s="446">
        <f>IF('Indicator sheet_(IS)'!P58=Berechnung1!$G$5,1,IF('Indicator sheet_(IS)'!P58=Berechnung1!$F$5,1,IF('Indicator sheet_(IS)'!P58=Berechnung1!$E$5,2,IF('Indicator sheet_(IS)'!P58=Berechnung1!$D$5,3,IF('Indicator sheet_(IS)'!P58=Berechnung1!$C$5,4,"")))))</f>
        <v>1</v>
      </c>
      <c r="N75" s="446">
        <f>IF(M75&gt;1,M75+3,M75)</f>
        <v>1</v>
      </c>
      <c r="O75" s="446">
        <f>IF('Indicator sheet_(IS)'!R58="",0,1)</f>
        <v>0</v>
      </c>
    </row>
    <row r="76" spans="1:15" x14ac:dyDescent="0.2">
      <c r="A76" s="85"/>
      <c r="C76" s="80"/>
      <c r="D76" s="81"/>
      <c r="E76" s="447"/>
      <c r="F76" s="447"/>
      <c r="G76" s="447"/>
      <c r="H76" s="447"/>
      <c r="I76" s="447"/>
      <c r="J76" s="447"/>
      <c r="K76" s="447"/>
      <c r="L76" s="447"/>
      <c r="M76" s="447"/>
      <c r="N76" s="447"/>
      <c r="O76" s="448"/>
    </row>
    <row r="77" spans="1:15" x14ac:dyDescent="0.2">
      <c r="A77" s="85"/>
      <c r="C77" s="80"/>
      <c r="D77" s="81"/>
      <c r="E77" s="447"/>
      <c r="F77" s="447"/>
      <c r="G77" s="447"/>
      <c r="H77" s="447"/>
      <c r="I77" s="447"/>
      <c r="J77" s="447"/>
      <c r="K77" s="447"/>
      <c r="L77" s="447"/>
      <c r="M77" s="447"/>
      <c r="N77" s="447"/>
      <c r="O77" s="448"/>
    </row>
    <row r="78" spans="1:15" x14ac:dyDescent="0.2">
      <c r="A78" s="85"/>
      <c r="C78" s="57">
        <v>14</v>
      </c>
      <c r="D78" s="57" t="s">
        <v>167</v>
      </c>
      <c r="E78" s="444">
        <v>0</v>
      </c>
      <c r="F78" s="444">
        <v>1</v>
      </c>
      <c r="G78" s="444">
        <v>-10000</v>
      </c>
      <c r="H78" s="444">
        <v>0.05</v>
      </c>
      <c r="I78" s="444"/>
      <c r="J78" s="457">
        <v>1E-4</v>
      </c>
      <c r="K78" s="444">
        <v>10000</v>
      </c>
      <c r="L78" s="444" t="str">
        <f>'Indicator sheet_(IS)'!O63</f>
        <v>n.d.</v>
      </c>
      <c r="M78" s="446">
        <f>IF('Indicator sheet_(IS)'!P61=Berechnung1!$G$5,1,IF('Indicator sheet_(IS)'!P61=Berechnung1!$F$5,1,IF('Indicator sheet_(IS)'!P61=Berechnung1!$E$5,2,IF('Indicator sheet_(IS)'!P61=Berechnung1!$D$5,3,IF('Indicator sheet_(IS)'!P61=Berechnung1!$C$5,4,"")))))</f>
        <v>1</v>
      </c>
      <c r="N78" s="446">
        <f>IF(M78&gt;1,M78+3,M78)</f>
        <v>1</v>
      </c>
      <c r="O78" s="446">
        <f>IF('Indicator sheet_(IS)'!R61="",0,1)</f>
        <v>0</v>
      </c>
    </row>
    <row r="79" spans="1:15" x14ac:dyDescent="0.2">
      <c r="A79" s="85"/>
      <c r="C79" s="80"/>
      <c r="D79" s="81"/>
      <c r="E79" s="447"/>
      <c r="F79" s="447"/>
      <c r="G79" s="447"/>
      <c r="H79" s="447"/>
      <c r="I79" s="447"/>
      <c r="J79" s="458"/>
      <c r="K79" s="447"/>
      <c r="L79" s="447"/>
      <c r="M79" s="447"/>
      <c r="N79" s="447"/>
      <c r="O79" s="448"/>
    </row>
    <row r="80" spans="1:15" x14ac:dyDescent="0.2">
      <c r="A80" s="85"/>
      <c r="C80" s="80"/>
      <c r="D80" s="81"/>
      <c r="E80" s="447"/>
      <c r="F80" s="447"/>
      <c r="G80" s="447"/>
      <c r="H80" s="447"/>
      <c r="I80" s="447"/>
      <c r="J80" s="458"/>
      <c r="K80" s="447"/>
      <c r="L80" s="447"/>
      <c r="M80" s="447"/>
      <c r="N80" s="447"/>
      <c r="O80" s="448"/>
    </row>
    <row r="81" spans="1:15" x14ac:dyDescent="0.2">
      <c r="A81" s="85"/>
      <c r="C81" s="57">
        <v>15</v>
      </c>
      <c r="D81" s="57" t="s">
        <v>167</v>
      </c>
      <c r="E81" s="444">
        <v>0</v>
      </c>
      <c r="F81" s="444">
        <v>1</v>
      </c>
      <c r="G81" s="444">
        <v>-10000</v>
      </c>
      <c r="H81" s="444">
        <v>0.05</v>
      </c>
      <c r="I81" s="444"/>
      <c r="J81" s="457">
        <v>1E-4</v>
      </c>
      <c r="K81" s="444">
        <v>10000</v>
      </c>
      <c r="L81" s="444" t="str">
        <f>'Indicator sheet_(IS)'!O66</f>
        <v>n.d.</v>
      </c>
      <c r="M81" s="446">
        <f>IF('Indicator sheet_(IS)'!P64=Berechnung1!$G$5,1,IF('Indicator sheet_(IS)'!P64=Berechnung1!$F$5,1,IF('Indicator sheet_(IS)'!P64=Berechnung1!$E$5,2,IF('Indicator sheet_(IS)'!P64=Berechnung1!$D$5,3,IF('Indicator sheet_(IS)'!P64=Berechnung1!$C$5,4,"")))))</f>
        <v>1</v>
      </c>
      <c r="N81" s="446">
        <f>IF(M81&gt;1,M81+3,M81)</f>
        <v>1</v>
      </c>
      <c r="O81" s="446">
        <f>IF('Indicator sheet_(IS)'!R64="",0,1)</f>
        <v>0</v>
      </c>
    </row>
    <row r="82" spans="1:15" x14ac:dyDescent="0.2">
      <c r="A82" s="85"/>
      <c r="C82" s="80"/>
      <c r="D82" s="81"/>
      <c r="E82" s="447"/>
      <c r="F82" s="447"/>
      <c r="G82" s="447"/>
      <c r="H82" s="447"/>
      <c r="I82" s="447"/>
      <c r="J82" s="458"/>
      <c r="K82" s="447"/>
      <c r="L82" s="447"/>
      <c r="M82" s="447"/>
      <c r="N82" s="447"/>
      <c r="O82" s="448"/>
    </row>
    <row r="83" spans="1:15" x14ac:dyDescent="0.2">
      <c r="A83" s="85"/>
      <c r="C83" s="80"/>
      <c r="D83" s="81"/>
      <c r="E83" s="447"/>
      <c r="F83" s="447"/>
      <c r="G83" s="447"/>
      <c r="H83" s="447"/>
      <c r="I83" s="447"/>
      <c r="J83" s="458"/>
      <c r="K83" s="447"/>
      <c r="L83" s="447"/>
      <c r="M83" s="447"/>
      <c r="N83" s="447"/>
      <c r="O83" s="448"/>
    </row>
    <row r="84" spans="1:15" x14ac:dyDescent="0.2">
      <c r="A84" s="85"/>
      <c r="C84" s="57">
        <v>16</v>
      </c>
      <c r="D84" s="57" t="s">
        <v>167</v>
      </c>
      <c r="E84" s="444">
        <v>0</v>
      </c>
      <c r="F84" s="444">
        <v>1</v>
      </c>
      <c r="G84" s="444">
        <v>0.95</v>
      </c>
      <c r="H84" s="444">
        <v>10000</v>
      </c>
      <c r="I84" s="444"/>
      <c r="J84" s="444">
        <v>-10000</v>
      </c>
      <c r="K84" s="444">
        <v>10000</v>
      </c>
      <c r="L84" s="444" t="str">
        <f>'Indicator sheet_(IS)'!O69</f>
        <v>n.d.</v>
      </c>
      <c r="M84" s="446">
        <f>IF('Indicator sheet_(IS)'!P67=Berechnung1!$G$5,1,IF('Indicator sheet_(IS)'!P67=Berechnung1!$F$5,1,IF('Indicator sheet_(IS)'!P67=Berechnung1!$E$5,2,IF('Indicator sheet_(IS)'!P67=Berechnung1!$D$5,3,IF('Indicator sheet_(IS)'!P67=Berechnung1!$C$5,4,"")))))</f>
        <v>1</v>
      </c>
      <c r="N84" s="446">
        <f>IF(M84&gt;1,M84+3,M84)</f>
        <v>1</v>
      </c>
      <c r="O84" s="446">
        <f>IF('Indicator sheet_(IS)'!R67="",0,1)</f>
        <v>0</v>
      </c>
    </row>
    <row r="85" spans="1:15" x14ac:dyDescent="0.2">
      <c r="A85" s="85"/>
      <c r="C85" s="30"/>
      <c r="D85" s="81"/>
      <c r="E85" s="447"/>
      <c r="F85" s="447"/>
      <c r="G85" s="447"/>
      <c r="H85" s="447"/>
      <c r="I85" s="447"/>
      <c r="J85" s="447"/>
      <c r="K85" s="447"/>
      <c r="L85" s="447"/>
      <c r="M85" s="447"/>
      <c r="N85" s="447"/>
      <c r="O85" s="448"/>
    </row>
    <row r="86" spans="1:15" x14ac:dyDescent="0.2">
      <c r="A86" s="85"/>
      <c r="C86" s="80"/>
      <c r="D86" s="81"/>
      <c r="E86" s="447"/>
      <c r="F86" s="447"/>
      <c r="G86" s="447"/>
      <c r="H86" s="447"/>
      <c r="I86" s="447"/>
      <c r="J86" s="447"/>
      <c r="K86" s="447"/>
      <c r="L86" s="447"/>
      <c r="M86" s="447"/>
      <c r="N86" s="447"/>
      <c r="O86" s="448"/>
    </row>
    <row r="87" spans="1:15" x14ac:dyDescent="0.2">
      <c r="A87" s="85"/>
      <c r="B87" s="7" t="s">
        <v>521</v>
      </c>
      <c r="C87" s="57">
        <v>17</v>
      </c>
      <c r="D87" s="57" t="s">
        <v>167</v>
      </c>
      <c r="E87" s="444">
        <v>0</v>
      </c>
      <c r="F87" s="444">
        <v>1</v>
      </c>
      <c r="G87" s="444">
        <v>0.85</v>
      </c>
      <c r="H87" s="444">
        <v>10000</v>
      </c>
      <c r="I87" s="444"/>
      <c r="J87" s="444">
        <v>-10000</v>
      </c>
      <c r="K87" s="444">
        <v>10000</v>
      </c>
      <c r="L87" s="444" t="str">
        <f>'Indicator sheet_(IS)'!O72</f>
        <v>n.d.</v>
      </c>
      <c r="M87" s="446">
        <f>IF('Indicator sheet_(IS)'!P70=Berechnung1!$H$5,5,IF('Indicator sheet_(IS)'!P70=Berechnung1!$G$5,1,IF('Indicator sheet_(IS)'!P70=Berechnung1!$F$5,1,IF('Indicator sheet_(IS)'!P70=Berechnung1!$E$5,2,IF('Indicator sheet_(IS)'!P70=Berechnung1!$D$5,3,IF('Indicator sheet_(IS)'!P70=Berechnung1!$C$5,4,""))))))</f>
        <v>1</v>
      </c>
      <c r="N87" s="446">
        <f>IF(M87&gt;1,M87+3,M87)</f>
        <v>1</v>
      </c>
      <c r="O87" s="446">
        <f>IF('Indicator sheet_(IS)'!R70="",0,1)</f>
        <v>0</v>
      </c>
    </row>
    <row r="88" spans="1:15" x14ac:dyDescent="0.2">
      <c r="A88" s="85"/>
      <c r="C88" s="80"/>
      <c r="D88" s="81"/>
      <c r="E88" s="447"/>
      <c r="F88" s="447"/>
      <c r="G88" s="447"/>
      <c r="H88" s="447"/>
      <c r="I88" s="447"/>
      <c r="J88" s="447"/>
      <c r="K88" s="447"/>
      <c r="L88" s="447"/>
      <c r="M88" s="447"/>
      <c r="N88" s="447"/>
      <c r="O88" s="448"/>
    </row>
    <row r="89" spans="1:15" x14ac:dyDescent="0.2">
      <c r="A89" s="85"/>
      <c r="C89" s="80"/>
      <c r="D89" s="81"/>
      <c r="E89" s="447"/>
      <c r="F89" s="447"/>
      <c r="G89" s="447"/>
      <c r="H89" s="447"/>
      <c r="I89" s="447"/>
      <c r="J89" s="447"/>
      <c r="K89" s="447"/>
      <c r="L89" s="447"/>
      <c r="M89" s="447"/>
      <c r="N89" s="447"/>
      <c r="O89" s="448"/>
    </row>
    <row r="90" spans="1:15" x14ac:dyDescent="0.2">
      <c r="A90" s="85"/>
      <c r="C90" s="57">
        <v>18</v>
      </c>
      <c r="D90" s="57" t="s">
        <v>167</v>
      </c>
      <c r="E90" s="444">
        <v>0</v>
      </c>
      <c r="F90" s="444">
        <v>1000000000000</v>
      </c>
      <c r="G90" s="445">
        <v>50</v>
      </c>
      <c r="H90" s="444">
        <v>1000000000000000</v>
      </c>
      <c r="I90" s="444"/>
      <c r="J90" s="444">
        <v>-10000</v>
      </c>
      <c r="K90" s="444">
        <v>1000000000000</v>
      </c>
      <c r="L90" s="484">
        <f>SUM(Expertise_Lung!M23:M26)</f>
        <v>0</v>
      </c>
      <c r="M90" s="446">
        <f>IF('Indicator sheet_(IS)'!P73=Berechnung1!$G$5,1,IF('Indicator sheet_(IS)'!P73=Berechnung1!$F$5,1,IF('Indicator sheet_(IS)'!P73=Berechnung1!$E$5,2,IF('Indicator sheet_(IS)'!P73=Berechnung1!$D$5,3,IF('Indicator sheet_(IS)'!P73=Berechnung1!$C$5,4,"")))))</f>
        <v>1</v>
      </c>
      <c r="N90" s="446">
        <f>IF(M90&gt;1,M90+3,M90)</f>
        <v>1</v>
      </c>
      <c r="O90" s="446">
        <f>IF('Indicator sheet_(IS)'!R73="",0,1)</f>
        <v>0</v>
      </c>
    </row>
    <row r="91" spans="1:15" x14ac:dyDescent="0.2">
      <c r="A91" s="85"/>
      <c r="C91" s="80"/>
      <c r="D91" s="81"/>
      <c r="E91" s="447"/>
      <c r="F91" s="447"/>
      <c r="G91" s="447"/>
      <c r="H91" s="447"/>
      <c r="I91" s="447"/>
      <c r="J91" s="447"/>
      <c r="K91" s="447"/>
      <c r="L91" s="447"/>
      <c r="M91" s="447"/>
      <c r="N91" s="447"/>
      <c r="O91" s="448"/>
    </row>
    <row r="92" spans="1:15" x14ac:dyDescent="0.2">
      <c r="A92" s="85"/>
      <c r="C92" s="80"/>
      <c r="D92" s="81"/>
      <c r="E92" s="447"/>
      <c r="F92" s="447"/>
      <c r="G92" s="447"/>
      <c r="H92" s="447"/>
      <c r="I92" s="447"/>
      <c r="J92" s="447"/>
      <c r="K92" s="447"/>
      <c r="L92" s="447"/>
      <c r="M92" s="447"/>
      <c r="N92" s="447"/>
      <c r="O92" s="448"/>
    </row>
    <row r="93" spans="1:15" x14ac:dyDescent="0.2">
      <c r="A93" s="85"/>
      <c r="B93" s="7" t="s">
        <v>521</v>
      </c>
      <c r="C93" s="57">
        <v>19</v>
      </c>
      <c r="D93" s="57" t="s">
        <v>167</v>
      </c>
      <c r="E93" s="444">
        <v>0</v>
      </c>
      <c r="F93" s="444">
        <v>1000000000000</v>
      </c>
      <c r="G93" s="444">
        <v>-10000</v>
      </c>
      <c r="H93" s="444">
        <v>1000000000000000</v>
      </c>
      <c r="I93" s="444"/>
      <c r="J93" s="444">
        <v>-10000</v>
      </c>
      <c r="K93" s="444">
        <v>1000000000000</v>
      </c>
      <c r="L93" s="444" t="str">
        <f>'Indicator sheet_(IS)'!O78</f>
        <v>n.d.</v>
      </c>
      <c r="M93" s="453">
        <f>IF('Indicator sheet_(IS)'!P76=Berechnung1!$H$5,5,IF('Indicator sheet_(IS)'!P76=Berechnung1!$G$5,1,IF('Indicator sheet_(IS)'!P76=Berechnung1!$F$5,1,IF('Indicator sheet_(IS)'!P76=Berechnung1!$E$5,2,IF('Indicator sheet_(IS)'!P76=Berechnung1!$D$5,3,IF('Indicator sheet_(IS)'!P76=Berechnung1!$C$5,4,""))))))</f>
        <v>1</v>
      </c>
      <c r="N93" s="453">
        <f>IF(M93&gt;1,M93+3,M93)</f>
        <v>1</v>
      </c>
      <c r="O93" s="453">
        <f>IF('Indicator sheet_(IS)'!R76="",0,1)</f>
        <v>0</v>
      </c>
    </row>
    <row r="94" spans="1:15" x14ac:dyDescent="0.2">
      <c r="A94" s="85"/>
      <c r="C94" s="80"/>
      <c r="D94" s="81"/>
      <c r="E94" s="447"/>
      <c r="F94" s="447"/>
      <c r="G94" s="447"/>
      <c r="H94" s="447"/>
      <c r="I94" s="447"/>
      <c r="J94" s="447"/>
      <c r="K94" s="447"/>
      <c r="L94" s="447"/>
      <c r="M94" s="447"/>
      <c r="N94" s="447"/>
      <c r="O94" s="448"/>
    </row>
    <row r="95" spans="1:15" x14ac:dyDescent="0.2">
      <c r="A95" s="85"/>
      <c r="C95" s="80"/>
      <c r="D95" s="81"/>
      <c r="E95" s="447"/>
      <c r="F95" s="447"/>
      <c r="G95" s="447"/>
      <c r="H95" s="447"/>
      <c r="I95" s="447"/>
      <c r="J95" s="447"/>
      <c r="K95" s="447"/>
      <c r="L95" s="447"/>
      <c r="M95" s="447"/>
      <c r="N95" s="447"/>
      <c r="O95" s="448"/>
    </row>
    <row r="96" spans="1:15" x14ac:dyDescent="0.2">
      <c r="A96" s="85"/>
      <c r="C96" s="57">
        <v>20</v>
      </c>
      <c r="D96" s="57" t="s">
        <v>167</v>
      </c>
      <c r="E96" s="444">
        <v>0</v>
      </c>
      <c r="F96" s="444">
        <v>1000000000000</v>
      </c>
      <c r="G96" s="445">
        <v>200</v>
      </c>
      <c r="H96" s="444">
        <v>1000000000000000</v>
      </c>
      <c r="I96" s="444"/>
      <c r="J96" s="444">
        <v>-10000</v>
      </c>
      <c r="K96" s="444">
        <v>1000000000000</v>
      </c>
      <c r="L96" s="446">
        <f>SUM(Expertise_Lung!M27:M30)</f>
        <v>0</v>
      </c>
      <c r="M96" s="446">
        <f>IF('Indicator sheet_(IS)'!P79=Berechnung1!$G$5,1,IF('Indicator sheet_(IS)'!P79=Berechnung1!$F$5,1,IF('Indicator sheet_(IS)'!P79=Berechnung1!$E$5,2,IF('Indicator sheet_(IS)'!P79=Berechnung1!$D$5,3,IF('Indicator sheet_(IS)'!P79=Berechnung1!$C$5,4,"")))))</f>
        <v>1</v>
      </c>
      <c r="N96" s="446">
        <f>IF(M96&gt;1,M96+3,M96)</f>
        <v>1</v>
      </c>
      <c r="O96" s="446">
        <f>IF('Indicator sheet_(IS)'!R79="",0,1)</f>
        <v>0</v>
      </c>
    </row>
    <row r="97" spans="1:15" x14ac:dyDescent="0.2">
      <c r="A97" s="85"/>
      <c r="C97" s="80"/>
      <c r="D97" s="81"/>
      <c r="E97" s="447"/>
      <c r="F97" s="447"/>
      <c r="G97" s="447"/>
      <c r="H97" s="447"/>
      <c r="I97" s="447"/>
      <c r="J97" s="447"/>
      <c r="K97" s="447"/>
      <c r="L97" s="447"/>
      <c r="M97" s="447"/>
      <c r="N97" s="447"/>
      <c r="O97" s="448"/>
    </row>
    <row r="98" spans="1:15" x14ac:dyDescent="0.2">
      <c r="A98" s="85"/>
      <c r="C98" s="80"/>
      <c r="D98" s="81"/>
      <c r="E98" s="447"/>
      <c r="F98" s="447"/>
      <c r="G98" s="447"/>
      <c r="H98" s="447"/>
      <c r="I98" s="447"/>
      <c r="J98" s="447"/>
      <c r="K98" s="447"/>
      <c r="L98" s="447"/>
      <c r="M98" s="447"/>
      <c r="N98" s="447"/>
      <c r="O98" s="448"/>
    </row>
    <row r="99" spans="1:15" x14ac:dyDescent="0.2">
      <c r="A99" s="85"/>
      <c r="B99" s="7" t="s">
        <v>996</v>
      </c>
      <c r="C99" s="57">
        <v>21</v>
      </c>
      <c r="D99" s="57" t="s">
        <v>167</v>
      </c>
      <c r="E99" s="444">
        <v>0</v>
      </c>
      <c r="F99" s="444">
        <v>1</v>
      </c>
      <c r="G99" s="444">
        <v>-10000</v>
      </c>
      <c r="H99" s="444">
        <v>10000</v>
      </c>
      <c r="I99" s="444"/>
      <c r="J99" s="444">
        <v>-10000</v>
      </c>
      <c r="K99" s="444">
        <v>1000000000000</v>
      </c>
      <c r="L99" s="444" t="str">
        <f>'Indicator sheet_(IS)'!O84</f>
        <v>n.d.</v>
      </c>
      <c r="M99" s="446">
        <f>IF('Indicator sheet_(IS)'!P82=Berechnung1!$G$5,1,IF('Indicator sheet_(IS)'!P82=Berechnung1!$F$5,1,IF('Indicator sheet_(IS)'!P82=Berechnung1!$E$5,2,IF('Indicator sheet_(IS)'!P82=Berechnung1!$D$5,3,IF('Indicator sheet_(IS)'!P82=Berechnung1!$C$5,4,"")))))</f>
        <v>1</v>
      </c>
      <c r="N99" s="446">
        <f>IF(M99&gt;1,M99+3,M99)</f>
        <v>1</v>
      </c>
      <c r="O99" s="446">
        <f>IF('Indicator sheet_(IS)'!R82="",0,1)</f>
        <v>0</v>
      </c>
    </row>
    <row r="100" spans="1:15" x14ac:dyDescent="0.2">
      <c r="A100" s="85"/>
      <c r="C100" s="80"/>
      <c r="D100" s="81"/>
      <c r="E100" s="447"/>
      <c r="F100" s="447"/>
      <c r="G100" s="447"/>
      <c r="H100" s="447"/>
      <c r="I100" s="447"/>
      <c r="J100" s="447"/>
      <c r="K100" s="447"/>
      <c r="L100" s="447"/>
      <c r="M100" s="447"/>
      <c r="N100" s="447"/>
      <c r="O100" s="448"/>
    </row>
    <row r="101" spans="1:15" x14ac:dyDescent="0.2">
      <c r="A101" s="85"/>
      <c r="C101" s="80"/>
      <c r="D101" s="81"/>
      <c r="E101" s="447"/>
      <c r="F101" s="447"/>
      <c r="G101" s="447"/>
      <c r="H101" s="447"/>
      <c r="I101" s="447"/>
      <c r="J101" s="447"/>
      <c r="K101" s="447"/>
      <c r="L101" s="447"/>
      <c r="M101" s="447"/>
      <c r="N101" s="447"/>
      <c r="O101" s="448"/>
    </row>
    <row r="102" spans="1:15" x14ac:dyDescent="0.2">
      <c r="A102" s="85"/>
      <c r="C102" s="57">
        <v>22</v>
      </c>
      <c r="D102" s="57" t="s">
        <v>167</v>
      </c>
      <c r="E102" s="444">
        <v>0</v>
      </c>
      <c r="F102" s="444">
        <v>1</v>
      </c>
      <c r="G102" s="444">
        <v>0.25</v>
      </c>
      <c r="H102" s="444">
        <v>10000</v>
      </c>
      <c r="I102" s="444"/>
      <c r="J102" s="444">
        <v>-10000</v>
      </c>
      <c r="K102" s="444">
        <v>1000000000000</v>
      </c>
      <c r="L102" s="444" t="str">
        <f>'Indicator sheet_(IS)'!O87</f>
        <v>n.d.</v>
      </c>
      <c r="M102" s="446">
        <f>IF('Indicator sheet_(IS)'!P85=Berechnung1!$G$5,1,IF('Indicator sheet_(IS)'!P85=Berechnung1!$F$5,1,IF('Indicator sheet_(IS)'!P85=Berechnung1!$E$5,2,IF('Indicator sheet_(IS)'!P85=Berechnung1!$D$5,3,IF('Indicator sheet_(IS)'!P85=Berechnung1!$C$5,4,"")))))</f>
        <v>1</v>
      </c>
      <c r="N102" s="446">
        <f t="shared" ref="N102" si="3">IF(M102&gt;1,M102+3,M102)</f>
        <v>1</v>
      </c>
      <c r="O102" s="446">
        <f>IF('Indicator sheet_(IS)'!R85="",0,1)</f>
        <v>0</v>
      </c>
    </row>
    <row r="103" spans="1:15" x14ac:dyDescent="0.2">
      <c r="C103" s="30"/>
      <c r="D103" s="30"/>
      <c r="E103" s="30"/>
      <c r="F103" s="30"/>
      <c r="G103" s="30"/>
      <c r="H103" s="30"/>
      <c r="I103" s="30"/>
      <c r="J103" s="30"/>
      <c r="K103" s="30"/>
      <c r="L103" s="30"/>
      <c r="M103" s="456"/>
      <c r="N103" s="456"/>
      <c r="O103" s="30"/>
    </row>
    <row r="104" spans="1:15" ht="12.75" customHeight="1" x14ac:dyDescent="0.2">
      <c r="C104" s="30"/>
      <c r="D104" s="30"/>
      <c r="E104" s="30"/>
      <c r="F104" s="30"/>
      <c r="G104" s="30"/>
      <c r="H104" s="30"/>
      <c r="I104" s="30"/>
      <c r="J104" s="30"/>
      <c r="K104" s="30"/>
      <c r="L104" s="30"/>
      <c r="M104" s="456"/>
      <c r="N104" s="456"/>
      <c r="O104" s="30"/>
    </row>
    <row r="105" spans="1:15" ht="12.75" customHeight="1" x14ac:dyDescent="0.2">
      <c r="C105" s="57">
        <v>23</v>
      </c>
      <c r="D105" s="57" t="s">
        <v>167</v>
      </c>
      <c r="E105" s="444">
        <v>0</v>
      </c>
      <c r="F105" s="444">
        <v>1000000000000</v>
      </c>
      <c r="G105" s="444">
        <v>-10000</v>
      </c>
      <c r="H105" s="444">
        <v>1000000000000000</v>
      </c>
      <c r="I105" s="444"/>
      <c r="J105" s="444">
        <v>-10000</v>
      </c>
      <c r="K105" s="444">
        <v>1000000000000</v>
      </c>
      <c r="L105" s="444" t="str">
        <f>'Indicator sheet_(IS)'!O90</f>
        <v>n.d.</v>
      </c>
      <c r="M105" s="453">
        <f>IF('Indicator sheet_(IS)'!P88=Berechnung1!$G$5,1,IF('Indicator sheet_(IS)'!P88=Berechnung1!$F$5,1,IF('Indicator sheet_(IS)'!P88=Berechnung1!$E$5,2,IF('Indicator sheet_(IS)'!P88=Berechnung1!$D$5,3,IF('Indicator sheet_(IS)'!P88=Berechnung1!$C$5,4,"")))))</f>
        <v>1</v>
      </c>
      <c r="N105" s="453">
        <f>IF(M105&gt;1,M105+3,M105)</f>
        <v>1</v>
      </c>
      <c r="O105" s="453">
        <f>IF('Indicator sheet_(IS)'!R88="",0,1)</f>
        <v>0</v>
      </c>
    </row>
    <row r="106" spans="1:15" ht="12.75" customHeight="1" x14ac:dyDescent="0.2">
      <c r="C106" s="30"/>
      <c r="D106" s="30"/>
      <c r="E106" s="30"/>
      <c r="F106" s="30"/>
      <c r="G106" s="30"/>
      <c r="H106" s="30"/>
      <c r="I106" s="30"/>
      <c r="J106" s="30"/>
      <c r="K106" s="30"/>
      <c r="L106" s="30"/>
      <c r="M106" s="456"/>
      <c r="N106" s="456"/>
      <c r="O106" s="30"/>
    </row>
    <row r="107" spans="1:15" ht="12.75" customHeight="1" x14ac:dyDescent="0.2">
      <c r="C107" s="30"/>
      <c r="D107" s="30"/>
      <c r="E107" s="30"/>
      <c r="F107" s="30"/>
      <c r="G107" s="30"/>
      <c r="H107" s="30"/>
      <c r="I107" s="30"/>
      <c r="J107" s="30"/>
      <c r="K107" s="30"/>
      <c r="L107" s="30"/>
      <c r="M107" s="456"/>
      <c r="N107" s="456"/>
      <c r="O107" s="30"/>
    </row>
    <row r="108" spans="1:15" ht="12.75" customHeight="1" x14ac:dyDescent="0.2">
      <c r="B108" s="7" t="s">
        <v>521</v>
      </c>
      <c r="C108" s="381">
        <v>24</v>
      </c>
      <c r="D108" s="381" t="s">
        <v>167</v>
      </c>
      <c r="E108" s="380">
        <v>0</v>
      </c>
      <c r="F108" s="380">
        <v>1</v>
      </c>
      <c r="G108" s="449">
        <v>0.75</v>
      </c>
      <c r="H108" s="449">
        <v>10000</v>
      </c>
      <c r="I108" s="381"/>
      <c r="J108" s="450">
        <v>-10000</v>
      </c>
      <c r="K108" s="380">
        <v>10000</v>
      </c>
      <c r="L108" s="379" t="str">
        <f>'Indicator sheet_(IS)'!O93</f>
        <v>n.d.</v>
      </c>
      <c r="M108" s="452">
        <f>IF('Indicator sheet_(IS)'!P91=Berechnung1!$H$5,5,IF('Indicator sheet_(IS)'!P91=Berechnung1!$G$5,1,IF('Indicator sheet_(IS)'!P91=Berechnung1!$F$5,1,IF('Indicator sheet_(IS)'!P91=Berechnung1!$E$5,2,IF('Indicator sheet_(IS)'!P91=Berechnung1!$D$5,3,IF('Indicator sheet_(IS)'!P91=Berechnung1!$C$5,4,""))))))</f>
        <v>1</v>
      </c>
      <c r="N108" s="381">
        <f t="shared" ref="N108:N114" si="4">IF(M108&gt;1,M108+3,M108)</f>
        <v>1</v>
      </c>
      <c r="O108" s="381">
        <f>IF('Indicator sheet_(IS)'!R91="",0,1)</f>
        <v>0</v>
      </c>
    </row>
    <row r="109" spans="1:15" ht="12.75" customHeight="1" x14ac:dyDescent="0.2">
      <c r="C109" s="30"/>
      <c r="D109" s="30"/>
      <c r="E109" s="30"/>
      <c r="F109" s="30"/>
      <c r="G109" s="30"/>
      <c r="H109" s="30"/>
      <c r="I109" s="30"/>
      <c r="J109" s="30"/>
      <c r="K109" s="30"/>
      <c r="L109" s="30"/>
      <c r="M109" s="30"/>
      <c r="N109" s="30"/>
      <c r="O109" s="30"/>
    </row>
    <row r="110" spans="1:15" ht="12.75" customHeight="1" x14ac:dyDescent="0.2">
      <c r="C110" s="30"/>
      <c r="D110" s="30"/>
      <c r="E110" s="30"/>
      <c r="F110" s="30"/>
      <c r="G110" s="30"/>
      <c r="H110" s="30"/>
      <c r="I110" s="30"/>
      <c r="J110" s="30"/>
      <c r="K110" s="30"/>
      <c r="L110" s="30"/>
      <c r="M110" s="30"/>
      <c r="N110" s="30"/>
      <c r="O110" s="30"/>
    </row>
    <row r="111" spans="1:15" ht="12.75" customHeight="1" x14ac:dyDescent="0.2">
      <c r="B111" s="7" t="s">
        <v>521</v>
      </c>
      <c r="C111" s="381">
        <v>25</v>
      </c>
      <c r="D111" s="381" t="s">
        <v>167</v>
      </c>
      <c r="E111" s="449">
        <v>0</v>
      </c>
      <c r="F111" s="449">
        <v>1000000000000</v>
      </c>
      <c r="G111" s="449">
        <v>-10000</v>
      </c>
      <c r="H111" s="449">
        <v>1000000000000000</v>
      </c>
      <c r="I111" s="449"/>
      <c r="J111" s="449">
        <v>0.75</v>
      </c>
      <c r="K111" s="449">
        <v>1000000000000</v>
      </c>
      <c r="L111" s="379" t="str">
        <f>'Indicator sheet_(IS)'!O96</f>
        <v>n.d.</v>
      </c>
      <c r="M111" s="452">
        <f>IF('Indicator sheet_(IS)'!P94=Berechnung1!$H$5,5,IF('Indicator sheet_(IS)'!P94=Berechnung1!$G$5,1,IF('Indicator sheet_(IS)'!P94=Berechnung1!$F$5,1,IF('Indicator sheet_(IS)'!P94=Berechnung1!$E$5,2,IF('Indicator sheet_(IS)'!P94=Berechnung1!$D$5,3,IF('Indicator sheet_(IS)'!P94=Berechnung1!$C$5,4,""))))))</f>
        <v>1</v>
      </c>
      <c r="N111" s="452">
        <f>IF(M111&gt;1,M111+3,M111)</f>
        <v>1</v>
      </c>
      <c r="O111" s="452">
        <f>IF('Indicator sheet_(IS)'!R94="",0,1)</f>
        <v>0</v>
      </c>
    </row>
    <row r="112" spans="1:15" ht="12.75" customHeight="1" x14ac:dyDescent="0.2">
      <c r="C112" s="30"/>
      <c r="D112" s="30"/>
      <c r="E112" s="30"/>
      <c r="F112" s="30"/>
      <c r="G112" s="30"/>
      <c r="H112" s="30"/>
      <c r="I112" s="30"/>
      <c r="J112" s="30"/>
      <c r="K112" s="30"/>
      <c r="L112" s="30"/>
      <c r="M112" s="30"/>
      <c r="N112" s="30"/>
      <c r="O112" s="30"/>
    </row>
    <row r="113" spans="2:15" ht="12.75" customHeight="1" x14ac:dyDescent="0.2">
      <c r="C113" s="30"/>
      <c r="D113" s="30"/>
      <c r="E113" s="30"/>
      <c r="F113" s="30"/>
      <c r="G113" s="30"/>
      <c r="H113" s="30"/>
      <c r="I113" s="30"/>
      <c r="J113" s="30"/>
      <c r="K113" s="30"/>
      <c r="L113" s="30"/>
      <c r="M113" s="30"/>
      <c r="N113" s="30"/>
      <c r="O113" s="30"/>
    </row>
    <row r="114" spans="2:15" x14ac:dyDescent="0.2">
      <c r="B114" s="7" t="s">
        <v>521</v>
      </c>
      <c r="C114" s="381">
        <v>26</v>
      </c>
      <c r="D114" s="381" t="s">
        <v>167</v>
      </c>
      <c r="E114" s="380">
        <v>0</v>
      </c>
      <c r="F114" s="380">
        <v>1</v>
      </c>
      <c r="G114" s="449">
        <v>-10000</v>
      </c>
      <c r="H114" s="449">
        <v>10000</v>
      </c>
      <c r="I114" s="381"/>
      <c r="J114" s="450">
        <v>0.3</v>
      </c>
      <c r="K114" s="380">
        <v>10000</v>
      </c>
      <c r="L114" s="379" t="str">
        <f>'Indicator sheet_(IS)'!O99</f>
        <v>n.d.</v>
      </c>
      <c r="M114" s="452">
        <f>IF('Indicator sheet_(IS)'!P97=Berechnung1!$H$5,5,IF('Indicator sheet_(IS)'!P97=Berechnung1!$G$5,1,IF('Indicator sheet_(IS)'!P97=Berechnung1!$F$5,1,IF('Indicator sheet_(IS)'!P97=Berechnung1!$E$5,2,IF('Indicator sheet_(IS)'!P97=Berechnung1!$D$5,3,IF('Indicator sheet_(IS)'!P97=Berechnung1!$C$5,4,""))))))</f>
        <v>1</v>
      </c>
      <c r="N114" s="381">
        <f t="shared" si="4"/>
        <v>1</v>
      </c>
      <c r="O114" s="381">
        <f>IF('Indicator sheet_(IS)'!R97="",0,1)</f>
        <v>0</v>
      </c>
    </row>
    <row r="115" spans="2:15" x14ac:dyDescent="0.2">
      <c r="C115" s="30"/>
      <c r="D115" s="30"/>
      <c r="E115" s="30"/>
      <c r="F115" s="30"/>
      <c r="G115" s="30"/>
      <c r="H115" s="30"/>
      <c r="I115" s="30"/>
      <c r="J115" s="30"/>
      <c r="K115" s="30"/>
      <c r="L115" s="30"/>
      <c r="M115" s="30"/>
      <c r="N115" s="30"/>
      <c r="O115" s="30"/>
    </row>
    <row r="116" spans="2:15" x14ac:dyDescent="0.2">
      <c r="C116" s="30"/>
      <c r="D116" s="30"/>
      <c r="E116" s="30"/>
      <c r="F116" s="30"/>
      <c r="G116" s="30"/>
      <c r="H116" s="30"/>
      <c r="I116" s="30"/>
      <c r="J116" s="30"/>
      <c r="K116" s="30"/>
      <c r="L116" s="30"/>
      <c r="M116" s="30"/>
      <c r="N116" s="30"/>
      <c r="O116" s="30"/>
    </row>
    <row r="117" spans="2:15" x14ac:dyDescent="0.2">
      <c r="B117" s="7" t="s">
        <v>521</v>
      </c>
      <c r="C117" s="381">
        <v>27</v>
      </c>
      <c r="D117" s="381" t="s">
        <v>167</v>
      </c>
      <c r="E117" s="449">
        <v>0</v>
      </c>
      <c r="F117" s="449">
        <v>1000000000000</v>
      </c>
      <c r="G117" s="449">
        <v>-10000</v>
      </c>
      <c r="H117" s="449">
        <v>1000000000000000</v>
      </c>
      <c r="I117" s="449"/>
      <c r="J117" s="449">
        <v>-10000</v>
      </c>
      <c r="K117" s="449">
        <v>1000000000000</v>
      </c>
      <c r="L117" s="379" t="str">
        <f>'Indicator sheet_(IS)'!O102</f>
        <v>n.d.</v>
      </c>
      <c r="M117" s="452">
        <f>IF('Indicator sheet_(IS)'!P100=Berechnung1!$H$5,5,IF('Indicator sheet_(IS)'!P100=Berechnung1!$G$5,1,IF('Indicator sheet_(IS)'!P100=Berechnung1!$F$5,1,IF('Indicator sheet_(IS)'!P100=Berechnung1!$E$5,2,IF('Indicator sheet_(IS)'!P100=Berechnung1!$D$5,3,IF('Indicator sheet_(IS)'!P100=Berechnung1!$C$5,4,""))))))</f>
        <v>1</v>
      </c>
      <c r="N117" s="452">
        <f>IF(M117&gt;1,M117+3,M117)</f>
        <v>1</v>
      </c>
      <c r="O117" s="452">
        <f>IF('Indicator sheet_(IS)'!R100="",0,1)</f>
        <v>0</v>
      </c>
    </row>
    <row r="118" spans="2:15" x14ac:dyDescent="0.2">
      <c r="C118" s="30"/>
      <c r="D118" s="30"/>
      <c r="E118" s="30"/>
      <c r="F118" s="30"/>
      <c r="G118" s="30"/>
      <c r="H118" s="30"/>
      <c r="I118" s="30"/>
      <c r="J118" s="30"/>
      <c r="K118" s="30"/>
      <c r="L118" s="30"/>
      <c r="M118" s="30"/>
      <c r="N118" s="30"/>
      <c r="O118" s="30"/>
    </row>
    <row r="119" spans="2:15" x14ac:dyDescent="0.2">
      <c r="C119" s="30"/>
      <c r="D119" s="30"/>
      <c r="E119" s="30"/>
      <c r="F119" s="30"/>
      <c r="G119" s="30"/>
      <c r="H119" s="30"/>
      <c r="I119" s="30"/>
      <c r="J119" s="30"/>
      <c r="K119" s="30"/>
      <c r="L119" s="30"/>
      <c r="M119" s="30"/>
      <c r="N119" s="30"/>
      <c r="O119" s="30"/>
    </row>
    <row r="120" spans="2:15" x14ac:dyDescent="0.2">
      <c r="B120" s="7" t="s">
        <v>521</v>
      </c>
      <c r="C120" s="381">
        <v>28</v>
      </c>
      <c r="D120" s="381" t="s">
        <v>167</v>
      </c>
      <c r="E120" s="449">
        <v>0</v>
      </c>
      <c r="F120" s="449">
        <v>1000000000000</v>
      </c>
      <c r="G120" s="449">
        <v>-10000</v>
      </c>
      <c r="H120" s="449">
        <v>1000000000000000</v>
      </c>
      <c r="I120" s="449"/>
      <c r="J120" s="449">
        <v>-10000</v>
      </c>
      <c r="K120" s="449">
        <v>1000000000000</v>
      </c>
      <c r="L120" s="379" t="str">
        <f>'Indicator sheet_(IS)'!O105</f>
        <v>n.d.</v>
      </c>
      <c r="M120" s="452">
        <f>IF('Indicator sheet_(IS)'!P103=Berechnung1!$H$5,5,IF('Indicator sheet_(IS)'!P103=Berechnung1!$G$5,1,IF('Indicator sheet_(IS)'!P103=Berechnung1!$F$5,1,IF('Indicator sheet_(IS)'!P103=Berechnung1!$E$5,2,IF('Indicator sheet_(IS)'!P103=Berechnung1!$D$5,3,IF('Indicator sheet_(IS)'!P103=Berechnung1!$C$5,4,""))))))</f>
        <v>1</v>
      </c>
      <c r="N120" s="452">
        <f>IF(M120&gt;1,M120+3,M120)</f>
        <v>1</v>
      </c>
      <c r="O120" s="452">
        <f>IF('Indicator sheet_(IS)'!R103="",0,1)</f>
        <v>0</v>
      </c>
    </row>
    <row r="121" spans="2:15" x14ac:dyDescent="0.2">
      <c r="C121" s="30"/>
      <c r="D121" s="30"/>
      <c r="E121" s="30"/>
      <c r="F121" s="30"/>
      <c r="G121" s="30"/>
      <c r="H121" s="30"/>
      <c r="I121" s="30"/>
      <c r="J121" s="30"/>
      <c r="K121" s="30"/>
      <c r="L121" s="30"/>
      <c r="M121" s="30"/>
      <c r="N121" s="30"/>
      <c r="O121" s="30"/>
    </row>
    <row r="122" spans="2:15" x14ac:dyDescent="0.2">
      <c r="C122" s="30"/>
      <c r="D122" s="30"/>
      <c r="E122" s="30"/>
      <c r="F122" s="30"/>
      <c r="G122" s="30"/>
      <c r="H122" s="30"/>
      <c r="I122" s="30"/>
      <c r="J122" s="30"/>
      <c r="K122" s="30"/>
      <c r="L122" s="30"/>
      <c r="M122" s="30"/>
      <c r="N122" s="30"/>
      <c r="O122" s="30"/>
    </row>
    <row r="123" spans="2:15" x14ac:dyDescent="0.2">
      <c r="C123" s="57">
        <v>29</v>
      </c>
      <c r="D123" s="57" t="s">
        <v>167</v>
      </c>
      <c r="E123" s="348">
        <v>0</v>
      </c>
      <c r="F123" s="348">
        <v>1</v>
      </c>
      <c r="G123" s="444">
        <v>-10000</v>
      </c>
      <c r="H123" s="444">
        <v>10000</v>
      </c>
      <c r="I123" s="57"/>
      <c r="J123" s="348">
        <v>-10000</v>
      </c>
      <c r="K123" s="459">
        <v>0.05</v>
      </c>
      <c r="L123" s="349" t="str">
        <f>'Indicator sheet_(IS)'!O108</f>
        <v>n.d.</v>
      </c>
      <c r="M123" s="57">
        <f>IF('Indicator sheet_(IS)'!P106=Berechnung1!$H$5,5,IF('Indicator sheet_(IS)'!P106=Berechnung1!$G$5,1,IF('Indicator sheet_(IS)'!P106=Berechnung1!$F$5,1,IF('Indicator sheet_(IS)'!P106=Berechnung1!$E$5,2,IF('Indicator sheet_(IS)'!P106=Berechnung1!$D$5,3,IF('Indicator sheet_(IS)'!P106=Berechnung1!$C$5,4,""))))))</f>
        <v>1</v>
      </c>
      <c r="N123" s="57">
        <f>IF(M123&gt;1,M123+3,M123)</f>
        <v>1</v>
      </c>
      <c r="O123" s="57">
        <f>IF('Indicator sheet_(IS)'!R106="",0,1)</f>
        <v>0</v>
      </c>
    </row>
    <row r="124" spans="2:15" x14ac:dyDescent="0.2">
      <c r="C124" s="30"/>
      <c r="D124" s="30"/>
      <c r="E124" s="30"/>
      <c r="F124" s="30"/>
      <c r="G124" s="30"/>
      <c r="H124" s="30"/>
      <c r="I124" s="30"/>
      <c r="J124" s="30"/>
      <c r="K124" s="30"/>
      <c r="L124" s="30"/>
      <c r="M124" s="30"/>
      <c r="N124" s="30"/>
      <c r="O124" s="30"/>
    </row>
    <row r="125" spans="2:15" x14ac:dyDescent="0.2">
      <c r="C125" s="30"/>
      <c r="D125" s="30"/>
      <c r="E125" s="30"/>
      <c r="F125" s="30"/>
      <c r="G125" s="30"/>
      <c r="H125" s="30"/>
      <c r="I125" s="30"/>
      <c r="J125" s="30"/>
      <c r="K125" s="30"/>
      <c r="L125" s="30"/>
      <c r="M125" s="30"/>
      <c r="N125" s="30"/>
      <c r="O125" s="30"/>
    </row>
    <row r="126" spans="2:15" x14ac:dyDescent="0.2">
      <c r="C126" s="57">
        <v>30</v>
      </c>
      <c r="D126" s="57" t="s">
        <v>167</v>
      </c>
      <c r="E126" s="348">
        <v>0</v>
      </c>
      <c r="F126" s="348">
        <v>1</v>
      </c>
      <c r="G126" s="444">
        <v>-10000</v>
      </c>
      <c r="H126" s="444">
        <v>10000</v>
      </c>
      <c r="I126" s="57"/>
      <c r="J126" s="348">
        <v>0.6</v>
      </c>
      <c r="K126" s="444">
        <v>10000</v>
      </c>
      <c r="L126" s="349" t="str">
        <f>'Indicator sheet_(IS)'!O111</f>
        <v>n.d.</v>
      </c>
      <c r="M126" s="446">
        <f>IF('Indicator sheet_(IS)'!P109=Berechnung1!$G$5,1,IF('Indicator sheet_(IS)'!P109=Berechnung1!$F$5,1,IF('Indicator sheet_(IS)'!P109=Berechnung1!$E$5,2,IF('Indicator sheet_(IS)'!P109=Berechnung1!$D$5,3,IF('Indicator sheet_(IS)'!P109=Berechnung1!$C$5,4,"")))))</f>
        <v>1</v>
      </c>
      <c r="N126" s="57">
        <f>IF(M126&gt;1,M126+3,M126)</f>
        <v>1</v>
      </c>
      <c r="O126" s="57">
        <f>IF('Indicator sheet_(IS)'!R109="",0,1)</f>
        <v>0</v>
      </c>
    </row>
    <row r="127" spans="2:15" x14ac:dyDescent="0.2">
      <c r="C127" s="30"/>
      <c r="D127" s="30"/>
      <c r="E127" s="30"/>
      <c r="F127" s="30"/>
      <c r="G127" s="30"/>
      <c r="H127" s="30"/>
      <c r="I127" s="30"/>
      <c r="J127" s="30"/>
      <c r="K127" s="30"/>
      <c r="L127" s="30"/>
      <c r="M127" s="30"/>
      <c r="N127" s="30"/>
      <c r="O127" s="30"/>
    </row>
    <row r="128" spans="2:15" x14ac:dyDescent="0.2">
      <c r="C128" s="30"/>
      <c r="D128" s="30"/>
      <c r="E128" s="30"/>
      <c r="F128" s="30"/>
      <c r="G128" s="30"/>
      <c r="H128" s="30"/>
      <c r="I128" s="30"/>
      <c r="J128" s="30"/>
      <c r="K128" s="30"/>
      <c r="L128" s="30"/>
      <c r="M128" s="30"/>
      <c r="N128" s="30"/>
      <c r="O128" s="30"/>
    </row>
    <row r="129" spans="3:15" x14ac:dyDescent="0.2">
      <c r="C129" s="57">
        <v>31</v>
      </c>
      <c r="D129" s="57" t="s">
        <v>167</v>
      </c>
      <c r="E129" s="348">
        <v>0</v>
      </c>
      <c r="F129" s="348">
        <v>1</v>
      </c>
      <c r="G129" s="444">
        <v>0.75</v>
      </c>
      <c r="H129" s="444">
        <v>10000</v>
      </c>
      <c r="I129" s="57"/>
      <c r="J129" s="348">
        <v>-10000</v>
      </c>
      <c r="K129" s="444">
        <v>10000</v>
      </c>
      <c r="L129" s="349" t="str">
        <f>'Indicator sheet_(IS)'!O114</f>
        <v>n.d.</v>
      </c>
      <c r="M129" s="446">
        <f>IF('Indicator sheet_(IS)'!P112=Berechnung1!$G$5,1,IF('Indicator sheet_(IS)'!P112=Berechnung1!$F$5,1,IF('Indicator sheet_(IS)'!P112=Berechnung1!$E$5,2,IF('Indicator sheet_(IS)'!P112=Berechnung1!$D$5,3,IF('Indicator sheet_(IS)'!P112=Berechnung1!$C$5,4,"")))))</f>
        <v>1</v>
      </c>
      <c r="N129" s="57">
        <f>IF(M129&gt;1,M129+3,M129)</f>
        <v>1</v>
      </c>
      <c r="O129" s="57">
        <f>IF('Indicator sheet_(IS)'!R112="",0,1)</f>
        <v>0</v>
      </c>
    </row>
    <row r="130" spans="3:15" x14ac:dyDescent="0.2">
      <c r="C130" s="30"/>
      <c r="D130" s="30"/>
      <c r="E130" s="30"/>
      <c r="F130" s="30"/>
      <c r="G130" s="30"/>
      <c r="H130" s="30"/>
      <c r="I130" s="30"/>
      <c r="J130" s="30"/>
      <c r="K130" s="30"/>
      <c r="L130" s="30"/>
      <c r="M130" s="30"/>
      <c r="N130" s="30"/>
      <c r="O130" s="30"/>
    </row>
    <row r="131" spans="3:15" x14ac:dyDescent="0.2">
      <c r="C131" s="30"/>
      <c r="D131" s="30"/>
      <c r="E131" s="30"/>
      <c r="F131" s="30"/>
      <c r="G131" s="30"/>
      <c r="H131" s="30"/>
      <c r="I131" s="30"/>
      <c r="J131" s="30"/>
      <c r="K131" s="30"/>
      <c r="L131" s="30"/>
      <c r="M131" s="30"/>
      <c r="N131" s="30"/>
      <c r="O131" s="30"/>
    </row>
    <row r="132" spans="3:15" x14ac:dyDescent="0.2">
      <c r="C132" s="57">
        <v>32</v>
      </c>
      <c r="D132" s="57" t="s">
        <v>167</v>
      </c>
      <c r="E132" s="348">
        <v>0</v>
      </c>
      <c r="F132" s="348">
        <v>1</v>
      </c>
      <c r="G132" s="444">
        <v>0.75</v>
      </c>
      <c r="H132" s="444">
        <v>10000</v>
      </c>
      <c r="I132" s="57"/>
      <c r="J132" s="348">
        <v>-10000</v>
      </c>
      <c r="K132" s="444">
        <v>10000</v>
      </c>
      <c r="L132" s="349" t="str">
        <f>'Indicator sheet_(IS)'!O117</f>
        <v>n.d.</v>
      </c>
      <c r="M132" s="446">
        <f>IF('Indicator sheet_(IS)'!P115=Berechnung1!$G$5,1,IF('Indicator sheet_(IS)'!P115=Berechnung1!$F$5,1,IF('Indicator sheet_(IS)'!P115=Berechnung1!$E$5,2,IF('Indicator sheet_(IS)'!P115=Berechnung1!$D$5,3,IF('Indicator sheet_(IS)'!P115=Berechnung1!$C$5,4,"")))))</f>
        <v>1</v>
      </c>
      <c r="N132" s="57">
        <f>IF(M132&gt;1,M132+3,M132)</f>
        <v>1</v>
      </c>
      <c r="O132" s="57">
        <f>IF('Indicator sheet_(IS)'!R115="",0,1)</f>
        <v>0</v>
      </c>
    </row>
    <row r="133" spans="3:15" x14ac:dyDescent="0.2">
      <c r="C133" s="30"/>
      <c r="D133" s="30"/>
      <c r="E133" s="30"/>
      <c r="F133" s="30"/>
      <c r="G133" s="30"/>
      <c r="H133" s="30"/>
      <c r="I133" s="30"/>
      <c r="J133" s="30"/>
      <c r="K133" s="30"/>
      <c r="L133" s="30"/>
      <c r="M133" s="30"/>
      <c r="N133" s="30"/>
      <c r="O133" s="30"/>
    </row>
    <row r="134" spans="3:15" x14ac:dyDescent="0.2">
      <c r="C134" s="30"/>
      <c r="D134" s="30"/>
      <c r="E134" s="30"/>
      <c r="F134" s="30"/>
      <c r="G134" s="30"/>
      <c r="H134" s="30"/>
      <c r="I134" s="30"/>
      <c r="J134" s="30"/>
      <c r="K134" s="30"/>
      <c r="L134" s="30"/>
      <c r="M134" s="30"/>
      <c r="N134" s="30"/>
      <c r="O134" s="30"/>
    </row>
  </sheetData>
  <pageMargins left="0.7" right="0.7" top="0.78740157499999996" bottom="0.78740157499999996" header="0.3" footer="0.3"/>
  <pageSetup paperSize="9" orientation="portrait" horizontalDpi="200" verticalDpi="200"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113"/>
  <sheetViews>
    <sheetView workbookViewId="0">
      <selection activeCell="T42" sqref="T42:U44"/>
    </sheetView>
  </sheetViews>
  <sheetFormatPr defaultColWidth="8.85546875" defaultRowHeight="15" x14ac:dyDescent="0.25"/>
  <sheetData>
    <row r="1" spans="1:27" ht="15.75" thickBot="1" x14ac:dyDescent="0.3">
      <c r="A1" s="757" t="s">
        <v>766</v>
      </c>
      <c r="B1" s="757" t="s">
        <v>853</v>
      </c>
      <c r="C1" s="757" t="s">
        <v>743</v>
      </c>
      <c r="D1" s="759" t="s">
        <v>767</v>
      </c>
      <c r="E1" s="760"/>
      <c r="F1" s="759" t="s">
        <v>768</v>
      </c>
      <c r="G1" s="760"/>
      <c r="H1" s="754" t="s">
        <v>769</v>
      </c>
      <c r="I1" s="755"/>
      <c r="J1" s="751" t="s">
        <v>770</v>
      </c>
      <c r="K1" s="753" t="s">
        <v>745</v>
      </c>
      <c r="L1" s="753"/>
      <c r="M1" s="751" t="s">
        <v>770</v>
      </c>
      <c r="O1" s="757" t="s">
        <v>766</v>
      </c>
      <c r="P1" s="757" t="s">
        <v>853</v>
      </c>
      <c r="Q1" s="757" t="s">
        <v>743</v>
      </c>
      <c r="R1" s="759" t="s">
        <v>767</v>
      </c>
      <c r="S1" s="760"/>
      <c r="T1" s="759" t="s">
        <v>768</v>
      </c>
      <c r="U1" s="760"/>
      <c r="V1" s="754" t="s">
        <v>769</v>
      </c>
      <c r="W1" s="755"/>
      <c r="X1" s="751" t="s">
        <v>770</v>
      </c>
      <c r="Y1" s="753" t="s">
        <v>745</v>
      </c>
      <c r="Z1" s="753"/>
      <c r="AA1" s="751" t="s">
        <v>770</v>
      </c>
    </row>
    <row r="2" spans="1:27" ht="15.75" thickBot="1" x14ac:dyDescent="0.3">
      <c r="A2" s="758"/>
      <c r="B2" s="758"/>
      <c r="C2" s="758"/>
      <c r="D2" s="761"/>
      <c r="E2" s="762"/>
      <c r="F2" s="761"/>
      <c r="G2" s="762"/>
      <c r="H2" s="756"/>
      <c r="I2" s="755"/>
      <c r="J2" s="752"/>
      <c r="K2" s="753"/>
      <c r="L2" s="753"/>
      <c r="M2" s="752"/>
      <c r="O2" s="758"/>
      <c r="P2" s="758"/>
      <c r="Q2" s="758"/>
      <c r="R2" s="761"/>
      <c r="S2" s="762"/>
      <c r="T2" s="761"/>
      <c r="U2" s="762"/>
      <c r="V2" s="756"/>
      <c r="W2" s="755"/>
      <c r="X2" s="752"/>
      <c r="Y2" s="753"/>
      <c r="Z2" s="753"/>
      <c r="AA2" s="752"/>
    </row>
    <row r="3" spans="1:27" x14ac:dyDescent="0.25">
      <c r="A3" s="577" t="s">
        <v>815</v>
      </c>
      <c r="B3" s="580" t="s">
        <v>237</v>
      </c>
      <c r="C3" s="661" t="s">
        <v>773</v>
      </c>
      <c r="D3" s="583" t="s">
        <v>774</v>
      </c>
      <c r="E3" s="586"/>
      <c r="F3" s="583" t="s">
        <v>799</v>
      </c>
      <c r="G3" s="586"/>
      <c r="H3" s="583" t="s">
        <v>225</v>
      </c>
      <c r="I3" s="586"/>
      <c r="J3" s="707"/>
      <c r="K3" s="589" t="s">
        <v>265</v>
      </c>
      <c r="L3" s="710"/>
      <c r="M3" s="707"/>
      <c r="O3" s="577" t="s">
        <v>815</v>
      </c>
      <c r="P3" s="580" t="s">
        <v>237</v>
      </c>
      <c r="Q3" s="661" t="s">
        <v>773</v>
      </c>
      <c r="R3" s="583" t="s">
        <v>774</v>
      </c>
      <c r="S3" s="586"/>
      <c r="T3" s="583" t="s">
        <v>799</v>
      </c>
      <c r="U3" s="586"/>
      <c r="V3" s="583" t="s">
        <v>225</v>
      </c>
      <c r="W3" s="586"/>
      <c r="X3" s="707"/>
      <c r="Y3" s="589" t="s">
        <v>265</v>
      </c>
      <c r="Z3" s="710"/>
      <c r="AA3" s="707"/>
    </row>
    <row r="4" spans="1:27" x14ac:dyDescent="0.25">
      <c r="A4" s="602"/>
      <c r="B4" s="603"/>
      <c r="C4" s="668"/>
      <c r="D4" s="584"/>
      <c r="E4" s="587"/>
      <c r="F4" s="584"/>
      <c r="G4" s="587"/>
      <c r="H4" s="584"/>
      <c r="I4" s="587"/>
      <c r="J4" s="708"/>
      <c r="K4" s="601"/>
      <c r="L4" s="711"/>
      <c r="M4" s="708"/>
      <c r="O4" s="602"/>
      <c r="P4" s="603"/>
      <c r="Q4" s="668"/>
      <c r="R4" s="584"/>
      <c r="S4" s="587"/>
      <c r="T4" s="584"/>
      <c r="U4" s="587"/>
      <c r="V4" s="584"/>
      <c r="W4" s="587"/>
      <c r="X4" s="708"/>
      <c r="Y4" s="601"/>
      <c r="Z4" s="711"/>
      <c r="AA4" s="708"/>
    </row>
    <row r="5" spans="1:27" ht="15.75" thickBot="1" x14ac:dyDescent="0.3">
      <c r="A5" s="598"/>
      <c r="B5" s="599"/>
      <c r="C5" s="669"/>
      <c r="D5" s="585"/>
      <c r="E5" s="588"/>
      <c r="F5" s="585"/>
      <c r="G5" s="588"/>
      <c r="H5" s="585"/>
      <c r="I5" s="588"/>
      <c r="J5" s="709"/>
      <c r="K5" s="664"/>
      <c r="L5" s="712"/>
      <c r="M5" s="709"/>
      <c r="O5" s="598"/>
      <c r="P5" s="599"/>
      <c r="Q5" s="669"/>
      <c r="R5" s="585"/>
      <c r="S5" s="588"/>
      <c r="T5" s="585"/>
      <c r="U5" s="588"/>
      <c r="V5" s="585"/>
      <c r="W5" s="588"/>
      <c r="X5" s="709"/>
      <c r="Y5" s="664"/>
      <c r="Z5" s="712"/>
      <c r="AA5" s="709"/>
    </row>
    <row r="6" spans="1:27" x14ac:dyDescent="0.25">
      <c r="A6" s="577" t="s">
        <v>816</v>
      </c>
      <c r="B6" s="805"/>
      <c r="C6" s="661" t="s">
        <v>817</v>
      </c>
      <c r="D6" s="706" t="s">
        <v>225</v>
      </c>
      <c r="E6" s="747"/>
      <c r="F6" s="583" t="s">
        <v>817</v>
      </c>
      <c r="G6" s="747"/>
      <c r="H6" s="706" t="s">
        <v>225</v>
      </c>
      <c r="I6" s="747"/>
      <c r="J6" s="577"/>
      <c r="K6" s="798" t="s">
        <v>777</v>
      </c>
      <c r="L6" s="799"/>
      <c r="M6" s="577"/>
      <c r="O6" s="577" t="s">
        <v>816</v>
      </c>
      <c r="P6" s="805"/>
      <c r="Q6" s="661" t="s">
        <v>817</v>
      </c>
      <c r="R6" s="706" t="s">
        <v>225</v>
      </c>
      <c r="S6" s="747"/>
      <c r="T6" s="583" t="s">
        <v>817</v>
      </c>
      <c r="U6" s="747"/>
      <c r="V6" s="706" t="s">
        <v>225</v>
      </c>
      <c r="W6" s="747"/>
      <c r="X6" s="577"/>
      <c r="Y6" s="798" t="s">
        <v>777</v>
      </c>
      <c r="Z6" s="799"/>
      <c r="AA6" s="577"/>
    </row>
    <row r="7" spans="1:27" x14ac:dyDescent="0.25">
      <c r="A7" s="578"/>
      <c r="B7" s="806"/>
      <c r="C7" s="662"/>
      <c r="D7" s="600"/>
      <c r="E7" s="748"/>
      <c r="F7" s="600"/>
      <c r="G7" s="748"/>
      <c r="H7" s="600"/>
      <c r="I7" s="748"/>
      <c r="J7" s="578"/>
      <c r="K7" s="800"/>
      <c r="L7" s="801"/>
      <c r="M7" s="578"/>
      <c r="O7" s="578"/>
      <c r="P7" s="806"/>
      <c r="Q7" s="662"/>
      <c r="R7" s="600"/>
      <c r="S7" s="748"/>
      <c r="T7" s="600"/>
      <c r="U7" s="748"/>
      <c r="V7" s="600"/>
      <c r="W7" s="748"/>
      <c r="X7" s="578"/>
      <c r="Y7" s="800"/>
      <c r="Z7" s="801"/>
      <c r="AA7" s="578"/>
    </row>
    <row r="8" spans="1:27" ht="15.75" thickBot="1" x14ac:dyDescent="0.3">
      <c r="A8" s="579"/>
      <c r="B8" s="807"/>
      <c r="C8" s="663"/>
      <c r="D8" s="660"/>
      <c r="E8" s="749"/>
      <c r="F8" s="660"/>
      <c r="G8" s="749"/>
      <c r="H8" s="660"/>
      <c r="I8" s="749"/>
      <c r="J8" s="579"/>
      <c r="K8" s="802"/>
      <c r="L8" s="803"/>
      <c r="M8" s="579"/>
      <c r="O8" s="579"/>
      <c r="P8" s="807"/>
      <c r="Q8" s="663"/>
      <c r="R8" s="660"/>
      <c r="S8" s="749"/>
      <c r="T8" s="660"/>
      <c r="U8" s="749"/>
      <c r="V8" s="660"/>
      <c r="W8" s="749"/>
      <c r="X8" s="579"/>
      <c r="Y8" s="802"/>
      <c r="Z8" s="803"/>
      <c r="AA8" s="579"/>
    </row>
    <row r="9" spans="1:27" x14ac:dyDescent="0.25">
      <c r="A9" s="577" t="s">
        <v>235</v>
      </c>
      <c r="B9" s="580" t="s">
        <v>238</v>
      </c>
      <c r="C9" s="661" t="s">
        <v>818</v>
      </c>
      <c r="D9" s="583" t="s">
        <v>819</v>
      </c>
      <c r="E9" s="586"/>
      <c r="F9" s="583" t="s">
        <v>820</v>
      </c>
      <c r="G9" s="586"/>
      <c r="H9" s="583" t="s">
        <v>841</v>
      </c>
      <c r="I9" s="586"/>
      <c r="J9" s="707"/>
      <c r="K9" s="772" t="s">
        <v>258</v>
      </c>
      <c r="L9" s="710"/>
      <c r="M9" s="707"/>
      <c r="O9" s="577" t="s">
        <v>235</v>
      </c>
      <c r="P9" s="580" t="s">
        <v>238</v>
      </c>
      <c r="Q9" s="661" t="s">
        <v>818</v>
      </c>
      <c r="R9" s="583" t="s">
        <v>819</v>
      </c>
      <c r="S9" s="586"/>
      <c r="T9" s="583" t="s">
        <v>820</v>
      </c>
      <c r="U9" s="586"/>
      <c r="V9" s="583" t="s">
        <v>841</v>
      </c>
      <c r="W9" s="586"/>
      <c r="X9" s="707"/>
      <c r="Y9" s="772" t="s">
        <v>258</v>
      </c>
      <c r="Z9" s="710"/>
      <c r="AA9" s="707"/>
    </row>
    <row r="10" spans="1:27" x14ac:dyDescent="0.25">
      <c r="A10" s="602"/>
      <c r="B10" s="603"/>
      <c r="C10" s="668"/>
      <c r="D10" s="584"/>
      <c r="E10" s="587"/>
      <c r="F10" s="584"/>
      <c r="G10" s="587"/>
      <c r="H10" s="584"/>
      <c r="I10" s="587"/>
      <c r="J10" s="708"/>
      <c r="K10" s="601"/>
      <c r="L10" s="711"/>
      <c r="M10" s="708"/>
      <c r="O10" s="602"/>
      <c r="P10" s="603"/>
      <c r="Q10" s="668"/>
      <c r="R10" s="584"/>
      <c r="S10" s="587"/>
      <c r="T10" s="584"/>
      <c r="U10" s="587"/>
      <c r="V10" s="584"/>
      <c r="W10" s="587"/>
      <c r="X10" s="708"/>
      <c r="Y10" s="601"/>
      <c r="Z10" s="711"/>
      <c r="AA10" s="708"/>
    </row>
    <row r="11" spans="1:27" ht="15.75" thickBot="1" x14ac:dyDescent="0.3">
      <c r="A11" s="598"/>
      <c r="B11" s="599"/>
      <c r="C11" s="669"/>
      <c r="D11" s="585"/>
      <c r="E11" s="588"/>
      <c r="F11" s="585"/>
      <c r="G11" s="588"/>
      <c r="H11" s="585"/>
      <c r="I11" s="588"/>
      <c r="J11" s="709"/>
      <c r="K11" s="664"/>
      <c r="L11" s="712"/>
      <c r="M11" s="709"/>
      <c r="O11" s="598"/>
      <c r="P11" s="599"/>
      <c r="Q11" s="669"/>
      <c r="R11" s="585"/>
      <c r="S11" s="588"/>
      <c r="T11" s="585"/>
      <c r="U11" s="588"/>
      <c r="V11" s="585"/>
      <c r="W11" s="588"/>
      <c r="X11" s="709"/>
      <c r="Y11" s="664"/>
      <c r="Z11" s="712"/>
      <c r="AA11" s="709"/>
    </row>
    <row r="12" spans="1:27" x14ac:dyDescent="0.25">
      <c r="A12" s="577" t="s">
        <v>236</v>
      </c>
      <c r="B12" s="580" t="s">
        <v>238</v>
      </c>
      <c r="C12" s="661" t="s">
        <v>854</v>
      </c>
      <c r="D12" s="583" t="s">
        <v>855</v>
      </c>
      <c r="E12" s="586"/>
      <c r="F12" s="583" t="s">
        <v>856</v>
      </c>
      <c r="G12" s="586"/>
      <c r="H12" s="583" t="s">
        <v>776</v>
      </c>
      <c r="I12" s="586"/>
      <c r="J12" s="707"/>
      <c r="K12" s="772" t="s">
        <v>390</v>
      </c>
      <c r="L12" s="710"/>
      <c r="M12" s="707"/>
      <c r="O12" s="577" t="s">
        <v>236</v>
      </c>
      <c r="P12" s="580" t="s">
        <v>238</v>
      </c>
      <c r="Q12" s="661" t="s">
        <v>854</v>
      </c>
      <c r="R12" s="583" t="s">
        <v>855</v>
      </c>
      <c r="S12" s="586"/>
      <c r="T12" s="583" t="s">
        <v>856</v>
      </c>
      <c r="U12" s="586"/>
      <c r="V12" s="583" t="s">
        <v>776</v>
      </c>
      <c r="W12" s="586"/>
      <c r="X12" s="707"/>
      <c r="Y12" s="772" t="s">
        <v>390</v>
      </c>
      <c r="Z12" s="710"/>
      <c r="AA12" s="707"/>
    </row>
    <row r="13" spans="1:27" x14ac:dyDescent="0.25">
      <c r="A13" s="602"/>
      <c r="B13" s="603"/>
      <c r="C13" s="668"/>
      <c r="D13" s="584"/>
      <c r="E13" s="587"/>
      <c r="F13" s="584"/>
      <c r="G13" s="587"/>
      <c r="H13" s="584"/>
      <c r="I13" s="587"/>
      <c r="J13" s="708"/>
      <c r="K13" s="601"/>
      <c r="L13" s="711"/>
      <c r="M13" s="708"/>
      <c r="O13" s="602"/>
      <c r="P13" s="603"/>
      <c r="Q13" s="668"/>
      <c r="R13" s="584"/>
      <c r="S13" s="587"/>
      <c r="T13" s="584"/>
      <c r="U13" s="587"/>
      <c r="V13" s="584"/>
      <c r="W13" s="587"/>
      <c r="X13" s="708"/>
      <c r="Y13" s="601"/>
      <c r="Z13" s="711"/>
      <c r="AA13" s="708"/>
    </row>
    <row r="14" spans="1:27" ht="15.75" thickBot="1" x14ac:dyDescent="0.3">
      <c r="A14" s="598"/>
      <c r="B14" s="599"/>
      <c r="C14" s="669"/>
      <c r="D14" s="585"/>
      <c r="E14" s="588"/>
      <c r="F14" s="585"/>
      <c r="G14" s="588"/>
      <c r="H14" s="585"/>
      <c r="I14" s="588"/>
      <c r="J14" s="709"/>
      <c r="K14" s="664"/>
      <c r="L14" s="712"/>
      <c r="M14" s="709"/>
      <c r="O14" s="598"/>
      <c r="P14" s="599"/>
      <c r="Q14" s="669"/>
      <c r="R14" s="585"/>
      <c r="S14" s="588"/>
      <c r="T14" s="585"/>
      <c r="U14" s="588"/>
      <c r="V14" s="585"/>
      <c r="W14" s="588"/>
      <c r="X14" s="709"/>
      <c r="Y14" s="664"/>
      <c r="Z14" s="712"/>
      <c r="AA14" s="709"/>
    </row>
    <row r="15" spans="1:27" x14ac:dyDescent="0.25">
      <c r="A15" s="577">
        <v>3</v>
      </c>
      <c r="B15" s="580" t="s">
        <v>239</v>
      </c>
      <c r="C15" s="661" t="s">
        <v>821</v>
      </c>
      <c r="D15" s="583" t="s">
        <v>822</v>
      </c>
      <c r="E15" s="586"/>
      <c r="F15" s="583" t="s">
        <v>823</v>
      </c>
      <c r="G15" s="586"/>
      <c r="H15" s="583" t="s">
        <v>825</v>
      </c>
      <c r="I15" s="586"/>
      <c r="J15" s="707"/>
      <c r="K15" s="589" t="s">
        <v>390</v>
      </c>
      <c r="L15" s="710"/>
      <c r="M15" s="707"/>
      <c r="O15" s="641">
        <v>3</v>
      </c>
      <c r="P15" s="580" t="s">
        <v>239</v>
      </c>
      <c r="Q15" s="661" t="s">
        <v>821</v>
      </c>
      <c r="R15" s="583" t="s">
        <v>822</v>
      </c>
      <c r="S15" s="586"/>
      <c r="T15" s="583" t="s">
        <v>823</v>
      </c>
      <c r="U15" s="586"/>
      <c r="V15" s="583" t="s">
        <v>825</v>
      </c>
      <c r="W15" s="586"/>
      <c r="X15" s="707"/>
      <c r="Y15" s="589" t="s">
        <v>390</v>
      </c>
      <c r="Z15" s="710"/>
      <c r="AA15" s="707"/>
    </row>
    <row r="16" spans="1:27" x14ac:dyDescent="0.25">
      <c r="A16" s="602"/>
      <c r="B16" s="603"/>
      <c r="C16" s="668"/>
      <c r="D16" s="584"/>
      <c r="E16" s="587"/>
      <c r="F16" s="584"/>
      <c r="G16" s="587"/>
      <c r="H16" s="584"/>
      <c r="I16" s="587"/>
      <c r="J16" s="708"/>
      <c r="K16" s="601"/>
      <c r="L16" s="711"/>
      <c r="M16" s="708"/>
      <c r="O16" s="642"/>
      <c r="P16" s="603"/>
      <c r="Q16" s="668"/>
      <c r="R16" s="584"/>
      <c r="S16" s="587"/>
      <c r="T16" s="584"/>
      <c r="U16" s="587"/>
      <c r="V16" s="584"/>
      <c r="W16" s="587"/>
      <c r="X16" s="708"/>
      <c r="Y16" s="601"/>
      <c r="Z16" s="711"/>
      <c r="AA16" s="708"/>
    </row>
    <row r="17" spans="1:27" ht="15.75" thickBot="1" x14ac:dyDescent="0.3">
      <c r="A17" s="598"/>
      <c r="B17" s="599"/>
      <c r="C17" s="669"/>
      <c r="D17" s="585"/>
      <c r="E17" s="588"/>
      <c r="F17" s="585"/>
      <c r="G17" s="588"/>
      <c r="H17" s="585"/>
      <c r="I17" s="588"/>
      <c r="J17" s="709"/>
      <c r="K17" s="664"/>
      <c r="L17" s="712"/>
      <c r="M17" s="709"/>
      <c r="O17" s="643"/>
      <c r="P17" s="599"/>
      <c r="Q17" s="669"/>
      <c r="R17" s="585"/>
      <c r="S17" s="588"/>
      <c r="T17" s="585"/>
      <c r="U17" s="588"/>
      <c r="V17" s="585"/>
      <c r="W17" s="588"/>
      <c r="X17" s="709"/>
      <c r="Y17" s="664"/>
      <c r="Z17" s="712"/>
      <c r="AA17" s="709"/>
    </row>
    <row r="18" spans="1:27" x14ac:dyDescent="0.25">
      <c r="A18" s="577" t="s">
        <v>948</v>
      </c>
      <c r="B18" s="580"/>
      <c r="C18" s="661" t="s">
        <v>870</v>
      </c>
      <c r="D18" s="583" t="s">
        <v>871</v>
      </c>
      <c r="E18" s="586"/>
      <c r="F18" s="583" t="s">
        <v>872</v>
      </c>
      <c r="G18" s="586"/>
      <c r="H18" s="583" t="s">
        <v>873</v>
      </c>
      <c r="I18" s="586"/>
      <c r="J18" s="707"/>
      <c r="K18" s="589" t="s">
        <v>777</v>
      </c>
      <c r="L18" s="710"/>
      <c r="M18" s="707"/>
      <c r="O18" s="810" t="s">
        <v>956</v>
      </c>
      <c r="P18" s="827"/>
      <c r="Q18" s="655" t="s">
        <v>870</v>
      </c>
      <c r="R18" s="647" t="s">
        <v>871</v>
      </c>
      <c r="S18" s="650"/>
      <c r="T18" s="647" t="s">
        <v>872</v>
      </c>
      <c r="U18" s="650"/>
      <c r="V18" s="647" t="s">
        <v>873</v>
      </c>
      <c r="W18" s="650"/>
      <c r="X18" s="720"/>
      <c r="Y18" s="604" t="s">
        <v>777</v>
      </c>
      <c r="Z18" s="821"/>
      <c r="AA18" s="720"/>
    </row>
    <row r="19" spans="1:27" x14ac:dyDescent="0.25">
      <c r="A19" s="602"/>
      <c r="B19" s="603"/>
      <c r="C19" s="668"/>
      <c r="D19" s="584"/>
      <c r="E19" s="587"/>
      <c r="F19" s="584"/>
      <c r="G19" s="587"/>
      <c r="H19" s="584"/>
      <c r="I19" s="587"/>
      <c r="J19" s="708"/>
      <c r="K19" s="601"/>
      <c r="L19" s="711"/>
      <c r="M19" s="708"/>
      <c r="O19" s="811"/>
      <c r="P19" s="814"/>
      <c r="Q19" s="816"/>
      <c r="R19" s="648"/>
      <c r="S19" s="651"/>
      <c r="T19" s="648"/>
      <c r="U19" s="651"/>
      <c r="V19" s="648"/>
      <c r="W19" s="651"/>
      <c r="X19" s="721"/>
      <c r="Y19" s="822"/>
      <c r="Z19" s="823"/>
      <c r="AA19" s="721"/>
    </row>
    <row r="20" spans="1:27" ht="15.75" thickBot="1" x14ac:dyDescent="0.3">
      <c r="A20" s="598"/>
      <c r="B20" s="599"/>
      <c r="C20" s="669"/>
      <c r="D20" s="585"/>
      <c r="E20" s="588"/>
      <c r="F20" s="585"/>
      <c r="G20" s="588"/>
      <c r="H20" s="585"/>
      <c r="I20" s="588"/>
      <c r="J20" s="709"/>
      <c r="K20" s="664"/>
      <c r="L20" s="712"/>
      <c r="M20" s="709"/>
      <c r="O20" s="812"/>
      <c r="P20" s="815"/>
      <c r="Q20" s="817"/>
      <c r="R20" s="649"/>
      <c r="S20" s="652"/>
      <c r="T20" s="649"/>
      <c r="U20" s="652"/>
      <c r="V20" s="649"/>
      <c r="W20" s="652"/>
      <c r="X20" s="722"/>
      <c r="Y20" s="824"/>
      <c r="Z20" s="825"/>
      <c r="AA20" s="722"/>
    </row>
    <row r="21" spans="1:27" x14ac:dyDescent="0.25">
      <c r="A21" s="577" t="s">
        <v>949</v>
      </c>
      <c r="B21" s="580"/>
      <c r="C21" s="661" t="s">
        <v>874</v>
      </c>
      <c r="D21" s="583" t="s">
        <v>875</v>
      </c>
      <c r="E21" s="586"/>
      <c r="F21" s="583" t="s">
        <v>876</v>
      </c>
      <c r="G21" s="586"/>
      <c r="H21" s="583" t="s">
        <v>877</v>
      </c>
      <c r="I21" s="586"/>
      <c r="J21" s="707"/>
      <c r="K21" s="589" t="s">
        <v>878</v>
      </c>
      <c r="L21" s="710"/>
      <c r="M21" s="707"/>
      <c r="O21" s="810" t="s">
        <v>957</v>
      </c>
      <c r="P21" s="827"/>
      <c r="Q21" s="655" t="s">
        <v>874</v>
      </c>
      <c r="R21" s="647" t="s">
        <v>875</v>
      </c>
      <c r="S21" s="650"/>
      <c r="T21" s="647" t="s">
        <v>876</v>
      </c>
      <c r="U21" s="650"/>
      <c r="V21" s="647" t="s">
        <v>877</v>
      </c>
      <c r="W21" s="650"/>
      <c r="X21" s="720"/>
      <c r="Y21" s="604" t="s">
        <v>878</v>
      </c>
      <c r="Z21" s="821"/>
      <c r="AA21" s="720"/>
    </row>
    <row r="22" spans="1:27" x14ac:dyDescent="0.25">
      <c r="A22" s="602"/>
      <c r="B22" s="603"/>
      <c r="C22" s="668"/>
      <c r="D22" s="584"/>
      <c r="E22" s="587"/>
      <c r="F22" s="584"/>
      <c r="G22" s="587"/>
      <c r="H22" s="584"/>
      <c r="I22" s="587"/>
      <c r="J22" s="708"/>
      <c r="K22" s="601"/>
      <c r="L22" s="711"/>
      <c r="M22" s="708"/>
      <c r="O22" s="811"/>
      <c r="P22" s="814"/>
      <c r="Q22" s="816"/>
      <c r="R22" s="648"/>
      <c r="S22" s="651"/>
      <c r="T22" s="648"/>
      <c r="U22" s="651"/>
      <c r="V22" s="648"/>
      <c r="W22" s="651"/>
      <c r="X22" s="721"/>
      <c r="Y22" s="822"/>
      <c r="Z22" s="823"/>
      <c r="AA22" s="721"/>
    </row>
    <row r="23" spans="1:27" ht="15.75" thickBot="1" x14ac:dyDescent="0.3">
      <c r="A23" s="598"/>
      <c r="B23" s="599"/>
      <c r="C23" s="669"/>
      <c r="D23" s="585"/>
      <c r="E23" s="588"/>
      <c r="F23" s="585"/>
      <c r="G23" s="588"/>
      <c r="H23" s="585"/>
      <c r="I23" s="588"/>
      <c r="J23" s="709"/>
      <c r="K23" s="664"/>
      <c r="L23" s="712"/>
      <c r="M23" s="709"/>
      <c r="O23" s="812"/>
      <c r="P23" s="815"/>
      <c r="Q23" s="817"/>
      <c r="R23" s="649"/>
      <c r="S23" s="652"/>
      <c r="T23" s="649"/>
      <c r="U23" s="652"/>
      <c r="V23" s="649"/>
      <c r="W23" s="652"/>
      <c r="X23" s="722"/>
      <c r="Y23" s="824"/>
      <c r="Z23" s="825"/>
      <c r="AA23" s="722"/>
    </row>
    <row r="24" spans="1:27" x14ac:dyDescent="0.25">
      <c r="A24" s="577">
        <v>6</v>
      </c>
      <c r="B24" s="580"/>
      <c r="C24" s="661" t="s">
        <v>778</v>
      </c>
      <c r="D24" s="583" t="s">
        <v>879</v>
      </c>
      <c r="E24" s="586"/>
      <c r="F24" s="583" t="s">
        <v>800</v>
      </c>
      <c r="G24" s="586"/>
      <c r="H24" s="583" t="s">
        <v>824</v>
      </c>
      <c r="I24" s="586"/>
      <c r="J24" s="784" t="s">
        <v>429</v>
      </c>
      <c r="K24" s="589" t="s">
        <v>777</v>
      </c>
      <c r="L24" s="710"/>
      <c r="M24" s="707" t="s">
        <v>275</v>
      </c>
      <c r="O24" s="577">
        <v>6</v>
      </c>
      <c r="P24" s="580"/>
      <c r="Q24" s="661" t="s">
        <v>958</v>
      </c>
      <c r="R24" s="583" t="s">
        <v>879</v>
      </c>
      <c r="S24" s="586"/>
      <c r="T24" s="583" t="s">
        <v>800</v>
      </c>
      <c r="U24" s="586"/>
      <c r="V24" s="583" t="s">
        <v>824</v>
      </c>
      <c r="W24" s="586"/>
      <c r="X24" s="784" t="s">
        <v>429</v>
      </c>
      <c r="Y24" s="589" t="s">
        <v>777</v>
      </c>
      <c r="Z24" s="710"/>
      <c r="AA24" s="707" t="s">
        <v>275</v>
      </c>
    </row>
    <row r="25" spans="1:27" x14ac:dyDescent="0.25">
      <c r="A25" s="602"/>
      <c r="B25" s="603"/>
      <c r="C25" s="668"/>
      <c r="D25" s="584"/>
      <c r="E25" s="587"/>
      <c r="F25" s="584"/>
      <c r="G25" s="587"/>
      <c r="H25" s="584"/>
      <c r="I25" s="587"/>
      <c r="J25" s="708"/>
      <c r="K25" s="601"/>
      <c r="L25" s="711"/>
      <c r="M25" s="708"/>
      <c r="O25" s="602"/>
      <c r="P25" s="603"/>
      <c r="Q25" s="668"/>
      <c r="R25" s="584"/>
      <c r="S25" s="587"/>
      <c r="T25" s="584"/>
      <c r="U25" s="587"/>
      <c r="V25" s="584"/>
      <c r="W25" s="587"/>
      <c r="X25" s="708"/>
      <c r="Y25" s="601"/>
      <c r="Z25" s="711"/>
      <c r="AA25" s="708"/>
    </row>
    <row r="26" spans="1:27" ht="15.75" thickBot="1" x14ac:dyDescent="0.3">
      <c r="A26" s="598"/>
      <c r="B26" s="599"/>
      <c r="C26" s="669"/>
      <c r="D26" s="585"/>
      <c r="E26" s="588"/>
      <c r="F26" s="585"/>
      <c r="G26" s="588"/>
      <c r="H26" s="585"/>
      <c r="I26" s="588"/>
      <c r="J26" s="709"/>
      <c r="K26" s="664"/>
      <c r="L26" s="712"/>
      <c r="M26" s="709"/>
      <c r="O26" s="598"/>
      <c r="P26" s="599"/>
      <c r="Q26" s="669"/>
      <c r="R26" s="585"/>
      <c r="S26" s="588"/>
      <c r="T26" s="585"/>
      <c r="U26" s="588"/>
      <c r="V26" s="585"/>
      <c r="W26" s="588"/>
      <c r="X26" s="709"/>
      <c r="Y26" s="664"/>
      <c r="Z26" s="712"/>
      <c r="AA26" s="709"/>
    </row>
    <row r="27" spans="1:27" x14ac:dyDescent="0.25">
      <c r="A27" s="577">
        <v>7</v>
      </c>
      <c r="B27" s="580" t="s">
        <v>240</v>
      </c>
      <c r="C27" s="661" t="s">
        <v>801</v>
      </c>
      <c r="D27" s="583" t="s">
        <v>779</v>
      </c>
      <c r="E27" s="586"/>
      <c r="F27" s="583" t="s">
        <v>780</v>
      </c>
      <c r="G27" s="586"/>
      <c r="H27" s="583" t="s">
        <v>826</v>
      </c>
      <c r="I27" s="586"/>
      <c r="J27" s="707"/>
      <c r="K27" s="589" t="s">
        <v>391</v>
      </c>
      <c r="L27" s="710"/>
      <c r="M27" s="707"/>
      <c r="O27" s="577">
        <v>7</v>
      </c>
      <c r="P27" s="580" t="s">
        <v>240</v>
      </c>
      <c r="Q27" s="661" t="s">
        <v>959</v>
      </c>
      <c r="R27" s="583" t="s">
        <v>779</v>
      </c>
      <c r="S27" s="586"/>
      <c r="T27" s="583" t="s">
        <v>780</v>
      </c>
      <c r="U27" s="586"/>
      <c r="V27" s="583" t="s">
        <v>826</v>
      </c>
      <c r="W27" s="586"/>
      <c r="X27" s="707"/>
      <c r="Y27" s="589" t="s">
        <v>391</v>
      </c>
      <c r="Z27" s="710"/>
      <c r="AA27" s="707"/>
    </row>
    <row r="28" spans="1:27" x14ac:dyDescent="0.25">
      <c r="A28" s="602"/>
      <c r="B28" s="603"/>
      <c r="C28" s="668"/>
      <c r="D28" s="584"/>
      <c r="E28" s="587"/>
      <c r="F28" s="584"/>
      <c r="G28" s="587"/>
      <c r="H28" s="584"/>
      <c r="I28" s="587"/>
      <c r="J28" s="708"/>
      <c r="K28" s="601"/>
      <c r="L28" s="711"/>
      <c r="M28" s="708"/>
      <c r="O28" s="602"/>
      <c r="P28" s="603"/>
      <c r="Q28" s="668"/>
      <c r="R28" s="584"/>
      <c r="S28" s="587"/>
      <c r="T28" s="584"/>
      <c r="U28" s="587"/>
      <c r="V28" s="584"/>
      <c r="W28" s="587"/>
      <c r="X28" s="708"/>
      <c r="Y28" s="601"/>
      <c r="Z28" s="711"/>
      <c r="AA28" s="708"/>
    </row>
    <row r="29" spans="1:27" ht="15.75" thickBot="1" x14ac:dyDescent="0.3">
      <c r="A29" s="598"/>
      <c r="B29" s="599"/>
      <c r="C29" s="669"/>
      <c r="D29" s="585"/>
      <c r="E29" s="588"/>
      <c r="F29" s="585"/>
      <c r="G29" s="588"/>
      <c r="H29" s="585"/>
      <c r="I29" s="588"/>
      <c r="J29" s="709"/>
      <c r="K29" s="664"/>
      <c r="L29" s="712"/>
      <c r="M29" s="709"/>
      <c r="O29" s="598"/>
      <c r="P29" s="599"/>
      <c r="Q29" s="669"/>
      <c r="R29" s="585"/>
      <c r="S29" s="588"/>
      <c r="T29" s="585"/>
      <c r="U29" s="588"/>
      <c r="V29" s="585"/>
      <c r="W29" s="588"/>
      <c r="X29" s="709"/>
      <c r="Y29" s="664"/>
      <c r="Z29" s="712"/>
      <c r="AA29" s="709"/>
    </row>
    <row r="30" spans="1:27" x14ac:dyDescent="0.25">
      <c r="A30" s="577">
        <v>8</v>
      </c>
      <c r="B30" s="580" t="s">
        <v>241</v>
      </c>
      <c r="C30" s="661" t="s">
        <v>781</v>
      </c>
      <c r="D30" s="583" t="s">
        <v>774</v>
      </c>
      <c r="E30" s="586"/>
      <c r="F30" s="583" t="s">
        <v>782</v>
      </c>
      <c r="G30" s="586"/>
      <c r="H30" s="583" t="s">
        <v>225</v>
      </c>
      <c r="I30" s="586"/>
      <c r="J30" s="707"/>
      <c r="K30" s="589" t="s">
        <v>257</v>
      </c>
      <c r="L30" s="710"/>
      <c r="M30" s="707"/>
      <c r="O30" s="577">
        <v>8</v>
      </c>
      <c r="P30" s="580" t="s">
        <v>241</v>
      </c>
      <c r="Q30" s="661" t="s">
        <v>781</v>
      </c>
      <c r="R30" s="583" t="s">
        <v>774</v>
      </c>
      <c r="S30" s="586"/>
      <c r="T30" s="583" t="s">
        <v>782</v>
      </c>
      <c r="U30" s="586"/>
      <c r="V30" s="583" t="s">
        <v>225</v>
      </c>
      <c r="W30" s="586"/>
      <c r="X30" s="707"/>
      <c r="Y30" s="589" t="s">
        <v>257</v>
      </c>
      <c r="Z30" s="710"/>
      <c r="AA30" s="707"/>
    </row>
    <row r="31" spans="1:27" x14ac:dyDescent="0.25">
      <c r="A31" s="602"/>
      <c r="B31" s="603"/>
      <c r="C31" s="668"/>
      <c r="D31" s="584"/>
      <c r="E31" s="587"/>
      <c r="F31" s="584"/>
      <c r="G31" s="587"/>
      <c r="H31" s="584"/>
      <c r="I31" s="587"/>
      <c r="J31" s="708"/>
      <c r="K31" s="601"/>
      <c r="L31" s="711"/>
      <c r="M31" s="708"/>
      <c r="O31" s="602"/>
      <c r="P31" s="603"/>
      <c r="Q31" s="668"/>
      <c r="R31" s="584"/>
      <c r="S31" s="587"/>
      <c r="T31" s="584"/>
      <c r="U31" s="587"/>
      <c r="V31" s="584"/>
      <c r="W31" s="587"/>
      <c r="X31" s="708"/>
      <c r="Y31" s="601"/>
      <c r="Z31" s="711"/>
      <c r="AA31" s="708"/>
    </row>
    <row r="32" spans="1:27" ht="15.75" thickBot="1" x14ac:dyDescent="0.3">
      <c r="A32" s="598"/>
      <c r="B32" s="599"/>
      <c r="C32" s="669"/>
      <c r="D32" s="585"/>
      <c r="E32" s="588"/>
      <c r="F32" s="585"/>
      <c r="G32" s="588"/>
      <c r="H32" s="585"/>
      <c r="I32" s="588"/>
      <c r="J32" s="709"/>
      <c r="K32" s="664"/>
      <c r="L32" s="712"/>
      <c r="M32" s="709"/>
      <c r="O32" s="598"/>
      <c r="P32" s="599"/>
      <c r="Q32" s="669"/>
      <c r="R32" s="585"/>
      <c r="S32" s="588"/>
      <c r="T32" s="585"/>
      <c r="U32" s="588"/>
      <c r="V32" s="585"/>
      <c r="W32" s="588"/>
      <c r="X32" s="709"/>
      <c r="Y32" s="664"/>
      <c r="Z32" s="712"/>
      <c r="AA32" s="709"/>
    </row>
    <row r="33" spans="1:27" x14ac:dyDescent="0.25">
      <c r="A33" s="577">
        <v>9</v>
      </c>
      <c r="B33" s="580" t="s">
        <v>241</v>
      </c>
      <c r="C33" s="661" t="s">
        <v>783</v>
      </c>
      <c r="D33" s="583" t="s">
        <v>774</v>
      </c>
      <c r="E33" s="586"/>
      <c r="F33" s="583" t="s">
        <v>810</v>
      </c>
      <c r="G33" s="586"/>
      <c r="H33" s="583" t="s">
        <v>225</v>
      </c>
      <c r="I33" s="586"/>
      <c r="J33" s="707"/>
      <c r="K33" s="589" t="s">
        <v>393</v>
      </c>
      <c r="L33" s="710"/>
      <c r="M33" s="720"/>
      <c r="O33" s="577">
        <v>9</v>
      </c>
      <c r="P33" s="580" t="s">
        <v>241</v>
      </c>
      <c r="Q33" s="661" t="s">
        <v>783</v>
      </c>
      <c r="R33" s="583" t="s">
        <v>774</v>
      </c>
      <c r="S33" s="586"/>
      <c r="T33" s="583" t="s">
        <v>960</v>
      </c>
      <c r="U33" s="586"/>
      <c r="V33" s="583" t="s">
        <v>225</v>
      </c>
      <c r="W33" s="586"/>
      <c r="X33" s="707"/>
      <c r="Y33" s="589" t="s">
        <v>393</v>
      </c>
      <c r="Z33" s="710"/>
      <c r="AA33" s="720"/>
    </row>
    <row r="34" spans="1:27" x14ac:dyDescent="0.25">
      <c r="A34" s="602"/>
      <c r="B34" s="603"/>
      <c r="C34" s="668"/>
      <c r="D34" s="584"/>
      <c r="E34" s="587"/>
      <c r="F34" s="584"/>
      <c r="G34" s="587"/>
      <c r="H34" s="584"/>
      <c r="I34" s="587"/>
      <c r="J34" s="708"/>
      <c r="K34" s="601"/>
      <c r="L34" s="711"/>
      <c r="M34" s="721"/>
      <c r="O34" s="602"/>
      <c r="P34" s="603"/>
      <c r="Q34" s="668"/>
      <c r="R34" s="584"/>
      <c r="S34" s="587"/>
      <c r="T34" s="584"/>
      <c r="U34" s="587"/>
      <c r="V34" s="584"/>
      <c r="W34" s="587"/>
      <c r="X34" s="708"/>
      <c r="Y34" s="601"/>
      <c r="Z34" s="711"/>
      <c r="AA34" s="721"/>
    </row>
    <row r="35" spans="1:27" ht="39.75" customHeight="1" thickBot="1" x14ac:dyDescent="0.3">
      <c r="A35" s="598"/>
      <c r="B35" s="599"/>
      <c r="C35" s="669"/>
      <c r="D35" s="585"/>
      <c r="E35" s="588"/>
      <c r="F35" s="585"/>
      <c r="G35" s="588"/>
      <c r="H35" s="585"/>
      <c r="I35" s="588"/>
      <c r="J35" s="709"/>
      <c r="K35" s="664"/>
      <c r="L35" s="712"/>
      <c r="M35" s="722"/>
      <c r="O35" s="598"/>
      <c r="P35" s="599"/>
      <c r="Q35" s="669"/>
      <c r="R35" s="585"/>
      <c r="S35" s="588"/>
      <c r="T35" s="585"/>
      <c r="U35" s="588"/>
      <c r="V35" s="585"/>
      <c r="W35" s="588"/>
      <c r="X35" s="709"/>
      <c r="Y35" s="664"/>
      <c r="Z35" s="712"/>
      <c r="AA35" s="722"/>
    </row>
    <row r="36" spans="1:27" x14ac:dyDescent="0.25">
      <c r="A36" s="577" t="s">
        <v>950</v>
      </c>
      <c r="B36" s="580" t="s">
        <v>842</v>
      </c>
      <c r="C36" s="661" t="s">
        <v>880</v>
      </c>
      <c r="D36" s="583" t="s">
        <v>881</v>
      </c>
      <c r="E36" s="586"/>
      <c r="F36" s="583" t="s">
        <v>882</v>
      </c>
      <c r="G36" s="586"/>
      <c r="H36" s="583" t="s">
        <v>883</v>
      </c>
      <c r="I36" s="586"/>
      <c r="J36" s="707"/>
      <c r="K36" s="589" t="s">
        <v>777</v>
      </c>
      <c r="L36" s="710"/>
      <c r="M36" s="707"/>
      <c r="O36" s="810" t="s">
        <v>961</v>
      </c>
      <c r="P36" s="644" t="s">
        <v>842</v>
      </c>
      <c r="Q36" s="655" t="s">
        <v>880</v>
      </c>
      <c r="R36" s="647" t="s">
        <v>881</v>
      </c>
      <c r="S36" s="650"/>
      <c r="T36" s="647" t="s">
        <v>882</v>
      </c>
      <c r="U36" s="650"/>
      <c r="V36" s="647" t="s">
        <v>883</v>
      </c>
      <c r="W36" s="650"/>
      <c r="X36" s="720"/>
      <c r="Y36" s="604" t="s">
        <v>777</v>
      </c>
      <c r="Z36" s="821"/>
      <c r="AA36" s="720"/>
    </row>
    <row r="37" spans="1:27" x14ac:dyDescent="0.25">
      <c r="A37" s="602"/>
      <c r="B37" s="603"/>
      <c r="C37" s="668"/>
      <c r="D37" s="584"/>
      <c r="E37" s="587"/>
      <c r="F37" s="584"/>
      <c r="G37" s="587"/>
      <c r="H37" s="584"/>
      <c r="I37" s="587"/>
      <c r="J37" s="708"/>
      <c r="K37" s="601"/>
      <c r="L37" s="711"/>
      <c r="M37" s="708"/>
      <c r="O37" s="811"/>
      <c r="P37" s="645"/>
      <c r="Q37" s="816"/>
      <c r="R37" s="648"/>
      <c r="S37" s="651"/>
      <c r="T37" s="648"/>
      <c r="U37" s="651"/>
      <c r="V37" s="648"/>
      <c r="W37" s="651"/>
      <c r="X37" s="721"/>
      <c r="Y37" s="822"/>
      <c r="Z37" s="823"/>
      <c r="AA37" s="721"/>
    </row>
    <row r="38" spans="1:27" ht="15.75" thickBot="1" x14ac:dyDescent="0.3">
      <c r="A38" s="598"/>
      <c r="B38" s="599"/>
      <c r="C38" s="669"/>
      <c r="D38" s="585"/>
      <c r="E38" s="588"/>
      <c r="F38" s="585"/>
      <c r="G38" s="588"/>
      <c r="H38" s="585"/>
      <c r="I38" s="588"/>
      <c r="J38" s="709"/>
      <c r="K38" s="664"/>
      <c r="L38" s="712"/>
      <c r="M38" s="709"/>
      <c r="O38" s="812"/>
      <c r="P38" s="646"/>
      <c r="Q38" s="817"/>
      <c r="R38" s="649"/>
      <c r="S38" s="652"/>
      <c r="T38" s="649"/>
      <c r="U38" s="652"/>
      <c r="V38" s="649"/>
      <c r="W38" s="652"/>
      <c r="X38" s="722"/>
      <c r="Y38" s="824"/>
      <c r="Z38" s="825"/>
      <c r="AA38" s="722"/>
    </row>
    <row r="39" spans="1:27" x14ac:dyDescent="0.25">
      <c r="A39" s="577" t="s">
        <v>884</v>
      </c>
      <c r="B39" s="580" t="s">
        <v>242</v>
      </c>
      <c r="C39" s="661" t="s">
        <v>784</v>
      </c>
      <c r="D39" s="583" t="s">
        <v>774</v>
      </c>
      <c r="E39" s="747"/>
      <c r="F39" s="583" t="s">
        <v>827</v>
      </c>
      <c r="G39" s="586"/>
      <c r="H39" s="583" t="s">
        <v>225</v>
      </c>
      <c r="I39" s="586"/>
      <c r="J39" s="707"/>
      <c r="K39" s="589" t="s">
        <v>777</v>
      </c>
      <c r="L39" s="710"/>
      <c r="M39" s="720"/>
      <c r="O39" s="577" t="s">
        <v>884</v>
      </c>
      <c r="P39" s="580" t="s">
        <v>242</v>
      </c>
      <c r="Q39" s="661" t="s">
        <v>784</v>
      </c>
      <c r="R39" s="583" t="s">
        <v>774</v>
      </c>
      <c r="S39" s="747"/>
      <c r="T39" s="583" t="s">
        <v>962</v>
      </c>
      <c r="U39" s="586"/>
      <c r="V39" s="583" t="s">
        <v>225</v>
      </c>
      <c r="W39" s="586"/>
      <c r="X39" s="707"/>
      <c r="Y39" s="589" t="s">
        <v>777</v>
      </c>
      <c r="Z39" s="710"/>
      <c r="AA39" s="720"/>
    </row>
    <row r="40" spans="1:27" x14ac:dyDescent="0.25">
      <c r="A40" s="602"/>
      <c r="B40" s="581"/>
      <c r="C40" s="662"/>
      <c r="D40" s="600"/>
      <c r="E40" s="748"/>
      <c r="F40" s="584"/>
      <c r="G40" s="587"/>
      <c r="H40" s="584"/>
      <c r="I40" s="587"/>
      <c r="J40" s="708"/>
      <c r="K40" s="601"/>
      <c r="L40" s="711"/>
      <c r="M40" s="721"/>
      <c r="O40" s="602"/>
      <c r="P40" s="581"/>
      <c r="Q40" s="662"/>
      <c r="R40" s="600"/>
      <c r="S40" s="748"/>
      <c r="T40" s="584"/>
      <c r="U40" s="587"/>
      <c r="V40" s="584"/>
      <c r="W40" s="587"/>
      <c r="X40" s="708"/>
      <c r="Y40" s="601"/>
      <c r="Z40" s="711"/>
      <c r="AA40" s="721"/>
    </row>
    <row r="41" spans="1:27" ht="70.5" customHeight="1" thickBot="1" x14ac:dyDescent="0.3">
      <c r="A41" s="598"/>
      <c r="B41" s="581"/>
      <c r="C41" s="662"/>
      <c r="D41" s="600"/>
      <c r="E41" s="748"/>
      <c r="F41" s="585"/>
      <c r="G41" s="588"/>
      <c r="H41" s="585"/>
      <c r="I41" s="588"/>
      <c r="J41" s="709"/>
      <c r="K41" s="664"/>
      <c r="L41" s="712"/>
      <c r="M41" s="722"/>
      <c r="O41" s="598"/>
      <c r="P41" s="581"/>
      <c r="Q41" s="662"/>
      <c r="R41" s="600"/>
      <c r="S41" s="748"/>
      <c r="T41" s="585"/>
      <c r="U41" s="588"/>
      <c r="V41" s="585"/>
      <c r="W41" s="588"/>
      <c r="X41" s="709"/>
      <c r="Y41" s="664"/>
      <c r="Z41" s="712"/>
      <c r="AA41" s="722"/>
    </row>
    <row r="42" spans="1:27" x14ac:dyDescent="0.25">
      <c r="A42" s="577" t="s">
        <v>885</v>
      </c>
      <c r="B42" s="581"/>
      <c r="C42" s="662"/>
      <c r="D42" s="600"/>
      <c r="E42" s="748"/>
      <c r="F42" s="583" t="s">
        <v>937</v>
      </c>
      <c r="G42" s="586"/>
      <c r="H42" s="583" t="s">
        <v>225</v>
      </c>
      <c r="I42" s="586"/>
      <c r="J42" s="707"/>
      <c r="K42" s="589" t="s">
        <v>264</v>
      </c>
      <c r="L42" s="710"/>
      <c r="M42" s="720"/>
      <c r="O42" s="577" t="s">
        <v>885</v>
      </c>
      <c r="P42" s="581"/>
      <c r="Q42" s="662"/>
      <c r="R42" s="600"/>
      <c r="S42" s="748"/>
      <c r="T42" s="583" t="s">
        <v>963</v>
      </c>
      <c r="U42" s="586"/>
      <c r="V42" s="583" t="s">
        <v>225</v>
      </c>
      <c r="W42" s="586"/>
      <c r="X42" s="707"/>
      <c r="Y42" s="589" t="s">
        <v>264</v>
      </c>
      <c r="Z42" s="710"/>
      <c r="AA42" s="720"/>
    </row>
    <row r="43" spans="1:27" x14ac:dyDescent="0.25">
      <c r="A43" s="602"/>
      <c r="B43" s="581"/>
      <c r="C43" s="662"/>
      <c r="D43" s="600"/>
      <c r="E43" s="748"/>
      <c r="F43" s="584"/>
      <c r="G43" s="587"/>
      <c r="H43" s="584"/>
      <c r="I43" s="587"/>
      <c r="J43" s="708"/>
      <c r="K43" s="601"/>
      <c r="L43" s="711"/>
      <c r="M43" s="721"/>
      <c r="O43" s="602"/>
      <c r="P43" s="581"/>
      <c r="Q43" s="662"/>
      <c r="R43" s="600"/>
      <c r="S43" s="748"/>
      <c r="T43" s="584"/>
      <c r="U43" s="587"/>
      <c r="V43" s="584"/>
      <c r="W43" s="587"/>
      <c r="X43" s="708"/>
      <c r="Y43" s="601"/>
      <c r="Z43" s="711"/>
      <c r="AA43" s="721"/>
    </row>
    <row r="44" spans="1:27" ht="122.25" customHeight="1" thickBot="1" x14ac:dyDescent="0.3">
      <c r="A44" s="598"/>
      <c r="B44" s="581"/>
      <c r="C44" s="662"/>
      <c r="D44" s="600"/>
      <c r="E44" s="748"/>
      <c r="F44" s="585"/>
      <c r="G44" s="588"/>
      <c r="H44" s="585"/>
      <c r="I44" s="588"/>
      <c r="J44" s="709"/>
      <c r="K44" s="664"/>
      <c r="L44" s="712"/>
      <c r="M44" s="722"/>
      <c r="O44" s="598"/>
      <c r="P44" s="581"/>
      <c r="Q44" s="662"/>
      <c r="R44" s="600"/>
      <c r="S44" s="748"/>
      <c r="T44" s="585"/>
      <c r="U44" s="588"/>
      <c r="V44" s="585"/>
      <c r="W44" s="588"/>
      <c r="X44" s="709"/>
      <c r="Y44" s="664"/>
      <c r="Z44" s="712"/>
      <c r="AA44" s="722"/>
    </row>
    <row r="45" spans="1:27" x14ac:dyDescent="0.25">
      <c r="A45" s="577">
        <v>12</v>
      </c>
      <c r="B45" s="580"/>
      <c r="C45" s="661" t="s">
        <v>915</v>
      </c>
      <c r="D45" s="583" t="s">
        <v>916</v>
      </c>
      <c r="E45" s="586"/>
      <c r="F45" s="583" t="s">
        <v>917</v>
      </c>
      <c r="G45" s="586"/>
      <c r="H45" s="583" t="s">
        <v>918</v>
      </c>
      <c r="I45" s="586"/>
      <c r="J45" s="707" t="s">
        <v>429</v>
      </c>
      <c r="K45" s="589" t="s">
        <v>777</v>
      </c>
      <c r="L45" s="710"/>
      <c r="M45" s="720"/>
      <c r="O45" s="577">
        <v>12</v>
      </c>
      <c r="P45" s="580"/>
      <c r="Q45" s="661" t="s">
        <v>915</v>
      </c>
      <c r="R45" s="583" t="s">
        <v>916</v>
      </c>
      <c r="S45" s="586"/>
      <c r="T45" s="583" t="s">
        <v>917</v>
      </c>
      <c r="U45" s="586"/>
      <c r="V45" s="583" t="s">
        <v>918</v>
      </c>
      <c r="W45" s="586"/>
      <c r="X45" s="707" t="s">
        <v>429</v>
      </c>
      <c r="Y45" s="589" t="s">
        <v>777</v>
      </c>
      <c r="Z45" s="710"/>
      <c r="AA45" s="720"/>
    </row>
    <row r="46" spans="1:27" x14ac:dyDescent="0.25">
      <c r="A46" s="602"/>
      <c r="B46" s="603"/>
      <c r="C46" s="668"/>
      <c r="D46" s="584"/>
      <c r="E46" s="587"/>
      <c r="F46" s="584"/>
      <c r="G46" s="587"/>
      <c r="H46" s="584"/>
      <c r="I46" s="587"/>
      <c r="J46" s="708"/>
      <c r="K46" s="601"/>
      <c r="L46" s="711"/>
      <c r="M46" s="721"/>
      <c r="O46" s="602"/>
      <c r="P46" s="603"/>
      <c r="Q46" s="668"/>
      <c r="R46" s="584"/>
      <c r="S46" s="587"/>
      <c r="T46" s="584"/>
      <c r="U46" s="587"/>
      <c r="V46" s="584"/>
      <c r="W46" s="587"/>
      <c r="X46" s="708"/>
      <c r="Y46" s="601"/>
      <c r="Z46" s="711"/>
      <c r="AA46" s="721"/>
    </row>
    <row r="47" spans="1:27" ht="15.75" thickBot="1" x14ac:dyDescent="0.3">
      <c r="A47" s="598"/>
      <c r="B47" s="599"/>
      <c r="C47" s="669"/>
      <c r="D47" s="585"/>
      <c r="E47" s="588"/>
      <c r="F47" s="585"/>
      <c r="G47" s="588"/>
      <c r="H47" s="585"/>
      <c r="I47" s="588"/>
      <c r="J47" s="709"/>
      <c r="K47" s="664"/>
      <c r="L47" s="712"/>
      <c r="M47" s="722"/>
      <c r="O47" s="598"/>
      <c r="P47" s="599"/>
      <c r="Q47" s="669"/>
      <c r="R47" s="585"/>
      <c r="S47" s="588"/>
      <c r="T47" s="585"/>
      <c r="U47" s="588"/>
      <c r="V47" s="585"/>
      <c r="W47" s="588"/>
      <c r="X47" s="709"/>
      <c r="Y47" s="664"/>
      <c r="Z47" s="712"/>
      <c r="AA47" s="722"/>
    </row>
    <row r="48" spans="1:27" x14ac:dyDescent="0.25">
      <c r="A48" s="577">
        <v>13</v>
      </c>
      <c r="B48" s="580" t="s">
        <v>242</v>
      </c>
      <c r="C48" s="661" t="s">
        <v>919</v>
      </c>
      <c r="D48" s="583" t="s">
        <v>920</v>
      </c>
      <c r="E48" s="586"/>
      <c r="F48" s="583" t="s">
        <v>921</v>
      </c>
      <c r="G48" s="586"/>
      <c r="H48" s="583" t="s">
        <v>886</v>
      </c>
      <c r="I48" s="586"/>
      <c r="J48" s="707"/>
      <c r="K48" s="589" t="s">
        <v>777</v>
      </c>
      <c r="L48" s="710"/>
      <c r="M48" s="720"/>
      <c r="O48" s="577">
        <v>13</v>
      </c>
      <c r="P48" s="580" t="s">
        <v>242</v>
      </c>
      <c r="Q48" s="661" t="s">
        <v>919</v>
      </c>
      <c r="R48" s="583" t="s">
        <v>920</v>
      </c>
      <c r="S48" s="586"/>
      <c r="T48" s="583" t="s">
        <v>921</v>
      </c>
      <c r="U48" s="586"/>
      <c r="V48" s="583" t="s">
        <v>886</v>
      </c>
      <c r="W48" s="586"/>
      <c r="X48" s="707"/>
      <c r="Y48" s="589" t="s">
        <v>777</v>
      </c>
      <c r="Z48" s="710"/>
      <c r="AA48" s="720"/>
    </row>
    <row r="49" spans="1:27" x14ac:dyDescent="0.25">
      <c r="A49" s="602"/>
      <c r="B49" s="603"/>
      <c r="C49" s="668"/>
      <c r="D49" s="584"/>
      <c r="E49" s="587"/>
      <c r="F49" s="584"/>
      <c r="G49" s="587"/>
      <c r="H49" s="584"/>
      <c r="I49" s="587"/>
      <c r="J49" s="708"/>
      <c r="K49" s="601"/>
      <c r="L49" s="711"/>
      <c r="M49" s="721"/>
      <c r="O49" s="602"/>
      <c r="P49" s="603"/>
      <c r="Q49" s="668"/>
      <c r="R49" s="584"/>
      <c r="S49" s="587"/>
      <c r="T49" s="584"/>
      <c r="U49" s="587"/>
      <c r="V49" s="584"/>
      <c r="W49" s="587"/>
      <c r="X49" s="708"/>
      <c r="Y49" s="601"/>
      <c r="Z49" s="711"/>
      <c r="AA49" s="721"/>
    </row>
    <row r="50" spans="1:27" ht="15.75" thickBot="1" x14ac:dyDescent="0.3">
      <c r="A50" s="598"/>
      <c r="B50" s="599"/>
      <c r="C50" s="669"/>
      <c r="D50" s="585"/>
      <c r="E50" s="588"/>
      <c r="F50" s="585"/>
      <c r="G50" s="588"/>
      <c r="H50" s="585"/>
      <c r="I50" s="588"/>
      <c r="J50" s="709"/>
      <c r="K50" s="664"/>
      <c r="L50" s="712"/>
      <c r="M50" s="722"/>
      <c r="O50" s="598"/>
      <c r="P50" s="599"/>
      <c r="Q50" s="669"/>
      <c r="R50" s="585"/>
      <c r="S50" s="588"/>
      <c r="T50" s="585"/>
      <c r="U50" s="588"/>
      <c r="V50" s="585"/>
      <c r="W50" s="588"/>
      <c r="X50" s="709"/>
      <c r="Y50" s="664"/>
      <c r="Z50" s="712"/>
      <c r="AA50" s="722"/>
    </row>
    <row r="51" spans="1:27" x14ac:dyDescent="0.25">
      <c r="A51" s="577">
        <v>14</v>
      </c>
      <c r="B51" s="580" t="s">
        <v>243</v>
      </c>
      <c r="C51" s="661" t="s">
        <v>785</v>
      </c>
      <c r="D51" s="583" t="s">
        <v>828</v>
      </c>
      <c r="E51" s="586"/>
      <c r="F51" s="583" t="s">
        <v>811</v>
      </c>
      <c r="G51" s="586"/>
      <c r="H51" s="583" t="s">
        <v>938</v>
      </c>
      <c r="I51" s="586"/>
      <c r="J51" s="707" t="s">
        <v>268</v>
      </c>
      <c r="K51" s="589" t="s">
        <v>279</v>
      </c>
      <c r="L51" s="710"/>
      <c r="M51" s="707"/>
      <c r="O51" s="577">
        <v>14</v>
      </c>
      <c r="P51" s="580" t="s">
        <v>243</v>
      </c>
      <c r="Q51" s="661" t="s">
        <v>785</v>
      </c>
      <c r="R51" s="583" t="s">
        <v>828</v>
      </c>
      <c r="S51" s="586"/>
      <c r="T51" s="583" t="s">
        <v>811</v>
      </c>
      <c r="U51" s="586"/>
      <c r="V51" s="583" t="s">
        <v>938</v>
      </c>
      <c r="W51" s="586"/>
      <c r="X51" s="707" t="s">
        <v>268</v>
      </c>
      <c r="Y51" s="589" t="s">
        <v>279</v>
      </c>
      <c r="Z51" s="710"/>
      <c r="AA51" s="707"/>
    </row>
    <row r="52" spans="1:27" x14ac:dyDescent="0.25">
      <c r="A52" s="602"/>
      <c r="B52" s="603"/>
      <c r="C52" s="668"/>
      <c r="D52" s="584"/>
      <c r="E52" s="587"/>
      <c r="F52" s="584"/>
      <c r="G52" s="587"/>
      <c r="H52" s="584"/>
      <c r="I52" s="587"/>
      <c r="J52" s="708"/>
      <c r="K52" s="601"/>
      <c r="L52" s="711"/>
      <c r="M52" s="708"/>
      <c r="O52" s="602"/>
      <c r="P52" s="603"/>
      <c r="Q52" s="668"/>
      <c r="R52" s="584"/>
      <c r="S52" s="587"/>
      <c r="T52" s="584"/>
      <c r="U52" s="587"/>
      <c r="V52" s="584"/>
      <c r="W52" s="587"/>
      <c r="X52" s="708"/>
      <c r="Y52" s="601"/>
      <c r="Z52" s="711"/>
      <c r="AA52" s="708"/>
    </row>
    <row r="53" spans="1:27" ht="15.75" thickBot="1" x14ac:dyDescent="0.3">
      <c r="A53" s="598"/>
      <c r="B53" s="599"/>
      <c r="C53" s="669"/>
      <c r="D53" s="585"/>
      <c r="E53" s="588"/>
      <c r="F53" s="585"/>
      <c r="G53" s="588"/>
      <c r="H53" s="585"/>
      <c r="I53" s="588"/>
      <c r="J53" s="709"/>
      <c r="K53" s="664"/>
      <c r="L53" s="712"/>
      <c r="M53" s="709"/>
      <c r="O53" s="598"/>
      <c r="P53" s="599"/>
      <c r="Q53" s="669"/>
      <c r="R53" s="585"/>
      <c r="S53" s="588"/>
      <c r="T53" s="585"/>
      <c r="U53" s="588"/>
      <c r="V53" s="585"/>
      <c r="W53" s="588"/>
      <c r="X53" s="709"/>
      <c r="Y53" s="664"/>
      <c r="Z53" s="712"/>
      <c r="AA53" s="709"/>
    </row>
    <row r="54" spans="1:27" x14ac:dyDescent="0.25">
      <c r="A54" s="577">
        <v>15</v>
      </c>
      <c r="B54" s="580" t="s">
        <v>243</v>
      </c>
      <c r="C54" s="661" t="s">
        <v>786</v>
      </c>
      <c r="D54" s="583" t="s">
        <v>829</v>
      </c>
      <c r="E54" s="586"/>
      <c r="F54" s="583" t="s">
        <v>802</v>
      </c>
      <c r="G54" s="586"/>
      <c r="H54" s="583" t="s">
        <v>938</v>
      </c>
      <c r="I54" s="586"/>
      <c r="J54" s="707" t="s">
        <v>268</v>
      </c>
      <c r="K54" s="589" t="s">
        <v>279</v>
      </c>
      <c r="L54" s="710"/>
      <c r="M54" s="707"/>
      <c r="O54" s="577">
        <v>15</v>
      </c>
      <c r="P54" s="580" t="s">
        <v>243</v>
      </c>
      <c r="Q54" s="661" t="s">
        <v>786</v>
      </c>
      <c r="R54" s="583" t="s">
        <v>829</v>
      </c>
      <c r="S54" s="586"/>
      <c r="T54" s="583" t="s">
        <v>802</v>
      </c>
      <c r="U54" s="586"/>
      <c r="V54" s="583" t="s">
        <v>938</v>
      </c>
      <c r="W54" s="586"/>
      <c r="X54" s="707" t="s">
        <v>268</v>
      </c>
      <c r="Y54" s="589" t="s">
        <v>279</v>
      </c>
      <c r="Z54" s="710"/>
      <c r="AA54" s="707"/>
    </row>
    <row r="55" spans="1:27" x14ac:dyDescent="0.25">
      <c r="A55" s="602"/>
      <c r="B55" s="603"/>
      <c r="C55" s="668"/>
      <c r="D55" s="584"/>
      <c r="E55" s="587"/>
      <c r="F55" s="584"/>
      <c r="G55" s="587"/>
      <c r="H55" s="584"/>
      <c r="I55" s="587"/>
      <c r="J55" s="708"/>
      <c r="K55" s="601"/>
      <c r="L55" s="711"/>
      <c r="M55" s="708"/>
      <c r="O55" s="602"/>
      <c r="P55" s="603"/>
      <c r="Q55" s="668"/>
      <c r="R55" s="584"/>
      <c r="S55" s="587"/>
      <c r="T55" s="584"/>
      <c r="U55" s="587"/>
      <c r="V55" s="584"/>
      <c r="W55" s="587"/>
      <c r="X55" s="708"/>
      <c r="Y55" s="601"/>
      <c r="Z55" s="711"/>
      <c r="AA55" s="708"/>
    </row>
    <row r="56" spans="1:27" ht="15.75" thickBot="1" x14ac:dyDescent="0.3">
      <c r="A56" s="598"/>
      <c r="B56" s="599"/>
      <c r="C56" s="669"/>
      <c r="D56" s="585"/>
      <c r="E56" s="588"/>
      <c r="F56" s="585"/>
      <c r="G56" s="588"/>
      <c r="H56" s="585"/>
      <c r="I56" s="588"/>
      <c r="J56" s="709"/>
      <c r="K56" s="664"/>
      <c r="L56" s="712"/>
      <c r="M56" s="709"/>
      <c r="O56" s="598"/>
      <c r="P56" s="599"/>
      <c r="Q56" s="669"/>
      <c r="R56" s="585"/>
      <c r="S56" s="588"/>
      <c r="T56" s="585"/>
      <c r="U56" s="588"/>
      <c r="V56" s="585"/>
      <c r="W56" s="588"/>
      <c r="X56" s="709"/>
      <c r="Y56" s="664"/>
      <c r="Z56" s="712"/>
      <c r="AA56" s="709"/>
    </row>
    <row r="57" spans="1:27" x14ac:dyDescent="0.25">
      <c r="A57" s="577">
        <v>16</v>
      </c>
      <c r="B57" s="580" t="s">
        <v>243</v>
      </c>
      <c r="C57" s="661" t="s">
        <v>787</v>
      </c>
      <c r="D57" s="583" t="s">
        <v>830</v>
      </c>
      <c r="E57" s="586"/>
      <c r="F57" s="583" t="s">
        <v>803</v>
      </c>
      <c r="G57" s="586"/>
      <c r="H57" s="583" t="s">
        <v>804</v>
      </c>
      <c r="I57" s="586"/>
      <c r="J57" s="707"/>
      <c r="K57" s="589" t="s">
        <v>259</v>
      </c>
      <c r="L57" s="710"/>
      <c r="M57" s="707"/>
      <c r="O57" s="577">
        <v>16</v>
      </c>
      <c r="P57" s="580" t="s">
        <v>243</v>
      </c>
      <c r="Q57" s="661" t="s">
        <v>787</v>
      </c>
      <c r="R57" s="583" t="s">
        <v>830</v>
      </c>
      <c r="S57" s="586"/>
      <c r="T57" s="583" t="s">
        <v>803</v>
      </c>
      <c r="U57" s="586"/>
      <c r="V57" s="583" t="s">
        <v>804</v>
      </c>
      <c r="W57" s="586"/>
      <c r="X57" s="707"/>
      <c r="Y57" s="589" t="s">
        <v>259</v>
      </c>
      <c r="Z57" s="710"/>
      <c r="AA57" s="707"/>
    </row>
    <row r="58" spans="1:27" x14ac:dyDescent="0.25">
      <c r="A58" s="602"/>
      <c r="B58" s="603"/>
      <c r="C58" s="668"/>
      <c r="D58" s="584"/>
      <c r="E58" s="587"/>
      <c r="F58" s="584"/>
      <c r="G58" s="587"/>
      <c r="H58" s="584"/>
      <c r="I58" s="587"/>
      <c r="J58" s="708"/>
      <c r="K58" s="601"/>
      <c r="L58" s="711"/>
      <c r="M58" s="708"/>
      <c r="O58" s="602"/>
      <c r="P58" s="603"/>
      <c r="Q58" s="668"/>
      <c r="R58" s="584"/>
      <c r="S58" s="587"/>
      <c r="T58" s="584"/>
      <c r="U58" s="587"/>
      <c r="V58" s="584"/>
      <c r="W58" s="587"/>
      <c r="X58" s="708"/>
      <c r="Y58" s="601"/>
      <c r="Z58" s="711"/>
      <c r="AA58" s="708"/>
    </row>
    <row r="59" spans="1:27" ht="15.75" thickBot="1" x14ac:dyDescent="0.3">
      <c r="A59" s="598"/>
      <c r="B59" s="599"/>
      <c r="C59" s="669"/>
      <c r="D59" s="585"/>
      <c r="E59" s="588"/>
      <c r="F59" s="585"/>
      <c r="G59" s="588"/>
      <c r="H59" s="585"/>
      <c r="I59" s="588"/>
      <c r="J59" s="709"/>
      <c r="K59" s="664"/>
      <c r="L59" s="712"/>
      <c r="M59" s="709"/>
      <c r="O59" s="598"/>
      <c r="P59" s="599"/>
      <c r="Q59" s="669"/>
      <c r="R59" s="585"/>
      <c r="S59" s="588"/>
      <c r="T59" s="585"/>
      <c r="U59" s="588"/>
      <c r="V59" s="585"/>
      <c r="W59" s="588"/>
      <c r="X59" s="709"/>
      <c r="Y59" s="664"/>
      <c r="Z59" s="712"/>
      <c r="AA59" s="709"/>
    </row>
    <row r="60" spans="1:27" x14ac:dyDescent="0.25">
      <c r="A60" s="577">
        <v>17</v>
      </c>
      <c r="B60" s="580" t="s">
        <v>243</v>
      </c>
      <c r="C60" s="661" t="s">
        <v>788</v>
      </c>
      <c r="D60" s="583" t="s">
        <v>830</v>
      </c>
      <c r="E60" s="586"/>
      <c r="F60" s="583" t="s">
        <v>803</v>
      </c>
      <c r="G60" s="586"/>
      <c r="H60" s="583" t="s">
        <v>887</v>
      </c>
      <c r="I60" s="586"/>
      <c r="J60" s="707"/>
      <c r="K60" s="589" t="s">
        <v>260</v>
      </c>
      <c r="L60" s="710"/>
      <c r="M60" s="793"/>
      <c r="O60" s="577">
        <v>17</v>
      </c>
      <c r="P60" s="580" t="s">
        <v>243</v>
      </c>
      <c r="Q60" s="661" t="s">
        <v>788</v>
      </c>
      <c r="R60" s="583" t="s">
        <v>830</v>
      </c>
      <c r="S60" s="586"/>
      <c r="T60" s="583" t="s">
        <v>803</v>
      </c>
      <c r="U60" s="586"/>
      <c r="V60" s="583" t="s">
        <v>887</v>
      </c>
      <c r="W60" s="586"/>
      <c r="X60" s="707"/>
      <c r="Y60" s="589" t="s">
        <v>260</v>
      </c>
      <c r="Z60" s="710"/>
      <c r="AA60" s="793"/>
    </row>
    <row r="61" spans="1:27" x14ac:dyDescent="0.25">
      <c r="A61" s="602"/>
      <c r="B61" s="796"/>
      <c r="C61" s="668"/>
      <c r="D61" s="584"/>
      <c r="E61" s="587"/>
      <c r="F61" s="584"/>
      <c r="G61" s="587"/>
      <c r="H61" s="584"/>
      <c r="I61" s="587"/>
      <c r="J61" s="708"/>
      <c r="K61" s="601"/>
      <c r="L61" s="711"/>
      <c r="M61" s="794"/>
      <c r="O61" s="602"/>
      <c r="P61" s="796"/>
      <c r="Q61" s="668"/>
      <c r="R61" s="584"/>
      <c r="S61" s="587"/>
      <c r="T61" s="584"/>
      <c r="U61" s="587"/>
      <c r="V61" s="584"/>
      <c r="W61" s="587"/>
      <c r="X61" s="708"/>
      <c r="Y61" s="601"/>
      <c r="Z61" s="711"/>
      <c r="AA61" s="794"/>
    </row>
    <row r="62" spans="1:27" ht="15.75" thickBot="1" x14ac:dyDescent="0.3">
      <c r="A62" s="598"/>
      <c r="B62" s="797"/>
      <c r="C62" s="669"/>
      <c r="D62" s="585"/>
      <c r="E62" s="588"/>
      <c r="F62" s="585"/>
      <c r="G62" s="588"/>
      <c r="H62" s="585"/>
      <c r="I62" s="588"/>
      <c r="J62" s="709"/>
      <c r="K62" s="664"/>
      <c r="L62" s="712"/>
      <c r="M62" s="795"/>
      <c r="O62" s="598"/>
      <c r="P62" s="797"/>
      <c r="Q62" s="669"/>
      <c r="R62" s="585"/>
      <c r="S62" s="588"/>
      <c r="T62" s="585"/>
      <c r="U62" s="588"/>
      <c r="V62" s="585"/>
      <c r="W62" s="588"/>
      <c r="X62" s="709"/>
      <c r="Y62" s="664"/>
      <c r="Z62" s="712"/>
      <c r="AA62" s="795"/>
    </row>
    <row r="63" spans="1:27" x14ac:dyDescent="0.25">
      <c r="A63" s="577">
        <v>18</v>
      </c>
      <c r="B63" s="580" t="s">
        <v>436</v>
      </c>
      <c r="C63" s="661" t="s">
        <v>789</v>
      </c>
      <c r="D63" s="583" t="s">
        <v>774</v>
      </c>
      <c r="E63" s="586"/>
      <c r="F63" s="583" t="s">
        <v>947</v>
      </c>
      <c r="G63" s="586"/>
      <c r="H63" s="583" t="s">
        <v>225</v>
      </c>
      <c r="I63" s="586"/>
      <c r="J63" s="707"/>
      <c r="K63" s="589" t="s">
        <v>266</v>
      </c>
      <c r="L63" s="710"/>
      <c r="M63" s="707"/>
      <c r="O63" s="577">
        <v>18</v>
      </c>
      <c r="P63" s="580" t="s">
        <v>436</v>
      </c>
      <c r="Q63" s="661" t="s">
        <v>789</v>
      </c>
      <c r="R63" s="583" t="s">
        <v>774</v>
      </c>
      <c r="S63" s="586"/>
      <c r="T63" s="583" t="s">
        <v>888</v>
      </c>
      <c r="U63" s="586"/>
      <c r="V63" s="583" t="s">
        <v>225</v>
      </c>
      <c r="W63" s="586"/>
      <c r="X63" s="707"/>
      <c r="Y63" s="589" t="s">
        <v>266</v>
      </c>
      <c r="Z63" s="710"/>
      <c r="AA63" s="707"/>
    </row>
    <row r="64" spans="1:27" x14ac:dyDescent="0.25">
      <c r="A64" s="578"/>
      <c r="B64" s="581"/>
      <c r="C64" s="662"/>
      <c r="D64" s="600"/>
      <c r="E64" s="587"/>
      <c r="F64" s="600"/>
      <c r="G64" s="587"/>
      <c r="H64" s="600"/>
      <c r="I64" s="587"/>
      <c r="J64" s="708"/>
      <c r="K64" s="601"/>
      <c r="L64" s="711"/>
      <c r="M64" s="708"/>
      <c r="O64" s="578"/>
      <c r="P64" s="581"/>
      <c r="Q64" s="662"/>
      <c r="R64" s="600"/>
      <c r="S64" s="587"/>
      <c r="T64" s="600"/>
      <c r="U64" s="587"/>
      <c r="V64" s="600"/>
      <c r="W64" s="587"/>
      <c r="X64" s="708"/>
      <c r="Y64" s="601"/>
      <c r="Z64" s="711"/>
      <c r="AA64" s="708"/>
    </row>
    <row r="65" spans="1:27" ht="65.25" customHeight="1" thickBot="1" x14ac:dyDescent="0.3">
      <c r="A65" s="598"/>
      <c r="B65" s="599"/>
      <c r="C65" s="669"/>
      <c r="D65" s="585"/>
      <c r="E65" s="588"/>
      <c r="F65" s="585"/>
      <c r="G65" s="588"/>
      <c r="H65" s="585"/>
      <c r="I65" s="588"/>
      <c r="J65" s="709"/>
      <c r="K65" s="664"/>
      <c r="L65" s="712"/>
      <c r="M65" s="709"/>
      <c r="O65" s="598"/>
      <c r="P65" s="599"/>
      <c r="Q65" s="669"/>
      <c r="R65" s="585"/>
      <c r="S65" s="588"/>
      <c r="T65" s="585"/>
      <c r="U65" s="588"/>
      <c r="V65" s="585"/>
      <c r="W65" s="588"/>
      <c r="X65" s="709"/>
      <c r="Y65" s="664"/>
      <c r="Z65" s="712"/>
      <c r="AA65" s="709"/>
    </row>
    <row r="66" spans="1:27" x14ac:dyDescent="0.25">
      <c r="A66" s="577" t="s">
        <v>951</v>
      </c>
      <c r="B66" s="580" t="s">
        <v>842</v>
      </c>
      <c r="C66" s="661" t="s">
        <v>889</v>
      </c>
      <c r="D66" s="583" t="s">
        <v>890</v>
      </c>
      <c r="E66" s="586"/>
      <c r="F66" s="583" t="s">
        <v>891</v>
      </c>
      <c r="G66" s="586"/>
      <c r="H66" s="583" t="s">
        <v>892</v>
      </c>
      <c r="I66" s="586"/>
      <c r="J66" s="707"/>
      <c r="K66" s="589" t="s">
        <v>777</v>
      </c>
      <c r="L66" s="710"/>
      <c r="M66" s="707"/>
      <c r="O66" s="810" t="s">
        <v>964</v>
      </c>
      <c r="P66" s="827" t="s">
        <v>842</v>
      </c>
      <c r="Q66" s="655" t="s">
        <v>889</v>
      </c>
      <c r="R66" s="647" t="s">
        <v>890</v>
      </c>
      <c r="S66" s="650"/>
      <c r="T66" s="647" t="s">
        <v>891</v>
      </c>
      <c r="U66" s="650"/>
      <c r="V66" s="647" t="s">
        <v>892</v>
      </c>
      <c r="W66" s="650"/>
      <c r="X66" s="720"/>
      <c r="Y66" s="604" t="s">
        <v>777</v>
      </c>
      <c r="Z66" s="821"/>
      <c r="AA66" s="720"/>
    </row>
    <row r="67" spans="1:27" x14ac:dyDescent="0.25">
      <c r="A67" s="578"/>
      <c r="B67" s="581"/>
      <c r="C67" s="662"/>
      <c r="D67" s="600"/>
      <c r="E67" s="587"/>
      <c r="F67" s="600"/>
      <c r="G67" s="587"/>
      <c r="H67" s="600"/>
      <c r="I67" s="587"/>
      <c r="J67" s="708"/>
      <c r="K67" s="601"/>
      <c r="L67" s="711"/>
      <c r="M67" s="708"/>
      <c r="O67" s="832"/>
      <c r="P67" s="833"/>
      <c r="Q67" s="656"/>
      <c r="R67" s="653"/>
      <c r="S67" s="651"/>
      <c r="T67" s="653"/>
      <c r="U67" s="651"/>
      <c r="V67" s="653"/>
      <c r="W67" s="651"/>
      <c r="X67" s="721"/>
      <c r="Y67" s="822"/>
      <c r="Z67" s="823"/>
      <c r="AA67" s="721"/>
    </row>
    <row r="68" spans="1:27" ht="15.75" thickBot="1" x14ac:dyDescent="0.3">
      <c r="A68" s="598"/>
      <c r="B68" s="599"/>
      <c r="C68" s="669"/>
      <c r="D68" s="585"/>
      <c r="E68" s="588"/>
      <c r="F68" s="585"/>
      <c r="G68" s="588"/>
      <c r="H68" s="585"/>
      <c r="I68" s="588"/>
      <c r="J68" s="709"/>
      <c r="K68" s="664"/>
      <c r="L68" s="712"/>
      <c r="M68" s="709"/>
      <c r="O68" s="812"/>
      <c r="P68" s="815"/>
      <c r="Q68" s="817"/>
      <c r="R68" s="649"/>
      <c r="S68" s="652"/>
      <c r="T68" s="649"/>
      <c r="U68" s="652"/>
      <c r="V68" s="649"/>
      <c r="W68" s="652"/>
      <c r="X68" s="722"/>
      <c r="Y68" s="824"/>
      <c r="Z68" s="825"/>
      <c r="AA68" s="722"/>
    </row>
    <row r="69" spans="1:27" x14ac:dyDescent="0.25">
      <c r="A69" s="577">
        <v>20</v>
      </c>
      <c r="B69" s="580" t="s">
        <v>437</v>
      </c>
      <c r="C69" s="661" t="s">
        <v>790</v>
      </c>
      <c r="D69" s="583" t="s">
        <v>774</v>
      </c>
      <c r="E69" s="586"/>
      <c r="F69" s="583" t="s">
        <v>791</v>
      </c>
      <c r="G69" s="586"/>
      <c r="H69" s="583" t="s">
        <v>228</v>
      </c>
      <c r="I69" s="586"/>
      <c r="J69" s="707"/>
      <c r="K69" s="589" t="s">
        <v>792</v>
      </c>
      <c r="L69" s="710"/>
      <c r="M69" s="707"/>
      <c r="O69" s="577">
        <v>20</v>
      </c>
      <c r="P69" s="580" t="s">
        <v>437</v>
      </c>
      <c r="Q69" s="661" t="s">
        <v>790</v>
      </c>
      <c r="R69" s="583" t="s">
        <v>774</v>
      </c>
      <c r="S69" s="586"/>
      <c r="T69" s="583" t="s">
        <v>791</v>
      </c>
      <c r="U69" s="586"/>
      <c r="V69" s="583" t="s">
        <v>228</v>
      </c>
      <c r="W69" s="586"/>
      <c r="X69" s="707"/>
      <c r="Y69" s="589" t="s">
        <v>792</v>
      </c>
      <c r="Z69" s="710"/>
      <c r="AA69" s="707"/>
    </row>
    <row r="70" spans="1:27" x14ac:dyDescent="0.25">
      <c r="A70" s="578"/>
      <c r="B70" s="581"/>
      <c r="C70" s="662"/>
      <c r="D70" s="600"/>
      <c r="E70" s="587"/>
      <c r="F70" s="600"/>
      <c r="G70" s="587"/>
      <c r="H70" s="600"/>
      <c r="I70" s="587"/>
      <c r="J70" s="708"/>
      <c r="K70" s="601"/>
      <c r="L70" s="711"/>
      <c r="M70" s="708"/>
      <c r="O70" s="578"/>
      <c r="P70" s="581"/>
      <c r="Q70" s="662"/>
      <c r="R70" s="600"/>
      <c r="S70" s="587"/>
      <c r="T70" s="600"/>
      <c r="U70" s="587"/>
      <c r="V70" s="600"/>
      <c r="W70" s="587"/>
      <c r="X70" s="708"/>
      <c r="Y70" s="601"/>
      <c r="Z70" s="711"/>
      <c r="AA70" s="708"/>
    </row>
    <row r="71" spans="1:27" ht="15.75" thickBot="1" x14ac:dyDescent="0.3">
      <c r="A71" s="598"/>
      <c r="B71" s="599"/>
      <c r="C71" s="669"/>
      <c r="D71" s="585"/>
      <c r="E71" s="588"/>
      <c r="F71" s="585"/>
      <c r="G71" s="588"/>
      <c r="H71" s="585"/>
      <c r="I71" s="588"/>
      <c r="J71" s="709"/>
      <c r="K71" s="664"/>
      <c r="L71" s="712"/>
      <c r="M71" s="709"/>
      <c r="O71" s="598"/>
      <c r="P71" s="599"/>
      <c r="Q71" s="669"/>
      <c r="R71" s="585"/>
      <c r="S71" s="588"/>
      <c r="T71" s="585"/>
      <c r="U71" s="588"/>
      <c r="V71" s="585"/>
      <c r="W71" s="588"/>
      <c r="X71" s="709"/>
      <c r="Y71" s="664"/>
      <c r="Z71" s="712"/>
      <c r="AA71" s="709"/>
    </row>
    <row r="72" spans="1:27" x14ac:dyDescent="0.25">
      <c r="A72" s="577">
        <v>21</v>
      </c>
      <c r="B72" s="580" t="s">
        <v>842</v>
      </c>
      <c r="C72" s="661" t="s">
        <v>793</v>
      </c>
      <c r="D72" s="583" t="s">
        <v>831</v>
      </c>
      <c r="E72" s="586"/>
      <c r="F72" s="583" t="s">
        <v>812</v>
      </c>
      <c r="G72" s="586"/>
      <c r="H72" s="583" t="s">
        <v>794</v>
      </c>
      <c r="I72" s="586"/>
      <c r="J72" s="707" t="s">
        <v>392</v>
      </c>
      <c r="K72" s="589" t="s">
        <v>777</v>
      </c>
      <c r="L72" s="710"/>
      <c r="M72" s="707" t="s">
        <v>267</v>
      </c>
      <c r="O72" s="577">
        <v>21</v>
      </c>
      <c r="P72" s="580" t="s">
        <v>842</v>
      </c>
      <c r="Q72" s="661" t="s">
        <v>793</v>
      </c>
      <c r="R72" s="583" t="s">
        <v>831</v>
      </c>
      <c r="S72" s="586"/>
      <c r="T72" s="583" t="s">
        <v>812</v>
      </c>
      <c r="U72" s="586"/>
      <c r="V72" s="583" t="s">
        <v>794</v>
      </c>
      <c r="W72" s="586"/>
      <c r="X72" s="707" t="s">
        <v>392</v>
      </c>
      <c r="Y72" s="589" t="s">
        <v>777</v>
      </c>
      <c r="Z72" s="710"/>
      <c r="AA72" s="707" t="s">
        <v>267</v>
      </c>
    </row>
    <row r="73" spans="1:27" x14ac:dyDescent="0.25">
      <c r="A73" s="602"/>
      <c r="B73" s="603"/>
      <c r="C73" s="668"/>
      <c r="D73" s="584"/>
      <c r="E73" s="587"/>
      <c r="F73" s="584"/>
      <c r="G73" s="587"/>
      <c r="H73" s="584"/>
      <c r="I73" s="587"/>
      <c r="J73" s="708"/>
      <c r="K73" s="601"/>
      <c r="L73" s="711"/>
      <c r="M73" s="708"/>
      <c r="O73" s="602"/>
      <c r="P73" s="603"/>
      <c r="Q73" s="668"/>
      <c r="R73" s="584"/>
      <c r="S73" s="587"/>
      <c r="T73" s="584"/>
      <c r="U73" s="587"/>
      <c r="V73" s="584"/>
      <c r="W73" s="587"/>
      <c r="X73" s="708"/>
      <c r="Y73" s="601"/>
      <c r="Z73" s="711"/>
      <c r="AA73" s="708"/>
    </row>
    <row r="74" spans="1:27" ht="15.75" thickBot="1" x14ac:dyDescent="0.3">
      <c r="A74" s="598"/>
      <c r="B74" s="599"/>
      <c r="C74" s="669"/>
      <c r="D74" s="585"/>
      <c r="E74" s="588"/>
      <c r="F74" s="585"/>
      <c r="G74" s="588"/>
      <c r="H74" s="585"/>
      <c r="I74" s="588"/>
      <c r="J74" s="709"/>
      <c r="K74" s="664"/>
      <c r="L74" s="712"/>
      <c r="M74" s="709"/>
      <c r="O74" s="598"/>
      <c r="P74" s="599"/>
      <c r="Q74" s="669"/>
      <c r="R74" s="585"/>
      <c r="S74" s="588"/>
      <c r="T74" s="585"/>
      <c r="U74" s="588"/>
      <c r="V74" s="585"/>
      <c r="W74" s="588"/>
      <c r="X74" s="709"/>
      <c r="Y74" s="664"/>
      <c r="Z74" s="712"/>
      <c r="AA74" s="709"/>
    </row>
    <row r="75" spans="1:27" x14ac:dyDescent="0.25">
      <c r="A75" s="577">
        <v>22</v>
      </c>
      <c r="B75" s="580" t="s">
        <v>842</v>
      </c>
      <c r="C75" s="661" t="s">
        <v>795</v>
      </c>
      <c r="D75" s="583" t="s">
        <v>832</v>
      </c>
      <c r="E75" s="586"/>
      <c r="F75" s="583" t="s">
        <v>813</v>
      </c>
      <c r="G75" s="586"/>
      <c r="H75" s="583" t="s">
        <v>796</v>
      </c>
      <c r="I75" s="586"/>
      <c r="J75" s="790"/>
      <c r="K75" s="589" t="s">
        <v>849</v>
      </c>
      <c r="L75" s="710"/>
      <c r="M75" s="787"/>
      <c r="O75" s="577">
        <v>22</v>
      </c>
      <c r="P75" s="580" t="s">
        <v>842</v>
      </c>
      <c r="Q75" s="661" t="s">
        <v>795</v>
      </c>
      <c r="R75" s="583" t="s">
        <v>832</v>
      </c>
      <c r="S75" s="586"/>
      <c r="T75" s="583" t="s">
        <v>813</v>
      </c>
      <c r="U75" s="586"/>
      <c r="V75" s="583" t="s">
        <v>796</v>
      </c>
      <c r="W75" s="586"/>
      <c r="X75" s="790"/>
      <c r="Y75" s="589" t="s">
        <v>849</v>
      </c>
      <c r="Z75" s="710"/>
      <c r="AA75" s="787"/>
    </row>
    <row r="76" spans="1:27" x14ac:dyDescent="0.25">
      <c r="A76" s="602"/>
      <c r="B76" s="603"/>
      <c r="C76" s="668"/>
      <c r="D76" s="584"/>
      <c r="E76" s="587"/>
      <c r="F76" s="584"/>
      <c r="G76" s="587"/>
      <c r="H76" s="584"/>
      <c r="I76" s="587"/>
      <c r="J76" s="791"/>
      <c r="K76" s="601"/>
      <c r="L76" s="711"/>
      <c r="M76" s="788"/>
      <c r="O76" s="602"/>
      <c r="P76" s="603"/>
      <c r="Q76" s="668"/>
      <c r="R76" s="584"/>
      <c r="S76" s="587"/>
      <c r="T76" s="584"/>
      <c r="U76" s="587"/>
      <c r="V76" s="584"/>
      <c r="W76" s="587"/>
      <c r="X76" s="791"/>
      <c r="Y76" s="601"/>
      <c r="Z76" s="711"/>
      <c r="AA76" s="788"/>
    </row>
    <row r="77" spans="1:27" ht="15.75" thickBot="1" x14ac:dyDescent="0.3">
      <c r="A77" s="598"/>
      <c r="B77" s="599"/>
      <c r="C77" s="669"/>
      <c r="D77" s="585"/>
      <c r="E77" s="588"/>
      <c r="F77" s="585"/>
      <c r="G77" s="588"/>
      <c r="H77" s="585"/>
      <c r="I77" s="588"/>
      <c r="J77" s="792"/>
      <c r="K77" s="664"/>
      <c r="L77" s="712"/>
      <c r="M77" s="789"/>
      <c r="O77" s="598"/>
      <c r="P77" s="599"/>
      <c r="Q77" s="669"/>
      <c r="R77" s="585"/>
      <c r="S77" s="588"/>
      <c r="T77" s="585"/>
      <c r="U77" s="588"/>
      <c r="V77" s="585"/>
      <c r="W77" s="588"/>
      <c r="X77" s="792"/>
      <c r="Y77" s="664"/>
      <c r="Z77" s="712"/>
      <c r="AA77" s="789"/>
    </row>
    <row r="78" spans="1:27" x14ac:dyDescent="0.25">
      <c r="A78" s="810" t="s">
        <v>952</v>
      </c>
      <c r="B78" s="827" t="s">
        <v>842</v>
      </c>
      <c r="C78" s="835" t="s">
        <v>944</v>
      </c>
      <c r="D78" s="838" t="s">
        <v>893</v>
      </c>
      <c r="E78" s="839"/>
      <c r="F78" s="838" t="s">
        <v>894</v>
      </c>
      <c r="G78" s="839"/>
      <c r="H78" s="838" t="s">
        <v>895</v>
      </c>
      <c r="I78" s="839"/>
      <c r="J78" s="844"/>
      <c r="K78" s="847" t="s">
        <v>777</v>
      </c>
      <c r="L78" s="848"/>
      <c r="M78" s="831"/>
      <c r="O78" s="810" t="s">
        <v>965</v>
      </c>
      <c r="P78" s="827" t="s">
        <v>842</v>
      </c>
      <c r="Q78" s="655" t="s">
        <v>944</v>
      </c>
      <c r="R78" s="647" t="s">
        <v>893</v>
      </c>
      <c r="S78" s="650"/>
      <c r="T78" s="647" t="s">
        <v>894</v>
      </c>
      <c r="U78" s="650"/>
      <c r="V78" s="647" t="s">
        <v>895</v>
      </c>
      <c r="W78" s="650"/>
      <c r="X78" s="828"/>
      <c r="Y78" s="604" t="s">
        <v>777</v>
      </c>
      <c r="Z78" s="821"/>
      <c r="AA78" s="831"/>
    </row>
    <row r="79" spans="1:27" x14ac:dyDescent="0.25">
      <c r="A79" s="811"/>
      <c r="B79" s="814"/>
      <c r="C79" s="836"/>
      <c r="D79" s="840"/>
      <c r="E79" s="841"/>
      <c r="F79" s="840"/>
      <c r="G79" s="841"/>
      <c r="H79" s="840"/>
      <c r="I79" s="841"/>
      <c r="J79" s="845"/>
      <c r="K79" s="849"/>
      <c r="L79" s="850"/>
      <c r="M79" s="819"/>
      <c r="O79" s="811"/>
      <c r="P79" s="814"/>
      <c r="Q79" s="816"/>
      <c r="R79" s="648"/>
      <c r="S79" s="651"/>
      <c r="T79" s="648"/>
      <c r="U79" s="651"/>
      <c r="V79" s="648"/>
      <c r="W79" s="651"/>
      <c r="X79" s="829"/>
      <c r="Y79" s="822"/>
      <c r="Z79" s="823"/>
      <c r="AA79" s="819"/>
    </row>
    <row r="80" spans="1:27" ht="15.75" thickBot="1" x14ac:dyDescent="0.3">
      <c r="A80" s="812"/>
      <c r="B80" s="815"/>
      <c r="C80" s="837"/>
      <c r="D80" s="842"/>
      <c r="E80" s="843"/>
      <c r="F80" s="842"/>
      <c r="G80" s="843"/>
      <c r="H80" s="842"/>
      <c r="I80" s="843"/>
      <c r="J80" s="846"/>
      <c r="K80" s="851"/>
      <c r="L80" s="852"/>
      <c r="M80" s="820"/>
      <c r="O80" s="812"/>
      <c r="P80" s="815"/>
      <c r="Q80" s="817"/>
      <c r="R80" s="649"/>
      <c r="S80" s="652"/>
      <c r="T80" s="649"/>
      <c r="U80" s="652"/>
      <c r="V80" s="649"/>
      <c r="W80" s="652"/>
      <c r="X80" s="830"/>
      <c r="Y80" s="824"/>
      <c r="Z80" s="825"/>
      <c r="AA80" s="820"/>
    </row>
    <row r="81" spans="1:27" x14ac:dyDescent="0.25">
      <c r="A81" s="577">
        <v>24</v>
      </c>
      <c r="B81" s="750" t="s">
        <v>842</v>
      </c>
      <c r="C81" s="661" t="s">
        <v>926</v>
      </c>
      <c r="D81" s="583" t="s">
        <v>896</v>
      </c>
      <c r="E81" s="586"/>
      <c r="F81" s="583" t="s">
        <v>897</v>
      </c>
      <c r="G81" s="586"/>
      <c r="H81" s="583" t="s">
        <v>898</v>
      </c>
      <c r="I81" s="586"/>
      <c r="J81" s="787"/>
      <c r="K81" s="589" t="s">
        <v>833</v>
      </c>
      <c r="L81" s="710"/>
      <c r="M81" s="707"/>
      <c r="O81" s="577">
        <v>24</v>
      </c>
      <c r="P81" s="750" t="s">
        <v>842</v>
      </c>
      <c r="Q81" s="661" t="s">
        <v>926</v>
      </c>
      <c r="R81" s="583" t="s">
        <v>896</v>
      </c>
      <c r="S81" s="586"/>
      <c r="T81" s="583" t="s">
        <v>897</v>
      </c>
      <c r="U81" s="586"/>
      <c r="V81" s="583" t="s">
        <v>898</v>
      </c>
      <c r="W81" s="586"/>
      <c r="X81" s="787"/>
      <c r="Y81" s="589" t="s">
        <v>833</v>
      </c>
      <c r="Z81" s="710"/>
      <c r="AA81" s="707"/>
    </row>
    <row r="82" spans="1:27" x14ac:dyDescent="0.25">
      <c r="A82" s="602"/>
      <c r="B82" s="603"/>
      <c r="C82" s="668"/>
      <c r="D82" s="584"/>
      <c r="E82" s="587"/>
      <c r="F82" s="584"/>
      <c r="G82" s="587"/>
      <c r="H82" s="584"/>
      <c r="I82" s="587"/>
      <c r="J82" s="708"/>
      <c r="K82" s="601"/>
      <c r="L82" s="711"/>
      <c r="M82" s="708"/>
      <c r="O82" s="602"/>
      <c r="P82" s="603"/>
      <c r="Q82" s="668"/>
      <c r="R82" s="584"/>
      <c r="S82" s="587"/>
      <c r="T82" s="584"/>
      <c r="U82" s="587"/>
      <c r="V82" s="584"/>
      <c r="W82" s="587"/>
      <c r="X82" s="708"/>
      <c r="Y82" s="601"/>
      <c r="Z82" s="711"/>
      <c r="AA82" s="708"/>
    </row>
    <row r="83" spans="1:27" ht="15.75" thickBot="1" x14ac:dyDescent="0.3">
      <c r="A83" s="598"/>
      <c r="B83" s="599"/>
      <c r="C83" s="669"/>
      <c r="D83" s="585"/>
      <c r="E83" s="588"/>
      <c r="F83" s="585"/>
      <c r="G83" s="588"/>
      <c r="H83" s="585"/>
      <c r="I83" s="588"/>
      <c r="J83" s="709"/>
      <c r="K83" s="664"/>
      <c r="L83" s="712"/>
      <c r="M83" s="709"/>
      <c r="O83" s="598"/>
      <c r="P83" s="599"/>
      <c r="Q83" s="669"/>
      <c r="R83" s="585"/>
      <c r="S83" s="588"/>
      <c r="T83" s="585"/>
      <c r="U83" s="588"/>
      <c r="V83" s="585"/>
      <c r="W83" s="588"/>
      <c r="X83" s="709"/>
      <c r="Y83" s="664"/>
      <c r="Z83" s="712"/>
      <c r="AA83" s="709"/>
    </row>
    <row r="84" spans="1:27" x14ac:dyDescent="0.25">
      <c r="A84" s="577" t="s">
        <v>953</v>
      </c>
      <c r="B84" s="750" t="s">
        <v>842</v>
      </c>
      <c r="C84" s="661" t="s">
        <v>922</v>
      </c>
      <c r="D84" s="583" t="s">
        <v>923</v>
      </c>
      <c r="E84" s="586"/>
      <c r="F84" s="583" t="s">
        <v>924</v>
      </c>
      <c r="G84" s="586"/>
      <c r="H84" s="583" t="s">
        <v>925</v>
      </c>
      <c r="I84" s="586"/>
      <c r="J84" s="834"/>
      <c r="K84" s="589" t="s">
        <v>777</v>
      </c>
      <c r="L84" s="710"/>
      <c r="M84" s="707"/>
      <c r="O84" s="810" t="s">
        <v>966</v>
      </c>
      <c r="P84" s="813" t="s">
        <v>842</v>
      </c>
      <c r="Q84" s="655" t="s">
        <v>922</v>
      </c>
      <c r="R84" s="647" t="s">
        <v>923</v>
      </c>
      <c r="S84" s="650"/>
      <c r="T84" s="647" t="s">
        <v>924</v>
      </c>
      <c r="U84" s="650"/>
      <c r="V84" s="647" t="s">
        <v>925</v>
      </c>
      <c r="W84" s="650"/>
      <c r="X84" s="826"/>
      <c r="Y84" s="604" t="s">
        <v>777</v>
      </c>
      <c r="Z84" s="821"/>
      <c r="AA84" s="720"/>
    </row>
    <row r="85" spans="1:27" x14ac:dyDescent="0.25">
      <c r="A85" s="602"/>
      <c r="B85" s="603"/>
      <c r="C85" s="668"/>
      <c r="D85" s="584"/>
      <c r="E85" s="587"/>
      <c r="F85" s="584"/>
      <c r="G85" s="587"/>
      <c r="H85" s="584"/>
      <c r="I85" s="587"/>
      <c r="J85" s="708"/>
      <c r="K85" s="601"/>
      <c r="L85" s="711"/>
      <c r="M85" s="708"/>
      <c r="O85" s="811"/>
      <c r="P85" s="814"/>
      <c r="Q85" s="816"/>
      <c r="R85" s="648"/>
      <c r="S85" s="651"/>
      <c r="T85" s="648"/>
      <c r="U85" s="651"/>
      <c r="V85" s="648"/>
      <c r="W85" s="651"/>
      <c r="X85" s="721"/>
      <c r="Y85" s="822"/>
      <c r="Z85" s="823"/>
      <c r="AA85" s="721"/>
    </row>
    <row r="86" spans="1:27" ht="15.75" thickBot="1" x14ac:dyDescent="0.3">
      <c r="A86" s="598"/>
      <c r="B86" s="599"/>
      <c r="C86" s="669"/>
      <c r="D86" s="585"/>
      <c r="E86" s="588"/>
      <c r="F86" s="585"/>
      <c r="G86" s="588"/>
      <c r="H86" s="585"/>
      <c r="I86" s="588"/>
      <c r="J86" s="709"/>
      <c r="K86" s="664"/>
      <c r="L86" s="712"/>
      <c r="M86" s="709"/>
      <c r="O86" s="812"/>
      <c r="P86" s="815"/>
      <c r="Q86" s="817"/>
      <c r="R86" s="649"/>
      <c r="S86" s="652"/>
      <c r="T86" s="649"/>
      <c r="U86" s="652"/>
      <c r="V86" s="649"/>
      <c r="W86" s="652"/>
      <c r="X86" s="722"/>
      <c r="Y86" s="824"/>
      <c r="Z86" s="825"/>
      <c r="AA86" s="722"/>
    </row>
    <row r="87" spans="1:27" x14ac:dyDescent="0.25">
      <c r="A87" s="577">
        <v>26</v>
      </c>
      <c r="B87" s="750" t="s">
        <v>842</v>
      </c>
      <c r="C87" s="661" t="s">
        <v>899</v>
      </c>
      <c r="D87" s="583" t="s">
        <v>900</v>
      </c>
      <c r="E87" s="586"/>
      <c r="F87" s="583" t="s">
        <v>805</v>
      </c>
      <c r="G87" s="586"/>
      <c r="H87" s="583" t="s">
        <v>901</v>
      </c>
      <c r="I87" s="586"/>
      <c r="J87" s="707" t="s">
        <v>430</v>
      </c>
      <c r="K87" s="589" t="s">
        <v>777</v>
      </c>
      <c r="L87" s="710"/>
      <c r="M87" s="707"/>
      <c r="O87" s="577">
        <v>26</v>
      </c>
      <c r="P87" s="750" t="s">
        <v>842</v>
      </c>
      <c r="Q87" s="661" t="s">
        <v>899</v>
      </c>
      <c r="R87" s="583" t="s">
        <v>900</v>
      </c>
      <c r="S87" s="586"/>
      <c r="T87" s="583" t="s">
        <v>805</v>
      </c>
      <c r="U87" s="586"/>
      <c r="V87" s="583" t="s">
        <v>901</v>
      </c>
      <c r="W87" s="586"/>
      <c r="X87" s="707" t="s">
        <v>430</v>
      </c>
      <c r="Y87" s="589" t="s">
        <v>777</v>
      </c>
      <c r="Z87" s="710"/>
      <c r="AA87" s="707"/>
    </row>
    <row r="88" spans="1:27" x14ac:dyDescent="0.25">
      <c r="A88" s="602"/>
      <c r="B88" s="603"/>
      <c r="C88" s="668"/>
      <c r="D88" s="584"/>
      <c r="E88" s="587"/>
      <c r="F88" s="584"/>
      <c r="G88" s="587"/>
      <c r="H88" s="584"/>
      <c r="I88" s="587"/>
      <c r="J88" s="708"/>
      <c r="K88" s="601"/>
      <c r="L88" s="711"/>
      <c r="M88" s="708"/>
      <c r="O88" s="602"/>
      <c r="P88" s="603"/>
      <c r="Q88" s="668"/>
      <c r="R88" s="584"/>
      <c r="S88" s="587"/>
      <c r="T88" s="584"/>
      <c r="U88" s="587"/>
      <c r="V88" s="584"/>
      <c r="W88" s="587"/>
      <c r="X88" s="708"/>
      <c r="Y88" s="601"/>
      <c r="Z88" s="711"/>
      <c r="AA88" s="708"/>
    </row>
    <row r="89" spans="1:27" ht="15.75" thickBot="1" x14ac:dyDescent="0.3">
      <c r="A89" s="598"/>
      <c r="B89" s="599"/>
      <c r="C89" s="669"/>
      <c r="D89" s="585"/>
      <c r="E89" s="588"/>
      <c r="F89" s="585"/>
      <c r="G89" s="588"/>
      <c r="H89" s="585"/>
      <c r="I89" s="588"/>
      <c r="J89" s="709"/>
      <c r="K89" s="664"/>
      <c r="L89" s="712"/>
      <c r="M89" s="709"/>
      <c r="O89" s="598"/>
      <c r="P89" s="599"/>
      <c r="Q89" s="669"/>
      <c r="R89" s="585"/>
      <c r="S89" s="588"/>
      <c r="T89" s="585"/>
      <c r="U89" s="588"/>
      <c r="V89" s="585"/>
      <c r="W89" s="588"/>
      <c r="X89" s="709"/>
      <c r="Y89" s="664"/>
      <c r="Z89" s="712"/>
      <c r="AA89" s="709"/>
    </row>
    <row r="90" spans="1:27" x14ac:dyDescent="0.25">
      <c r="A90" s="577">
        <v>27</v>
      </c>
      <c r="B90" s="750" t="s">
        <v>842</v>
      </c>
      <c r="C90" s="661" t="s">
        <v>902</v>
      </c>
      <c r="D90" s="583" t="s">
        <v>903</v>
      </c>
      <c r="E90" s="586"/>
      <c r="F90" s="583" t="s">
        <v>904</v>
      </c>
      <c r="G90" s="586"/>
      <c r="H90" s="583" t="s">
        <v>943</v>
      </c>
      <c r="I90" s="586"/>
      <c r="J90" s="707" t="s">
        <v>430</v>
      </c>
      <c r="K90" s="589" t="s">
        <v>777</v>
      </c>
      <c r="L90" s="710"/>
      <c r="M90" s="707"/>
      <c r="O90" s="577">
        <v>27</v>
      </c>
      <c r="P90" s="750" t="s">
        <v>842</v>
      </c>
      <c r="Q90" s="661" t="s">
        <v>902</v>
      </c>
      <c r="R90" s="583" t="s">
        <v>903</v>
      </c>
      <c r="S90" s="586"/>
      <c r="T90" s="583" t="s">
        <v>904</v>
      </c>
      <c r="U90" s="586"/>
      <c r="V90" s="583" t="s">
        <v>943</v>
      </c>
      <c r="W90" s="586"/>
      <c r="X90" s="707" t="s">
        <v>430</v>
      </c>
      <c r="Y90" s="589" t="s">
        <v>777</v>
      </c>
      <c r="Z90" s="710"/>
      <c r="AA90" s="707"/>
    </row>
    <row r="91" spans="1:27" x14ac:dyDescent="0.25">
      <c r="A91" s="602"/>
      <c r="B91" s="603"/>
      <c r="C91" s="668"/>
      <c r="D91" s="584"/>
      <c r="E91" s="587"/>
      <c r="F91" s="584"/>
      <c r="G91" s="587"/>
      <c r="H91" s="584"/>
      <c r="I91" s="587"/>
      <c r="J91" s="708"/>
      <c r="K91" s="601"/>
      <c r="L91" s="711"/>
      <c r="M91" s="708"/>
      <c r="O91" s="602"/>
      <c r="P91" s="603"/>
      <c r="Q91" s="668"/>
      <c r="R91" s="584"/>
      <c r="S91" s="587"/>
      <c r="T91" s="584"/>
      <c r="U91" s="587"/>
      <c r="V91" s="584"/>
      <c r="W91" s="587"/>
      <c r="X91" s="708"/>
      <c r="Y91" s="601"/>
      <c r="Z91" s="711"/>
      <c r="AA91" s="708"/>
    </row>
    <row r="92" spans="1:27" ht="15.75" thickBot="1" x14ac:dyDescent="0.3">
      <c r="A92" s="598"/>
      <c r="B92" s="599"/>
      <c r="C92" s="669"/>
      <c r="D92" s="585"/>
      <c r="E92" s="588"/>
      <c r="F92" s="585"/>
      <c r="G92" s="588"/>
      <c r="H92" s="585"/>
      <c r="I92" s="588"/>
      <c r="J92" s="709"/>
      <c r="K92" s="664"/>
      <c r="L92" s="712"/>
      <c r="M92" s="709"/>
      <c r="O92" s="598"/>
      <c r="P92" s="599"/>
      <c r="Q92" s="669"/>
      <c r="R92" s="585"/>
      <c r="S92" s="588"/>
      <c r="T92" s="585"/>
      <c r="U92" s="588"/>
      <c r="V92" s="585"/>
      <c r="W92" s="588"/>
      <c r="X92" s="709"/>
      <c r="Y92" s="664"/>
      <c r="Z92" s="712"/>
      <c r="AA92" s="709"/>
    </row>
    <row r="93" spans="1:27" x14ac:dyDescent="0.25">
      <c r="A93" s="577">
        <v>28</v>
      </c>
      <c r="B93" s="750" t="s">
        <v>842</v>
      </c>
      <c r="C93" s="661" t="s">
        <v>863</v>
      </c>
      <c r="D93" s="583" t="s">
        <v>834</v>
      </c>
      <c r="E93" s="586"/>
      <c r="F93" s="583" t="s">
        <v>806</v>
      </c>
      <c r="G93" s="586"/>
      <c r="H93" s="583" t="s">
        <v>905</v>
      </c>
      <c r="I93" s="586"/>
      <c r="J93" s="707" t="s">
        <v>430</v>
      </c>
      <c r="K93" s="589" t="s">
        <v>777</v>
      </c>
      <c r="L93" s="710"/>
      <c r="M93" s="707"/>
      <c r="O93" s="577">
        <v>28</v>
      </c>
      <c r="P93" s="750" t="s">
        <v>842</v>
      </c>
      <c r="Q93" s="661" t="s">
        <v>863</v>
      </c>
      <c r="R93" s="583" t="s">
        <v>834</v>
      </c>
      <c r="S93" s="586"/>
      <c r="T93" s="583" t="s">
        <v>806</v>
      </c>
      <c r="U93" s="586"/>
      <c r="V93" s="583" t="s">
        <v>905</v>
      </c>
      <c r="W93" s="586"/>
      <c r="X93" s="707" t="s">
        <v>430</v>
      </c>
      <c r="Y93" s="589" t="s">
        <v>777</v>
      </c>
      <c r="Z93" s="710"/>
      <c r="AA93" s="707"/>
    </row>
    <row r="94" spans="1:27" x14ac:dyDescent="0.25">
      <c r="A94" s="602"/>
      <c r="B94" s="603"/>
      <c r="C94" s="668"/>
      <c r="D94" s="584"/>
      <c r="E94" s="587"/>
      <c r="F94" s="584"/>
      <c r="G94" s="587"/>
      <c r="H94" s="584"/>
      <c r="I94" s="587"/>
      <c r="J94" s="708"/>
      <c r="K94" s="601"/>
      <c r="L94" s="711"/>
      <c r="M94" s="708"/>
      <c r="O94" s="602"/>
      <c r="P94" s="603"/>
      <c r="Q94" s="668"/>
      <c r="R94" s="584"/>
      <c r="S94" s="587"/>
      <c r="T94" s="584"/>
      <c r="U94" s="587"/>
      <c r="V94" s="584"/>
      <c r="W94" s="587"/>
      <c r="X94" s="708"/>
      <c r="Y94" s="601"/>
      <c r="Z94" s="711"/>
      <c r="AA94" s="708"/>
    </row>
    <row r="95" spans="1:27" ht="15.75" thickBot="1" x14ac:dyDescent="0.3">
      <c r="A95" s="598"/>
      <c r="B95" s="599"/>
      <c r="C95" s="669"/>
      <c r="D95" s="585"/>
      <c r="E95" s="588"/>
      <c r="F95" s="585"/>
      <c r="G95" s="588"/>
      <c r="H95" s="585"/>
      <c r="I95" s="588"/>
      <c r="J95" s="709"/>
      <c r="K95" s="664"/>
      <c r="L95" s="712"/>
      <c r="M95" s="709"/>
      <c r="O95" s="598"/>
      <c r="P95" s="599"/>
      <c r="Q95" s="669"/>
      <c r="R95" s="585"/>
      <c r="S95" s="588"/>
      <c r="T95" s="585"/>
      <c r="U95" s="588"/>
      <c r="V95" s="585"/>
      <c r="W95" s="588"/>
      <c r="X95" s="709"/>
      <c r="Y95" s="664"/>
      <c r="Z95" s="712"/>
      <c r="AA95" s="709"/>
    </row>
    <row r="96" spans="1:27" x14ac:dyDescent="0.25">
      <c r="A96" s="577" t="s">
        <v>954</v>
      </c>
      <c r="B96" s="750"/>
      <c r="C96" s="661" t="s">
        <v>906</v>
      </c>
      <c r="D96" s="583" t="s">
        <v>908</v>
      </c>
      <c r="E96" s="586"/>
      <c r="F96" s="583" t="s">
        <v>910</v>
      </c>
      <c r="G96" s="586"/>
      <c r="H96" s="583" t="s">
        <v>912</v>
      </c>
      <c r="I96" s="586"/>
      <c r="J96" s="707"/>
      <c r="K96" s="589" t="s">
        <v>777</v>
      </c>
      <c r="L96" s="710"/>
      <c r="M96" s="707"/>
      <c r="O96" s="810" t="s">
        <v>967</v>
      </c>
      <c r="P96" s="813"/>
      <c r="Q96" s="655" t="s">
        <v>906</v>
      </c>
      <c r="R96" s="647" t="s">
        <v>908</v>
      </c>
      <c r="S96" s="650"/>
      <c r="T96" s="647" t="s">
        <v>910</v>
      </c>
      <c r="U96" s="650"/>
      <c r="V96" s="647" t="s">
        <v>912</v>
      </c>
      <c r="W96" s="650"/>
      <c r="X96" s="818"/>
      <c r="Y96" s="604" t="s">
        <v>777</v>
      </c>
      <c r="Z96" s="821"/>
      <c r="AA96" s="818"/>
    </row>
    <row r="97" spans="1:27" x14ac:dyDescent="0.25">
      <c r="A97" s="602"/>
      <c r="B97" s="603"/>
      <c r="C97" s="668"/>
      <c r="D97" s="584"/>
      <c r="E97" s="587"/>
      <c r="F97" s="584"/>
      <c r="G97" s="587"/>
      <c r="H97" s="584"/>
      <c r="I97" s="587"/>
      <c r="J97" s="708"/>
      <c r="K97" s="601"/>
      <c r="L97" s="711"/>
      <c r="M97" s="708"/>
      <c r="O97" s="811"/>
      <c r="P97" s="814"/>
      <c r="Q97" s="816"/>
      <c r="R97" s="648"/>
      <c r="S97" s="651"/>
      <c r="T97" s="648"/>
      <c r="U97" s="651"/>
      <c r="V97" s="648"/>
      <c r="W97" s="651"/>
      <c r="X97" s="819"/>
      <c r="Y97" s="822"/>
      <c r="Z97" s="823"/>
      <c r="AA97" s="819"/>
    </row>
    <row r="98" spans="1:27" ht="15.75" thickBot="1" x14ac:dyDescent="0.3">
      <c r="A98" s="598"/>
      <c r="B98" s="599"/>
      <c r="C98" s="669"/>
      <c r="D98" s="585"/>
      <c r="E98" s="588"/>
      <c r="F98" s="585"/>
      <c r="G98" s="588"/>
      <c r="H98" s="585"/>
      <c r="I98" s="588"/>
      <c r="J98" s="709"/>
      <c r="K98" s="664"/>
      <c r="L98" s="712"/>
      <c r="M98" s="709"/>
      <c r="O98" s="812"/>
      <c r="P98" s="815"/>
      <c r="Q98" s="817"/>
      <c r="R98" s="649"/>
      <c r="S98" s="652"/>
      <c r="T98" s="649"/>
      <c r="U98" s="652"/>
      <c r="V98" s="649"/>
      <c r="W98" s="652"/>
      <c r="X98" s="820"/>
      <c r="Y98" s="824"/>
      <c r="Z98" s="825"/>
      <c r="AA98" s="820"/>
    </row>
    <row r="99" spans="1:27" x14ac:dyDescent="0.25">
      <c r="A99" s="577" t="s">
        <v>955</v>
      </c>
      <c r="B99" s="750"/>
      <c r="C99" s="661" t="s">
        <v>907</v>
      </c>
      <c r="D99" s="583" t="s">
        <v>909</v>
      </c>
      <c r="E99" s="586"/>
      <c r="F99" s="583" t="s">
        <v>911</v>
      </c>
      <c r="G99" s="586"/>
      <c r="H99" s="583" t="s">
        <v>913</v>
      </c>
      <c r="I99" s="586"/>
      <c r="J99" s="707"/>
      <c r="K99" s="589" t="s">
        <v>777</v>
      </c>
      <c r="L99" s="710"/>
      <c r="M99" s="707"/>
      <c r="O99" s="810" t="s">
        <v>968</v>
      </c>
      <c r="P99" s="813"/>
      <c r="Q99" s="655" t="s">
        <v>907</v>
      </c>
      <c r="R99" s="647" t="s">
        <v>909</v>
      </c>
      <c r="S99" s="650"/>
      <c r="T99" s="647" t="s">
        <v>911</v>
      </c>
      <c r="U99" s="650"/>
      <c r="V99" s="647" t="s">
        <v>913</v>
      </c>
      <c r="W99" s="650"/>
      <c r="X99" s="818"/>
      <c r="Y99" s="604" t="s">
        <v>777</v>
      </c>
      <c r="Z99" s="821"/>
      <c r="AA99" s="818"/>
    </row>
    <row r="100" spans="1:27" x14ac:dyDescent="0.25">
      <c r="A100" s="602"/>
      <c r="B100" s="603"/>
      <c r="C100" s="668"/>
      <c r="D100" s="584"/>
      <c r="E100" s="587"/>
      <c r="F100" s="584"/>
      <c r="G100" s="587"/>
      <c r="H100" s="584"/>
      <c r="I100" s="587"/>
      <c r="J100" s="708"/>
      <c r="K100" s="601"/>
      <c r="L100" s="711"/>
      <c r="M100" s="708"/>
      <c r="O100" s="811"/>
      <c r="P100" s="814"/>
      <c r="Q100" s="816"/>
      <c r="R100" s="648"/>
      <c r="S100" s="651"/>
      <c r="T100" s="648"/>
      <c r="U100" s="651"/>
      <c r="V100" s="648"/>
      <c r="W100" s="651"/>
      <c r="X100" s="819"/>
      <c r="Y100" s="822"/>
      <c r="Z100" s="823"/>
      <c r="AA100" s="819"/>
    </row>
    <row r="101" spans="1:27" ht="15.75" thickBot="1" x14ac:dyDescent="0.3">
      <c r="A101" s="598"/>
      <c r="B101" s="599"/>
      <c r="C101" s="669"/>
      <c r="D101" s="585"/>
      <c r="E101" s="588"/>
      <c r="F101" s="585"/>
      <c r="G101" s="588"/>
      <c r="H101" s="585"/>
      <c r="I101" s="588"/>
      <c r="J101" s="709"/>
      <c r="K101" s="664"/>
      <c r="L101" s="712"/>
      <c r="M101" s="709"/>
      <c r="O101" s="812"/>
      <c r="P101" s="815"/>
      <c r="Q101" s="817"/>
      <c r="R101" s="649"/>
      <c r="S101" s="652"/>
      <c r="T101" s="649"/>
      <c r="U101" s="652"/>
      <c r="V101" s="649"/>
      <c r="W101" s="652"/>
      <c r="X101" s="820"/>
      <c r="Y101" s="824"/>
      <c r="Z101" s="825"/>
      <c r="AA101" s="820"/>
    </row>
    <row r="102" spans="1:27" x14ac:dyDescent="0.25">
      <c r="A102" s="577">
        <v>31</v>
      </c>
      <c r="B102" s="750"/>
      <c r="C102" s="661" t="s">
        <v>797</v>
      </c>
      <c r="D102" s="583" t="s">
        <v>843</v>
      </c>
      <c r="E102" s="586"/>
      <c r="F102" s="583" t="s">
        <v>807</v>
      </c>
      <c r="G102" s="586"/>
      <c r="H102" s="583" t="s">
        <v>798</v>
      </c>
      <c r="I102" s="586"/>
      <c r="J102" s="707"/>
      <c r="K102" s="589" t="s">
        <v>777</v>
      </c>
      <c r="L102" s="710"/>
      <c r="M102" s="707" t="s">
        <v>431</v>
      </c>
      <c r="O102" s="577">
        <v>31</v>
      </c>
      <c r="P102" s="750"/>
      <c r="Q102" s="661" t="s">
        <v>797</v>
      </c>
      <c r="R102" s="583" t="s">
        <v>843</v>
      </c>
      <c r="S102" s="586"/>
      <c r="T102" s="583" t="s">
        <v>807</v>
      </c>
      <c r="U102" s="586"/>
      <c r="V102" s="583" t="s">
        <v>798</v>
      </c>
      <c r="W102" s="586"/>
      <c r="X102" s="707"/>
      <c r="Y102" s="589" t="s">
        <v>777</v>
      </c>
      <c r="Z102" s="710"/>
      <c r="AA102" s="707" t="s">
        <v>431</v>
      </c>
    </row>
    <row r="103" spans="1:27" x14ac:dyDescent="0.25">
      <c r="A103" s="602"/>
      <c r="B103" s="603"/>
      <c r="C103" s="668"/>
      <c r="D103" s="584"/>
      <c r="E103" s="587"/>
      <c r="F103" s="584"/>
      <c r="G103" s="587"/>
      <c r="H103" s="584"/>
      <c r="I103" s="587"/>
      <c r="J103" s="708"/>
      <c r="K103" s="601"/>
      <c r="L103" s="711"/>
      <c r="M103" s="708"/>
      <c r="O103" s="602"/>
      <c r="P103" s="603"/>
      <c r="Q103" s="668"/>
      <c r="R103" s="584"/>
      <c r="S103" s="587"/>
      <c r="T103" s="584"/>
      <c r="U103" s="587"/>
      <c r="V103" s="584"/>
      <c r="W103" s="587"/>
      <c r="X103" s="708"/>
      <c r="Y103" s="601"/>
      <c r="Z103" s="711"/>
      <c r="AA103" s="708"/>
    </row>
    <row r="104" spans="1:27" ht="15.75" thickBot="1" x14ac:dyDescent="0.3">
      <c r="A104" s="598"/>
      <c r="B104" s="599"/>
      <c r="C104" s="669"/>
      <c r="D104" s="584"/>
      <c r="E104" s="587"/>
      <c r="F104" s="585"/>
      <c r="G104" s="588"/>
      <c r="H104" s="585"/>
      <c r="I104" s="588"/>
      <c r="J104" s="709"/>
      <c r="K104" s="664"/>
      <c r="L104" s="712"/>
      <c r="M104" s="709"/>
      <c r="O104" s="598"/>
      <c r="P104" s="599"/>
      <c r="Q104" s="669"/>
      <c r="R104" s="584"/>
      <c r="S104" s="587"/>
      <c r="T104" s="585"/>
      <c r="U104" s="588"/>
      <c r="V104" s="585"/>
      <c r="W104" s="588"/>
      <c r="X104" s="709"/>
      <c r="Y104" s="664"/>
      <c r="Z104" s="712"/>
      <c r="AA104" s="709"/>
    </row>
    <row r="105" spans="1:27" x14ac:dyDescent="0.25">
      <c r="A105" s="577">
        <v>32</v>
      </c>
      <c r="B105" s="750"/>
      <c r="C105" s="661" t="s">
        <v>939</v>
      </c>
      <c r="D105" s="583" t="s">
        <v>835</v>
      </c>
      <c r="E105" s="747"/>
      <c r="F105" s="583" t="s">
        <v>945</v>
      </c>
      <c r="G105" s="747"/>
      <c r="H105" s="583" t="s">
        <v>914</v>
      </c>
      <c r="I105" s="747"/>
      <c r="J105" s="707" t="s">
        <v>836</v>
      </c>
      <c r="K105" s="589" t="s">
        <v>777</v>
      </c>
      <c r="L105" s="710"/>
      <c r="M105" s="707"/>
      <c r="O105" s="577">
        <v>32</v>
      </c>
      <c r="P105" s="750"/>
      <c r="Q105" s="661" t="s">
        <v>939</v>
      </c>
      <c r="R105" s="583" t="s">
        <v>835</v>
      </c>
      <c r="S105" s="747"/>
      <c r="T105" s="583" t="s">
        <v>945</v>
      </c>
      <c r="U105" s="747"/>
      <c r="V105" s="583" t="s">
        <v>914</v>
      </c>
      <c r="W105" s="747"/>
      <c r="X105" s="707" t="s">
        <v>836</v>
      </c>
      <c r="Y105" s="589" t="s">
        <v>777</v>
      </c>
      <c r="Z105" s="710"/>
      <c r="AA105" s="707"/>
    </row>
    <row r="106" spans="1:27" x14ac:dyDescent="0.25">
      <c r="A106" s="602"/>
      <c r="B106" s="603"/>
      <c r="C106" s="662"/>
      <c r="D106" s="600"/>
      <c r="E106" s="748"/>
      <c r="F106" s="600"/>
      <c r="G106" s="748"/>
      <c r="H106" s="600"/>
      <c r="I106" s="748"/>
      <c r="J106" s="708"/>
      <c r="K106" s="601"/>
      <c r="L106" s="711"/>
      <c r="M106" s="708"/>
      <c r="O106" s="602"/>
      <c r="P106" s="603"/>
      <c r="Q106" s="662"/>
      <c r="R106" s="600"/>
      <c r="S106" s="748"/>
      <c r="T106" s="600"/>
      <c r="U106" s="748"/>
      <c r="V106" s="600"/>
      <c r="W106" s="748"/>
      <c r="X106" s="708"/>
      <c r="Y106" s="601"/>
      <c r="Z106" s="711"/>
      <c r="AA106" s="708"/>
    </row>
    <row r="107" spans="1:27" ht="15.75" thickBot="1" x14ac:dyDescent="0.3">
      <c r="A107" s="598"/>
      <c r="B107" s="599"/>
      <c r="C107" s="663"/>
      <c r="D107" s="660"/>
      <c r="E107" s="749"/>
      <c r="F107" s="660"/>
      <c r="G107" s="749"/>
      <c r="H107" s="660"/>
      <c r="I107" s="749"/>
      <c r="J107" s="709"/>
      <c r="K107" s="601"/>
      <c r="L107" s="711"/>
      <c r="M107" s="709"/>
      <c r="O107" s="598"/>
      <c r="P107" s="599"/>
      <c r="Q107" s="663"/>
      <c r="R107" s="660"/>
      <c r="S107" s="749"/>
      <c r="T107" s="660"/>
      <c r="U107" s="749"/>
      <c r="V107" s="660"/>
      <c r="W107" s="749"/>
      <c r="X107" s="709"/>
      <c r="Y107" s="601"/>
      <c r="Z107" s="711"/>
      <c r="AA107" s="709"/>
    </row>
    <row r="108" spans="1:27" x14ac:dyDescent="0.25">
      <c r="A108" s="577">
        <v>33</v>
      </c>
      <c r="B108" s="750"/>
      <c r="C108" s="661" t="s">
        <v>862</v>
      </c>
      <c r="D108" s="583" t="s">
        <v>837</v>
      </c>
      <c r="E108" s="747"/>
      <c r="F108" s="583" t="s">
        <v>838</v>
      </c>
      <c r="G108" s="747"/>
      <c r="H108" s="583" t="s">
        <v>850</v>
      </c>
      <c r="I108" s="747"/>
      <c r="J108" s="707"/>
      <c r="K108" s="589" t="s">
        <v>833</v>
      </c>
      <c r="L108" s="710"/>
      <c r="M108" s="707"/>
      <c r="O108" s="577">
        <v>33</v>
      </c>
      <c r="P108" s="750"/>
      <c r="Q108" s="661" t="s">
        <v>862</v>
      </c>
      <c r="R108" s="583" t="s">
        <v>837</v>
      </c>
      <c r="S108" s="747"/>
      <c r="T108" s="583" t="s">
        <v>838</v>
      </c>
      <c r="U108" s="747"/>
      <c r="V108" s="583" t="s">
        <v>850</v>
      </c>
      <c r="W108" s="747"/>
      <c r="X108" s="707"/>
      <c r="Y108" s="589" t="s">
        <v>833</v>
      </c>
      <c r="Z108" s="710"/>
      <c r="AA108" s="707"/>
    </row>
    <row r="109" spans="1:27" x14ac:dyDescent="0.25">
      <c r="A109" s="602"/>
      <c r="B109" s="603"/>
      <c r="C109" s="662"/>
      <c r="D109" s="600"/>
      <c r="E109" s="748"/>
      <c r="F109" s="600"/>
      <c r="G109" s="748"/>
      <c r="H109" s="600"/>
      <c r="I109" s="748"/>
      <c r="J109" s="708"/>
      <c r="K109" s="601"/>
      <c r="L109" s="711"/>
      <c r="M109" s="708"/>
      <c r="O109" s="602"/>
      <c r="P109" s="603"/>
      <c r="Q109" s="662"/>
      <c r="R109" s="600"/>
      <c r="S109" s="748"/>
      <c r="T109" s="600"/>
      <c r="U109" s="748"/>
      <c r="V109" s="600"/>
      <c r="W109" s="748"/>
      <c r="X109" s="708"/>
      <c r="Y109" s="601"/>
      <c r="Z109" s="711"/>
      <c r="AA109" s="708"/>
    </row>
    <row r="110" spans="1:27" ht="15.75" thickBot="1" x14ac:dyDescent="0.3">
      <c r="A110" s="598"/>
      <c r="B110" s="599"/>
      <c r="C110" s="663"/>
      <c r="D110" s="660"/>
      <c r="E110" s="749"/>
      <c r="F110" s="660"/>
      <c r="G110" s="749"/>
      <c r="H110" s="660"/>
      <c r="I110" s="749"/>
      <c r="J110" s="709"/>
      <c r="K110" s="664"/>
      <c r="L110" s="712"/>
      <c r="M110" s="709"/>
      <c r="O110" s="598"/>
      <c r="P110" s="599"/>
      <c r="Q110" s="663"/>
      <c r="R110" s="660"/>
      <c r="S110" s="749"/>
      <c r="T110" s="660"/>
      <c r="U110" s="749"/>
      <c r="V110" s="660"/>
      <c r="W110" s="749"/>
      <c r="X110" s="709"/>
      <c r="Y110" s="664"/>
      <c r="Z110" s="712"/>
      <c r="AA110" s="709"/>
    </row>
    <row r="111" spans="1:27" x14ac:dyDescent="0.25">
      <c r="A111" s="577">
        <v>34</v>
      </c>
      <c r="B111" s="750"/>
      <c r="C111" s="661" t="s">
        <v>852</v>
      </c>
      <c r="D111" s="583" t="s">
        <v>839</v>
      </c>
      <c r="E111" s="747"/>
      <c r="F111" s="583" t="s">
        <v>840</v>
      </c>
      <c r="G111" s="747"/>
      <c r="H111" s="583" t="s">
        <v>851</v>
      </c>
      <c r="I111" s="747"/>
      <c r="J111" s="707"/>
      <c r="K111" s="589" t="s">
        <v>833</v>
      </c>
      <c r="L111" s="710"/>
      <c r="M111" s="707"/>
      <c r="O111" s="577">
        <v>34</v>
      </c>
      <c r="P111" s="750"/>
      <c r="Q111" s="661" t="s">
        <v>852</v>
      </c>
      <c r="R111" s="583" t="s">
        <v>839</v>
      </c>
      <c r="S111" s="747"/>
      <c r="T111" s="583" t="s">
        <v>840</v>
      </c>
      <c r="U111" s="747"/>
      <c r="V111" s="583" t="s">
        <v>851</v>
      </c>
      <c r="W111" s="747"/>
      <c r="X111" s="707"/>
      <c r="Y111" s="589" t="s">
        <v>833</v>
      </c>
      <c r="Z111" s="710"/>
      <c r="AA111" s="707"/>
    </row>
    <row r="112" spans="1:27" x14ac:dyDescent="0.25">
      <c r="A112" s="602"/>
      <c r="B112" s="603"/>
      <c r="C112" s="662"/>
      <c r="D112" s="600"/>
      <c r="E112" s="748"/>
      <c r="F112" s="600"/>
      <c r="G112" s="748"/>
      <c r="H112" s="600"/>
      <c r="I112" s="748"/>
      <c r="J112" s="708"/>
      <c r="K112" s="601"/>
      <c r="L112" s="711"/>
      <c r="M112" s="708"/>
      <c r="O112" s="602"/>
      <c r="P112" s="603"/>
      <c r="Q112" s="662"/>
      <c r="R112" s="600"/>
      <c r="S112" s="748"/>
      <c r="T112" s="600"/>
      <c r="U112" s="748"/>
      <c r="V112" s="600"/>
      <c r="W112" s="748"/>
      <c r="X112" s="708"/>
      <c r="Y112" s="601"/>
      <c r="Z112" s="711"/>
      <c r="AA112" s="708"/>
    </row>
    <row r="113" spans="1:27" ht="15.75" thickBot="1" x14ac:dyDescent="0.3">
      <c r="A113" s="598"/>
      <c r="B113" s="599"/>
      <c r="C113" s="663"/>
      <c r="D113" s="660"/>
      <c r="E113" s="749"/>
      <c r="F113" s="660"/>
      <c r="G113" s="749"/>
      <c r="H113" s="660"/>
      <c r="I113" s="749"/>
      <c r="J113" s="709"/>
      <c r="K113" s="664"/>
      <c r="L113" s="712"/>
      <c r="M113" s="709"/>
      <c r="O113" s="598"/>
      <c r="P113" s="599"/>
      <c r="Q113" s="663"/>
      <c r="R113" s="660"/>
      <c r="S113" s="749"/>
      <c r="T113" s="660"/>
      <c r="U113" s="749"/>
      <c r="V113" s="660"/>
      <c r="W113" s="749"/>
      <c r="X113" s="709"/>
      <c r="Y113" s="664"/>
      <c r="Z113" s="712"/>
      <c r="AA113" s="709"/>
    </row>
  </sheetData>
  <mergeCells count="678">
    <mergeCell ref="J1:J2"/>
    <mergeCell ref="K1:L2"/>
    <mergeCell ref="M1:M2"/>
    <mergeCell ref="A3:A5"/>
    <mergeCell ref="B3:B5"/>
    <mergeCell ref="C3:C5"/>
    <mergeCell ref="D3:E5"/>
    <mergeCell ref="F3:G5"/>
    <mergeCell ref="H3:I5"/>
    <mergeCell ref="J3:J5"/>
    <mergeCell ref="A1:A2"/>
    <mergeCell ref="B1:B2"/>
    <mergeCell ref="C1:C2"/>
    <mergeCell ref="D1:E2"/>
    <mergeCell ref="F1:G2"/>
    <mergeCell ref="H1:I2"/>
    <mergeCell ref="K3:L5"/>
    <mergeCell ref="M3:M5"/>
    <mergeCell ref="A6:A8"/>
    <mergeCell ref="B6:B8"/>
    <mergeCell ref="C6:C8"/>
    <mergeCell ref="D6:E8"/>
    <mergeCell ref="F6:G8"/>
    <mergeCell ref="H6:I8"/>
    <mergeCell ref="J6:J8"/>
    <mergeCell ref="K6:L8"/>
    <mergeCell ref="A9:A11"/>
    <mergeCell ref="B9:B11"/>
    <mergeCell ref="C9:C11"/>
    <mergeCell ref="D9:E11"/>
    <mergeCell ref="F9:G11"/>
    <mergeCell ref="H9:I11"/>
    <mergeCell ref="J9:J11"/>
    <mergeCell ref="K9:L11"/>
    <mergeCell ref="M9:M11"/>
    <mergeCell ref="J12:J14"/>
    <mergeCell ref="K12:L14"/>
    <mergeCell ref="M12:M14"/>
    <mergeCell ref="A15:A17"/>
    <mergeCell ref="B15:B17"/>
    <mergeCell ref="C15:C17"/>
    <mergeCell ref="D15:E17"/>
    <mergeCell ref="F15:G17"/>
    <mergeCell ref="H15:I17"/>
    <mergeCell ref="J15:J17"/>
    <mergeCell ref="A12:A14"/>
    <mergeCell ref="B12:B14"/>
    <mergeCell ref="C12:C14"/>
    <mergeCell ref="D12:E14"/>
    <mergeCell ref="F12:G14"/>
    <mergeCell ref="H12:I14"/>
    <mergeCell ref="K15:L17"/>
    <mergeCell ref="M15:M17"/>
    <mergeCell ref="A18:A20"/>
    <mergeCell ref="B18:B20"/>
    <mergeCell ref="C18:C20"/>
    <mergeCell ref="D18:E20"/>
    <mergeCell ref="F18:G20"/>
    <mergeCell ref="H18:I20"/>
    <mergeCell ref="J18:J20"/>
    <mergeCell ref="K18:L20"/>
    <mergeCell ref="A21:A23"/>
    <mergeCell ref="B21:B23"/>
    <mergeCell ref="C21:C23"/>
    <mergeCell ref="D21:E23"/>
    <mergeCell ref="F21:G23"/>
    <mergeCell ref="H21:I23"/>
    <mergeCell ref="J21:J23"/>
    <mergeCell ref="K21:L23"/>
    <mergeCell ref="M21:M23"/>
    <mergeCell ref="J24:J26"/>
    <mergeCell ref="K24:L26"/>
    <mergeCell ref="M24:M26"/>
    <mergeCell ref="A27:A29"/>
    <mergeCell ref="B27:B29"/>
    <mergeCell ref="C27:C29"/>
    <mergeCell ref="D27:E29"/>
    <mergeCell ref="F27:G29"/>
    <mergeCell ref="H27:I29"/>
    <mergeCell ref="J27:J29"/>
    <mergeCell ref="A24:A26"/>
    <mergeCell ref="B24:B26"/>
    <mergeCell ref="C24:C26"/>
    <mergeCell ref="D24:E26"/>
    <mergeCell ref="F24:G26"/>
    <mergeCell ref="H24:I26"/>
    <mergeCell ref="K27:L29"/>
    <mergeCell ref="M27:M29"/>
    <mergeCell ref="A30:A32"/>
    <mergeCell ref="B30:B32"/>
    <mergeCell ref="C30:C32"/>
    <mergeCell ref="D30:E32"/>
    <mergeCell ref="F30:G32"/>
    <mergeCell ref="H30:I32"/>
    <mergeCell ref="J30:J32"/>
    <mergeCell ref="K30:L32"/>
    <mergeCell ref="A33:A35"/>
    <mergeCell ref="B33:B35"/>
    <mergeCell ref="C33:C35"/>
    <mergeCell ref="D33:E35"/>
    <mergeCell ref="F33:G35"/>
    <mergeCell ref="H33:I35"/>
    <mergeCell ref="J33:J35"/>
    <mergeCell ref="K33:L35"/>
    <mergeCell ref="M33:M35"/>
    <mergeCell ref="K39:L41"/>
    <mergeCell ref="M39:M41"/>
    <mergeCell ref="A42:A44"/>
    <mergeCell ref="F42:G44"/>
    <mergeCell ref="H42:I44"/>
    <mergeCell ref="J42:J44"/>
    <mergeCell ref="K42:L44"/>
    <mergeCell ref="M42:M44"/>
    <mergeCell ref="J36:J38"/>
    <mergeCell ref="K36:L38"/>
    <mergeCell ref="M36:M38"/>
    <mergeCell ref="A39:A41"/>
    <mergeCell ref="B39:B44"/>
    <mergeCell ref="C39:C44"/>
    <mergeCell ref="D39:E44"/>
    <mergeCell ref="F39:G41"/>
    <mergeCell ref="H39:I41"/>
    <mergeCell ref="J39:J41"/>
    <mergeCell ref="A36:A38"/>
    <mergeCell ref="B36:B38"/>
    <mergeCell ref="C36:C38"/>
    <mergeCell ref="D36:E38"/>
    <mergeCell ref="F36:G38"/>
    <mergeCell ref="H36:I38"/>
    <mergeCell ref="J45:J47"/>
    <mergeCell ref="K45:L47"/>
    <mergeCell ref="M45:M47"/>
    <mergeCell ref="A48:A50"/>
    <mergeCell ref="B48:B50"/>
    <mergeCell ref="C48:C50"/>
    <mergeCell ref="D48:E50"/>
    <mergeCell ref="F48:G50"/>
    <mergeCell ref="H48:I50"/>
    <mergeCell ref="J48:J50"/>
    <mergeCell ref="A45:A47"/>
    <mergeCell ref="B45:B47"/>
    <mergeCell ref="C45:C47"/>
    <mergeCell ref="D45:E47"/>
    <mergeCell ref="F45:G47"/>
    <mergeCell ref="H45:I47"/>
    <mergeCell ref="K48:L50"/>
    <mergeCell ref="M48:M50"/>
    <mergeCell ref="A51:A53"/>
    <mergeCell ref="B51:B53"/>
    <mergeCell ref="C51:C53"/>
    <mergeCell ref="D51:E53"/>
    <mergeCell ref="F51:G53"/>
    <mergeCell ref="H51:I53"/>
    <mergeCell ref="J51:J53"/>
    <mergeCell ref="K51:L53"/>
    <mergeCell ref="A54:A56"/>
    <mergeCell ref="B54:B56"/>
    <mergeCell ref="C54:C56"/>
    <mergeCell ref="D54:E56"/>
    <mergeCell ref="F54:G56"/>
    <mergeCell ref="H54:I56"/>
    <mergeCell ref="J54:J56"/>
    <mergeCell ref="K54:L56"/>
    <mergeCell ref="M54:M56"/>
    <mergeCell ref="J57:J59"/>
    <mergeCell ref="K57:L59"/>
    <mergeCell ref="M57:M59"/>
    <mergeCell ref="A60:A62"/>
    <mergeCell ref="B60:B62"/>
    <mergeCell ref="C60:C62"/>
    <mergeCell ref="D60:E62"/>
    <mergeCell ref="F60:G62"/>
    <mergeCell ref="H60:I62"/>
    <mergeCell ref="J60:J62"/>
    <mergeCell ref="A57:A59"/>
    <mergeCell ref="B57:B59"/>
    <mergeCell ref="C57:C59"/>
    <mergeCell ref="D57:E59"/>
    <mergeCell ref="F57:G59"/>
    <mergeCell ref="H57:I59"/>
    <mergeCell ref="K60:L62"/>
    <mergeCell ref="M60:M62"/>
    <mergeCell ref="A63:A65"/>
    <mergeCell ref="B63:B65"/>
    <mergeCell ref="C63:C65"/>
    <mergeCell ref="D63:E65"/>
    <mergeCell ref="F63:G65"/>
    <mergeCell ref="H63:I65"/>
    <mergeCell ref="J63:J65"/>
    <mergeCell ref="K63:L65"/>
    <mergeCell ref="A66:A68"/>
    <mergeCell ref="B66:B68"/>
    <mergeCell ref="C66:C68"/>
    <mergeCell ref="D66:E68"/>
    <mergeCell ref="F66:G68"/>
    <mergeCell ref="H66:I68"/>
    <mergeCell ref="J66:J68"/>
    <mergeCell ref="K66:L68"/>
    <mergeCell ref="M66:M68"/>
    <mergeCell ref="J69:J71"/>
    <mergeCell ref="K69:L71"/>
    <mergeCell ref="M69:M71"/>
    <mergeCell ref="A72:A74"/>
    <mergeCell ref="B72:B74"/>
    <mergeCell ref="C72:C74"/>
    <mergeCell ref="D72:E74"/>
    <mergeCell ref="F72:G74"/>
    <mergeCell ref="H72:I74"/>
    <mergeCell ref="J72:J74"/>
    <mergeCell ref="A69:A71"/>
    <mergeCell ref="B69:B71"/>
    <mergeCell ref="C69:C71"/>
    <mergeCell ref="D69:E71"/>
    <mergeCell ref="F69:G71"/>
    <mergeCell ref="H69:I71"/>
    <mergeCell ref="K72:L74"/>
    <mergeCell ref="M72:M74"/>
    <mergeCell ref="A75:A77"/>
    <mergeCell ref="B75:B77"/>
    <mergeCell ref="C75:C77"/>
    <mergeCell ref="D75:E77"/>
    <mergeCell ref="F75:G77"/>
    <mergeCell ref="H75:I77"/>
    <mergeCell ref="J75:J77"/>
    <mergeCell ref="K75:L77"/>
    <mergeCell ref="A78:A80"/>
    <mergeCell ref="B78:B80"/>
    <mergeCell ref="C78:C80"/>
    <mergeCell ref="D78:E80"/>
    <mergeCell ref="F78:G80"/>
    <mergeCell ref="H78:I80"/>
    <mergeCell ref="J78:J80"/>
    <mergeCell ref="K78:L80"/>
    <mergeCell ref="M78:M80"/>
    <mergeCell ref="J81:J83"/>
    <mergeCell ref="K81:L83"/>
    <mergeCell ref="M81:M83"/>
    <mergeCell ref="A84:A86"/>
    <mergeCell ref="B84:B86"/>
    <mergeCell ref="C84:C86"/>
    <mergeCell ref="D84:E86"/>
    <mergeCell ref="F84:G86"/>
    <mergeCell ref="H84:I86"/>
    <mergeCell ref="J84:J86"/>
    <mergeCell ref="A81:A83"/>
    <mergeCell ref="B81:B83"/>
    <mergeCell ref="C81:C83"/>
    <mergeCell ref="D81:E83"/>
    <mergeCell ref="F81:G83"/>
    <mergeCell ref="H81:I83"/>
    <mergeCell ref="K84:L86"/>
    <mergeCell ref="M84:M86"/>
    <mergeCell ref="A87:A89"/>
    <mergeCell ref="B87:B89"/>
    <mergeCell ref="C87:C89"/>
    <mergeCell ref="D87:E89"/>
    <mergeCell ref="F87:G89"/>
    <mergeCell ref="H87:I89"/>
    <mergeCell ref="J87:J89"/>
    <mergeCell ref="K87:L89"/>
    <mergeCell ref="A90:A92"/>
    <mergeCell ref="B90:B92"/>
    <mergeCell ref="C90:C92"/>
    <mergeCell ref="D90:E92"/>
    <mergeCell ref="F90:G92"/>
    <mergeCell ref="H90:I92"/>
    <mergeCell ref="J90:J92"/>
    <mergeCell ref="K90:L92"/>
    <mergeCell ref="M90:M92"/>
    <mergeCell ref="J93:J95"/>
    <mergeCell ref="K93:L95"/>
    <mergeCell ref="M93:M95"/>
    <mergeCell ref="A96:A98"/>
    <mergeCell ref="B96:B98"/>
    <mergeCell ref="C96:C98"/>
    <mergeCell ref="D96:E98"/>
    <mergeCell ref="F96:G98"/>
    <mergeCell ref="H96:I98"/>
    <mergeCell ref="J96:J98"/>
    <mergeCell ref="A93:A95"/>
    <mergeCell ref="B93:B95"/>
    <mergeCell ref="C93:C95"/>
    <mergeCell ref="D93:E95"/>
    <mergeCell ref="F93:G95"/>
    <mergeCell ref="H93:I95"/>
    <mergeCell ref="K96:L98"/>
    <mergeCell ref="M96:M98"/>
    <mergeCell ref="A99:A101"/>
    <mergeCell ref="B99:B101"/>
    <mergeCell ref="C99:C101"/>
    <mergeCell ref="D99:E101"/>
    <mergeCell ref="F99:G101"/>
    <mergeCell ref="H99:I101"/>
    <mergeCell ref="J99:J101"/>
    <mergeCell ref="K99:L101"/>
    <mergeCell ref="A102:A104"/>
    <mergeCell ref="B102:B104"/>
    <mergeCell ref="C102:C104"/>
    <mergeCell ref="D102:E104"/>
    <mergeCell ref="F102:G104"/>
    <mergeCell ref="H102:I104"/>
    <mergeCell ref="J102:J104"/>
    <mergeCell ref="K102:L104"/>
    <mergeCell ref="M102:M104"/>
    <mergeCell ref="J105:J107"/>
    <mergeCell ref="K105:L107"/>
    <mergeCell ref="M105:M107"/>
    <mergeCell ref="A108:A110"/>
    <mergeCell ref="B108:B110"/>
    <mergeCell ref="C108:C110"/>
    <mergeCell ref="D108:E110"/>
    <mergeCell ref="F108:G110"/>
    <mergeCell ref="H108:I110"/>
    <mergeCell ref="J108:J110"/>
    <mergeCell ref="A105:A107"/>
    <mergeCell ref="B105:B107"/>
    <mergeCell ref="C105:C107"/>
    <mergeCell ref="D105:E107"/>
    <mergeCell ref="F105:G107"/>
    <mergeCell ref="H105:I107"/>
    <mergeCell ref="K108:L110"/>
    <mergeCell ref="M108:M110"/>
    <mergeCell ref="A111:A113"/>
    <mergeCell ref="B111:B113"/>
    <mergeCell ref="C111:C113"/>
    <mergeCell ref="D111:E113"/>
    <mergeCell ref="F111:G113"/>
    <mergeCell ref="H111:I113"/>
    <mergeCell ref="J111:J113"/>
    <mergeCell ref="K111:L113"/>
    <mergeCell ref="M111:M113"/>
    <mergeCell ref="M99:M101"/>
    <mergeCell ref="M87:M89"/>
    <mergeCell ref="M75:M77"/>
    <mergeCell ref="M63:M65"/>
    <mergeCell ref="M51:M53"/>
    <mergeCell ref="M30:M32"/>
    <mergeCell ref="M18:M20"/>
    <mergeCell ref="M6:M8"/>
    <mergeCell ref="V1:W2"/>
    <mergeCell ref="O6:O8"/>
    <mergeCell ref="P6:P8"/>
    <mergeCell ref="Q6:Q8"/>
    <mergeCell ref="R6:S8"/>
    <mergeCell ref="T6:U8"/>
    <mergeCell ref="V6:W8"/>
    <mergeCell ref="O12:O14"/>
    <mergeCell ref="P12:P14"/>
    <mergeCell ref="Q12:Q14"/>
    <mergeCell ref="R12:S14"/>
    <mergeCell ref="T12:U14"/>
    <mergeCell ref="V12:W14"/>
    <mergeCell ref="O21:O23"/>
    <mergeCell ref="P21:P23"/>
    <mergeCell ref="Q21:Q23"/>
    <mergeCell ref="X1:X2"/>
    <mergeCell ref="Y1:Z2"/>
    <mergeCell ref="AA1:AA2"/>
    <mergeCell ref="O3:O5"/>
    <mergeCell ref="P3:P5"/>
    <mergeCell ref="Q3:Q5"/>
    <mergeCell ref="R3:S5"/>
    <mergeCell ref="T3:U5"/>
    <mergeCell ref="V3:W5"/>
    <mergeCell ref="X3:X5"/>
    <mergeCell ref="Y3:Z5"/>
    <mergeCell ref="AA3:AA5"/>
    <mergeCell ref="O1:O2"/>
    <mergeCell ref="P1:P2"/>
    <mergeCell ref="Q1:Q2"/>
    <mergeCell ref="R1:S2"/>
    <mergeCell ref="T1:U2"/>
    <mergeCell ref="X6:X8"/>
    <mergeCell ref="Y6:Z8"/>
    <mergeCell ref="AA6:AA8"/>
    <mergeCell ref="O9:O11"/>
    <mergeCell ref="P9:P11"/>
    <mergeCell ref="Q9:Q11"/>
    <mergeCell ref="R9:S11"/>
    <mergeCell ref="T9:U11"/>
    <mergeCell ref="V9:W11"/>
    <mergeCell ref="X9:X11"/>
    <mergeCell ref="Y9:Z11"/>
    <mergeCell ref="AA9:AA11"/>
    <mergeCell ref="X12:X14"/>
    <mergeCell ref="Y12:Z14"/>
    <mergeCell ref="AA12:AA14"/>
    <mergeCell ref="T15:U17"/>
    <mergeCell ref="V15:W17"/>
    <mergeCell ref="X15:X17"/>
    <mergeCell ref="Y15:Z17"/>
    <mergeCell ref="AA15:AA17"/>
    <mergeCell ref="O18:O20"/>
    <mergeCell ref="P18:P20"/>
    <mergeCell ref="Q18:Q20"/>
    <mergeCell ref="R18:S20"/>
    <mergeCell ref="T18:U20"/>
    <mergeCell ref="V18:W20"/>
    <mergeCell ref="X18:X20"/>
    <mergeCell ref="Y18:Z20"/>
    <mergeCell ref="AA18:AA20"/>
    <mergeCell ref="O15:O17"/>
    <mergeCell ref="P15:P17"/>
    <mergeCell ref="Q15:Q17"/>
    <mergeCell ref="R15:S17"/>
    <mergeCell ref="R21:S23"/>
    <mergeCell ref="T21:U23"/>
    <mergeCell ref="V21:W23"/>
    <mergeCell ref="X21:X23"/>
    <mergeCell ref="Y21:Z23"/>
    <mergeCell ref="AA21:AA23"/>
    <mergeCell ref="O24:O26"/>
    <mergeCell ref="P24:P26"/>
    <mergeCell ref="Q24:Q26"/>
    <mergeCell ref="R24:S26"/>
    <mergeCell ref="T24:U26"/>
    <mergeCell ref="V24:W26"/>
    <mergeCell ref="X24:X26"/>
    <mergeCell ref="Y24:Z26"/>
    <mergeCell ref="AA24:AA26"/>
    <mergeCell ref="O27:O29"/>
    <mergeCell ref="P27:P29"/>
    <mergeCell ref="Q27:Q29"/>
    <mergeCell ref="R27:S29"/>
    <mergeCell ref="T27:U29"/>
    <mergeCell ref="V27:W29"/>
    <mergeCell ref="X27:X29"/>
    <mergeCell ref="Y27:Z29"/>
    <mergeCell ref="AA27:AA29"/>
    <mergeCell ref="O30:O32"/>
    <mergeCell ref="P30:P32"/>
    <mergeCell ref="Q30:Q32"/>
    <mergeCell ref="R30:S32"/>
    <mergeCell ref="T30:U32"/>
    <mergeCell ref="V30:W32"/>
    <mergeCell ref="X30:X32"/>
    <mergeCell ref="Y30:Z32"/>
    <mergeCell ref="AA30:AA32"/>
    <mergeCell ref="X33:X35"/>
    <mergeCell ref="Y33:Z35"/>
    <mergeCell ref="AA33:AA35"/>
    <mergeCell ref="O36:O38"/>
    <mergeCell ref="P36:P38"/>
    <mergeCell ref="Q36:Q38"/>
    <mergeCell ref="R36:S38"/>
    <mergeCell ref="T36:U38"/>
    <mergeCell ref="V36:W38"/>
    <mergeCell ref="X36:X38"/>
    <mergeCell ref="O33:O35"/>
    <mergeCell ref="P33:P35"/>
    <mergeCell ref="Q33:Q35"/>
    <mergeCell ref="R33:S35"/>
    <mergeCell ref="T33:U35"/>
    <mergeCell ref="V33:W35"/>
    <mergeCell ref="AA39:AA41"/>
    <mergeCell ref="O42:O44"/>
    <mergeCell ref="T42:U44"/>
    <mergeCell ref="V42:W44"/>
    <mergeCell ref="X42:X44"/>
    <mergeCell ref="Y42:Z44"/>
    <mergeCell ref="AA42:AA44"/>
    <mergeCell ref="Y36:Z38"/>
    <mergeCell ref="AA36:AA38"/>
    <mergeCell ref="O39:O41"/>
    <mergeCell ref="P39:P44"/>
    <mergeCell ref="Q39:Q44"/>
    <mergeCell ref="R39:S44"/>
    <mergeCell ref="T39:U41"/>
    <mergeCell ref="V39:W41"/>
    <mergeCell ref="X39:X41"/>
    <mergeCell ref="Y39:Z41"/>
    <mergeCell ref="X45:X47"/>
    <mergeCell ref="Y45:Z47"/>
    <mergeCell ref="AA45:AA47"/>
    <mergeCell ref="O48:O50"/>
    <mergeCell ref="P48:P50"/>
    <mergeCell ref="Q48:Q50"/>
    <mergeCell ref="R48:S50"/>
    <mergeCell ref="T48:U50"/>
    <mergeCell ref="V48:W50"/>
    <mergeCell ref="X48:X50"/>
    <mergeCell ref="O45:O47"/>
    <mergeCell ref="P45:P47"/>
    <mergeCell ref="Q45:Q47"/>
    <mergeCell ref="R45:S47"/>
    <mergeCell ref="T45:U47"/>
    <mergeCell ref="V45:W47"/>
    <mergeCell ref="Y48:Z50"/>
    <mergeCell ref="AA48:AA50"/>
    <mergeCell ref="O51:O53"/>
    <mergeCell ref="P51:P53"/>
    <mergeCell ref="Q51:Q53"/>
    <mergeCell ref="R51:S53"/>
    <mergeCell ref="T51:U53"/>
    <mergeCell ref="V51:W53"/>
    <mergeCell ref="X51:X53"/>
    <mergeCell ref="Y51:Z53"/>
    <mergeCell ref="AA51:AA53"/>
    <mergeCell ref="O54:O56"/>
    <mergeCell ref="P54:P56"/>
    <mergeCell ref="Q54:Q56"/>
    <mergeCell ref="R54:S56"/>
    <mergeCell ref="T54:U56"/>
    <mergeCell ref="V54:W56"/>
    <mergeCell ref="X54:X56"/>
    <mergeCell ref="Y54:Z56"/>
    <mergeCell ref="AA54:AA56"/>
    <mergeCell ref="X57:X59"/>
    <mergeCell ref="Y57:Z59"/>
    <mergeCell ref="AA57:AA59"/>
    <mergeCell ref="O60:O62"/>
    <mergeCell ref="P60:P62"/>
    <mergeCell ref="Q60:Q62"/>
    <mergeCell ref="R60:S62"/>
    <mergeCell ref="T60:U62"/>
    <mergeCell ref="V60:W62"/>
    <mergeCell ref="X60:X62"/>
    <mergeCell ref="O57:O59"/>
    <mergeCell ref="P57:P59"/>
    <mergeCell ref="Q57:Q59"/>
    <mergeCell ref="R57:S59"/>
    <mergeCell ref="T57:U59"/>
    <mergeCell ref="V57:W59"/>
    <mergeCell ref="Y60:Z62"/>
    <mergeCell ref="AA60:AA62"/>
    <mergeCell ref="O63:O65"/>
    <mergeCell ref="P63:P65"/>
    <mergeCell ref="Q63:Q65"/>
    <mergeCell ref="R63:S65"/>
    <mergeCell ref="T63:U65"/>
    <mergeCell ref="V63:W65"/>
    <mergeCell ref="X63:X65"/>
    <mergeCell ref="Y63:Z65"/>
    <mergeCell ref="AA63:AA65"/>
    <mergeCell ref="O66:O68"/>
    <mergeCell ref="P66:P68"/>
    <mergeCell ref="Q66:Q68"/>
    <mergeCell ref="R66:S68"/>
    <mergeCell ref="T66:U68"/>
    <mergeCell ref="V66:W68"/>
    <mergeCell ref="X66:X68"/>
    <mergeCell ref="Y66:Z68"/>
    <mergeCell ref="AA66:AA68"/>
    <mergeCell ref="X69:X71"/>
    <mergeCell ref="Y69:Z71"/>
    <mergeCell ref="AA69:AA71"/>
    <mergeCell ref="O72:O74"/>
    <mergeCell ref="P72:P74"/>
    <mergeCell ref="Q72:Q74"/>
    <mergeCell ref="R72:S74"/>
    <mergeCell ref="T72:U74"/>
    <mergeCell ref="V72:W74"/>
    <mergeCell ref="X72:X74"/>
    <mergeCell ref="O69:O71"/>
    <mergeCell ref="P69:P71"/>
    <mergeCell ref="Q69:Q71"/>
    <mergeCell ref="R69:S71"/>
    <mergeCell ref="T69:U71"/>
    <mergeCell ref="V69:W71"/>
    <mergeCell ref="Y72:Z74"/>
    <mergeCell ref="AA72:AA74"/>
    <mergeCell ref="O75:O77"/>
    <mergeCell ref="P75:P77"/>
    <mergeCell ref="Q75:Q77"/>
    <mergeCell ref="R75:S77"/>
    <mergeCell ref="T75:U77"/>
    <mergeCell ref="V75:W77"/>
    <mergeCell ref="X75:X77"/>
    <mergeCell ref="Y75:Z77"/>
    <mergeCell ref="AA75:AA77"/>
    <mergeCell ref="O78:O80"/>
    <mergeCell ref="P78:P80"/>
    <mergeCell ref="Q78:Q80"/>
    <mergeCell ref="R78:S80"/>
    <mergeCell ref="T78:U80"/>
    <mergeCell ref="V78:W80"/>
    <mergeCell ref="X78:X80"/>
    <mergeCell ref="Y78:Z80"/>
    <mergeCell ref="AA78:AA80"/>
    <mergeCell ref="X81:X83"/>
    <mergeCell ref="Y81:Z83"/>
    <mergeCell ref="AA81:AA83"/>
    <mergeCell ref="O84:O86"/>
    <mergeCell ref="P84:P86"/>
    <mergeCell ref="Q84:Q86"/>
    <mergeCell ref="R84:S86"/>
    <mergeCell ref="T84:U86"/>
    <mergeCell ref="V84:W86"/>
    <mergeCell ref="X84:X86"/>
    <mergeCell ref="O81:O83"/>
    <mergeCell ref="P81:P83"/>
    <mergeCell ref="Q81:Q83"/>
    <mergeCell ref="R81:S83"/>
    <mergeCell ref="T81:U83"/>
    <mergeCell ref="V81:W83"/>
    <mergeCell ref="Y84:Z86"/>
    <mergeCell ref="AA84:AA86"/>
    <mergeCell ref="O87:O89"/>
    <mergeCell ref="P87:P89"/>
    <mergeCell ref="Q87:Q89"/>
    <mergeCell ref="R87:S89"/>
    <mergeCell ref="T87:U89"/>
    <mergeCell ref="V87:W89"/>
    <mergeCell ref="X87:X89"/>
    <mergeCell ref="Y87:Z89"/>
    <mergeCell ref="AA87:AA89"/>
    <mergeCell ref="O90:O92"/>
    <mergeCell ref="P90:P92"/>
    <mergeCell ref="Q90:Q92"/>
    <mergeCell ref="R90:S92"/>
    <mergeCell ref="T90:U92"/>
    <mergeCell ref="V90:W92"/>
    <mergeCell ref="X90:X92"/>
    <mergeCell ref="Y90:Z92"/>
    <mergeCell ref="AA90:AA92"/>
    <mergeCell ref="X93:X95"/>
    <mergeCell ref="Y93:Z95"/>
    <mergeCell ref="AA93:AA95"/>
    <mergeCell ref="O96:O98"/>
    <mergeCell ref="P96:P98"/>
    <mergeCell ref="Q96:Q98"/>
    <mergeCell ref="R96:S98"/>
    <mergeCell ref="T96:U98"/>
    <mergeCell ref="V96:W98"/>
    <mergeCell ref="X96:X98"/>
    <mergeCell ref="O93:O95"/>
    <mergeCell ref="P93:P95"/>
    <mergeCell ref="Q93:Q95"/>
    <mergeCell ref="R93:S95"/>
    <mergeCell ref="T93:U95"/>
    <mergeCell ref="V93:W95"/>
    <mergeCell ref="Y96:Z98"/>
    <mergeCell ref="AA96:AA98"/>
    <mergeCell ref="O99:O101"/>
    <mergeCell ref="P99:P101"/>
    <mergeCell ref="Q99:Q101"/>
    <mergeCell ref="R99:S101"/>
    <mergeCell ref="T99:U101"/>
    <mergeCell ref="V99:W101"/>
    <mergeCell ref="X99:X101"/>
    <mergeCell ref="Y99:Z101"/>
    <mergeCell ref="AA99:AA101"/>
    <mergeCell ref="O102:O104"/>
    <mergeCell ref="P102:P104"/>
    <mergeCell ref="Q102:Q104"/>
    <mergeCell ref="R102:S104"/>
    <mergeCell ref="T102:U104"/>
    <mergeCell ref="V102:W104"/>
    <mergeCell ref="X102:X104"/>
    <mergeCell ref="Y102:Z104"/>
    <mergeCell ref="AA102:AA104"/>
    <mergeCell ref="X105:X107"/>
    <mergeCell ref="Y105:Z107"/>
    <mergeCell ref="AA105:AA107"/>
    <mergeCell ref="O108:O110"/>
    <mergeCell ref="P108:P110"/>
    <mergeCell ref="Q108:Q110"/>
    <mergeCell ref="R108:S110"/>
    <mergeCell ref="T108:U110"/>
    <mergeCell ref="V108:W110"/>
    <mergeCell ref="X108:X110"/>
    <mergeCell ref="O105:O107"/>
    <mergeCell ref="P105:P107"/>
    <mergeCell ref="Q105:Q107"/>
    <mergeCell ref="R105:S107"/>
    <mergeCell ref="T105:U107"/>
    <mergeCell ref="V105:W107"/>
    <mergeCell ref="AA111:AA113"/>
    <mergeCell ref="Y108:Z110"/>
    <mergeCell ref="AA108:AA110"/>
    <mergeCell ref="O111:O113"/>
    <mergeCell ref="P111:P113"/>
    <mergeCell ref="Q111:Q113"/>
    <mergeCell ref="R111:S113"/>
    <mergeCell ref="T111:U113"/>
    <mergeCell ref="V111:W113"/>
    <mergeCell ref="X111:X113"/>
    <mergeCell ref="Y111:Z113"/>
  </mergeCells>
  <conditionalFormatting sqref="A1:M1048576 O1:AA1048576">
    <cfRule type="uniqueValues" dxfId="51" priority="1"/>
  </conditionalFormatting>
  <conditionalFormatting sqref="A114:M1048576 O114:AA1048576">
    <cfRule type="uniqueValues" dxfId="50" priority="2"/>
  </conditionalFormatting>
  <dataValidations count="1">
    <dataValidation errorStyle="information" allowBlank="1" showInputMessage="1" showErrorMessage="1" errorTitle="Kennzahl" promptTitle="Kennzahl" sqref="A1:B2 O1:P2" xr:uid="{00000000-0002-0000-0B00-000000000000}"/>
  </dataValidations>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46"/>
  <sheetViews>
    <sheetView workbookViewId="0">
      <selection activeCell="A47" sqref="A47"/>
    </sheetView>
  </sheetViews>
  <sheetFormatPr defaultColWidth="11.42578125" defaultRowHeight="14.25" x14ac:dyDescent="0.2"/>
  <cols>
    <col min="1" max="1" width="23.85546875" style="3" customWidth="1"/>
    <col min="2" max="2" width="22.28515625" style="3" customWidth="1"/>
    <col min="3" max="3" width="12.7109375" style="3" customWidth="1"/>
    <col min="4" max="4" width="14.7109375" style="3" customWidth="1"/>
    <col min="5" max="5" width="8.42578125" style="3" customWidth="1"/>
    <col min="6" max="6" width="35.85546875" style="3" customWidth="1"/>
    <col min="7" max="7" width="37.140625" style="3" customWidth="1"/>
    <col min="8" max="8" width="9.5703125" style="3" customWidth="1"/>
    <col min="9" max="9" width="26.42578125" style="3" customWidth="1"/>
    <col min="10" max="10" width="23.5703125" style="3" customWidth="1"/>
    <col min="11" max="11" width="22" style="3" customWidth="1"/>
    <col min="12" max="256" width="9.140625" style="3" customWidth="1"/>
    <col min="257" max="16384" width="11.42578125" style="3"/>
  </cols>
  <sheetData>
    <row r="1" spans="1:11" x14ac:dyDescent="0.2">
      <c r="A1" s="19" t="s">
        <v>112</v>
      </c>
      <c r="B1" s="460">
        <v>235</v>
      </c>
    </row>
    <row r="2" spans="1:11" x14ac:dyDescent="0.2">
      <c r="A2" s="19" t="s">
        <v>37</v>
      </c>
      <c r="B2" s="460" t="str">
        <f>IF('Basic Data'!B7=0,"",'Basic Data'!B7)</f>
        <v/>
      </c>
      <c r="K2" s="6"/>
    </row>
    <row r="3" spans="1:11" x14ac:dyDescent="0.2">
      <c r="A3" s="19" t="s">
        <v>154</v>
      </c>
      <c r="B3" s="461" t="str">
        <f>IF('Basic Data'!I13=0,"",'Basic Data'!I13)</f>
        <v/>
      </c>
    </row>
    <row r="5" spans="1:11" x14ac:dyDescent="0.2">
      <c r="A5" s="124" t="s">
        <v>332</v>
      </c>
      <c r="B5" s="462"/>
    </row>
    <row r="6" spans="1:11" x14ac:dyDescent="0.2">
      <c r="A6" s="124" t="s">
        <v>333</v>
      </c>
      <c r="B6" s="462"/>
    </row>
    <row r="7" spans="1:11" x14ac:dyDescent="0.2">
      <c r="A7" s="124" t="s">
        <v>334</v>
      </c>
      <c r="B7" s="462"/>
    </row>
    <row r="8" spans="1:11" x14ac:dyDescent="0.2">
      <c r="A8" s="124" t="s">
        <v>354</v>
      </c>
      <c r="B8" s="462"/>
    </row>
    <row r="9" spans="1:11" x14ac:dyDescent="0.2">
      <c r="A9" s="124" t="s">
        <v>355</v>
      </c>
      <c r="B9" s="462"/>
    </row>
    <row r="11" spans="1:11" ht="19.5" customHeight="1" x14ac:dyDescent="0.2">
      <c r="A11" s="125" t="s">
        <v>111</v>
      </c>
      <c r="B11" s="125" t="s">
        <v>110</v>
      </c>
      <c r="C11" s="125" t="s">
        <v>17</v>
      </c>
      <c r="D11" s="125" t="s">
        <v>36</v>
      </c>
      <c r="E11" s="125" t="s">
        <v>109</v>
      </c>
      <c r="F11" s="125" t="s">
        <v>113</v>
      </c>
      <c r="G11" s="125" t="s">
        <v>107</v>
      </c>
      <c r="H11" s="125" t="s">
        <v>108</v>
      </c>
      <c r="I11" s="125" t="s">
        <v>335</v>
      </c>
      <c r="J11" s="125" t="s">
        <v>336</v>
      </c>
      <c r="K11" s="125" t="s">
        <v>337</v>
      </c>
    </row>
    <row r="12" spans="1:11" x14ac:dyDescent="0.2">
      <c r="A12" s="274" t="s">
        <v>815</v>
      </c>
      <c r="B12" s="463" t="str">
        <f>IF('Indicator sheet_(IS)'!O10 =0,"n.d.", 'Indicator sheet_(IS)'!O10)</f>
        <v>n.d.</v>
      </c>
      <c r="C12" s="464"/>
      <c r="D12" s="465"/>
      <c r="E12" s="463">
        <f>Berechnung1!N27</f>
        <v>1</v>
      </c>
      <c r="F12" s="460" t="str">
        <f>IF('Indicator sheet_(IS)'!Q10=0,"",'Indicator sheet_(IS)'!Q10)</f>
        <v/>
      </c>
      <c r="G12" s="460" t="str">
        <f>IF('Indicator sheet_(IS)'!R10=0,"",'Indicator sheet_(IS)'!R10)</f>
        <v/>
      </c>
      <c r="H12" s="466">
        <f>Berechnung1!O27</f>
        <v>0</v>
      </c>
      <c r="I12" s="467"/>
      <c r="J12" s="467"/>
      <c r="K12" s="467"/>
    </row>
    <row r="13" spans="1:11" x14ac:dyDescent="0.2">
      <c r="A13" s="274" t="s">
        <v>816</v>
      </c>
      <c r="B13" s="468" t="str">
        <f>IF('Indicator sheet_(IS)'!O13 ="","n.d.", 'Indicator sheet_(IS)'!O13)</f>
        <v>n.d.</v>
      </c>
      <c r="C13" s="464"/>
      <c r="D13" s="465"/>
      <c r="E13" s="463">
        <f>Berechnung1!N30</f>
        <v>1</v>
      </c>
      <c r="F13" s="460" t="str">
        <f>IF('Indicator sheet_(IS)'!Q13=0,"",'Indicator sheet_(IS)'!Q13)</f>
        <v/>
      </c>
      <c r="G13" s="460" t="str">
        <f>IF('Indicator sheet_(IS)'!R13=0,"",'Indicator sheet_(IS)'!R13)</f>
        <v/>
      </c>
      <c r="H13" s="466">
        <f>Berechnung1!O30</f>
        <v>0</v>
      </c>
      <c r="I13" s="467"/>
      <c r="J13" s="467"/>
      <c r="K13" s="467"/>
    </row>
    <row r="14" spans="1:11" x14ac:dyDescent="0.2">
      <c r="A14" s="274" t="s">
        <v>235</v>
      </c>
      <c r="B14" s="463" t="str">
        <f>IF('Indicator sheet_(IS)'!O16 = "", "",'Indicator sheet_(IS)'!O16)</f>
        <v/>
      </c>
      <c r="C14" s="463">
        <f>IF('Indicator sheet_(IS)'!O17="","",'Indicator sheet_(IS)'!O17)</f>
        <v>0</v>
      </c>
      <c r="D14" s="469" t="str">
        <f>IF('Indicator sheet_(IS)'!O18="n.d.","n.d.",'Indicator sheet_(IS)'!O18*100)</f>
        <v>n.d.</v>
      </c>
      <c r="E14" s="463">
        <f>Berechnung1!N33</f>
        <v>1</v>
      </c>
      <c r="F14" s="460" t="str">
        <f>IF('Indicator sheet_(IS)'!Q16=0,"",'Indicator sheet_(IS)'!Q16)</f>
        <v/>
      </c>
      <c r="G14" s="460" t="str">
        <f>IF('Indicator sheet_(IS)'!R16=0,"",'Indicator sheet_(IS)'!R16)</f>
        <v/>
      </c>
      <c r="H14" s="466">
        <f>Berechnung1!O33</f>
        <v>0</v>
      </c>
      <c r="I14" s="467"/>
      <c r="J14" s="467"/>
      <c r="K14" s="467"/>
    </row>
    <row r="15" spans="1:11" x14ac:dyDescent="0.2">
      <c r="A15" s="274" t="s">
        <v>236</v>
      </c>
      <c r="B15" s="463" t="str">
        <f>IF('Indicator sheet_(IS)'!O19 = "", "",'Indicator sheet_(IS)'!O19)</f>
        <v/>
      </c>
      <c r="C15" s="463">
        <f>IF('Indicator sheet_(IS)'!O20="","",'Indicator sheet_(IS)'!O20)</f>
        <v>0</v>
      </c>
      <c r="D15" s="469" t="str">
        <f>IF('Indicator sheet_(IS)'!O21="n.d.","n.d.",'Indicator sheet_(IS)'!O21*100)</f>
        <v>n.d.</v>
      </c>
      <c r="E15" s="463">
        <f>Berechnung1!N36</f>
        <v>1</v>
      </c>
      <c r="F15" s="460" t="str">
        <f>IF('Indicator sheet_(IS)'!Q19=0,"",'Indicator sheet_(IS)'!Q19)</f>
        <v/>
      </c>
      <c r="G15" s="460" t="str">
        <f>IF('Indicator sheet_(IS)'!R19=0,"",'Indicator sheet_(IS)'!R19)</f>
        <v/>
      </c>
      <c r="H15" s="466">
        <f>Berechnung1!O36</f>
        <v>0</v>
      </c>
      <c r="I15" s="467"/>
      <c r="J15" s="467"/>
      <c r="K15" s="467"/>
    </row>
    <row r="16" spans="1:11" x14ac:dyDescent="0.2">
      <c r="A16" s="274">
        <v>3</v>
      </c>
      <c r="B16" s="463" t="str">
        <f>IF('Indicator sheet_(IS)'!O22 = "", "",'Indicator sheet_(IS)'!O22)</f>
        <v/>
      </c>
      <c r="C16" s="463">
        <f>IF('Indicator sheet_(IS)'!O23="","",'Indicator sheet_(IS)'!O23)</f>
        <v>0</v>
      </c>
      <c r="D16" s="469" t="str">
        <f>IF('Indicator sheet_(IS)'!O24="n.d.","n.d.",'Indicator sheet_(IS)'!O24*100)</f>
        <v>n.d.</v>
      </c>
      <c r="E16" s="463">
        <f>Berechnung1!N39</f>
        <v>1</v>
      </c>
      <c r="F16" s="460" t="str">
        <f>IF('Indicator sheet_(IS)'!Q22=0,"",'Indicator sheet_(IS)'!Q22)</f>
        <v/>
      </c>
      <c r="G16" s="460" t="str">
        <f>IF('Indicator sheet_(IS)'!R22=0,"",'Indicator sheet_(IS)'!R22)</f>
        <v/>
      </c>
      <c r="H16" s="466">
        <f>Berechnung1!O39</f>
        <v>0</v>
      </c>
      <c r="I16" s="467"/>
      <c r="J16" s="467"/>
      <c r="K16" s="467"/>
    </row>
    <row r="17" spans="1:11" x14ac:dyDescent="0.2">
      <c r="A17" s="274">
        <v>4</v>
      </c>
      <c r="B17" s="463" t="str">
        <f>IF('Indicator sheet_(IS)'!O25 = "", "",'Indicator sheet_(IS)'!O25)</f>
        <v/>
      </c>
      <c r="C17" s="463" t="str">
        <f>IF('Indicator sheet_(IS)'!O26="","",'Indicator sheet_(IS)'!O26)</f>
        <v/>
      </c>
      <c r="D17" s="469" t="str">
        <f>IF('Indicator sheet_(IS)'!O27="n.d.","n.d.",IF('Indicator sheet_(IS)'!O27="","n.d.",'Indicator sheet_(IS)'!O27*100))</f>
        <v>n.d.</v>
      </c>
      <c r="E17" s="463">
        <f>Berechnung1!N42</f>
        <v>1</v>
      </c>
      <c r="F17" s="460" t="str">
        <f>IF('Indicator sheet_(IS)'!Q25=0,"",'Indicator sheet_(IS)'!Q25)</f>
        <v/>
      </c>
      <c r="G17" s="460" t="str">
        <f>IF('Indicator sheet_(IS)'!R25=0,"",'Indicator sheet_(IS)'!R25)</f>
        <v/>
      </c>
      <c r="H17" s="466">
        <f>Berechnung1!O42</f>
        <v>0</v>
      </c>
      <c r="I17" s="467"/>
      <c r="J17" s="467"/>
      <c r="K17" s="467"/>
    </row>
    <row r="18" spans="1:11" x14ac:dyDescent="0.2">
      <c r="A18" s="274">
        <v>5</v>
      </c>
      <c r="B18" s="463" t="str">
        <f>IF('Indicator sheet_(IS)'!O28 = "", "",'Indicator sheet_(IS)'!O28)</f>
        <v/>
      </c>
      <c r="C18" s="463">
        <f>IF('Indicator sheet_(IS)'!O29="","",'Indicator sheet_(IS)'!O29)</f>
        <v>0</v>
      </c>
      <c r="D18" s="469" t="str">
        <f>IF('Indicator sheet_(IS)'!O30="n.d.","n.d.",'Indicator sheet_(IS)'!O30*100)</f>
        <v>n.d.</v>
      </c>
      <c r="E18" s="463">
        <f>Berechnung1!N45</f>
        <v>1</v>
      </c>
      <c r="F18" s="460" t="str">
        <f>IF('Indicator sheet_(IS)'!Q28=0,"",'Indicator sheet_(IS)'!Q28)</f>
        <v/>
      </c>
      <c r="G18" s="460" t="str">
        <f>IF('Indicator sheet_(IS)'!R28=0,"",'Indicator sheet_(IS)'!R28)</f>
        <v/>
      </c>
      <c r="H18" s="466">
        <f>Berechnung1!O45</f>
        <v>0</v>
      </c>
      <c r="I18" s="467"/>
      <c r="J18" s="467"/>
      <c r="K18" s="127"/>
    </row>
    <row r="19" spans="1:11" x14ac:dyDescent="0.2">
      <c r="A19" s="274">
        <v>6</v>
      </c>
      <c r="B19" s="463" t="str">
        <f>IF('Indicator sheet_(IS)'!O31 = "", "",'Indicator sheet_(IS)'!O31)</f>
        <v/>
      </c>
      <c r="C19" s="463">
        <f>IF('Indicator sheet_(IS)'!O32="","",'Indicator sheet_(IS)'!O32)</f>
        <v>0</v>
      </c>
      <c r="D19" s="469" t="str">
        <f>IF('Indicator sheet_(IS)'!O33="n.d.","n.d.",'Indicator sheet_(IS)'!O33*100)</f>
        <v>n.d.</v>
      </c>
      <c r="E19" s="463">
        <f>Berechnung1!N48</f>
        <v>1</v>
      </c>
      <c r="F19" s="460" t="str">
        <f>IF('Indicator sheet_(IS)'!Q31=0,"",'Indicator sheet_(IS)'!Q31)</f>
        <v/>
      </c>
      <c r="G19" s="460" t="str">
        <f>IF('Indicator sheet_(IS)'!R31=0,"",'Indicator sheet_(IS)'!R31)</f>
        <v/>
      </c>
      <c r="H19" s="466">
        <f>Berechnung1!O48</f>
        <v>0</v>
      </c>
      <c r="I19" s="467"/>
      <c r="J19" s="467"/>
      <c r="K19" s="127"/>
    </row>
    <row r="20" spans="1:11" x14ac:dyDescent="0.2">
      <c r="A20" s="274">
        <v>7</v>
      </c>
      <c r="B20" s="463">
        <f>IF('Indicator sheet_(IS)'!O34 = "", "",'Indicator sheet_(IS)'!O34)</f>
        <v>0</v>
      </c>
      <c r="C20" s="463">
        <f>IF('Indicator sheet_(IS)'!O35="","",'Indicator sheet_(IS)'!O35)</f>
        <v>0</v>
      </c>
      <c r="D20" s="469" t="str">
        <f>IF('Indicator sheet_(IS)'!O36="n.d.","n.d.",'Indicator sheet_(IS)'!O36*100)</f>
        <v>n.d.</v>
      </c>
      <c r="E20" s="463">
        <f>Berechnung1!N51</f>
        <v>1</v>
      </c>
      <c r="F20" s="460" t="str">
        <f>IF('Indicator sheet_(IS)'!Q34=0,"",'Indicator sheet_(IS)'!Q34)</f>
        <v/>
      </c>
      <c r="G20" s="460" t="str">
        <f>IF('Indicator sheet_(IS)'!R34=0,"",'Indicator sheet_(IS)'!R34)</f>
        <v/>
      </c>
      <c r="H20" s="466">
        <f>Berechnung1!O51</f>
        <v>0</v>
      </c>
      <c r="I20" s="467"/>
      <c r="J20" s="467"/>
      <c r="K20" s="127"/>
    </row>
    <row r="21" spans="1:11" x14ac:dyDescent="0.2">
      <c r="A21" s="274">
        <v>8</v>
      </c>
      <c r="B21" s="463" t="str">
        <f>IF(SUM(Expertise_Lung!M11:M14)=0, "n.d.",SUM(Expertise_Lung!M11:M14))</f>
        <v>n.d.</v>
      </c>
      <c r="C21" s="464"/>
      <c r="D21" s="465"/>
      <c r="E21" s="463">
        <f>Berechnung1!N54</f>
        <v>1</v>
      </c>
      <c r="F21" s="460" t="str">
        <f>IF('Indicator sheet_(IS)'!Q37=0,"",'Indicator sheet_(IS)'!Q37)</f>
        <v/>
      </c>
      <c r="G21" s="460" t="str">
        <f>IF('Indicator sheet_(IS)'!R37=0,"",'Indicator sheet_(IS)'!R37)</f>
        <v/>
      </c>
      <c r="H21" s="466">
        <f>Berechnung1!O54</f>
        <v>0</v>
      </c>
      <c r="I21" s="467"/>
      <c r="J21" s="467"/>
      <c r="K21" s="127"/>
    </row>
    <row r="22" spans="1:11" x14ac:dyDescent="0.2">
      <c r="A22" s="274">
        <v>9</v>
      </c>
      <c r="B22" s="463" t="str">
        <f>IF(SUM(Expertise_Lung!M19:M22)= 0, "n.d.",SUM(Expertise_Lung!M19:M22))</f>
        <v>n.d.</v>
      </c>
      <c r="C22" s="464"/>
      <c r="D22" s="465"/>
      <c r="E22" s="463">
        <f>Berechnung1!N60</f>
        <v>1</v>
      </c>
      <c r="F22" s="460" t="str">
        <f>IF('Indicator sheet_(IS)'!Q43=0,"",'Indicator sheet_(IS)'!Q43)</f>
        <v/>
      </c>
      <c r="G22" s="460" t="str">
        <f>IF('Indicator sheet_(IS)'!R43=0,"",'Indicator sheet_(IS)'!R43)</f>
        <v/>
      </c>
      <c r="H22" s="466">
        <f>Berechnung1!O60</f>
        <v>0</v>
      </c>
      <c r="I22" s="467"/>
      <c r="J22" s="467"/>
      <c r="K22" s="127"/>
    </row>
    <row r="23" spans="1:11" x14ac:dyDescent="0.2">
      <c r="A23" s="274">
        <v>10</v>
      </c>
      <c r="B23" s="463" t="str">
        <f>IF('Indicator sheet_(IS)'!O46 = "", "",'Indicator sheet_(IS)'!O46)</f>
        <v/>
      </c>
      <c r="C23" s="463" t="str">
        <f>IF('Indicator sheet_(IS)'!O47 = "", "",'Indicator sheet_(IS)'!O47)</f>
        <v/>
      </c>
      <c r="D23" s="469" t="str">
        <f>IF('Indicator sheet_(IS)'!O48="n.d.","n.d.",'Indicator sheet_(IS)'!O48*100)</f>
        <v>n.d.</v>
      </c>
      <c r="E23" s="463">
        <f>Berechnung1!N63</f>
        <v>1</v>
      </c>
      <c r="F23" s="470" t="str">
        <f>IF('Indicator sheet_(IS)'!Q46=0,"",'Indicator sheet_(IS)'!Q46)</f>
        <v/>
      </c>
      <c r="G23" s="460" t="str">
        <f>IF('Indicator sheet_(IS)'!R46=0,"",'Indicator sheet_(IS)'!R46)</f>
        <v/>
      </c>
      <c r="H23" s="466">
        <f>Berechnung1!O63</f>
        <v>0</v>
      </c>
      <c r="I23" s="467"/>
      <c r="J23" s="467"/>
      <c r="K23" s="127"/>
    </row>
    <row r="24" spans="1:11" x14ac:dyDescent="0.2">
      <c r="A24" s="274" t="s">
        <v>884</v>
      </c>
      <c r="B24" s="463" t="str">
        <f>IF(SUM('Indicator sheet_(IS)'!O49:O51)=0, "n.d.",SUM('Indicator sheet_(IS)'!O49:O51))</f>
        <v>n.d.</v>
      </c>
      <c r="C24" s="464"/>
      <c r="D24" s="465"/>
      <c r="E24" s="463">
        <f>Berechnung1!N66</f>
        <v>1</v>
      </c>
      <c r="F24" s="460" t="str">
        <f>IF('Indicator sheet_(IS)'!Q49=0,"",'Indicator sheet_(IS)'!Q49)</f>
        <v/>
      </c>
      <c r="G24" s="460" t="str">
        <f>IF('Indicator sheet_(IS)'!R49=0,"",'Indicator sheet_(IS)'!R49)</f>
        <v/>
      </c>
      <c r="H24" s="466">
        <f>Berechnung1!O66</f>
        <v>0</v>
      </c>
      <c r="I24" s="467"/>
      <c r="J24" s="467"/>
      <c r="K24" s="467"/>
    </row>
    <row r="25" spans="1:11" x14ac:dyDescent="0.2">
      <c r="A25" s="274" t="s">
        <v>885</v>
      </c>
      <c r="B25" s="463" t="str">
        <f>IF(SUM('Indicator sheet_(IS)'!O52:O54)=0, "n.d.",SUM('Indicator sheet_(IS)'!O52:O54))</f>
        <v>n.d.</v>
      </c>
      <c r="C25" s="464"/>
      <c r="D25" s="465"/>
      <c r="E25" s="463">
        <f>Berechnung1!N69</f>
        <v>1</v>
      </c>
      <c r="F25" s="460" t="str">
        <f>IF('Indicator sheet_(IS)'!Q52=0,"",'Indicator sheet_(IS)'!Q52)</f>
        <v/>
      </c>
      <c r="G25" s="460" t="str">
        <f>IF('Indicator sheet_(IS)'!R52=0,"",'Indicator sheet_(IS)'!R52)</f>
        <v/>
      </c>
      <c r="H25" s="466">
        <f>Berechnung1!O69</f>
        <v>0</v>
      </c>
      <c r="I25" s="467"/>
      <c r="J25" s="467"/>
      <c r="K25" s="467"/>
    </row>
    <row r="26" spans="1:11" x14ac:dyDescent="0.2">
      <c r="A26" s="274">
        <v>12</v>
      </c>
      <c r="B26" s="463" t="str">
        <f>IF('Indicator sheet_(IS)'!O55 = "", "", 'Indicator sheet_(IS)'!O55)</f>
        <v/>
      </c>
      <c r="C26" s="463" t="str">
        <f>IF('Indicator sheet_(IS)'!O56="","",'Indicator sheet_(IS)'!O56)</f>
        <v/>
      </c>
      <c r="D26" s="469" t="str">
        <f>IF('Indicator sheet_(IS)'!O57="n.d.","n.d.",'Indicator sheet_(IS)'!O57*100)</f>
        <v>n.d.</v>
      </c>
      <c r="E26" s="463">
        <f>Berechnung1!N72</f>
        <v>1</v>
      </c>
      <c r="F26" s="460" t="str">
        <f>IF('Indicator sheet_(IS)'!Q55=0,"",'Indicator sheet_(IS)'!Q55)</f>
        <v/>
      </c>
      <c r="G26" s="460" t="str">
        <f>IF('Indicator sheet_(IS)'!R55=0,"",'Indicator sheet_(IS)'!R55)</f>
        <v/>
      </c>
      <c r="H26" s="466">
        <f>Berechnung1!O72</f>
        <v>0</v>
      </c>
      <c r="I26" s="467"/>
      <c r="J26" s="467"/>
      <c r="K26" s="467"/>
    </row>
    <row r="27" spans="1:11" x14ac:dyDescent="0.2">
      <c r="A27" s="274">
        <v>13</v>
      </c>
      <c r="B27" s="463" t="str">
        <f>IF('Indicator sheet_(IS)'!O58 = "", "", 'Indicator sheet_(IS)'!O58)</f>
        <v/>
      </c>
      <c r="C27" s="463">
        <f>IF('Indicator sheet_(IS)'!O59="","",'Indicator sheet_(IS)'!O59)</f>
        <v>0</v>
      </c>
      <c r="D27" s="469" t="str">
        <f>IF('Indicator sheet_(IS)'!O60="n.d.","n.d.",'Indicator sheet_(IS)'!O60*100)</f>
        <v>n.d.</v>
      </c>
      <c r="E27" s="463">
        <f>Berechnung1!N75</f>
        <v>1</v>
      </c>
      <c r="F27" s="460" t="str">
        <f>IF('Indicator sheet_(IS)'!Q58=0,"",'Indicator sheet_(IS)'!Q58)</f>
        <v/>
      </c>
      <c r="G27" s="460" t="str">
        <f>IF('Indicator sheet_(IS)'!R58=0,"",'Indicator sheet_(IS)'!R58)</f>
        <v/>
      </c>
      <c r="H27" s="466">
        <f>Berechnung1!O75</f>
        <v>0</v>
      </c>
      <c r="I27" s="467"/>
      <c r="J27" s="467"/>
      <c r="K27" s="467"/>
    </row>
    <row r="28" spans="1:11" x14ac:dyDescent="0.2">
      <c r="A28" s="274">
        <v>14</v>
      </c>
      <c r="B28" s="463" t="str">
        <f>IF('Indicator sheet_(IS)'!O61 = "", "", 'Indicator sheet_(IS)'!O61)</f>
        <v/>
      </c>
      <c r="C28" s="463">
        <f>IF('Indicator sheet_(IS)'!O62="","",'Indicator sheet_(IS)'!O62)</f>
        <v>0</v>
      </c>
      <c r="D28" s="469" t="str">
        <f>IF('Indicator sheet_(IS)'!O63="n.d.","n.d.",'Indicator sheet_(IS)'!O63*100)</f>
        <v>n.d.</v>
      </c>
      <c r="E28" s="463">
        <f>Berechnung1!N78</f>
        <v>1</v>
      </c>
      <c r="F28" s="460" t="str">
        <f>IF('Indicator sheet_(IS)'!Q61=0,"",'Indicator sheet_(IS)'!Q61)</f>
        <v/>
      </c>
      <c r="G28" s="460" t="str">
        <f>IF('Indicator sheet_(IS)'!R61=0,"",'Indicator sheet_(IS)'!R61)</f>
        <v/>
      </c>
      <c r="H28" s="466">
        <f>Berechnung1!O78</f>
        <v>0</v>
      </c>
      <c r="I28" s="467"/>
      <c r="J28" s="467"/>
      <c r="K28" s="467"/>
    </row>
    <row r="29" spans="1:11" x14ac:dyDescent="0.2">
      <c r="A29" s="274">
        <v>15</v>
      </c>
      <c r="B29" s="463" t="str">
        <f>IF('Indicator sheet_(IS)'!O64 = "", "", 'Indicator sheet_(IS)'!O64)</f>
        <v/>
      </c>
      <c r="C29" s="463">
        <f>IF('Indicator sheet_(IS)'!O65="","",'Indicator sheet_(IS)'!O65)</f>
        <v>0</v>
      </c>
      <c r="D29" s="469" t="str">
        <f>IF('Indicator sheet_(IS)'!O66="n.d.","n.d.",'Indicator sheet_(IS)'!O66*100)</f>
        <v>n.d.</v>
      </c>
      <c r="E29" s="463">
        <f>Berechnung1!N81</f>
        <v>1</v>
      </c>
      <c r="F29" s="460" t="str">
        <f>IF('Indicator sheet_(IS)'!Q64=0,"",'Indicator sheet_(IS)'!Q64)</f>
        <v/>
      </c>
      <c r="G29" s="460" t="str">
        <f>IF('Indicator sheet_(IS)'!R64=0,"",'Indicator sheet_(IS)'!R64)</f>
        <v/>
      </c>
      <c r="H29" s="466">
        <f>Berechnung1!O81</f>
        <v>0</v>
      </c>
      <c r="I29" s="467"/>
      <c r="J29" s="467"/>
      <c r="K29" s="467"/>
    </row>
    <row r="30" spans="1:11" x14ac:dyDescent="0.2">
      <c r="A30" s="274">
        <v>16</v>
      </c>
      <c r="B30" s="463" t="str">
        <f>IF('Indicator sheet_(IS)'!O67 = "", "", 'Indicator sheet_(IS)'!O67)</f>
        <v/>
      </c>
      <c r="C30" s="463">
        <f>IF('Indicator sheet_(IS)'!O68="","",'Indicator sheet_(IS)'!O68)</f>
        <v>0</v>
      </c>
      <c r="D30" s="469" t="str">
        <f>IF('Indicator sheet_(IS)'!O69="n.d.","n.d.",'Indicator sheet_(IS)'!O69*100)</f>
        <v>n.d.</v>
      </c>
      <c r="E30" s="463">
        <f>Berechnung1!N84</f>
        <v>1</v>
      </c>
      <c r="F30" s="460" t="str">
        <f>IF('Indicator sheet_(IS)'!Q67=0,"",'Indicator sheet_(IS)'!Q67)</f>
        <v/>
      </c>
      <c r="G30" s="460" t="str">
        <f>IF('Indicator sheet_(IS)'!R67=0,"",'Indicator sheet_(IS)'!R67)</f>
        <v/>
      </c>
      <c r="H30" s="466">
        <f>Berechnung1!O84</f>
        <v>0</v>
      </c>
      <c r="I30" s="467"/>
      <c r="J30" s="467"/>
      <c r="K30" s="467"/>
    </row>
    <row r="31" spans="1:11" x14ac:dyDescent="0.2">
      <c r="A31" s="274">
        <v>17</v>
      </c>
      <c r="B31" s="463" t="str">
        <f>IF('Indicator sheet_(IS)'!O70 = "", "", 'Indicator sheet_(IS)'!O70)</f>
        <v/>
      </c>
      <c r="C31" s="463">
        <f>IF('Indicator sheet_(IS)'!O71="","",'Indicator sheet_(IS)'!O71)</f>
        <v>0</v>
      </c>
      <c r="D31" s="469" t="str">
        <f>IF('Indicator sheet_(IS)'!O72="n.d.","n.d.",'Indicator sheet_(IS)'!O72*100)</f>
        <v>n.d.</v>
      </c>
      <c r="E31" s="463">
        <f>Berechnung1!N87</f>
        <v>1</v>
      </c>
      <c r="F31" s="460" t="str">
        <f>IF('Indicator sheet_(IS)'!Q70=0,"",'Indicator sheet_(IS)'!Q70)</f>
        <v/>
      </c>
      <c r="G31" s="460" t="str">
        <f>IF('Indicator sheet_(IS)'!R70=0,"",'Indicator sheet_(IS)'!R70)</f>
        <v/>
      </c>
      <c r="H31" s="466">
        <f>Berechnung1!O87</f>
        <v>0</v>
      </c>
      <c r="I31" s="467"/>
      <c r="J31" s="467"/>
      <c r="K31" s="467"/>
    </row>
    <row r="32" spans="1:11" x14ac:dyDescent="0.2">
      <c r="A32" s="274">
        <v>18</v>
      </c>
      <c r="B32" s="463" t="str">
        <f>IF(SUM(Expertise_Lung!M23:M26)=0, "n.d.",SUM(Expertise_Lung!M23:M26))</f>
        <v>n.d.</v>
      </c>
      <c r="C32" s="464"/>
      <c r="D32" s="465"/>
      <c r="E32" s="463">
        <f>Berechnung1!N90</f>
        <v>1</v>
      </c>
      <c r="F32" s="460" t="str">
        <f>IF('Indicator sheet_(IS)'!Q73=0,"",'Indicator sheet_(IS)'!Q73)</f>
        <v/>
      </c>
      <c r="G32" s="460" t="str">
        <f>IF('Indicator sheet_(IS)'!R73=0,"",'Indicator sheet_(IS)'!R73)</f>
        <v/>
      </c>
      <c r="H32" s="466">
        <f>Berechnung1!O90</f>
        <v>0</v>
      </c>
      <c r="I32" s="467"/>
      <c r="J32" s="467"/>
      <c r="K32" s="467"/>
    </row>
    <row r="33" spans="1:11" x14ac:dyDescent="0.2">
      <c r="A33" s="274">
        <v>19</v>
      </c>
      <c r="B33" s="463" t="str">
        <f>IF('Indicator sheet_(IS)'!O76 = "", "",'Indicator sheet_(IS)'!O76)</f>
        <v/>
      </c>
      <c r="C33" s="463" t="str">
        <f>IF('Indicator sheet_(IS)'!O77 = "", "",'Indicator sheet_(IS)'!O77)</f>
        <v/>
      </c>
      <c r="D33" s="471" t="str">
        <f>IF('Indicator sheet_(IS)'!O78="n.d.","n.d.",'Indicator sheet_(IS)'!O78*100)</f>
        <v>n.d.</v>
      </c>
      <c r="E33" s="463">
        <f>Berechnung1!N93</f>
        <v>1</v>
      </c>
      <c r="F33" s="460" t="str">
        <f>IF('Indicator sheet_(IS)'!Q76=0,"",'Indicator sheet_(IS)'!Q76)</f>
        <v/>
      </c>
      <c r="G33" s="460" t="str">
        <f>IF('Indicator sheet_(IS)'!R76=0,"",'Indicator sheet_(IS)'!R76)</f>
        <v/>
      </c>
      <c r="H33" s="466">
        <f>Berechnung1!O93</f>
        <v>0</v>
      </c>
      <c r="I33" s="467"/>
      <c r="J33" s="467"/>
      <c r="K33" s="467"/>
    </row>
    <row r="34" spans="1:11" x14ac:dyDescent="0.2">
      <c r="A34" s="274">
        <v>20</v>
      </c>
      <c r="B34" s="463" t="str">
        <f>IF(SUM(Expertise_Lung!M27:M30)=0, "n.d.",SUM(Expertise_Lung!M27:M30))</f>
        <v>n.d.</v>
      </c>
      <c r="C34" s="464"/>
      <c r="D34" s="465"/>
      <c r="E34" s="463">
        <f>Berechnung1!N96</f>
        <v>1</v>
      </c>
      <c r="F34" s="460" t="str">
        <f>IF('Indicator sheet_(IS)'!Q79=0,"",'Indicator sheet_(IS)'!Q79)</f>
        <v/>
      </c>
      <c r="G34" s="460" t="str">
        <f>IF('Indicator sheet_(IS)'!R79=0,"",'Indicator sheet_(IS)'!R79)</f>
        <v/>
      </c>
      <c r="H34" s="466">
        <f>Berechnung1!O96</f>
        <v>0</v>
      </c>
      <c r="I34" s="467"/>
      <c r="J34" s="467"/>
      <c r="K34" s="467"/>
    </row>
    <row r="35" spans="1:11" x14ac:dyDescent="0.2">
      <c r="A35" s="274">
        <v>21</v>
      </c>
      <c r="B35" s="463" t="str">
        <f>IF('Indicator sheet_(IS)'!O82 = "", "", 'Indicator sheet_(IS)'!O82)</f>
        <v/>
      </c>
      <c r="C35" s="463" t="str">
        <f>IF('Indicator sheet_(IS)'!O83="","",'Indicator sheet_(IS)'!O83)</f>
        <v/>
      </c>
      <c r="D35" s="469" t="str">
        <f>IF('Indicator sheet_(IS)'!O84="n.d.","n.d.",'Indicator sheet_(IS)'!O84*100)</f>
        <v>n.d.</v>
      </c>
      <c r="E35" s="463">
        <f>Berechnung1!N99</f>
        <v>1</v>
      </c>
      <c r="F35" s="460" t="str">
        <f>IF('Indicator sheet_(IS)'!Q82=0,"",'Indicator sheet_(IS)'!Q82)</f>
        <v/>
      </c>
      <c r="G35" s="460" t="str">
        <f>IF('Indicator sheet_(IS)'!R82=0,"",'Indicator sheet_(IS)'!R82)</f>
        <v/>
      </c>
      <c r="H35" s="466">
        <f>Berechnung1!O99</f>
        <v>0</v>
      </c>
      <c r="I35" s="467"/>
      <c r="J35" s="467"/>
      <c r="K35" s="467"/>
    </row>
    <row r="36" spans="1:11" x14ac:dyDescent="0.2">
      <c r="A36" s="274">
        <v>22</v>
      </c>
      <c r="B36" s="463" t="str">
        <f>IF('Indicator sheet_(IS)'!O85 = "", "", 'Indicator sheet_(IS)'!O85)</f>
        <v/>
      </c>
      <c r="C36" s="463" t="str">
        <f>IF('Indicator sheet_(IS)'!O86="","",'Indicator sheet_(IS)'!O86)</f>
        <v/>
      </c>
      <c r="D36" s="469" t="str">
        <f>IF('Indicator sheet_(IS)'!O87="n.d.","n.d.",'Indicator sheet_(IS)'!O87*100)</f>
        <v>n.d.</v>
      </c>
      <c r="E36" s="463">
        <f>Berechnung1!N102</f>
        <v>1</v>
      </c>
      <c r="F36" s="460" t="str">
        <f>IF('Indicator sheet_(IS)'!Q85=0,"",'Indicator sheet_(IS)'!Q85)</f>
        <v/>
      </c>
      <c r="G36" s="460" t="str">
        <f>IF('Indicator sheet_(IS)'!R85=0,"",'Indicator sheet_(IS)'!R85)</f>
        <v/>
      </c>
      <c r="H36" s="466">
        <f>Berechnung1!O102</f>
        <v>0</v>
      </c>
      <c r="I36" s="467"/>
      <c r="J36" s="467"/>
      <c r="K36" s="467"/>
    </row>
    <row r="37" spans="1:11" x14ac:dyDescent="0.2">
      <c r="A37" s="274">
        <v>23</v>
      </c>
      <c r="B37" s="463" t="str">
        <f>IF('Indicator sheet_(IS)'!O88 = "", "", 'Indicator sheet_(IS)'!O88)</f>
        <v/>
      </c>
      <c r="C37" s="463" t="str">
        <f>IF('Indicator sheet_(IS)'!O89="","",'Indicator sheet_(IS)'!O89)</f>
        <v/>
      </c>
      <c r="D37" s="469" t="str">
        <f>IF('Indicator sheet_(IS)'!O90="n.d.","n.d.",'Indicator sheet_(IS)'!O90*100)</f>
        <v>n.d.</v>
      </c>
      <c r="E37" s="463">
        <f>Berechnung1!N105</f>
        <v>1</v>
      </c>
      <c r="F37" s="460" t="str">
        <f>IF('Indicator sheet_(IS)'!Q88=0,"",'Indicator sheet_(IS)'!Q88)</f>
        <v/>
      </c>
      <c r="G37" s="460" t="str">
        <f>IF('Indicator sheet_(IS)'!R88=0,"",'Indicator sheet_(IS)'!R88)</f>
        <v/>
      </c>
      <c r="H37" s="466">
        <f>Berechnung1!O105</f>
        <v>0</v>
      </c>
      <c r="I37" s="467"/>
      <c r="J37" s="467"/>
      <c r="K37" s="467"/>
    </row>
    <row r="38" spans="1:11" x14ac:dyDescent="0.2">
      <c r="A38" s="274">
        <v>24</v>
      </c>
      <c r="B38" s="463" t="str">
        <f>IF('Indicator sheet_(IS)'!O91 = "", "", 'Indicator sheet_(IS)'!O91)</f>
        <v/>
      </c>
      <c r="C38" s="463" t="str">
        <f>IF('Indicator sheet_(IS)'!O92="","",'Indicator sheet_(IS)'!O92)</f>
        <v/>
      </c>
      <c r="D38" s="472" t="str">
        <f>IF('Indicator sheet_(IS)'!O93="n.d.","n.d.",IF('Indicator sheet_(IS)'!O93="","n.d.",'Indicator sheet_(IS)'!O93*100))</f>
        <v>n.d.</v>
      </c>
      <c r="E38" s="463">
        <f>Berechnung1!N108</f>
        <v>1</v>
      </c>
      <c r="F38" s="460" t="str">
        <f>IF('Indicator sheet_(IS)'!Q91=0,"",'Indicator sheet_(IS)'!Q91)</f>
        <v/>
      </c>
      <c r="G38" s="460" t="str">
        <f>IF('Indicator sheet_(IS)'!R91=0,"",'Indicator sheet_(IS)'!R91)</f>
        <v/>
      </c>
      <c r="H38" s="466">
        <f>Berechnung1!O108</f>
        <v>0</v>
      </c>
      <c r="I38" s="467"/>
      <c r="J38" s="467"/>
      <c r="K38" s="467"/>
    </row>
    <row r="39" spans="1:11" x14ac:dyDescent="0.2">
      <c r="A39" s="274">
        <v>25</v>
      </c>
      <c r="B39" s="463" t="str">
        <f>IF('Indicator sheet_(IS)'!O94 = "", "", 'Indicator sheet_(IS)'!O94)</f>
        <v/>
      </c>
      <c r="C39" s="463" t="str">
        <f>IF('Indicator sheet_(IS)'!O95="","",'Indicator sheet_(IS)'!O95)</f>
        <v/>
      </c>
      <c r="D39" s="472" t="str">
        <f>IF('Indicator sheet_(IS)'!O96="n.d.","n.d.",IF('Indicator sheet_(IS)'!O96="","n.d.",'Indicator sheet_(IS)'!O96*100))</f>
        <v>n.d.</v>
      </c>
      <c r="E39" s="463">
        <f>Berechnung1!N111</f>
        <v>1</v>
      </c>
      <c r="F39" s="460" t="str">
        <f>IF('Indicator sheet_(IS)'!Q94=0,"",'Indicator sheet_(IS)'!Q94)</f>
        <v/>
      </c>
      <c r="G39" s="460" t="str">
        <f>IF('Indicator sheet_(IS)'!R94=0,"",'Indicator sheet_(IS)'!R94)</f>
        <v/>
      </c>
      <c r="H39" s="466">
        <f>Berechnung1!O111</f>
        <v>0</v>
      </c>
      <c r="I39" s="467"/>
      <c r="J39" s="467"/>
      <c r="K39" s="467"/>
    </row>
    <row r="40" spans="1:11" x14ac:dyDescent="0.2">
      <c r="A40" s="274">
        <v>26</v>
      </c>
      <c r="B40" s="463" t="str">
        <f>IF('Indicator sheet_(IS)'!O97 = "", "", 'Indicator sheet_(IS)'!O97)</f>
        <v/>
      </c>
      <c r="C40" s="463" t="str">
        <f>IF('Indicator sheet_(IS)'!O98="","",'Indicator sheet_(IS)'!O98)</f>
        <v/>
      </c>
      <c r="D40" s="472" t="str">
        <f>IF('Indicator sheet_(IS)'!O99="n.d.","n.d.",IF('Indicator sheet_(IS)'!O99="","n.d.",'Indicator sheet_(IS)'!O99*100))</f>
        <v>n.d.</v>
      </c>
      <c r="E40" s="463">
        <f>Berechnung1!N114</f>
        <v>1</v>
      </c>
      <c r="F40" s="460" t="str">
        <f>IF('Indicator sheet_(IS)'!Q97=0,"",'Indicator sheet_(IS)'!Q97)</f>
        <v/>
      </c>
      <c r="G40" s="460" t="str">
        <f>IF('Indicator sheet_(IS)'!R97=0,"",'Indicator sheet_(IS)'!R97)</f>
        <v/>
      </c>
      <c r="H40" s="466">
        <f>Berechnung1!O114</f>
        <v>0</v>
      </c>
      <c r="I40" s="467"/>
      <c r="J40" s="467"/>
      <c r="K40" s="467"/>
    </row>
    <row r="41" spans="1:11" x14ac:dyDescent="0.2">
      <c r="A41" s="274">
        <v>27</v>
      </c>
      <c r="B41" s="463" t="str">
        <f>IF('Indicator sheet_(IS)'!O100 = "", "", 'Indicator sheet_(IS)'!O100)</f>
        <v/>
      </c>
      <c r="C41" s="463" t="str">
        <f>IF('Indicator sheet_(IS)'!O101="","",'Indicator sheet_(IS)'!O101)</f>
        <v/>
      </c>
      <c r="D41" s="472" t="str">
        <f>IF('Indicator sheet_(IS)'!O102="n.d.","n.d.",IF('Indicator sheet_(IS)'!O102="","n.d.",'Indicator sheet_(IS)'!O102*100))</f>
        <v>n.d.</v>
      </c>
      <c r="E41" s="463">
        <f>Berechnung1!N117</f>
        <v>1</v>
      </c>
      <c r="F41" s="460" t="str">
        <f>IF('Indicator sheet_(IS)'!Q100=0,"",'Indicator sheet_(IS)'!Q100)</f>
        <v/>
      </c>
      <c r="G41" s="460" t="str">
        <f>IF('Indicator sheet_(IS)'!R100=0,"",'Indicator sheet_(IS)'!R100)</f>
        <v/>
      </c>
      <c r="H41" s="466">
        <f>Berechnung1!O117</f>
        <v>0</v>
      </c>
      <c r="I41" s="467"/>
      <c r="J41" s="467"/>
      <c r="K41" s="467"/>
    </row>
    <row r="42" spans="1:11" x14ac:dyDescent="0.2">
      <c r="A42" s="274">
        <v>28</v>
      </c>
      <c r="B42" s="463" t="str">
        <f>IF('Indicator sheet_(IS)'!O103 = "", "", 'Indicator sheet_(IS)'!O103)</f>
        <v/>
      </c>
      <c r="C42" s="463" t="str">
        <f>IF('Indicator sheet_(IS)'!O104="","",'Indicator sheet_(IS)'!O104)</f>
        <v/>
      </c>
      <c r="D42" s="472" t="str">
        <f>IF('Indicator sheet_(IS)'!O105="n.d.","n.d.",IF('Indicator sheet_(IS)'!O105="","n.d.",'Indicator sheet_(IS)'!O105*100))</f>
        <v>n.d.</v>
      </c>
      <c r="E42" s="463">
        <f>Berechnung1!N120</f>
        <v>1</v>
      </c>
      <c r="F42" s="460" t="str">
        <f>IF('Indicator sheet_(IS)'!Q103=0,"",'Indicator sheet_(IS)'!Q103)</f>
        <v/>
      </c>
      <c r="G42" s="460" t="str">
        <f>IF('Indicator sheet_(IS)'!R103=0,"",'Indicator sheet_(IS)'!R103)</f>
        <v/>
      </c>
      <c r="H42" s="466">
        <f>Berechnung1!O120</f>
        <v>0</v>
      </c>
      <c r="I42" s="467"/>
      <c r="J42" s="467"/>
      <c r="K42" s="467"/>
    </row>
    <row r="43" spans="1:11" x14ac:dyDescent="0.2">
      <c r="A43" s="274">
        <v>29</v>
      </c>
      <c r="B43" s="463" t="str">
        <f>IF('Indicator sheet_(IS)'!O106 = "", "", 'Indicator sheet_(IS)'!O106)</f>
        <v/>
      </c>
      <c r="C43" s="463" t="str">
        <f>IF('Indicator sheet_(IS)'!O107="","",'Indicator sheet_(IS)'!O107)</f>
        <v/>
      </c>
      <c r="D43" s="469" t="str">
        <f>IF('Indicator sheet_(IS)'!O108="n.d.","n.d.",'Indicator sheet_(IS)'!O108*100)</f>
        <v>n.d.</v>
      </c>
      <c r="E43" s="463">
        <f>Berechnung1!N123</f>
        <v>1</v>
      </c>
      <c r="F43" s="460" t="str">
        <f>IF('Indicator sheet_(IS)'!Q106=0,"",'Indicator sheet_(IS)'!Q106)</f>
        <v/>
      </c>
      <c r="G43" s="460" t="str">
        <f>IF('Indicator sheet_(IS)'!R106=0,"",'Indicator sheet_(IS)'!R106)</f>
        <v/>
      </c>
      <c r="H43" s="466">
        <f>Berechnung1!O123</f>
        <v>0</v>
      </c>
      <c r="I43" s="467"/>
      <c r="J43" s="467"/>
      <c r="K43" s="467"/>
    </row>
    <row r="44" spans="1:11" x14ac:dyDescent="0.2">
      <c r="A44" s="274">
        <v>30</v>
      </c>
      <c r="B44" s="463" t="str">
        <f>IF('Indicator sheet_(IS)'!O109 = "", "", 'Indicator sheet_(IS)'!O109)</f>
        <v/>
      </c>
      <c r="C44" s="463">
        <f>IF('Indicator sheet_(IS)'!O110="","",'Indicator sheet_(IS)'!O110)</f>
        <v>0</v>
      </c>
      <c r="D44" s="469" t="str">
        <f>IF('Indicator sheet_(IS)'!O111="n.d.","n.d.",'Indicator sheet_(IS)'!O111*100)</f>
        <v>n.d.</v>
      </c>
      <c r="E44" s="463">
        <f>Berechnung1!N126</f>
        <v>1</v>
      </c>
      <c r="F44" s="460" t="str">
        <f>IF('Indicator sheet_(IS)'!Q109=0,"",'Indicator sheet_(IS)'!Q109)</f>
        <v/>
      </c>
      <c r="G44" s="460" t="str">
        <f>IF('Indicator sheet_(IS)'!R109=0,"",'Indicator sheet_(IS)'!R109)</f>
        <v/>
      </c>
      <c r="H44" s="466">
        <f>Berechnung1!O126</f>
        <v>0</v>
      </c>
      <c r="I44" s="467"/>
      <c r="J44" s="467"/>
      <c r="K44" s="467"/>
    </row>
    <row r="45" spans="1:11" x14ac:dyDescent="0.2">
      <c r="A45" s="274">
        <v>31</v>
      </c>
      <c r="B45" s="463" t="str">
        <f>IF('Indicator sheet_(IS)'!O112 = "", "", 'Indicator sheet_(IS)'!O112)</f>
        <v/>
      </c>
      <c r="C45" s="463" t="str">
        <f>IF('Indicator sheet_(IS)'!O113="","",'Indicator sheet_(IS)'!O113)</f>
        <v/>
      </c>
      <c r="D45" s="469" t="str">
        <f>IF('Indicator sheet_(IS)'!O114="n.d.","n.d.",'Indicator sheet_(IS)'!O114*100)</f>
        <v>n.d.</v>
      </c>
      <c r="E45" s="463">
        <f>Berechnung1!N129</f>
        <v>1</v>
      </c>
      <c r="F45" s="460" t="str">
        <f>IF('Indicator sheet_(IS)'!Q112=0,"",'Indicator sheet_(IS)'!Q112)</f>
        <v/>
      </c>
      <c r="G45" s="460" t="str">
        <f>IF('Indicator sheet_(IS)'!R112=0,"",'Indicator sheet_(IS)'!R112)</f>
        <v/>
      </c>
      <c r="H45" s="466">
        <f>Berechnung1!O129</f>
        <v>0</v>
      </c>
      <c r="I45" s="467"/>
      <c r="J45" s="467"/>
      <c r="K45" s="467"/>
    </row>
    <row r="46" spans="1:11" x14ac:dyDescent="0.2">
      <c r="A46" s="274">
        <v>32</v>
      </c>
      <c r="B46" s="463" t="str">
        <f>IF('Indicator sheet_(IS)'!O115 = "", "", 'Indicator sheet_(IS)'!O115)</f>
        <v/>
      </c>
      <c r="C46" s="463" t="str">
        <f>IF('Indicator sheet_(IS)'!O116="","",'Indicator sheet_(IS)'!O116)</f>
        <v/>
      </c>
      <c r="D46" s="469" t="str">
        <f>IF('Indicator sheet_(IS)'!O117="n.d.","n.d.",'Indicator sheet_(IS)'!O117*100)</f>
        <v>n.d.</v>
      </c>
      <c r="E46" s="463">
        <f>Berechnung1!N132</f>
        <v>1</v>
      </c>
      <c r="F46" s="460" t="str">
        <f>IF('Indicator sheet_(IS)'!Q115=0,"",'Indicator sheet_(IS)'!Q115)</f>
        <v/>
      </c>
      <c r="G46" s="460" t="str">
        <f>IF('Indicator sheet_(IS)'!R115=0,"",'Indicator sheet_(IS)'!R115)</f>
        <v/>
      </c>
      <c r="H46" s="466">
        <f>Berechnung1!O132</f>
        <v>0</v>
      </c>
      <c r="I46" s="467"/>
      <c r="J46" s="467"/>
      <c r="K46" s="467"/>
    </row>
  </sheetData>
  <pageMargins left="0.7" right="0.7" top="0.78740157499999996" bottom="0.78740157499999996" header="0.3" footer="0.3"/>
  <pageSetup paperSize="9" orientation="portrait" horizontalDpi="200" verticalDpi="200"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3"/>
  <dimension ref="A1:M41"/>
  <sheetViews>
    <sheetView showGridLines="0" showRuler="0" showWhiteSpace="0" topLeftCell="A2" zoomScaleNormal="100" zoomScaleSheetLayoutView="100" workbookViewId="0">
      <selection activeCell="B2" sqref="B2"/>
    </sheetView>
  </sheetViews>
  <sheetFormatPr defaultColWidth="11.42578125" defaultRowHeight="15" x14ac:dyDescent="0.25"/>
  <cols>
    <col min="1" max="1" width="4.42578125" customWidth="1"/>
    <col min="2" max="2" width="23.7109375" customWidth="1"/>
    <col min="3" max="3" width="6.5703125" customWidth="1"/>
    <col min="4" max="4" width="9" customWidth="1"/>
    <col min="5" max="5" width="6.5703125" customWidth="1"/>
    <col min="6" max="6" width="7.140625" customWidth="1"/>
    <col min="7" max="7" width="6.7109375" customWidth="1"/>
    <col min="8" max="8" width="7" customWidth="1"/>
    <col min="9" max="9" width="11.140625" customWidth="1"/>
    <col min="10" max="11" width="38.85546875" customWidth="1"/>
    <col min="12" max="12" width="2.140625" customWidth="1"/>
    <col min="13" max="13" width="16.85546875" hidden="1" customWidth="1"/>
  </cols>
  <sheetData>
    <row r="1" spans="1:13" hidden="1" x14ac:dyDescent="0.25">
      <c r="B1" s="256" t="e">
        <f ca="1">IF(L11=TRUE,"A1:L15",CONCATENATE("A1:L",MATCH(0,A:A,-1)))</f>
        <v>#N/A</v>
      </c>
    </row>
    <row r="2" spans="1:13" s="3" customFormat="1" ht="22.5" customHeight="1" x14ac:dyDescent="0.2">
      <c r="A2" s="22" t="s">
        <v>481</v>
      </c>
    </row>
    <row r="3" spans="1:13" s="3" customFormat="1" ht="16.5" x14ac:dyDescent="0.25">
      <c r="A3" s="18" t="s">
        <v>274</v>
      </c>
      <c r="K3" s="19"/>
    </row>
    <row r="4" spans="1:13" s="3" customFormat="1" ht="14.25" x14ac:dyDescent="0.2">
      <c r="K4" s="19"/>
    </row>
    <row r="5" spans="1:13" s="3" customFormat="1" ht="15" customHeight="1" x14ac:dyDescent="0.2">
      <c r="C5" s="10"/>
      <c r="D5" s="10"/>
      <c r="E5" s="10"/>
      <c r="F5" s="10"/>
      <c r="G5" s="10"/>
      <c r="H5" s="10"/>
      <c r="I5" s="10"/>
      <c r="J5" s="10"/>
      <c r="K5" s="19"/>
    </row>
    <row r="6" spans="1:13" s="22" customFormat="1" ht="15" customHeight="1" x14ac:dyDescent="0.25">
      <c r="B6" s="25" t="s">
        <v>213</v>
      </c>
      <c r="C6" s="613" t="str">
        <f>IF('Basic Data'!B9=0,"",'Basic Data'!B9)</f>
        <v/>
      </c>
      <c r="D6" s="855"/>
      <c r="E6" s="855"/>
      <c r="F6" s="855"/>
      <c r="G6" s="855"/>
      <c r="H6" s="855"/>
      <c r="I6" s="855"/>
      <c r="J6" s="856"/>
      <c r="K6" s="19"/>
    </row>
    <row r="7" spans="1:13" s="22" customFormat="1" ht="6.95" customHeight="1" x14ac:dyDescent="0.2">
      <c r="B7" s="6"/>
      <c r="C7" s="10"/>
      <c r="D7" s="10"/>
      <c r="E7" s="10"/>
      <c r="F7" s="10"/>
      <c r="G7" s="10"/>
      <c r="H7" s="10"/>
      <c r="I7" s="10"/>
      <c r="J7" s="10"/>
      <c r="K7" s="19"/>
    </row>
    <row r="8" spans="1:13" s="22" customFormat="1" ht="15" customHeight="1" x14ac:dyDescent="0.2">
      <c r="B8" s="25" t="s">
        <v>156</v>
      </c>
      <c r="C8" s="634" t="str">
        <f>IF('Basic Data'!B7=0,"",'Basic Data'!B7)</f>
        <v/>
      </c>
      <c r="D8" s="728"/>
      <c r="E8" s="728"/>
      <c r="F8" s="728"/>
      <c r="G8" s="729"/>
      <c r="I8" s="253" t="s">
        <v>154</v>
      </c>
      <c r="J8" s="35" t="str">
        <f>IF('Basic Data'!I13=0,"",'Basic Data'!I13)</f>
        <v/>
      </c>
      <c r="K8" s="19"/>
    </row>
    <row r="9" spans="1:13" s="3" customFormat="1" ht="14.25" x14ac:dyDescent="0.2">
      <c r="K9" s="19"/>
    </row>
    <row r="10" spans="1:13" s="3" customFormat="1" x14ac:dyDescent="0.25">
      <c r="B10" s="9" t="e">
        <f ca="1">IF(M11=TRUE,"Kein Datendefizit vorhanden","")</f>
        <v>#REF!</v>
      </c>
      <c r="K10" s="19"/>
      <c r="M10" s="252" t="s">
        <v>365</v>
      </c>
    </row>
    <row r="11" spans="1:13" s="3" customFormat="1" ht="14.25" x14ac:dyDescent="0.2">
      <c r="B11" s="31" t="e">
        <f ca="1">IF($M$11=TRUE,"","Übertragung erfolgt automatisch aus Kennzahlenbogen (Ist-Werte, Begründungen und Aktionen)")</f>
        <v>#REF!</v>
      </c>
      <c r="K11" s="19"/>
      <c r="M11" s="252" t="e">
        <f t="array" aca="1" ref="M11" ca="1">$A$14:$K$35=""</f>
        <v>#REF!</v>
      </c>
    </row>
    <row r="12" spans="1:13" ht="18.75" customHeight="1" x14ac:dyDescent="0.25">
      <c r="A12" s="853" t="e">
        <f ca="1">IF($M$11=TRUE,"","KN")</f>
        <v>#REF!</v>
      </c>
      <c r="B12" s="853" t="e">
        <f ca="1">IF($M$11=TRUE,"","Kennzahlendefinition")</f>
        <v>#REF!</v>
      </c>
      <c r="C12" s="853" t="e">
        <f ca="1">IF($M$11=TRUE,"","Vorgaben Datenqualität")</f>
        <v>#REF!</v>
      </c>
      <c r="D12" s="853"/>
      <c r="E12" s="853"/>
      <c r="F12" s="853" t="e">
        <f ca="1">IF($M$11=TRUE,"","Ist-Werte")</f>
        <v>#REF!</v>
      </c>
      <c r="G12" s="853"/>
      <c r="H12" s="853"/>
      <c r="I12" s="853" t="e">
        <f ca="1">IF($M$11=TRUE,"","Daten-qualität
1), 2), 3)")</f>
        <v>#REF!</v>
      </c>
      <c r="J12" s="279" t="e">
        <f ca="1">IF($M$11=TRUE,"","Verifizierung Zentrum")</f>
        <v>#REF!</v>
      </c>
      <c r="K12" s="278"/>
    </row>
    <row r="13" spans="1:13" ht="21" customHeight="1" x14ac:dyDescent="0.25">
      <c r="A13" s="854"/>
      <c r="B13" s="854"/>
      <c r="C13" s="248" t="e">
        <f ca="1">IF($M$11=TRUE,"","Plausi unklar")</f>
        <v>#REF!</v>
      </c>
      <c r="D13" s="248" t="e">
        <f ca="1">IF($M$11=TRUE,"","Sollvorgabe")</f>
        <v>#REF!</v>
      </c>
      <c r="E13" s="248" t="e">
        <f ca="1">IF($M$11=TRUE,"","Plausi unklar")</f>
        <v>#REF!</v>
      </c>
      <c r="F13" s="248" t="e">
        <f ca="1">IF($M$11=TRUE,"","Zähler / Anzahl")</f>
        <v>#REF!</v>
      </c>
      <c r="G13" s="248" t="e">
        <f ca="1">IF($M$11=TRUE,"","Nenner")</f>
        <v>#REF!</v>
      </c>
      <c r="H13" s="248" t="e">
        <f ca="1">IF($M$11=TRUE,"","Quote")</f>
        <v>#REF!</v>
      </c>
      <c r="I13" s="854"/>
      <c r="J13" s="276" t="e">
        <f ca="1">IF($M$11=TRUE,"","Begründung / Ursache")</f>
        <v>#REF!</v>
      </c>
      <c r="K13" s="254" t="e">
        <f ca="1">IF($M$11=TRUE,"","Eingeleitete / geplante Aktionen")</f>
        <v>#REF!</v>
      </c>
    </row>
    <row r="14" spans="1:13" ht="135" customHeight="1" x14ac:dyDescent="0.25">
      <c r="A14" s="163" t="e">
        <f ca="1">'Hilfstabelle DatendefKB'!O2</f>
        <v>#REF!</v>
      </c>
      <c r="B14" s="255" t="e">
        <f ca="1">'Hilfstabelle DatendefKB'!P2</f>
        <v>#REF!</v>
      </c>
      <c r="C14" s="258" t="e">
        <f ca="1">'Hilfstabelle DatendefKB'!Q2</f>
        <v>#REF!</v>
      </c>
      <c r="D14" s="163" t="e">
        <f ca="1">'Hilfstabelle DatendefKB'!R2</f>
        <v>#REF!</v>
      </c>
      <c r="E14" s="258" t="e">
        <f ca="1">'Hilfstabelle DatendefKB'!S2</f>
        <v>#REF!</v>
      </c>
      <c r="F14" s="163" t="e">
        <f ca="1">'Hilfstabelle DatendefKB'!T2</f>
        <v>#REF!</v>
      </c>
      <c r="G14" s="163" t="e">
        <f ca="1">'Hilfstabelle DatendefKB'!U2</f>
        <v>#REF!</v>
      </c>
      <c r="H14" s="257" t="e">
        <f ca="1">'Hilfstabelle DatendefKB'!V2</f>
        <v>#REF!</v>
      </c>
      <c r="I14" s="163" t="e">
        <f ca="1">'Hilfstabelle DatendefKB'!W2</f>
        <v>#REF!</v>
      </c>
      <c r="J14" s="164" t="e">
        <f ca="1">'Hilfstabelle DatendefKB'!X2</f>
        <v>#REF!</v>
      </c>
      <c r="K14" s="255" t="e">
        <f ca="1">'Hilfstabelle DatendefKB'!Y2</f>
        <v>#REF!</v>
      </c>
    </row>
    <row r="15" spans="1:13" ht="135" customHeight="1" x14ac:dyDescent="0.25">
      <c r="A15" s="163" t="e">
        <f ca="1">'Hilfstabelle DatendefKB'!O3</f>
        <v>#REF!</v>
      </c>
      <c r="B15" s="255" t="e">
        <f ca="1">'Hilfstabelle DatendefKB'!P3</f>
        <v>#REF!</v>
      </c>
      <c r="C15" s="258" t="e">
        <f ca="1">'Hilfstabelle DatendefKB'!Q3</f>
        <v>#REF!</v>
      </c>
      <c r="D15" s="163" t="e">
        <f ca="1">'Hilfstabelle DatendefKB'!R3</f>
        <v>#REF!</v>
      </c>
      <c r="E15" s="258" t="e">
        <f ca="1">'Hilfstabelle DatendefKB'!S3</f>
        <v>#REF!</v>
      </c>
      <c r="F15" s="163" t="e">
        <f ca="1">'Hilfstabelle DatendefKB'!T3</f>
        <v>#REF!</v>
      </c>
      <c r="G15" s="163" t="e">
        <f ca="1">'Hilfstabelle DatendefKB'!U3</f>
        <v>#REF!</v>
      </c>
      <c r="H15" s="257" t="e">
        <f ca="1">'Hilfstabelle DatendefKB'!V3</f>
        <v>#REF!</v>
      </c>
      <c r="I15" s="163" t="e">
        <f ca="1">'Hilfstabelle DatendefKB'!W3</f>
        <v>#REF!</v>
      </c>
      <c r="J15" s="164" t="e">
        <f ca="1">'Hilfstabelle DatendefKB'!X3</f>
        <v>#REF!</v>
      </c>
      <c r="K15" s="255" t="e">
        <f ca="1">'Hilfstabelle DatendefKB'!Y3</f>
        <v>#REF!</v>
      </c>
    </row>
    <row r="16" spans="1:13" ht="135" customHeight="1" x14ac:dyDescent="0.25">
      <c r="A16" s="163" t="e">
        <f ca="1">'Hilfstabelle DatendefKB'!O4</f>
        <v>#REF!</v>
      </c>
      <c r="B16" s="255" t="e">
        <f ca="1">'Hilfstabelle DatendefKB'!P4</f>
        <v>#REF!</v>
      </c>
      <c r="C16" s="258" t="e">
        <f ca="1">'Hilfstabelle DatendefKB'!Q4</f>
        <v>#REF!</v>
      </c>
      <c r="D16" s="163" t="e">
        <f ca="1">'Hilfstabelle DatendefKB'!R4</f>
        <v>#REF!</v>
      </c>
      <c r="E16" s="258" t="e">
        <f ca="1">'Hilfstabelle DatendefKB'!S4</f>
        <v>#REF!</v>
      </c>
      <c r="F16" s="163" t="e">
        <f ca="1">'Hilfstabelle DatendefKB'!T4</f>
        <v>#REF!</v>
      </c>
      <c r="G16" s="163" t="e">
        <f ca="1">'Hilfstabelle DatendefKB'!U4</f>
        <v>#REF!</v>
      </c>
      <c r="H16" s="257" t="e">
        <f ca="1">'Hilfstabelle DatendefKB'!V4</f>
        <v>#REF!</v>
      </c>
      <c r="I16" s="163" t="e">
        <f ca="1">'Hilfstabelle DatendefKB'!W4</f>
        <v>#REF!</v>
      </c>
      <c r="J16" s="164" t="e">
        <f ca="1">'Hilfstabelle DatendefKB'!X4</f>
        <v>#REF!</v>
      </c>
      <c r="K16" s="255" t="e">
        <f ca="1">'Hilfstabelle DatendefKB'!Y4</f>
        <v>#REF!</v>
      </c>
    </row>
    <row r="17" spans="1:11" ht="135" customHeight="1" x14ac:dyDescent="0.25">
      <c r="A17" s="163" t="e">
        <f ca="1">'Hilfstabelle DatendefKB'!O5</f>
        <v>#REF!</v>
      </c>
      <c r="B17" s="255" t="e">
        <f ca="1">'Hilfstabelle DatendefKB'!P5</f>
        <v>#REF!</v>
      </c>
      <c r="C17" s="258" t="e">
        <f ca="1">'Hilfstabelle DatendefKB'!Q5</f>
        <v>#REF!</v>
      </c>
      <c r="D17" s="163" t="e">
        <f ca="1">'Hilfstabelle DatendefKB'!R5</f>
        <v>#REF!</v>
      </c>
      <c r="E17" s="258" t="e">
        <f ca="1">'Hilfstabelle DatendefKB'!S5</f>
        <v>#REF!</v>
      </c>
      <c r="F17" s="163" t="e">
        <f ca="1">'Hilfstabelle DatendefKB'!T5</f>
        <v>#REF!</v>
      </c>
      <c r="G17" s="163" t="e">
        <f ca="1">'Hilfstabelle DatendefKB'!U5</f>
        <v>#REF!</v>
      </c>
      <c r="H17" s="257" t="e">
        <f ca="1">'Hilfstabelle DatendefKB'!V5</f>
        <v>#REF!</v>
      </c>
      <c r="I17" s="163" t="e">
        <f ca="1">'Hilfstabelle DatendefKB'!W5</f>
        <v>#REF!</v>
      </c>
      <c r="J17" s="164" t="e">
        <f ca="1">'Hilfstabelle DatendefKB'!X5</f>
        <v>#REF!</v>
      </c>
      <c r="K17" s="255" t="e">
        <f ca="1">'Hilfstabelle DatendefKB'!Y5</f>
        <v>#REF!</v>
      </c>
    </row>
    <row r="18" spans="1:11" ht="135" customHeight="1" x14ac:dyDescent="0.25">
      <c r="A18" s="163" t="e">
        <f ca="1">'Hilfstabelle DatendefKB'!O6</f>
        <v>#REF!</v>
      </c>
      <c r="B18" s="255" t="e">
        <f ca="1">'Hilfstabelle DatendefKB'!P6</f>
        <v>#REF!</v>
      </c>
      <c r="C18" s="258" t="e">
        <f ca="1">'Hilfstabelle DatendefKB'!Q6</f>
        <v>#REF!</v>
      </c>
      <c r="D18" s="163" t="e">
        <f ca="1">'Hilfstabelle DatendefKB'!R6</f>
        <v>#REF!</v>
      </c>
      <c r="E18" s="258" t="e">
        <f ca="1">'Hilfstabelle DatendefKB'!S6</f>
        <v>#REF!</v>
      </c>
      <c r="F18" s="163" t="e">
        <f ca="1">'Hilfstabelle DatendefKB'!T6</f>
        <v>#REF!</v>
      </c>
      <c r="G18" s="163" t="e">
        <f ca="1">'Hilfstabelle DatendefKB'!U6</f>
        <v>#REF!</v>
      </c>
      <c r="H18" s="257" t="e">
        <f ca="1">'Hilfstabelle DatendefKB'!V6</f>
        <v>#REF!</v>
      </c>
      <c r="I18" s="163" t="e">
        <f ca="1">'Hilfstabelle DatendefKB'!W6</f>
        <v>#REF!</v>
      </c>
      <c r="J18" s="164" t="e">
        <f ca="1">'Hilfstabelle DatendefKB'!X6</f>
        <v>#REF!</v>
      </c>
      <c r="K18" s="255" t="e">
        <f ca="1">'Hilfstabelle DatendefKB'!Y6</f>
        <v>#REF!</v>
      </c>
    </row>
    <row r="19" spans="1:11" ht="135" customHeight="1" x14ac:dyDescent="0.25">
      <c r="A19" s="163" t="e">
        <f ca="1">'Hilfstabelle DatendefKB'!O7</f>
        <v>#REF!</v>
      </c>
      <c r="B19" s="255" t="e">
        <f ca="1">'Hilfstabelle DatendefKB'!P7</f>
        <v>#REF!</v>
      </c>
      <c r="C19" s="258" t="e">
        <f ca="1">'Hilfstabelle DatendefKB'!Q7</f>
        <v>#REF!</v>
      </c>
      <c r="D19" s="163" t="e">
        <f ca="1">'Hilfstabelle DatendefKB'!R7</f>
        <v>#REF!</v>
      </c>
      <c r="E19" s="258" t="e">
        <f ca="1">'Hilfstabelle DatendefKB'!S7</f>
        <v>#REF!</v>
      </c>
      <c r="F19" s="163" t="e">
        <f ca="1">'Hilfstabelle DatendefKB'!T7</f>
        <v>#REF!</v>
      </c>
      <c r="G19" s="163" t="e">
        <f ca="1">'Hilfstabelle DatendefKB'!U7</f>
        <v>#REF!</v>
      </c>
      <c r="H19" s="257" t="e">
        <f ca="1">'Hilfstabelle DatendefKB'!V7</f>
        <v>#REF!</v>
      </c>
      <c r="I19" s="163" t="e">
        <f ca="1">'Hilfstabelle DatendefKB'!W7</f>
        <v>#REF!</v>
      </c>
      <c r="J19" s="164" t="e">
        <f ca="1">'Hilfstabelle DatendefKB'!X7</f>
        <v>#REF!</v>
      </c>
      <c r="K19" s="255" t="e">
        <f ca="1">'Hilfstabelle DatendefKB'!Y7</f>
        <v>#REF!</v>
      </c>
    </row>
    <row r="20" spans="1:11" ht="135" customHeight="1" x14ac:dyDescent="0.25">
      <c r="A20" s="163" t="e">
        <f ca="1">'Hilfstabelle DatendefKB'!O8</f>
        <v>#REF!</v>
      </c>
      <c r="B20" s="255" t="e">
        <f ca="1">'Hilfstabelle DatendefKB'!P8</f>
        <v>#REF!</v>
      </c>
      <c r="C20" s="258" t="e">
        <f ca="1">'Hilfstabelle DatendefKB'!Q8</f>
        <v>#REF!</v>
      </c>
      <c r="D20" s="163" t="e">
        <f ca="1">'Hilfstabelle DatendefKB'!R8</f>
        <v>#REF!</v>
      </c>
      <c r="E20" s="258" t="e">
        <f ca="1">'Hilfstabelle DatendefKB'!S8</f>
        <v>#REF!</v>
      </c>
      <c r="F20" s="163" t="e">
        <f ca="1">'Hilfstabelle DatendefKB'!T8</f>
        <v>#REF!</v>
      </c>
      <c r="G20" s="163" t="e">
        <f ca="1">'Hilfstabelle DatendefKB'!U8</f>
        <v>#REF!</v>
      </c>
      <c r="H20" s="257" t="e">
        <f ca="1">'Hilfstabelle DatendefKB'!V8</f>
        <v>#REF!</v>
      </c>
      <c r="I20" s="163" t="e">
        <f ca="1">'Hilfstabelle DatendefKB'!W8</f>
        <v>#REF!</v>
      </c>
      <c r="J20" s="164" t="e">
        <f ca="1">'Hilfstabelle DatendefKB'!X8</f>
        <v>#REF!</v>
      </c>
      <c r="K20" s="255" t="e">
        <f ca="1">'Hilfstabelle DatendefKB'!Y8</f>
        <v>#REF!</v>
      </c>
    </row>
    <row r="21" spans="1:11" ht="135" customHeight="1" x14ac:dyDescent="0.25">
      <c r="A21" s="163" t="e">
        <f ca="1">'Hilfstabelle DatendefKB'!O9</f>
        <v>#REF!</v>
      </c>
      <c r="B21" s="255" t="e">
        <f ca="1">'Hilfstabelle DatendefKB'!P9</f>
        <v>#REF!</v>
      </c>
      <c r="C21" s="258" t="e">
        <f ca="1">'Hilfstabelle DatendefKB'!Q9</f>
        <v>#REF!</v>
      </c>
      <c r="D21" s="163" t="e">
        <f ca="1">'Hilfstabelle DatendefKB'!R9</f>
        <v>#REF!</v>
      </c>
      <c r="E21" s="258" t="e">
        <f ca="1">'Hilfstabelle DatendefKB'!S9</f>
        <v>#REF!</v>
      </c>
      <c r="F21" s="163" t="e">
        <f ca="1">'Hilfstabelle DatendefKB'!T9</f>
        <v>#REF!</v>
      </c>
      <c r="G21" s="163" t="e">
        <f ca="1">'Hilfstabelle DatendefKB'!U9</f>
        <v>#REF!</v>
      </c>
      <c r="H21" s="257" t="e">
        <f ca="1">'Hilfstabelle DatendefKB'!V9</f>
        <v>#REF!</v>
      </c>
      <c r="I21" s="163" t="e">
        <f ca="1">'Hilfstabelle DatendefKB'!W9</f>
        <v>#REF!</v>
      </c>
      <c r="J21" s="164" t="e">
        <f ca="1">'Hilfstabelle DatendefKB'!X9</f>
        <v>#REF!</v>
      </c>
      <c r="K21" s="255" t="e">
        <f ca="1">'Hilfstabelle DatendefKB'!Y9</f>
        <v>#REF!</v>
      </c>
    </row>
    <row r="22" spans="1:11" ht="135" customHeight="1" x14ac:dyDescent="0.25">
      <c r="A22" s="163" t="e">
        <f ca="1">'Hilfstabelle DatendefKB'!O10</f>
        <v>#REF!</v>
      </c>
      <c r="B22" s="255" t="e">
        <f ca="1">'Hilfstabelle DatendefKB'!P10</f>
        <v>#REF!</v>
      </c>
      <c r="C22" s="258" t="e">
        <f ca="1">'Hilfstabelle DatendefKB'!Q10</f>
        <v>#REF!</v>
      </c>
      <c r="D22" s="163" t="e">
        <f ca="1">'Hilfstabelle DatendefKB'!R10</f>
        <v>#REF!</v>
      </c>
      <c r="E22" s="258" t="e">
        <f ca="1">'Hilfstabelle DatendefKB'!S10</f>
        <v>#REF!</v>
      </c>
      <c r="F22" s="163" t="e">
        <f ca="1">'Hilfstabelle DatendefKB'!T10</f>
        <v>#REF!</v>
      </c>
      <c r="G22" s="163" t="e">
        <f ca="1">'Hilfstabelle DatendefKB'!U10</f>
        <v>#REF!</v>
      </c>
      <c r="H22" s="257" t="e">
        <f ca="1">'Hilfstabelle DatendefKB'!V10</f>
        <v>#REF!</v>
      </c>
      <c r="I22" s="163" t="e">
        <f ca="1">'Hilfstabelle DatendefKB'!W10</f>
        <v>#REF!</v>
      </c>
      <c r="J22" s="164" t="e">
        <f ca="1">'Hilfstabelle DatendefKB'!X10</f>
        <v>#REF!</v>
      </c>
      <c r="K22" s="255" t="e">
        <f ca="1">'Hilfstabelle DatendefKB'!Y10</f>
        <v>#REF!</v>
      </c>
    </row>
    <row r="23" spans="1:11" ht="135" customHeight="1" x14ac:dyDescent="0.25">
      <c r="A23" s="163" t="e">
        <f ca="1">'Hilfstabelle DatendefKB'!O11</f>
        <v>#REF!</v>
      </c>
      <c r="B23" s="255" t="e">
        <f ca="1">'Hilfstabelle DatendefKB'!P11</f>
        <v>#REF!</v>
      </c>
      <c r="C23" s="258" t="e">
        <f ca="1">'Hilfstabelle DatendefKB'!Q11</f>
        <v>#REF!</v>
      </c>
      <c r="D23" s="163" t="e">
        <f ca="1">'Hilfstabelle DatendefKB'!R11</f>
        <v>#REF!</v>
      </c>
      <c r="E23" s="258" t="e">
        <f ca="1">'Hilfstabelle DatendefKB'!S11</f>
        <v>#REF!</v>
      </c>
      <c r="F23" s="163" t="e">
        <f ca="1">'Hilfstabelle DatendefKB'!T11</f>
        <v>#REF!</v>
      </c>
      <c r="G23" s="163" t="e">
        <f ca="1">'Hilfstabelle DatendefKB'!U11</f>
        <v>#REF!</v>
      </c>
      <c r="H23" s="257" t="e">
        <f ca="1">'Hilfstabelle DatendefKB'!V11</f>
        <v>#REF!</v>
      </c>
      <c r="I23" s="163" t="e">
        <f ca="1">'Hilfstabelle DatendefKB'!W11</f>
        <v>#REF!</v>
      </c>
      <c r="J23" s="164" t="e">
        <f ca="1">'Hilfstabelle DatendefKB'!X11</f>
        <v>#REF!</v>
      </c>
      <c r="K23" s="255" t="e">
        <f ca="1">'Hilfstabelle DatendefKB'!Y11</f>
        <v>#REF!</v>
      </c>
    </row>
    <row r="24" spans="1:11" ht="135" customHeight="1" x14ac:dyDescent="0.25">
      <c r="A24" s="163" t="e">
        <f ca="1">'Hilfstabelle DatendefKB'!O12</f>
        <v>#REF!</v>
      </c>
      <c r="B24" s="255" t="e">
        <f ca="1">'Hilfstabelle DatendefKB'!P12</f>
        <v>#REF!</v>
      </c>
      <c r="C24" s="258" t="e">
        <f ca="1">'Hilfstabelle DatendefKB'!Q12</f>
        <v>#REF!</v>
      </c>
      <c r="D24" s="163" t="e">
        <f ca="1">'Hilfstabelle DatendefKB'!R12</f>
        <v>#REF!</v>
      </c>
      <c r="E24" s="258" t="e">
        <f ca="1">'Hilfstabelle DatendefKB'!S12</f>
        <v>#REF!</v>
      </c>
      <c r="F24" s="163" t="e">
        <f ca="1">'Hilfstabelle DatendefKB'!T12</f>
        <v>#REF!</v>
      </c>
      <c r="G24" s="163" t="e">
        <f ca="1">'Hilfstabelle DatendefKB'!U12</f>
        <v>#REF!</v>
      </c>
      <c r="H24" s="257" t="e">
        <f ca="1">'Hilfstabelle DatendefKB'!V12</f>
        <v>#REF!</v>
      </c>
      <c r="I24" s="163" t="e">
        <f ca="1">'Hilfstabelle DatendefKB'!W12</f>
        <v>#REF!</v>
      </c>
      <c r="J24" s="164" t="e">
        <f ca="1">'Hilfstabelle DatendefKB'!X12</f>
        <v>#REF!</v>
      </c>
      <c r="K24" s="255" t="e">
        <f ca="1">'Hilfstabelle DatendefKB'!Y12</f>
        <v>#REF!</v>
      </c>
    </row>
    <row r="25" spans="1:11" ht="135" customHeight="1" x14ac:dyDescent="0.25">
      <c r="A25" s="163" t="e">
        <f ca="1">'Hilfstabelle DatendefKB'!O13</f>
        <v>#REF!</v>
      </c>
      <c r="B25" s="255" t="e">
        <f ca="1">'Hilfstabelle DatendefKB'!P13</f>
        <v>#REF!</v>
      </c>
      <c r="C25" s="258" t="e">
        <f ca="1">'Hilfstabelle DatendefKB'!Q13</f>
        <v>#REF!</v>
      </c>
      <c r="D25" s="163" t="e">
        <f ca="1">'Hilfstabelle DatendefKB'!R13</f>
        <v>#REF!</v>
      </c>
      <c r="E25" s="258" t="e">
        <f ca="1">'Hilfstabelle DatendefKB'!S13</f>
        <v>#REF!</v>
      </c>
      <c r="F25" s="163" t="e">
        <f ca="1">'Hilfstabelle DatendefKB'!T13</f>
        <v>#REF!</v>
      </c>
      <c r="G25" s="163" t="e">
        <f ca="1">'Hilfstabelle DatendefKB'!U13</f>
        <v>#REF!</v>
      </c>
      <c r="H25" s="257" t="e">
        <f ca="1">'Hilfstabelle DatendefKB'!V13</f>
        <v>#REF!</v>
      </c>
      <c r="I25" s="163" t="e">
        <f ca="1">'Hilfstabelle DatendefKB'!W13</f>
        <v>#REF!</v>
      </c>
      <c r="J25" s="164" t="e">
        <f ca="1">'Hilfstabelle DatendefKB'!X13</f>
        <v>#REF!</v>
      </c>
      <c r="K25" s="255" t="e">
        <f ca="1">'Hilfstabelle DatendefKB'!Y13</f>
        <v>#REF!</v>
      </c>
    </row>
    <row r="26" spans="1:11" ht="135" customHeight="1" x14ac:dyDescent="0.25">
      <c r="A26" s="163" t="e">
        <f ca="1">'Hilfstabelle DatendefKB'!O14</f>
        <v>#REF!</v>
      </c>
      <c r="B26" s="255" t="e">
        <f ca="1">'Hilfstabelle DatendefKB'!P14</f>
        <v>#REF!</v>
      </c>
      <c r="C26" s="258" t="e">
        <f ca="1">'Hilfstabelle DatendefKB'!Q14</f>
        <v>#REF!</v>
      </c>
      <c r="D26" s="163" t="e">
        <f ca="1">'Hilfstabelle DatendefKB'!R14</f>
        <v>#REF!</v>
      </c>
      <c r="E26" s="258" t="e">
        <f ca="1">'Hilfstabelle DatendefKB'!S14</f>
        <v>#REF!</v>
      </c>
      <c r="F26" s="163" t="e">
        <f ca="1">'Hilfstabelle DatendefKB'!T14</f>
        <v>#REF!</v>
      </c>
      <c r="G26" s="163" t="e">
        <f ca="1">'Hilfstabelle DatendefKB'!U14</f>
        <v>#REF!</v>
      </c>
      <c r="H26" s="257" t="e">
        <f ca="1">'Hilfstabelle DatendefKB'!V14</f>
        <v>#REF!</v>
      </c>
      <c r="I26" s="163" t="e">
        <f ca="1">'Hilfstabelle DatendefKB'!W14</f>
        <v>#REF!</v>
      </c>
      <c r="J26" s="164" t="e">
        <f ca="1">'Hilfstabelle DatendefKB'!X14</f>
        <v>#REF!</v>
      </c>
      <c r="K26" s="255" t="e">
        <f ca="1">'Hilfstabelle DatendefKB'!Y14</f>
        <v>#REF!</v>
      </c>
    </row>
    <row r="27" spans="1:11" ht="135" customHeight="1" x14ac:dyDescent="0.25">
      <c r="A27" s="163" t="e">
        <f ca="1">'Hilfstabelle DatendefKB'!O15</f>
        <v>#REF!</v>
      </c>
      <c r="B27" s="255" t="e">
        <f ca="1">'Hilfstabelle DatendefKB'!P15</f>
        <v>#REF!</v>
      </c>
      <c r="C27" s="258" t="e">
        <f ca="1">'Hilfstabelle DatendefKB'!Q15</f>
        <v>#REF!</v>
      </c>
      <c r="D27" s="163" t="e">
        <f ca="1">'Hilfstabelle DatendefKB'!R15</f>
        <v>#REF!</v>
      </c>
      <c r="E27" s="258" t="e">
        <f ca="1">'Hilfstabelle DatendefKB'!S15</f>
        <v>#REF!</v>
      </c>
      <c r="F27" s="163" t="e">
        <f ca="1">'Hilfstabelle DatendefKB'!T15</f>
        <v>#REF!</v>
      </c>
      <c r="G27" s="163" t="e">
        <f ca="1">'Hilfstabelle DatendefKB'!U15</f>
        <v>#REF!</v>
      </c>
      <c r="H27" s="257" t="e">
        <f ca="1">'Hilfstabelle DatendefKB'!V15</f>
        <v>#REF!</v>
      </c>
      <c r="I27" s="163" t="e">
        <f ca="1">'Hilfstabelle DatendefKB'!W15</f>
        <v>#REF!</v>
      </c>
      <c r="J27" s="164" t="e">
        <f ca="1">'Hilfstabelle DatendefKB'!X15</f>
        <v>#REF!</v>
      </c>
      <c r="K27" s="255" t="e">
        <f ca="1">'Hilfstabelle DatendefKB'!Y15</f>
        <v>#REF!</v>
      </c>
    </row>
    <row r="28" spans="1:11" ht="135" customHeight="1" x14ac:dyDescent="0.25">
      <c r="A28" s="163" t="e">
        <f ca="1">'Hilfstabelle DatendefKB'!O16</f>
        <v>#REF!</v>
      </c>
      <c r="B28" s="255" t="e">
        <f ca="1">'Hilfstabelle DatendefKB'!P16</f>
        <v>#REF!</v>
      </c>
      <c r="C28" s="258" t="e">
        <f ca="1">'Hilfstabelle DatendefKB'!Q16</f>
        <v>#REF!</v>
      </c>
      <c r="D28" s="163" t="e">
        <f ca="1">'Hilfstabelle DatendefKB'!R16</f>
        <v>#REF!</v>
      </c>
      <c r="E28" s="258" t="e">
        <f ca="1">'Hilfstabelle DatendefKB'!S16</f>
        <v>#REF!</v>
      </c>
      <c r="F28" s="163" t="e">
        <f ca="1">'Hilfstabelle DatendefKB'!T16</f>
        <v>#REF!</v>
      </c>
      <c r="G28" s="163" t="e">
        <f ca="1">'Hilfstabelle DatendefKB'!U16</f>
        <v>#REF!</v>
      </c>
      <c r="H28" s="257" t="e">
        <f ca="1">'Hilfstabelle DatendefKB'!V16</f>
        <v>#REF!</v>
      </c>
      <c r="I28" s="163" t="e">
        <f ca="1">'Hilfstabelle DatendefKB'!W16</f>
        <v>#REF!</v>
      </c>
      <c r="J28" s="164" t="e">
        <f ca="1">'Hilfstabelle DatendefKB'!X16</f>
        <v>#REF!</v>
      </c>
      <c r="K28" s="255" t="e">
        <f ca="1">'Hilfstabelle DatendefKB'!Y16</f>
        <v>#REF!</v>
      </c>
    </row>
    <row r="29" spans="1:11" ht="135" customHeight="1" x14ac:dyDescent="0.25">
      <c r="A29" s="163" t="e">
        <f ca="1">'Hilfstabelle DatendefKB'!O17</f>
        <v>#REF!</v>
      </c>
      <c r="B29" s="255" t="e">
        <f ca="1">'Hilfstabelle DatendefKB'!P17</f>
        <v>#REF!</v>
      </c>
      <c r="C29" s="258" t="e">
        <f ca="1">'Hilfstabelle DatendefKB'!Q17</f>
        <v>#REF!</v>
      </c>
      <c r="D29" s="163" t="e">
        <f ca="1">'Hilfstabelle DatendefKB'!R17</f>
        <v>#REF!</v>
      </c>
      <c r="E29" s="258" t="e">
        <f ca="1">'Hilfstabelle DatendefKB'!S17</f>
        <v>#REF!</v>
      </c>
      <c r="F29" s="163" t="e">
        <f ca="1">'Hilfstabelle DatendefKB'!T17</f>
        <v>#REF!</v>
      </c>
      <c r="G29" s="163" t="e">
        <f ca="1">'Hilfstabelle DatendefKB'!U17</f>
        <v>#REF!</v>
      </c>
      <c r="H29" s="257" t="e">
        <f ca="1">'Hilfstabelle DatendefKB'!V17</f>
        <v>#REF!</v>
      </c>
      <c r="I29" s="163" t="e">
        <f ca="1">'Hilfstabelle DatendefKB'!W17</f>
        <v>#REF!</v>
      </c>
      <c r="J29" s="164" t="e">
        <f ca="1">'Hilfstabelle DatendefKB'!X17</f>
        <v>#REF!</v>
      </c>
      <c r="K29" s="255" t="e">
        <f ca="1">'Hilfstabelle DatendefKB'!Y17</f>
        <v>#REF!</v>
      </c>
    </row>
    <row r="30" spans="1:11" ht="135" customHeight="1" x14ac:dyDescent="0.25">
      <c r="A30" s="163" t="e">
        <f ca="1">'Hilfstabelle DatendefKB'!O18</f>
        <v>#REF!</v>
      </c>
      <c r="B30" s="255" t="e">
        <f ca="1">'Hilfstabelle DatendefKB'!P18</f>
        <v>#REF!</v>
      </c>
      <c r="C30" s="258" t="e">
        <f ca="1">'Hilfstabelle DatendefKB'!Q18</f>
        <v>#REF!</v>
      </c>
      <c r="D30" s="163" t="e">
        <f ca="1">'Hilfstabelle DatendefKB'!R18</f>
        <v>#REF!</v>
      </c>
      <c r="E30" s="258" t="e">
        <f ca="1">'Hilfstabelle DatendefKB'!S18</f>
        <v>#REF!</v>
      </c>
      <c r="F30" s="163" t="e">
        <f ca="1">'Hilfstabelle DatendefKB'!T18</f>
        <v>#REF!</v>
      </c>
      <c r="G30" s="163" t="e">
        <f ca="1">'Hilfstabelle DatendefKB'!U18</f>
        <v>#REF!</v>
      </c>
      <c r="H30" s="257" t="e">
        <f ca="1">'Hilfstabelle DatendefKB'!V18</f>
        <v>#REF!</v>
      </c>
      <c r="I30" s="163" t="e">
        <f ca="1">'Hilfstabelle DatendefKB'!W18</f>
        <v>#REF!</v>
      </c>
      <c r="J30" s="164" t="e">
        <f ca="1">'Hilfstabelle DatendefKB'!X18</f>
        <v>#REF!</v>
      </c>
      <c r="K30" s="255" t="e">
        <f ca="1">'Hilfstabelle DatendefKB'!Y18</f>
        <v>#REF!</v>
      </c>
    </row>
    <row r="31" spans="1:11" ht="135" customHeight="1" x14ac:dyDescent="0.25">
      <c r="A31" s="163" t="e">
        <f ca="1">'Hilfstabelle DatendefKB'!O19</f>
        <v>#REF!</v>
      </c>
      <c r="B31" s="255" t="e">
        <f ca="1">'Hilfstabelle DatendefKB'!P19</f>
        <v>#REF!</v>
      </c>
      <c r="C31" s="258" t="e">
        <f ca="1">'Hilfstabelle DatendefKB'!Q19</f>
        <v>#REF!</v>
      </c>
      <c r="D31" s="163" t="e">
        <f ca="1">'Hilfstabelle DatendefKB'!R19</f>
        <v>#REF!</v>
      </c>
      <c r="E31" s="258" t="e">
        <f ca="1">'Hilfstabelle DatendefKB'!S19</f>
        <v>#REF!</v>
      </c>
      <c r="F31" s="163" t="e">
        <f ca="1">'Hilfstabelle DatendefKB'!T19</f>
        <v>#REF!</v>
      </c>
      <c r="G31" s="163" t="e">
        <f ca="1">'Hilfstabelle DatendefKB'!U19</f>
        <v>#REF!</v>
      </c>
      <c r="H31" s="257" t="e">
        <f ca="1">'Hilfstabelle DatendefKB'!V19</f>
        <v>#REF!</v>
      </c>
      <c r="I31" s="163" t="e">
        <f ca="1">'Hilfstabelle DatendefKB'!W19</f>
        <v>#REF!</v>
      </c>
      <c r="J31" s="164" t="e">
        <f ca="1">'Hilfstabelle DatendefKB'!X19</f>
        <v>#REF!</v>
      </c>
      <c r="K31" s="255" t="e">
        <f ca="1">'Hilfstabelle DatendefKB'!Y19</f>
        <v>#REF!</v>
      </c>
    </row>
    <row r="32" spans="1:11" ht="135" customHeight="1" x14ac:dyDescent="0.25">
      <c r="A32" s="163" t="e">
        <f ca="1">'Hilfstabelle DatendefKB'!O20</f>
        <v>#REF!</v>
      </c>
      <c r="B32" s="255" t="e">
        <f ca="1">'Hilfstabelle DatendefKB'!P20</f>
        <v>#REF!</v>
      </c>
      <c r="C32" s="258" t="e">
        <f ca="1">'Hilfstabelle DatendefKB'!Q20</f>
        <v>#REF!</v>
      </c>
      <c r="D32" s="163" t="e">
        <f ca="1">'Hilfstabelle DatendefKB'!R20</f>
        <v>#REF!</v>
      </c>
      <c r="E32" s="258" t="e">
        <f ca="1">'Hilfstabelle DatendefKB'!S20</f>
        <v>#REF!</v>
      </c>
      <c r="F32" s="163" t="e">
        <f ca="1">'Hilfstabelle DatendefKB'!T20</f>
        <v>#REF!</v>
      </c>
      <c r="G32" s="163" t="e">
        <f ca="1">'Hilfstabelle DatendefKB'!U20</f>
        <v>#REF!</v>
      </c>
      <c r="H32" s="257" t="e">
        <f ca="1">'Hilfstabelle DatendefKB'!V20</f>
        <v>#REF!</v>
      </c>
      <c r="I32" s="163" t="e">
        <f ca="1">'Hilfstabelle DatendefKB'!W20</f>
        <v>#REF!</v>
      </c>
      <c r="J32" s="164" t="e">
        <f ca="1">'Hilfstabelle DatendefKB'!X20</f>
        <v>#REF!</v>
      </c>
      <c r="K32" s="255" t="e">
        <f ca="1">'Hilfstabelle DatendefKB'!Y20</f>
        <v>#REF!</v>
      </c>
    </row>
    <row r="33" spans="1:11" ht="135" customHeight="1" x14ac:dyDescent="0.25">
      <c r="A33" s="163" t="e">
        <f ca="1">'Hilfstabelle DatendefKB'!O21</f>
        <v>#REF!</v>
      </c>
      <c r="B33" s="255" t="e">
        <f ca="1">'Hilfstabelle DatendefKB'!P21</f>
        <v>#REF!</v>
      </c>
      <c r="C33" s="258" t="e">
        <f ca="1">'Hilfstabelle DatendefKB'!Q21</f>
        <v>#REF!</v>
      </c>
      <c r="D33" s="163" t="e">
        <f ca="1">'Hilfstabelle DatendefKB'!R21</f>
        <v>#REF!</v>
      </c>
      <c r="E33" s="258" t="e">
        <f ca="1">'Hilfstabelle DatendefKB'!S21</f>
        <v>#REF!</v>
      </c>
      <c r="F33" s="163" t="e">
        <f ca="1">'Hilfstabelle DatendefKB'!T21</f>
        <v>#REF!</v>
      </c>
      <c r="G33" s="163" t="e">
        <f ca="1">'Hilfstabelle DatendefKB'!U21</f>
        <v>#REF!</v>
      </c>
      <c r="H33" s="257" t="e">
        <f ca="1">'Hilfstabelle DatendefKB'!V21</f>
        <v>#REF!</v>
      </c>
      <c r="I33" s="163" t="e">
        <f ca="1">'Hilfstabelle DatendefKB'!W21</f>
        <v>#REF!</v>
      </c>
      <c r="J33" s="164" t="e">
        <f ca="1">'Hilfstabelle DatendefKB'!X21</f>
        <v>#REF!</v>
      </c>
      <c r="K33" s="255" t="e">
        <f ca="1">'Hilfstabelle DatendefKB'!Y21</f>
        <v>#REF!</v>
      </c>
    </row>
    <row r="34" spans="1:11" ht="135" customHeight="1" x14ac:dyDescent="0.25">
      <c r="A34" s="163" t="e">
        <f ca="1">'Hilfstabelle DatendefKB'!O22</f>
        <v>#REF!</v>
      </c>
      <c r="B34" s="255" t="e">
        <f ca="1">'Hilfstabelle DatendefKB'!P22</f>
        <v>#REF!</v>
      </c>
      <c r="C34" s="258" t="e">
        <f ca="1">'Hilfstabelle DatendefKB'!Q22</f>
        <v>#REF!</v>
      </c>
      <c r="D34" s="163" t="e">
        <f ca="1">'Hilfstabelle DatendefKB'!R22</f>
        <v>#REF!</v>
      </c>
      <c r="E34" s="258" t="e">
        <f ca="1">'Hilfstabelle DatendefKB'!S22</f>
        <v>#REF!</v>
      </c>
      <c r="F34" s="163" t="e">
        <f ca="1">'Hilfstabelle DatendefKB'!T22</f>
        <v>#REF!</v>
      </c>
      <c r="G34" s="163" t="e">
        <f ca="1">'Hilfstabelle DatendefKB'!U22</f>
        <v>#REF!</v>
      </c>
      <c r="H34" s="257" t="e">
        <f ca="1">'Hilfstabelle DatendefKB'!V22</f>
        <v>#REF!</v>
      </c>
      <c r="I34" s="163" t="e">
        <f ca="1">'Hilfstabelle DatendefKB'!W22</f>
        <v>#REF!</v>
      </c>
      <c r="J34" s="164" t="e">
        <f ca="1">'Hilfstabelle DatendefKB'!X22</f>
        <v>#REF!</v>
      </c>
      <c r="K34" s="255" t="e">
        <f ca="1">'Hilfstabelle DatendefKB'!Y22</f>
        <v>#REF!</v>
      </c>
    </row>
    <row r="35" spans="1:11" ht="135" customHeight="1" x14ac:dyDescent="0.25">
      <c r="A35" s="163" t="e">
        <f ca="1">'Hilfstabelle DatendefKB'!O23</f>
        <v>#REF!</v>
      </c>
      <c r="B35" s="255" t="e">
        <f ca="1">'Hilfstabelle DatendefKB'!P23</f>
        <v>#REF!</v>
      </c>
      <c r="C35" s="258" t="e">
        <f ca="1">'Hilfstabelle DatendefKB'!Q23</f>
        <v>#REF!</v>
      </c>
      <c r="D35" s="163" t="e">
        <f ca="1">'Hilfstabelle DatendefKB'!R23</f>
        <v>#REF!</v>
      </c>
      <c r="E35" s="258" t="e">
        <f ca="1">'Hilfstabelle DatendefKB'!S23</f>
        <v>#REF!</v>
      </c>
      <c r="F35" s="163" t="e">
        <f ca="1">'Hilfstabelle DatendefKB'!T23</f>
        <v>#REF!</v>
      </c>
      <c r="G35" s="163" t="e">
        <f ca="1">'Hilfstabelle DatendefKB'!U23</f>
        <v>#REF!</v>
      </c>
      <c r="H35" s="257" t="e">
        <f ca="1">'Hilfstabelle DatendefKB'!V23</f>
        <v>#REF!</v>
      </c>
      <c r="I35" s="163" t="e">
        <f ca="1">'Hilfstabelle DatendefKB'!W23</f>
        <v>#REF!</v>
      </c>
      <c r="J35" s="164" t="e">
        <f ca="1">'Hilfstabelle DatendefKB'!X23</f>
        <v>#REF!</v>
      </c>
      <c r="K35" s="255" t="e">
        <f ca="1">'Hilfstabelle DatendefKB'!Y23</f>
        <v>#REF!</v>
      </c>
    </row>
    <row r="36" spans="1:11" ht="135" customHeight="1" x14ac:dyDescent="0.25">
      <c r="A36" s="163" t="e">
        <f ca="1">'Hilfstabelle DatendefKB'!O24</f>
        <v>#REF!</v>
      </c>
      <c r="B36" s="255" t="e">
        <f ca="1">'Hilfstabelle DatendefKB'!P24</f>
        <v>#REF!</v>
      </c>
      <c r="C36" s="258" t="e">
        <f ca="1">'Hilfstabelle DatendefKB'!Q24</f>
        <v>#REF!</v>
      </c>
      <c r="D36" s="163" t="e">
        <f ca="1">'Hilfstabelle DatendefKB'!R24</f>
        <v>#REF!</v>
      </c>
      <c r="E36" s="258" t="e">
        <f ca="1">'Hilfstabelle DatendefKB'!S24</f>
        <v>#REF!</v>
      </c>
      <c r="F36" s="163" t="e">
        <f ca="1">'Hilfstabelle DatendefKB'!T24</f>
        <v>#REF!</v>
      </c>
      <c r="G36" s="163" t="e">
        <f ca="1">'Hilfstabelle DatendefKB'!U24</f>
        <v>#REF!</v>
      </c>
      <c r="H36" s="257" t="e">
        <f ca="1">'Hilfstabelle DatendefKB'!V24</f>
        <v>#REF!</v>
      </c>
      <c r="I36" s="163" t="e">
        <f ca="1">'Hilfstabelle DatendefKB'!W24</f>
        <v>#REF!</v>
      </c>
      <c r="J36" s="164" t="e">
        <f ca="1">'Hilfstabelle DatendefKB'!X24</f>
        <v>#REF!</v>
      </c>
      <c r="K36" s="255" t="e">
        <f ca="1">'Hilfstabelle DatendefKB'!Y24</f>
        <v>#REF!</v>
      </c>
    </row>
    <row r="37" spans="1:11" ht="135" customHeight="1" x14ac:dyDescent="0.25">
      <c r="A37" s="163" t="e">
        <f ca="1">'Hilfstabelle DatendefKB'!O25</f>
        <v>#REF!</v>
      </c>
      <c r="B37" s="255" t="e">
        <f ca="1">'Hilfstabelle DatendefKB'!P25</f>
        <v>#REF!</v>
      </c>
      <c r="C37" s="258" t="e">
        <f ca="1">'Hilfstabelle DatendefKB'!Q25</f>
        <v>#REF!</v>
      </c>
      <c r="D37" s="163" t="e">
        <f ca="1">'Hilfstabelle DatendefKB'!R25</f>
        <v>#REF!</v>
      </c>
      <c r="E37" s="258" t="e">
        <f ca="1">'Hilfstabelle DatendefKB'!S25</f>
        <v>#REF!</v>
      </c>
      <c r="F37" s="163" t="e">
        <f ca="1">'Hilfstabelle DatendefKB'!T25</f>
        <v>#REF!</v>
      </c>
      <c r="G37" s="163" t="e">
        <f ca="1">'Hilfstabelle DatendefKB'!U25</f>
        <v>#REF!</v>
      </c>
      <c r="H37" s="257" t="e">
        <f ca="1">'Hilfstabelle DatendefKB'!V25</f>
        <v>#REF!</v>
      </c>
      <c r="I37" s="163" t="e">
        <f ca="1">'Hilfstabelle DatendefKB'!W25</f>
        <v>#REF!</v>
      </c>
      <c r="J37" s="164" t="e">
        <f ca="1">'Hilfstabelle DatendefKB'!X25</f>
        <v>#REF!</v>
      </c>
      <c r="K37" s="255" t="e">
        <f ca="1">'Hilfstabelle DatendefKB'!Y25</f>
        <v>#REF!</v>
      </c>
    </row>
    <row r="38" spans="1:11" ht="135" customHeight="1" x14ac:dyDescent="0.25">
      <c r="A38" s="163" t="e">
        <f ca="1">'Hilfstabelle DatendefKB'!O26</f>
        <v>#REF!</v>
      </c>
      <c r="B38" s="255" t="e">
        <f ca="1">'Hilfstabelle DatendefKB'!P26</f>
        <v>#REF!</v>
      </c>
      <c r="C38" s="258" t="e">
        <f ca="1">'Hilfstabelle DatendefKB'!Q26</f>
        <v>#REF!</v>
      </c>
      <c r="D38" s="163" t="e">
        <f ca="1">'Hilfstabelle DatendefKB'!R26</f>
        <v>#REF!</v>
      </c>
      <c r="E38" s="258" t="e">
        <f ca="1">'Hilfstabelle DatendefKB'!S26</f>
        <v>#REF!</v>
      </c>
      <c r="F38" s="163" t="e">
        <f ca="1">'Hilfstabelle DatendefKB'!T26</f>
        <v>#REF!</v>
      </c>
      <c r="G38" s="163" t="e">
        <f ca="1">'Hilfstabelle DatendefKB'!U26</f>
        <v>#REF!</v>
      </c>
      <c r="H38" s="257" t="e">
        <f ca="1">'Hilfstabelle DatendefKB'!V26</f>
        <v>#REF!</v>
      </c>
      <c r="I38" s="163" t="e">
        <f ca="1">'Hilfstabelle DatendefKB'!W26</f>
        <v>#REF!</v>
      </c>
      <c r="J38" s="164" t="e">
        <f ca="1">'Hilfstabelle DatendefKB'!X26</f>
        <v>#REF!</v>
      </c>
      <c r="K38" s="255" t="e">
        <f ca="1">'Hilfstabelle DatendefKB'!Y26</f>
        <v>#REF!</v>
      </c>
    </row>
    <row r="39" spans="1:11" ht="135" customHeight="1" x14ac:dyDescent="0.25">
      <c r="A39" s="163" t="e">
        <f ca="1">'Hilfstabelle DatendefKB'!O27</f>
        <v>#REF!</v>
      </c>
      <c r="B39" s="255" t="e">
        <f ca="1">'Hilfstabelle DatendefKB'!P27</f>
        <v>#REF!</v>
      </c>
      <c r="C39" s="258" t="e">
        <f ca="1">'Hilfstabelle DatendefKB'!Q27</f>
        <v>#REF!</v>
      </c>
      <c r="D39" s="163" t="e">
        <f ca="1">'Hilfstabelle DatendefKB'!R27</f>
        <v>#REF!</v>
      </c>
      <c r="E39" s="258" t="e">
        <f ca="1">'Hilfstabelle DatendefKB'!S27</f>
        <v>#REF!</v>
      </c>
      <c r="F39" s="163" t="e">
        <f ca="1">'Hilfstabelle DatendefKB'!T27</f>
        <v>#REF!</v>
      </c>
      <c r="G39" s="163" t="e">
        <f ca="1">'Hilfstabelle DatendefKB'!U27</f>
        <v>#REF!</v>
      </c>
      <c r="H39" s="257" t="e">
        <f ca="1">'Hilfstabelle DatendefKB'!V27</f>
        <v>#REF!</v>
      </c>
      <c r="I39" s="163" t="e">
        <f ca="1">'Hilfstabelle DatendefKB'!W27</f>
        <v>#REF!</v>
      </c>
      <c r="J39" s="164" t="e">
        <f ca="1">'Hilfstabelle DatendefKB'!X27</f>
        <v>#REF!</v>
      </c>
      <c r="K39" s="255" t="e">
        <f ca="1">'Hilfstabelle DatendefKB'!Y27</f>
        <v>#REF!</v>
      </c>
    </row>
    <row r="40" spans="1:11" ht="135" customHeight="1" x14ac:dyDescent="0.25">
      <c r="A40" s="163" t="e">
        <f ca="1">'Hilfstabelle DatendefKB'!O28</f>
        <v>#REF!</v>
      </c>
      <c r="B40" s="255" t="e">
        <f ca="1">'Hilfstabelle DatendefKB'!P28</f>
        <v>#REF!</v>
      </c>
      <c r="C40" s="258" t="e">
        <f ca="1">'Hilfstabelle DatendefKB'!Q28</f>
        <v>#REF!</v>
      </c>
      <c r="D40" s="163" t="e">
        <f ca="1">'Hilfstabelle DatendefKB'!R28</f>
        <v>#REF!</v>
      </c>
      <c r="E40" s="258" t="e">
        <f ca="1">'Hilfstabelle DatendefKB'!S28</f>
        <v>#REF!</v>
      </c>
      <c r="F40" s="163" t="e">
        <f ca="1">'Hilfstabelle DatendefKB'!T28</f>
        <v>#REF!</v>
      </c>
      <c r="G40" s="163" t="e">
        <f ca="1">'Hilfstabelle DatendefKB'!U28</f>
        <v>#REF!</v>
      </c>
      <c r="H40" s="257" t="e">
        <f ca="1">'Hilfstabelle DatendefKB'!V28</f>
        <v>#REF!</v>
      </c>
      <c r="I40" s="163" t="e">
        <f ca="1">'Hilfstabelle DatendefKB'!W28</f>
        <v>#REF!</v>
      </c>
      <c r="J40" s="164" t="e">
        <f ca="1">'Hilfstabelle DatendefKB'!X28</f>
        <v>#REF!</v>
      </c>
      <c r="K40" s="255" t="e">
        <f ca="1">'Hilfstabelle DatendefKB'!Y28</f>
        <v>#REF!</v>
      </c>
    </row>
    <row r="41" spans="1:11" ht="135" customHeight="1" x14ac:dyDescent="0.25">
      <c r="A41" s="163" t="e">
        <f ca="1">'Hilfstabelle DatendefKB'!O29</f>
        <v>#REF!</v>
      </c>
      <c r="B41" s="255" t="e">
        <f ca="1">'Hilfstabelle DatendefKB'!P29</f>
        <v>#REF!</v>
      </c>
      <c r="C41" s="258" t="e">
        <f ca="1">'Hilfstabelle DatendefKB'!Q29</f>
        <v>#REF!</v>
      </c>
      <c r="D41" s="163" t="e">
        <f ca="1">'Hilfstabelle DatendefKB'!R29</f>
        <v>#REF!</v>
      </c>
      <c r="E41" s="258" t="e">
        <f ca="1">'Hilfstabelle DatendefKB'!S29</f>
        <v>#REF!</v>
      </c>
      <c r="F41" s="163" t="e">
        <f ca="1">'Hilfstabelle DatendefKB'!T29</f>
        <v>#REF!</v>
      </c>
      <c r="G41" s="163" t="e">
        <f ca="1">'Hilfstabelle DatendefKB'!U29</f>
        <v>#REF!</v>
      </c>
      <c r="H41" s="257" t="e">
        <f ca="1">'Hilfstabelle DatendefKB'!V29</f>
        <v>#REF!</v>
      </c>
      <c r="I41" s="163" t="e">
        <f ca="1">'Hilfstabelle DatendefKB'!W29</f>
        <v>#REF!</v>
      </c>
      <c r="J41" s="164" t="e">
        <f ca="1">'Hilfstabelle DatendefKB'!X29</f>
        <v>#REF!</v>
      </c>
      <c r="K41" s="255" t="e">
        <f ca="1">'Hilfstabelle DatendefKB'!Y29</f>
        <v>#REF!</v>
      </c>
    </row>
  </sheetData>
  <sheetProtection formatColumns="0" formatRows="0" selectLockedCells="1" sort="0"/>
  <mergeCells count="7">
    <mergeCell ref="C8:G8"/>
    <mergeCell ref="A12:A13"/>
    <mergeCell ref="C6:J6"/>
    <mergeCell ref="I12:I13"/>
    <mergeCell ref="B12:B13"/>
    <mergeCell ref="C12:E12"/>
    <mergeCell ref="F12:H12"/>
  </mergeCells>
  <phoneticPr fontId="36" type="noConversion"/>
  <conditionalFormatting sqref="A14:H41 J14:K41">
    <cfRule type="notContainsBlanks" dxfId="49" priority="19" stopIfTrue="1">
      <formula>LEN(TRIM(A14))&gt;0</formula>
    </cfRule>
  </conditionalFormatting>
  <conditionalFormatting sqref="A12:K13">
    <cfRule type="expression" dxfId="48" priority="2" stopIfTrue="1">
      <formula>$B$10="Kein Datendefizit vorhanden"</formula>
    </cfRule>
  </conditionalFormatting>
  <conditionalFormatting sqref="I14:I41">
    <cfRule type="expression" dxfId="47" priority="1" stopIfTrue="1">
      <formula>AND($I14&lt;&gt;"",$I14="Sollvorgabe nicht erfüllt")</formula>
    </cfRule>
    <cfRule type="expression" dxfId="46" priority="20" stopIfTrue="1">
      <formula>AND($I14&lt;&gt;"",$I14="I.O. (Plausibilität unklar)")</formula>
    </cfRule>
    <cfRule type="expression" dxfId="45" priority="21" stopIfTrue="1">
      <formula>AND($I14&lt;&gt;"",$I14="Ausnahme (Plausibilität unklar)")</formula>
    </cfRule>
    <cfRule type="expression" dxfId="44" priority="22" stopIfTrue="1">
      <formula>OR(AND($I14&lt;&gt;"",$I14="Unvollständig"),AND($I14&lt;&gt;"",$I14="Inkorrekt"))</formula>
    </cfRule>
  </conditionalFormatting>
  <pageMargins left="0.39370078740157483" right="0.19685039370078741" top="0.59055118110236227" bottom="0.39370078740157483" header="0.11811023622047245" footer="0.11811023622047245"/>
  <pageSetup paperSize="9" scale="87" orientation="landscape" r:id="rId1"/>
  <headerFooter>
    <oddFooter>&amp;L&amp;"Arial,Standard"&amp;7&amp;F&amp;C&amp;"Arial,Standard"&amp;7 © DKG  Alle Rechte vorbehalten&amp;R&amp;"Arial,Standard"&amp;7&amp;P</oddFooter>
  </headerFooter>
  <ignoredErrors>
    <ignoredError sqref="D13" formula="1"/>
  </ignoredErrors>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4"/>
  <dimension ref="A1:Y29"/>
  <sheetViews>
    <sheetView showGridLines="0" showRuler="0" showWhiteSpace="0" zoomScaleNormal="100" zoomScaleSheetLayoutView="100" workbookViewId="0">
      <pane ySplit="1" topLeftCell="A2" activePane="bottomLeft" state="frozen"/>
      <selection pane="bottomLeft" activeCell="J25" sqref="J25"/>
    </sheetView>
  </sheetViews>
  <sheetFormatPr defaultColWidth="11.42578125" defaultRowHeight="11.25" x14ac:dyDescent="0.25"/>
  <cols>
    <col min="1" max="1" width="17" style="130" customWidth="1"/>
    <col min="2" max="2" width="9.140625" style="130" customWidth="1"/>
    <col min="3" max="3" width="5.5703125" style="130" customWidth="1"/>
    <col min="4" max="4" width="23" style="130" customWidth="1"/>
    <col min="5" max="5" width="6.5703125" style="130" customWidth="1"/>
    <col min="6" max="6" width="10.7109375" style="130" customWidth="1"/>
    <col min="7" max="7" width="6.5703125" style="130" customWidth="1"/>
    <col min="8" max="8" width="7.140625" style="130" customWidth="1"/>
    <col min="9" max="10" width="6.7109375" style="130" customWidth="1"/>
    <col min="11" max="11" width="11.140625" style="130" customWidth="1"/>
    <col min="12" max="12" width="41.42578125" style="130" customWidth="1"/>
    <col min="13" max="13" width="35.140625" style="130" customWidth="1"/>
    <col min="14" max="14" width="14" style="130" customWidth="1"/>
    <col min="15" max="15" width="5.7109375" style="130" customWidth="1"/>
    <col min="16" max="16" width="23.28515625" style="128" customWidth="1"/>
    <col min="17" max="17" width="7.42578125" style="249" customWidth="1"/>
    <col min="18" max="18" width="9.85546875" style="249" customWidth="1"/>
    <col min="19" max="19" width="7.42578125" style="249" customWidth="1"/>
    <col min="20" max="22" width="6.85546875" style="250" customWidth="1"/>
    <col min="23" max="23" width="9.140625" style="250" customWidth="1"/>
    <col min="24" max="25" width="24.85546875" style="130" customWidth="1"/>
    <col min="26" max="256" width="9.140625" style="130" customWidth="1"/>
    <col min="257" max="16384" width="11.42578125" style="130"/>
  </cols>
  <sheetData>
    <row r="1" spans="1:25" ht="34.5" customHeight="1" x14ac:dyDescent="0.25">
      <c r="A1" s="327" t="s">
        <v>103</v>
      </c>
      <c r="B1" s="128" t="s">
        <v>363</v>
      </c>
      <c r="C1" s="283" t="s">
        <v>369</v>
      </c>
      <c r="D1" s="240" t="s">
        <v>226</v>
      </c>
      <c r="E1" s="241" t="s">
        <v>313</v>
      </c>
      <c r="F1" s="240" t="s">
        <v>16</v>
      </c>
      <c r="G1" s="241" t="s">
        <v>313</v>
      </c>
      <c r="H1" s="240" t="s">
        <v>305</v>
      </c>
      <c r="I1" s="240" t="s">
        <v>17</v>
      </c>
      <c r="J1" s="240" t="s">
        <v>36</v>
      </c>
      <c r="K1" s="240" t="s">
        <v>11</v>
      </c>
      <c r="L1" s="240" t="s">
        <v>306</v>
      </c>
      <c r="M1" s="240" t="s">
        <v>307</v>
      </c>
      <c r="O1" s="251" t="s">
        <v>364</v>
      </c>
    </row>
    <row r="2" spans="1:25" ht="60" customHeight="1" x14ac:dyDescent="0.25">
      <c r="A2" s="129" t="str">
        <f>IF('Indicator sheet_(IS)'!P10=0,"",'Indicator sheet_(IS)'!P10)</f>
        <v>Incomplete</v>
      </c>
      <c r="C2" s="29" t="str">
        <f>IF($A2="I.O.","",'Indicator sheet_(IS)'!A10)</f>
        <v>1a</v>
      </c>
      <c r="D2" s="247" t="str">
        <f>IF($A2="I.O.","",'Indicator sheet_(IS)'!C10)</f>
        <v xml:space="preserve">Primary cases </v>
      </c>
      <c r="E2" s="243" t="str">
        <f>IF(AND('Indicator sheet_(IS)'!J10="",$A2&lt;&gt;"I.O."),"-----",IF($A2="I.O.","",'Indicator sheet_(IS)'!J10))</f>
        <v>-----</v>
      </c>
      <c r="F2" s="29" t="str">
        <f>IF($A2="I.O.","",'Indicator sheet_(IS)'!K10)</f>
        <v>≥ 200</v>
      </c>
      <c r="G2" s="243" t="str">
        <f>IF(AND('Indicator sheet_(IS)'!M10="",$A2&lt;&gt;"I.O."),"-----",IF($A2="I.O.","",'Indicator sheet_(IS)'!M10))</f>
        <v>-----</v>
      </c>
      <c r="H2" s="245">
        <f>IF($A2="I.O.","",IF('Indicator sheet_(IS)'!O10="",0,'Indicator sheet_(IS)'!O10))</f>
        <v>0</v>
      </c>
      <c r="I2" s="245" t="str">
        <f>IF($A2="I.O.","","-----")</f>
        <v>-----</v>
      </c>
      <c r="J2" s="239" t="str">
        <f>IF($A2="I.O.","","-----")</f>
        <v>-----</v>
      </c>
      <c r="K2" s="244" t="str">
        <f>IF($A2="I.O.","",'Indicator sheet_(IS)'!P10)</f>
        <v>Incomplete</v>
      </c>
      <c r="L2" s="247" t="str">
        <f>IF(AND('Indicator sheet_(IS)'!Q10="",$A2&lt;&gt;"I.O."),"-----",IF($A2="I.O.","",'Indicator sheet_(IS)'!Q10))</f>
        <v>-----</v>
      </c>
      <c r="M2" s="247" t="str">
        <f>IF(AND('Indicator sheet_(IS)'!R10="",$A2&lt;&gt;"I.O."),"-----",IF($A2="I.O.","",'Indicator sheet_(IS)'!R10))</f>
        <v>-----</v>
      </c>
      <c r="O2" s="114" t="e">
        <f t="array" aca="1" ref="O2" ca="1">IF(ROW()-ROW($D$2:$D$29)+1&gt;ROWS($C$2:$C$29)-COUNTBLANK($C$2:$C$29),"",INDIRECT(ADDRESS(SMALL((IF($C$2:$C$29&lt;&gt;"",ROW($C$2:$C$29),ROW()+ROWS($C$2:$C$29))),ROW()-ROW($D$2:$D$29)+1),COLUMN($C$2:$C$29),4)))</f>
        <v>#REF!</v>
      </c>
      <c r="P2" s="246" t="e">
        <f t="array" aca="1" ref="P2" ca="1">IF(ROW()-ROW($E$2:$E$29)+1&gt;ROWS($D$2:$D$29)-COUNTBLANK($D$2:$D$29),"",INDIRECT(ADDRESS(SMALL((IF($D$2:$D$29&gt;"",ROW($D$2:$D$29),ROW()+ROWS($D$2:$D$29))),ROW()-ROW($E$2:$E$29)+1),COLUMN($D$2:$D$29),4)))</f>
        <v>#REF!</v>
      </c>
      <c r="Q2" s="169" t="e">
        <f t="array" aca="1" ref="Q2" ca="1">IF(ROW()-ROW($F$2:$F$29)+1&gt;ROWS($E$2:$E$29)-COUNTBLANK($E$2:$E$29),"",INDIRECT(ADDRESS(SMALL((IF($E$2:$E$29&gt;"",ROW($E$2:$E$29),ROW()+ROWS($E$2:$E$29))),ROW()-ROW($F$2:$F$29)+1),COLUMN($E$2:$E$29),4)))</f>
        <v>#REF!</v>
      </c>
      <c r="R2" s="169" t="e">
        <f t="array" aca="1" ref="R2" ca="1">IF(ROW()-ROW($G$2:$G$29)+1&gt;ROWS($F$2:$F$29)-COUNTBLANK($F$2:$F$29),"",INDIRECT(ADDRESS(SMALL((IF($F$2:$F$29&gt;"",ROW($F$2:$F$29),ROW()+ROWS($F$2:$F$29))),ROW()-ROW($G$2:$G$29)+1),COLUMN($F$2:$F$29),4)))</f>
        <v>#REF!</v>
      </c>
      <c r="S2" s="169" t="e">
        <f t="array" aca="1" ref="S2" ca="1">IF(ROW()-ROW($H$2:$H$29)+1&gt;ROWS($G$2:$G$29)-COUNTBLANK($G$2:$G$29),"",INDIRECT(ADDRESS(SMALL((IF($G$2:$G$29&lt;&gt;"",ROW($G$2:$G$29),ROW()+ROWS($G$2:$G$29))),ROW()-ROW($H$2:$H$29)+1),COLUMN($G$2:$G$29),4)))</f>
        <v>#REF!</v>
      </c>
      <c r="T2" s="114" t="e">
        <f t="array" aca="1" ref="T2" ca="1">IF(ROW()-ROW($I$2:$I$29)+1&gt;ROWS($H$2:$H$29)-COUNTBLANK($H$2:$H$29),"",INDIRECT(ADDRESS(SMALL((IF($H$2:$H$29&lt;&gt;"",ROW($H$2:$H$29),ROW()+ROWS($H$2:$H$29))),ROW()-ROW($I$2:$I$29)+1),COLUMN($H$2:$H$29),4)))</f>
        <v>#REF!</v>
      </c>
      <c r="U2" s="114" t="e">
        <f t="array" aca="1" ref="U2" ca="1">IF(ROW()-ROW($J$2:$J$29)+1&gt;ROWS($I$2:$I$29)-COUNTBLANK($I$2:$I$29),"",INDIRECT(ADDRESS(SMALL((IF($I$2:$I$29&lt;&gt;"",ROW($I$2:$I$29),ROW()+ROWS($I$2:$I$29))),ROW()-ROW($J$2:$J$29)+1),COLUMN($I$2:$I$29),4)))</f>
        <v>#REF!</v>
      </c>
      <c r="V2" s="114" t="e">
        <f t="array" aca="1" ref="V2" ca="1">IF(ROW()-ROW($K$2:$K$29)+1&gt;ROWS($J$2:$J$29)-COUNTBLANK($J$2:$J$29),"",INDIRECT(ADDRESS(SMALL((IF($J$2:$J$29&lt;&gt;"",ROW($J$2:$J$29),ROW()+ROWS($J$2:$J$29))),ROW()-ROW($K$2:$K$29)+1),COLUMN($J$2:$J$29),4)))</f>
        <v>#REF!</v>
      </c>
      <c r="W2" s="114" t="e">
        <f t="array" aca="1" ref="W2" ca="1">IF(ROW()-ROW($L$2:$L$29)+1&gt;ROWS($K$2:$K$29)-COUNTBLANK($K$2:$K$29),"",INDIRECT(ADDRESS(SMALL((IF($K$2:$K$29&lt;&gt;"",ROW($K$2:$K$29),ROW()+ROWS($K$2:$K$29))),ROW()-ROW($L$2:$L$29)+1),COLUMN($K$2:$K$29),4)))</f>
        <v>#REF!</v>
      </c>
      <c r="X2" s="129" t="e">
        <f t="array" aca="1" ref="X2" ca="1">IF(ROW()-ROW($M$2:$M$29)+1&gt;ROWS($L$2:$L$29)-COUNTBLANK($L$2:$L$29),"",INDIRECT(ADDRESS(SMALL((IF($L$2:$L$29&lt;&gt;"",ROW($L$2:$L$29),ROW()+ROWS($L$2:$L$29))),ROW()-ROW($M$2:$M$29)+1),COLUMN($L$2:$L$29),4)))</f>
        <v>#REF!</v>
      </c>
      <c r="Y2" s="129" t="e">
        <f t="array" aca="1" ref="Y2" ca="1">IF(ROW()-ROW($N$2:$N$29)+1&gt;ROWS($M$2:$M$29)-COUNTBLANK($M$2:$M$29),"",INDIRECT(ADDRESS(SMALL((IF($M$2:$M$29&lt;&gt;"",ROW($M$2:$M$29),ROW()+ROWS($M$2:$M$29))),ROW()-ROW($N$2:$N$29)+1),COLUMN($M$2:$M$29),4)))</f>
        <v>#REF!</v>
      </c>
    </row>
    <row r="3" spans="1:25" ht="60" customHeight="1" x14ac:dyDescent="0.25">
      <c r="A3" s="129" t="str">
        <f>IF('Indicator sheet_(IS)'!P16=0,"",'Indicator sheet_(IS)'!P16)</f>
        <v>Incomplete</v>
      </c>
      <c r="C3" s="29" t="str">
        <f>IF($A3="I.O.","",'Indicator sheet_(IS)'!A16)</f>
        <v>2a</v>
      </c>
      <c r="D3" s="247" t="str">
        <f>IF($A3="I.O.","",'Indicator sheet_(IS)'!C16)</f>
        <v>Pretherapeutic tumour board</v>
      </c>
      <c r="E3" s="243" t="str">
        <f>IF(AND('Indicator sheet_(IS)'!J16="",$A3&lt;&gt;"I.O."),"-----",IF($A3="I.O.","",'Indicator sheet_(IS)'!J16))</f>
        <v>-----</v>
      </c>
      <c r="F3" s="29" t="str">
        <f>IF($A3="I.O.","",'Indicator sheet_(IS)'!K16)</f>
        <v>≥ 90%</v>
      </c>
      <c r="G3" s="243" t="str">
        <f>IF(AND('Indicator sheet_(IS)'!M16="",$A3&lt;&gt;"I.O."),"-----",IF($A3="I.O.","",'Indicator sheet_(IS)'!M16))</f>
        <v>-----</v>
      </c>
      <c r="H3" s="245" t="str">
        <f>IF($A3="I.O.","",IF('Indicator sheet_(IS)'!O16="","-----",'Indicator sheet_(IS)'!O16))</f>
        <v>-----</v>
      </c>
      <c r="I3" s="245">
        <f>IF($A3="I.O.","",IF('Indicator sheet_(IS)'!O17="","-----",'Indicator sheet_(IS)'!O17))</f>
        <v>0</v>
      </c>
      <c r="J3" s="239" t="str">
        <f>IF($A3="I.O.","",IF('Indicator sheet_(IS)'!O18="",0,'Indicator sheet_(IS)'!O18))</f>
        <v>n.d.</v>
      </c>
      <c r="K3" s="244" t="str">
        <f>IF($A3="I.O.","",'Indicator sheet_(IS)'!P16)</f>
        <v>Incomplete</v>
      </c>
      <c r="L3" s="247" t="str">
        <f>IF(AND('Indicator sheet_(IS)'!Q16="",$A3&lt;&gt;"I.O."),"-----",IF($A3="I.O.","",'Indicator sheet_(IS)'!Q16))</f>
        <v>-----</v>
      </c>
      <c r="M3" s="247" t="str">
        <f>IF(AND('Indicator sheet_(IS)'!R16="",$A3&lt;&gt;"I.O."),"-----",IF($A3="I.O.","",'Indicator sheet_(IS)'!R16))</f>
        <v>-----</v>
      </c>
      <c r="O3" s="114" t="e">
        <f t="array" aca="1" ref="O3" ca="1">IF(ROW()-ROW($D$2:$D$29)+1&gt;ROWS($C$2:$C$29)-COUNTBLANK($C$2:$C$29),"",INDIRECT(ADDRESS(SMALL((IF($C$2:$C$29&lt;&gt;"",ROW($C$2:$C$29),ROW()+ROWS($C$2:$C$29))),ROW()-ROW($D$2:$D$29)+1),COLUMN($C$2:$C$29),4)))</f>
        <v>#REF!</v>
      </c>
      <c r="P3" s="246" t="e">
        <f t="array" aca="1" ref="P3" ca="1">IF(ROW()-ROW($E$2:$E$29)+1&gt;ROWS($D$2:$D$29)-COUNTBLANK($D$2:$D$29),"",INDIRECT(ADDRESS(SMALL((IF($D$2:$D$29&gt;"",ROW($D$2:$D$29),ROW()+ROWS($D$2:$D$29))),ROW()-ROW($E$2:$E$29)+1),COLUMN($D$2:$D$29),4)))</f>
        <v>#REF!</v>
      </c>
      <c r="Q3" s="169" t="e">
        <f t="array" aca="1" ref="Q3" ca="1">IF(ROW()-ROW($F$2:$F$29)+1&gt;ROWS($E$2:$E$29)-COUNTBLANK($E$2:$E$29),"",INDIRECT(ADDRESS(SMALL((IF($E$2:$E$29&gt;"",ROW($E$2:$E$29),ROW()+ROWS($E$2:$E$29))),ROW()-ROW($F$2:$F$29)+1),COLUMN($E$2:$E$29),4)))</f>
        <v>#REF!</v>
      </c>
      <c r="R3" s="169" t="e">
        <f t="array" aca="1" ref="R3" ca="1">IF(ROW()-ROW($G$2:$G$29)+1&gt;ROWS($F$2:$F$29)-COUNTBLANK($F$2:$F$29),"",INDIRECT(ADDRESS(SMALL((IF($F$2:$F$29&gt;"",ROW($F$2:$F$29),ROW()+ROWS($F$2:$F$29))),ROW()-ROW($G$2:$G$29)+1),COLUMN($F$2:$F$29),4)))</f>
        <v>#REF!</v>
      </c>
      <c r="S3" s="169" t="e">
        <f t="array" aca="1" ref="S3" ca="1">IF(ROW()-ROW($H$2:$H$29)+1&gt;ROWS($G$2:$G$29)-COUNTBLANK($G$2:$G$29),"",INDIRECT(ADDRESS(SMALL((IF($G$2:$G$29&lt;&gt;"",ROW($G$2:$G$29),ROW()+ROWS($G$2:$G$29))),ROW()-ROW($H$2:$H$29)+1),COLUMN($G$2:$G$29),4)))</f>
        <v>#REF!</v>
      </c>
      <c r="T3" s="114" t="e">
        <f t="array" aca="1" ref="T3" ca="1">IF(ROW()-ROW($I$2:$I$29)+1&gt;ROWS($H$2:$H$29)-COUNTBLANK($H$2:$H$29),"",INDIRECT(ADDRESS(SMALL((IF($H$2:$H$29&lt;&gt;"",ROW($H$2:$H$29),ROW()+ROWS($H$2:$H$29))),ROW()-ROW($I$2:$I$29)+1),COLUMN($H$2:$H$29),4)))</f>
        <v>#REF!</v>
      </c>
      <c r="U3" s="114" t="e">
        <f t="array" aca="1" ref="U3" ca="1">IF(ROW()-ROW($J$2:$J$29)+1&gt;ROWS($I$2:$I$29)-COUNTBLANK($I$2:$I$29),"",INDIRECT(ADDRESS(SMALL((IF($I$2:$I$29&lt;&gt;"",ROW($I$2:$I$29),ROW()+ROWS($I$2:$I$29))),ROW()-ROW($J$2:$J$29)+1),COLUMN($I$2:$I$29),4)))</f>
        <v>#REF!</v>
      </c>
      <c r="V3" s="114" t="e">
        <f t="array" aca="1" ref="V3" ca="1">IF(ROW()-ROW($K$2:$K$29)+1&gt;ROWS($J$2:$J$29)-COUNTBLANK($J$2:$J$29),"",INDIRECT(ADDRESS(SMALL((IF($J$2:$J$29&lt;&gt;"",ROW($J$2:$J$29),ROW()+ROWS($J$2:$J$29))),ROW()-ROW($K$2:$K$29)+1),COLUMN($J$2:$J$29),4)))</f>
        <v>#REF!</v>
      </c>
      <c r="W3" s="114" t="e">
        <f t="array" aca="1" ref="W3" ca="1">IF(ROW()-ROW($L$2:$L$29)+1&gt;ROWS($K$2:$K$29)-COUNTBLANK($K$2:$K$29),"",INDIRECT(ADDRESS(SMALL((IF($K$2:$K$29&lt;&gt;"",ROW($K$2:$K$29),ROW()+ROWS($K$2:$K$29))),ROW()-ROW($L$2:$L$29)+1),COLUMN($K$2:$K$29),4)))</f>
        <v>#REF!</v>
      </c>
      <c r="X3" s="129" t="e">
        <f t="array" aca="1" ref="X3" ca="1">IF(ROW()-ROW($M$2:$M$29)+1&gt;ROWS($L$2:$L$29)-COUNTBLANK($L$2:$L$29),"",INDIRECT(ADDRESS(SMALL((IF($L$2:$L$29&lt;&gt;"",ROW($L$2:$L$29),ROW()+ROWS($L$2:$L$29))),ROW()-ROW($M$2:$M$29)+1),COLUMN($L$2:$L$29),4)))</f>
        <v>#REF!</v>
      </c>
      <c r="Y3" s="129" t="e">
        <f t="array" aca="1" ref="Y3" ca="1">IF(ROW()-ROW($N$2:$N$29)+1&gt;ROWS($M$2:$M$29)-COUNTBLANK($M$2:$M$29),"",INDIRECT(ADDRESS(SMALL((IF($M$2:$M$29&lt;&gt;"",ROW($M$2:$M$29),ROW()+ROWS($M$2:$M$29))),ROW()-ROW($N$2:$N$29)+1),COLUMN($M$2:$M$29),4)))</f>
        <v>#REF!</v>
      </c>
    </row>
    <row r="4" spans="1:25" ht="60" customHeight="1" x14ac:dyDescent="0.25">
      <c r="A4" s="129" t="str">
        <f>IF('Indicator sheet_(IS)'!P19=0,"",'Indicator sheet_(IS)'!P19)</f>
        <v>Incomplete</v>
      </c>
      <c r="C4" s="29" t="str">
        <f>IF($A4="I.O.","",'Indicator sheet_(IS)'!A19)</f>
        <v>2b</v>
      </c>
      <c r="D4" s="247" t="str">
        <f>IF($A4="I.O.","",'Indicator sheet_(IS)'!C19)</f>
        <v>Presentation of new recurrences and/or distant metastases in the tumour board</v>
      </c>
      <c r="E4" s="243" t="str">
        <f>IF(AND('Indicator sheet_(IS)'!J19="",$A4&lt;&gt;"I.O."),"-----",IF($A4="I.O.","",'Indicator sheet_(IS)'!J19))</f>
        <v>-----</v>
      </c>
      <c r="F4" s="29" t="str">
        <f>IF($A4="I.O.","",'Indicator sheet_(IS)'!K19)</f>
        <v xml:space="preserve"> ≥ 90%</v>
      </c>
      <c r="G4" s="243" t="str">
        <f>IF(AND('Indicator sheet_(IS)'!M19="",$A4&lt;&gt;"I.O."),"-----",IF($A4="I.O.","",'Indicator sheet_(IS)'!M19))</f>
        <v>-----</v>
      </c>
      <c r="H4" s="245" t="str">
        <f>IF($A4="I.O.","",IF('Indicator sheet_(IS)'!O19="","-----",'Indicator sheet_(IS)'!O19))</f>
        <v>-----</v>
      </c>
      <c r="I4" s="245">
        <f>IF($A4="I.O.","",IF('Indicator sheet_(IS)'!O20="","-----",'Indicator sheet_(IS)'!O20))</f>
        <v>0</v>
      </c>
      <c r="J4" s="239" t="str">
        <f>IF($A4="I.O.","",IF('Indicator sheet_(IS)'!O21="",0,'Indicator sheet_(IS)'!O21))</f>
        <v>n.d.</v>
      </c>
      <c r="K4" s="244" t="str">
        <f>IF($A4="I.O.","",'Indicator sheet_(IS)'!P19)</f>
        <v>Incomplete</v>
      </c>
      <c r="L4" s="247" t="str">
        <f>IF(AND('Indicator sheet_(IS)'!Q19="",$A4&lt;&gt;"I.O."),"-----",IF($A4="I.O.","",'Indicator sheet_(IS)'!Q19))</f>
        <v>-----</v>
      </c>
      <c r="M4" s="247" t="str">
        <f>IF(AND('Indicator sheet_(IS)'!R19="",$A4&lt;&gt;"I.O."),"-----",IF($A4="I.O.","",'Indicator sheet_(IS)'!R19))</f>
        <v>-----</v>
      </c>
      <c r="O4" s="114" t="e">
        <f t="array" aca="1" ref="O4" ca="1">IF(ROW()-ROW($D$2:$D$29)+1&gt;ROWS($C$2:$C$29)-COUNTBLANK($C$2:$C$29),"",INDIRECT(ADDRESS(SMALL((IF($C$2:$C$29&lt;&gt;"",ROW($C$2:$C$29),ROW()+ROWS($C$2:$C$29))),ROW()-ROW($D$2:$D$29)+1),COLUMN($C$2:$C$29),4)))</f>
        <v>#REF!</v>
      </c>
      <c r="P4" s="246" t="e">
        <f t="array" aca="1" ref="P4" ca="1">IF(ROW()-ROW($E$2:$E$29)+1&gt;ROWS($D$2:$D$29)-COUNTBLANK($D$2:$D$29),"",INDIRECT(ADDRESS(SMALL((IF($D$2:$D$29&gt;"",ROW($D$2:$D$29),ROW()+ROWS($D$2:$D$29))),ROW()-ROW($E$2:$E$29)+1),COLUMN($D$2:$D$29),4)))</f>
        <v>#REF!</v>
      </c>
      <c r="Q4" s="169" t="e">
        <f t="array" aca="1" ref="Q4" ca="1">IF(ROW()-ROW($F$2:$F$29)+1&gt;ROWS($E$2:$E$29)-COUNTBLANK($E$2:$E$29),"",INDIRECT(ADDRESS(SMALL((IF($E$2:$E$29&gt;"",ROW($E$2:$E$29),ROW()+ROWS($E$2:$E$29))),ROW()-ROW($F$2:$F$29)+1),COLUMN($E$2:$E$29),4)))</f>
        <v>#REF!</v>
      </c>
      <c r="R4" s="169" t="e">
        <f t="array" aca="1" ref="R4" ca="1">IF(ROW()-ROW($G$2:$G$29)+1&gt;ROWS($F$2:$F$29)-COUNTBLANK($F$2:$F$29),"",INDIRECT(ADDRESS(SMALL((IF($F$2:$F$29&gt;"",ROW($F$2:$F$29),ROW()+ROWS($F$2:$F$29))),ROW()-ROW($G$2:$G$29)+1),COLUMN($F$2:$F$29),4)))</f>
        <v>#REF!</v>
      </c>
      <c r="S4" s="169" t="e">
        <f t="array" aca="1" ref="S4" ca="1">IF(ROW()-ROW($H$2:$H$29)+1&gt;ROWS($G$2:$G$29)-COUNTBLANK($G$2:$G$29),"",INDIRECT(ADDRESS(SMALL((IF($G$2:$G$29&lt;&gt;"",ROW($G$2:$G$29),ROW()+ROWS($G$2:$G$29))),ROW()-ROW($H$2:$H$29)+1),COLUMN($G$2:$G$29),4)))</f>
        <v>#REF!</v>
      </c>
      <c r="T4" s="114" t="e">
        <f t="array" aca="1" ref="T4" ca="1">IF(ROW()-ROW($I$2:$I$29)+1&gt;ROWS($H$2:$H$29)-COUNTBLANK($H$2:$H$29),"",INDIRECT(ADDRESS(SMALL((IF($H$2:$H$29&lt;&gt;"",ROW($H$2:$H$29),ROW()+ROWS($H$2:$H$29))),ROW()-ROW($I$2:$I$29)+1),COLUMN($H$2:$H$29),4)))</f>
        <v>#REF!</v>
      </c>
      <c r="U4" s="114" t="e">
        <f t="array" aca="1" ref="U4" ca="1">IF(ROW()-ROW($J$2:$J$29)+1&gt;ROWS($I$2:$I$29)-COUNTBLANK($I$2:$I$29),"",INDIRECT(ADDRESS(SMALL((IF($I$2:$I$29&lt;&gt;"",ROW($I$2:$I$29),ROW()+ROWS($I$2:$I$29))),ROW()-ROW($J$2:$J$29)+1),COLUMN($I$2:$I$29),4)))</f>
        <v>#REF!</v>
      </c>
      <c r="V4" s="114" t="e">
        <f t="array" aca="1" ref="V4" ca="1">IF(ROW()-ROW($K$2:$K$29)+1&gt;ROWS($J$2:$J$29)-COUNTBLANK($J$2:$J$29),"",INDIRECT(ADDRESS(SMALL((IF($J$2:$J$29&lt;&gt;"",ROW($J$2:$J$29),ROW()+ROWS($J$2:$J$29))),ROW()-ROW($K$2:$K$29)+1),COLUMN($J$2:$J$29),4)))</f>
        <v>#REF!</v>
      </c>
      <c r="W4" s="114" t="e">
        <f t="array" aca="1" ref="W4" ca="1">IF(ROW()-ROW($L$2:$L$29)+1&gt;ROWS($K$2:$K$29)-COUNTBLANK($K$2:$K$29),"",INDIRECT(ADDRESS(SMALL((IF($K$2:$K$29&lt;&gt;"",ROW($K$2:$K$29),ROW()+ROWS($K$2:$K$29))),ROW()-ROW($L$2:$L$29)+1),COLUMN($K$2:$K$29),4)))</f>
        <v>#REF!</v>
      </c>
      <c r="X4" s="129" t="e">
        <f t="array" aca="1" ref="X4" ca="1">IF(ROW()-ROW($M$2:$M$29)+1&gt;ROWS($L$2:$L$29)-COUNTBLANK($L$2:$L$29),"",INDIRECT(ADDRESS(SMALL((IF($L$2:$L$29&lt;&gt;"",ROW($L$2:$L$29),ROW()+ROWS($L$2:$L$29))),ROW()-ROW($M$2:$M$29)+1),COLUMN($L$2:$L$29),4)))</f>
        <v>#REF!</v>
      </c>
      <c r="Y4" s="129" t="e">
        <f t="array" aca="1" ref="Y4" ca="1">IF(ROW()-ROW($N$2:$N$29)+1&gt;ROWS($M$2:$M$29)-COUNTBLANK($M$2:$M$29),"",INDIRECT(ADDRESS(SMALL((IF($M$2:$M$29&lt;&gt;"",ROW($M$2:$M$29),ROW()+ROWS($M$2:$M$29))),ROW()-ROW($N$2:$N$29)+1),COLUMN($M$2:$M$29),4)))</f>
        <v>#REF!</v>
      </c>
    </row>
    <row r="5" spans="1:25" s="207" customFormat="1" ht="60" customHeight="1" x14ac:dyDescent="0.25">
      <c r="A5" s="129" t="str">
        <f>IF('Indicator sheet_(IS)'!P22=0,"",'Indicator sheet_(IS)'!P22)</f>
        <v>Incomplete</v>
      </c>
      <c r="B5" s="130"/>
      <c r="C5" s="29">
        <f>IF($A5="I.O.","",'Indicator sheet_(IS)'!A22)</f>
        <v>3</v>
      </c>
      <c r="D5" s="247" t="str">
        <f>IF($A5="I.O.","",'Indicator sheet_(IS)'!C22)</f>
        <v>Tumour board after surgical treatment of primary cases stages IB-IIIB</v>
      </c>
      <c r="E5" s="243" t="str">
        <f>IF(AND('Indicator sheet_(IS)'!J22="",$A5&lt;&gt;"I.O."),"-----",IF($A5="I.O.","",'Indicator sheet_(IS)'!J22))</f>
        <v>-----</v>
      </c>
      <c r="F5" s="29" t="str">
        <f>IF($A5="I.O.","",'Indicator sheet_(IS)'!K22)</f>
        <v xml:space="preserve"> ≥ 90%</v>
      </c>
      <c r="G5" s="243" t="str">
        <f>IF(AND('Indicator sheet_(IS)'!M22="",$A5&lt;&gt;"I.O."),"-----",IF($A5="I.O.","",'Indicator sheet_(IS)'!M22))</f>
        <v>-----</v>
      </c>
      <c r="H5" s="245" t="str">
        <f>IF($A5="I.O.","",IF('Indicator sheet_(IS)'!O22="","-----",'Indicator sheet_(IS)'!O22))</f>
        <v>-----</v>
      </c>
      <c r="I5" s="245">
        <f>IF($A5="I.O.","",IF('Indicator sheet_(IS)'!O23="","-----",'Indicator sheet_(IS)'!O23))</f>
        <v>0</v>
      </c>
      <c r="J5" s="239" t="str">
        <f>IF($A5="I.O.","",IF('Indicator sheet_(IS)'!O24="",0,'Indicator sheet_(IS)'!O24))</f>
        <v>n.d.</v>
      </c>
      <c r="K5" s="244" t="str">
        <f>IF($A5="I.O.","",'Indicator sheet_(IS)'!P22)</f>
        <v>Incomplete</v>
      </c>
      <c r="L5" s="247" t="str">
        <f>IF(AND('Indicator sheet_(IS)'!Q22="",$A5&lt;&gt;"I.O."),"-----",IF($A5="I.O.","",'Indicator sheet_(IS)'!Q22))</f>
        <v>-----</v>
      </c>
      <c r="M5" s="247" t="str">
        <f>IF(AND('Indicator sheet_(IS)'!R22="",$A5&lt;&gt;"I.O."),"-----",IF($A5="I.O.","",'Indicator sheet_(IS)'!R22))</f>
        <v>-----</v>
      </c>
      <c r="O5" s="114" t="e">
        <f t="array" aca="1" ref="O5" ca="1">IF(ROW()-ROW($D$2:$D$29)+1&gt;ROWS($C$2:$C$29)-COUNTBLANK($C$2:$C$29),"",INDIRECT(ADDRESS(SMALL((IF($C$2:$C$29&lt;&gt;"",ROW($C$2:$C$29),ROW()+ROWS($C$2:$C$29))),ROW()-ROW($D$2:$D$29)+1),COLUMN($C$2:$C$29),4)))</f>
        <v>#REF!</v>
      </c>
      <c r="P5" s="246" t="e">
        <f t="array" aca="1" ref="P5" ca="1">IF(ROW()-ROW($E$2:$E$29)+1&gt;ROWS($D$2:$D$29)-COUNTBLANK($D$2:$D$29),"",INDIRECT(ADDRESS(SMALL((IF($D$2:$D$29&gt;"",ROW($D$2:$D$29),ROW()+ROWS($D$2:$D$29))),ROW()-ROW($E$2:$E$29)+1),COLUMN($D$2:$D$29),4)))</f>
        <v>#REF!</v>
      </c>
      <c r="Q5" s="169" t="e">
        <f t="array" aca="1" ref="Q5" ca="1">IF(ROW()-ROW($F$2:$F$29)+1&gt;ROWS($E$2:$E$29)-COUNTBLANK($E$2:$E$29),"",INDIRECT(ADDRESS(SMALL((IF($E$2:$E$29&gt;"",ROW($E$2:$E$29),ROW()+ROWS($E$2:$E$29))),ROW()-ROW($F$2:$F$29)+1),COLUMN($E$2:$E$29),4)))</f>
        <v>#REF!</v>
      </c>
      <c r="R5" s="169" t="e">
        <f t="array" aca="1" ref="R5" ca="1">IF(ROW()-ROW($G$2:$G$29)+1&gt;ROWS($F$2:$F$29)-COUNTBLANK($F$2:$F$29),"",INDIRECT(ADDRESS(SMALL((IF($F$2:$F$29&gt;"",ROW($F$2:$F$29),ROW()+ROWS($F$2:$F$29))),ROW()-ROW($G$2:$G$29)+1),COLUMN($F$2:$F$29),4)))</f>
        <v>#REF!</v>
      </c>
      <c r="S5" s="169" t="e">
        <f t="array" aca="1" ref="S5" ca="1">IF(ROW()-ROW($H$2:$H$29)+1&gt;ROWS($G$2:$G$29)-COUNTBLANK($G$2:$G$29),"",INDIRECT(ADDRESS(SMALL((IF($G$2:$G$29&lt;&gt;"",ROW($G$2:$G$29),ROW()+ROWS($G$2:$G$29))),ROW()-ROW($H$2:$H$29)+1),COLUMN($G$2:$G$29),4)))</f>
        <v>#REF!</v>
      </c>
      <c r="T5" s="114" t="e">
        <f t="array" aca="1" ref="T5" ca="1">IF(ROW()-ROW($I$2:$I$29)+1&gt;ROWS($H$2:$H$29)-COUNTBLANK($H$2:$H$29),"",INDIRECT(ADDRESS(SMALL((IF($H$2:$H$29&lt;&gt;"",ROW($H$2:$H$29),ROW()+ROWS($H$2:$H$29))),ROW()-ROW($I$2:$I$29)+1),COLUMN($H$2:$H$29),4)))</f>
        <v>#REF!</v>
      </c>
      <c r="U5" s="114" t="e">
        <f t="array" aca="1" ref="U5" ca="1">IF(ROW()-ROW($J$2:$J$29)+1&gt;ROWS($I$2:$I$29)-COUNTBLANK($I$2:$I$29),"",INDIRECT(ADDRESS(SMALL((IF($I$2:$I$29&lt;&gt;"",ROW($I$2:$I$29),ROW()+ROWS($I$2:$I$29))),ROW()-ROW($J$2:$J$29)+1),COLUMN($I$2:$I$29),4)))</f>
        <v>#REF!</v>
      </c>
      <c r="V5" s="114" t="e">
        <f t="array" aca="1" ref="V5" ca="1">IF(ROW()-ROW($K$2:$K$29)+1&gt;ROWS($J$2:$J$29)-COUNTBLANK($J$2:$J$29),"",INDIRECT(ADDRESS(SMALL((IF($J$2:$J$29&lt;&gt;"",ROW($J$2:$J$29),ROW()+ROWS($J$2:$J$29))),ROW()-ROW($K$2:$K$29)+1),COLUMN($J$2:$J$29),4)))</f>
        <v>#REF!</v>
      </c>
      <c r="W5" s="114" t="e">
        <f t="array" aca="1" ref="W5" ca="1">IF(ROW()-ROW($L$2:$L$29)+1&gt;ROWS($K$2:$K$29)-COUNTBLANK($K$2:$K$29),"",INDIRECT(ADDRESS(SMALL((IF($K$2:$K$29&lt;&gt;"",ROW($K$2:$K$29),ROW()+ROWS($K$2:$K$29))),ROW()-ROW($L$2:$L$29)+1),COLUMN($K$2:$K$29),4)))</f>
        <v>#REF!</v>
      </c>
      <c r="X5" s="129" t="e">
        <f t="array" aca="1" ref="X5" ca="1">IF(ROW()-ROW($M$2:$M$29)+1&gt;ROWS($L$2:$L$29)-COUNTBLANK($L$2:$L$29),"",INDIRECT(ADDRESS(SMALL((IF($L$2:$L$29&lt;&gt;"",ROW($L$2:$L$29),ROW()+ROWS($L$2:$L$29))),ROW()-ROW($M$2:$M$29)+1),COLUMN($L$2:$L$29),4)))</f>
        <v>#REF!</v>
      </c>
      <c r="Y5" s="129" t="e">
        <f t="array" aca="1" ref="Y5" ca="1">IF(ROW()-ROW($N$2:$N$29)+1&gt;ROWS($M$2:$M$29)-COUNTBLANK($M$2:$M$29),"",INDIRECT(ADDRESS(SMALL((IF($M$2:$M$29&lt;&gt;"",ROW($M$2:$M$29),ROW()+ROWS($M$2:$M$29))),ROW()-ROW($N$2:$N$29)+1),COLUMN($M$2:$M$29),4)))</f>
        <v>#REF!</v>
      </c>
    </row>
    <row r="6" spans="1:25" ht="60" customHeight="1" x14ac:dyDescent="0.25">
      <c r="A6" s="129" t="str">
        <f>IF('Indicator sheet_(IS)'!P28=0,"",'Indicator sheet_(IS)'!P28)</f>
        <v>Incomplete</v>
      </c>
      <c r="C6" s="29" t="str">
        <f>IF($A6="I.O.","",'Indicator sheet_(IS)'!A28)</f>
        <v xml:space="preserve">
5
</v>
      </c>
      <c r="D6" s="247" t="str">
        <f>IF($A6="I.O.","",'Indicator sheet_(IS)'!C28)</f>
        <v>Psycho-oncological Distress Screening</v>
      </c>
      <c r="E6" s="243" t="str">
        <f>IF(AND('Indicator sheet_(IS)'!J28="",$A6&lt;&gt;"I.O."),"-----",IF($A6="I.O.","",'Indicator sheet_(IS)'!J28))</f>
        <v>-----</v>
      </c>
      <c r="F6" s="29" t="str">
        <f>IF($A6="I.O.","",'Indicator sheet_(IS)'!K28)</f>
        <v xml:space="preserve"> ≥ 65%</v>
      </c>
      <c r="G6" s="243" t="str">
        <f>IF(AND('Indicator sheet_(IS)'!M28="",$A6&lt;&gt;"I.O."),"-----",IF($A6="I.O.","",'Indicator sheet_(IS)'!M28))</f>
        <v>-----</v>
      </c>
      <c r="H6" s="245" t="str">
        <f>IF($A6="I.O.","",IF('Indicator sheet_(IS)'!O28="","-----",'Indicator sheet_(IS)'!O28))</f>
        <v>-----</v>
      </c>
      <c r="I6" s="245">
        <f>IF($A6="I.O.","",IF('Indicator sheet_(IS)'!O29="","-----",'Indicator sheet_(IS)'!O29))</f>
        <v>0</v>
      </c>
      <c r="J6" s="239" t="str">
        <f>IF($A6="I.O.","",IF('Indicator sheet_(IS)'!O30="",0,'Indicator sheet_(IS)'!O30))</f>
        <v>n.d.</v>
      </c>
      <c r="K6" s="244" t="str">
        <f>IF($A6="I.O.","",'Indicator sheet_(IS)'!P28)</f>
        <v>Incomplete</v>
      </c>
      <c r="L6" s="247" t="str">
        <f>IF(AND('Indicator sheet_(IS)'!Q28="",$A6&lt;&gt;"I.O."),"-----",IF($A6="I.O.","",'Indicator sheet_(IS)'!Q28))</f>
        <v>-----</v>
      </c>
      <c r="M6" s="247" t="str">
        <f>IF(AND('Indicator sheet_(IS)'!R28="",$A6&lt;&gt;"I.O."),"-----",IF($A6="I.O.","",'Indicator sheet_(IS)'!R28))</f>
        <v>-----</v>
      </c>
      <c r="O6" s="114" t="e">
        <f t="array" aca="1" ref="O6" ca="1">IF(ROW()-ROW($D$2:$D$29)+1&gt;ROWS($C$2:$C$29)-COUNTBLANK($C$2:$C$29),"",INDIRECT(ADDRESS(SMALL((IF($C$2:$C$29&lt;&gt;"",ROW($C$2:$C$29),ROW()+ROWS($C$2:$C$29))),ROW()-ROW($D$2:$D$29)+1),COLUMN($C$2:$C$29),4)))</f>
        <v>#REF!</v>
      </c>
      <c r="P6" s="246" t="e">
        <f t="array" aca="1" ref="P6" ca="1">IF(ROW()-ROW($E$2:$E$29)+1&gt;ROWS($D$2:$D$29)-COUNTBLANK($D$2:$D$29),"",INDIRECT(ADDRESS(SMALL((IF($D$2:$D$29&gt;"",ROW($D$2:$D$29),ROW()+ROWS($D$2:$D$29))),ROW()-ROW($E$2:$E$29)+1),COLUMN($D$2:$D$29),4)))</f>
        <v>#REF!</v>
      </c>
      <c r="Q6" s="169" t="e">
        <f t="array" aca="1" ref="Q6" ca="1">IF(ROW()-ROW($F$2:$F$29)+1&gt;ROWS($E$2:$E$29)-COUNTBLANK($E$2:$E$29),"",INDIRECT(ADDRESS(SMALL((IF($E$2:$E$29&gt;"",ROW($E$2:$E$29),ROW()+ROWS($E$2:$E$29))),ROW()-ROW($F$2:$F$29)+1),COLUMN($E$2:$E$29),4)))</f>
        <v>#REF!</v>
      </c>
      <c r="R6" s="169" t="e">
        <f t="array" aca="1" ref="R6" ca="1">IF(ROW()-ROW($G$2:$G$29)+1&gt;ROWS($F$2:$F$29)-COUNTBLANK($F$2:$F$29),"",INDIRECT(ADDRESS(SMALL((IF($F$2:$F$29&gt;"",ROW($F$2:$F$29),ROW()+ROWS($F$2:$F$29))),ROW()-ROW($G$2:$G$29)+1),COLUMN($F$2:$F$29),4)))</f>
        <v>#REF!</v>
      </c>
      <c r="S6" s="169" t="e">
        <f t="array" aca="1" ref="S6" ca="1">IF(ROW()-ROW($H$2:$H$29)+1&gt;ROWS($G$2:$G$29)-COUNTBLANK($G$2:$G$29),"",INDIRECT(ADDRESS(SMALL((IF($G$2:$G$29&lt;&gt;"",ROW($G$2:$G$29),ROW()+ROWS($G$2:$G$29))),ROW()-ROW($H$2:$H$29)+1),COLUMN($G$2:$G$29),4)))</f>
        <v>#REF!</v>
      </c>
      <c r="T6" s="114" t="e">
        <f t="array" aca="1" ref="T6" ca="1">IF(ROW()-ROW($I$2:$I$29)+1&gt;ROWS($H$2:$H$29)-COUNTBLANK($H$2:$H$29),"",INDIRECT(ADDRESS(SMALL((IF($H$2:$H$29&lt;&gt;"",ROW($H$2:$H$29),ROW()+ROWS($H$2:$H$29))),ROW()-ROW($I$2:$I$29)+1),COLUMN($H$2:$H$29),4)))</f>
        <v>#REF!</v>
      </c>
      <c r="U6" s="114" t="e">
        <f t="array" aca="1" ref="U6" ca="1">IF(ROW()-ROW($J$2:$J$29)+1&gt;ROWS($I$2:$I$29)-COUNTBLANK($I$2:$I$29),"",INDIRECT(ADDRESS(SMALL((IF($I$2:$I$29&lt;&gt;"",ROW($I$2:$I$29),ROW()+ROWS($I$2:$I$29))),ROW()-ROW($J$2:$J$29)+1),COLUMN($I$2:$I$29),4)))</f>
        <v>#REF!</v>
      </c>
      <c r="V6" s="114" t="e">
        <f t="array" aca="1" ref="V6" ca="1">IF(ROW()-ROW($K$2:$K$29)+1&gt;ROWS($J$2:$J$29)-COUNTBLANK($J$2:$J$29),"",INDIRECT(ADDRESS(SMALL((IF($J$2:$J$29&lt;&gt;"",ROW($J$2:$J$29),ROW()+ROWS($J$2:$J$29))),ROW()-ROW($K$2:$K$29)+1),COLUMN($J$2:$J$29),4)))</f>
        <v>#REF!</v>
      </c>
      <c r="W6" s="114" t="e">
        <f t="array" aca="1" ref="W6" ca="1">IF(ROW()-ROW($L$2:$L$29)+1&gt;ROWS($K$2:$K$29)-COUNTBLANK($K$2:$K$29),"",INDIRECT(ADDRESS(SMALL((IF($K$2:$K$29&lt;&gt;"",ROW($K$2:$K$29),ROW()+ROWS($K$2:$K$29))),ROW()-ROW($L$2:$L$29)+1),COLUMN($K$2:$K$29),4)))</f>
        <v>#REF!</v>
      </c>
      <c r="X6" s="129" t="e">
        <f t="array" aca="1" ref="X6" ca="1">IF(ROW()-ROW($M$2:$M$29)+1&gt;ROWS($L$2:$L$29)-COUNTBLANK($L$2:$L$29),"",INDIRECT(ADDRESS(SMALL((IF($L$2:$L$29&lt;&gt;"",ROW($L$2:$L$29),ROW()+ROWS($L$2:$L$29))),ROW()-ROW($M$2:$M$29)+1),COLUMN($L$2:$L$29),4)))</f>
        <v>#REF!</v>
      </c>
      <c r="Y6" s="129" t="e">
        <f t="array" aca="1" ref="Y6" ca="1">IF(ROW()-ROW($N$2:$N$29)+1&gt;ROWS($M$2:$M$29)-COUNTBLANK($M$2:$M$29),"",INDIRECT(ADDRESS(SMALL((IF($M$2:$M$29&lt;&gt;"",ROW($M$2:$M$29),ROW()+ROWS($M$2:$M$29))),ROW()-ROW($N$2:$N$29)+1),COLUMN($M$2:$M$29),4)))</f>
        <v>#REF!</v>
      </c>
    </row>
    <row r="7" spans="1:25" s="207" customFormat="1" ht="60" customHeight="1" x14ac:dyDescent="0.25">
      <c r="A7" s="129" t="str">
        <f>IF('Indicator sheet_(IS)'!P31=0,"",'Indicator sheet_(IS)'!P31)</f>
        <v>Incomplete</v>
      </c>
      <c r="B7" s="130"/>
      <c r="C7" s="29">
        <f>IF($A7="I.O.","",'Indicator sheet_(IS)'!A31)</f>
        <v>6</v>
      </c>
      <c r="D7" s="247" t="str">
        <f>IF($A7="I.O.","",'Indicator sheet_(IS)'!C31)</f>
        <v>Social service counselling</v>
      </c>
      <c r="E7" s="243" t="str">
        <f>IF(AND('Indicator sheet_(IS)'!J31="",$A7&lt;&gt;"I.O."),"-----",IF($A7="I.O.","",'Indicator sheet_(IS)'!J31))</f>
        <v>&lt; 50%</v>
      </c>
      <c r="F7" s="29" t="str">
        <f>IF($A7="I.O.","",'Indicator sheet_(IS)'!K31)</f>
        <v>No target value</v>
      </c>
      <c r="G7" s="243" t="str">
        <f>IF(AND('Indicator sheet_(IS)'!M31="",$A7&lt;&gt;"I.O."),"-----",IF($A7="I.O.","",'Indicator sheet_(IS)'!M31))</f>
        <v>&gt; 90%</v>
      </c>
      <c r="H7" s="245" t="str">
        <f>IF($A7="I.O.","",IF('Indicator sheet_(IS)'!O31="","-----",'Indicator sheet_(IS)'!O31))</f>
        <v>-----</v>
      </c>
      <c r="I7" s="245">
        <f>IF($A7="I.O.","",IF('Indicator sheet_(IS)'!O32="","-----",'Indicator sheet_(IS)'!O32))</f>
        <v>0</v>
      </c>
      <c r="J7" s="239" t="str">
        <f>IF($A7="I.O.","",IF('Indicator sheet_(IS)'!O33="",0,'Indicator sheet_(IS)'!O33))</f>
        <v>n.d.</v>
      </c>
      <c r="K7" s="244" t="str">
        <f>IF($A7="I.O.","",'Indicator sheet_(IS)'!P31)</f>
        <v>Incomplete</v>
      </c>
      <c r="L7" s="247" t="str">
        <f>IF(AND('Indicator sheet_(IS)'!Q31="",$A7&lt;&gt;"I.O."),"-----",IF($A7="I.O.","",'Indicator sheet_(IS)'!Q31))</f>
        <v>-----</v>
      </c>
      <c r="M7" s="247" t="str">
        <f>IF(AND('Indicator sheet_(IS)'!R31="",$A7&lt;&gt;"I.O."),"-----",IF($A7="I.O.","",'Indicator sheet_(IS)'!R31))</f>
        <v>-----</v>
      </c>
      <c r="O7" s="114" t="e">
        <f t="array" aca="1" ref="O7" ca="1">IF(ROW()-ROW($D$2:$D$29)+1&gt;ROWS($C$2:$C$29)-COUNTBLANK($C$2:$C$29),"",INDIRECT(ADDRESS(SMALL((IF($C$2:$C$29&lt;&gt;"",ROW($C$2:$C$29),ROW()+ROWS($C$2:$C$29))),ROW()-ROW($D$2:$D$29)+1),COLUMN($C$2:$C$29),4)))</f>
        <v>#REF!</v>
      </c>
      <c r="P7" s="246" t="e">
        <f t="array" aca="1" ref="P7" ca="1">IF(ROW()-ROW($E$2:$E$29)+1&gt;ROWS($D$2:$D$29)-COUNTBLANK($D$2:$D$29),"",INDIRECT(ADDRESS(SMALL((IF($D$2:$D$29&gt;"",ROW($D$2:$D$29),ROW()+ROWS($D$2:$D$29))),ROW()-ROW($E$2:$E$29)+1),COLUMN($D$2:$D$29),4)))</f>
        <v>#REF!</v>
      </c>
      <c r="Q7" s="169" t="e">
        <f t="array" aca="1" ref="Q7" ca="1">IF(ROW()-ROW($F$2:$F$29)+1&gt;ROWS($E$2:$E$29)-COUNTBLANK($E$2:$E$29),"",INDIRECT(ADDRESS(SMALL((IF($E$2:$E$29&gt;"",ROW($E$2:$E$29),ROW()+ROWS($E$2:$E$29))),ROW()-ROW($F$2:$F$29)+1),COLUMN($E$2:$E$29),4)))</f>
        <v>#REF!</v>
      </c>
      <c r="R7" s="169" t="e">
        <f t="array" aca="1" ref="R7" ca="1">IF(ROW()-ROW($G$2:$G$29)+1&gt;ROWS($F$2:$F$29)-COUNTBLANK($F$2:$F$29),"",INDIRECT(ADDRESS(SMALL((IF($F$2:$F$29&gt;"",ROW($F$2:$F$29),ROW()+ROWS($F$2:$F$29))),ROW()-ROW($G$2:$G$29)+1),COLUMN($F$2:$F$29),4)))</f>
        <v>#REF!</v>
      </c>
      <c r="S7" s="169" t="e">
        <f t="array" aca="1" ref="S7" ca="1">IF(ROW()-ROW($H$2:$H$29)+1&gt;ROWS($G$2:$G$29)-COUNTBLANK($G$2:$G$29),"",INDIRECT(ADDRESS(SMALL((IF($G$2:$G$29&lt;&gt;"",ROW($G$2:$G$29),ROW()+ROWS($G$2:$G$29))),ROW()-ROW($H$2:$H$29)+1),COLUMN($G$2:$G$29),4)))</f>
        <v>#REF!</v>
      </c>
      <c r="T7" s="114" t="e">
        <f t="array" aca="1" ref="T7" ca="1">IF(ROW()-ROW($I$2:$I$29)+1&gt;ROWS($H$2:$H$29)-COUNTBLANK($H$2:$H$29),"",INDIRECT(ADDRESS(SMALL((IF($H$2:$H$29&lt;&gt;"",ROW($H$2:$H$29),ROW()+ROWS($H$2:$H$29))),ROW()-ROW($I$2:$I$29)+1),COLUMN($H$2:$H$29),4)))</f>
        <v>#REF!</v>
      </c>
      <c r="U7" s="114" t="e">
        <f t="array" aca="1" ref="U7" ca="1">IF(ROW()-ROW($J$2:$J$29)+1&gt;ROWS($I$2:$I$29)-COUNTBLANK($I$2:$I$29),"",INDIRECT(ADDRESS(SMALL((IF($I$2:$I$29&lt;&gt;"",ROW($I$2:$I$29),ROW()+ROWS($I$2:$I$29))),ROW()-ROW($J$2:$J$29)+1),COLUMN($I$2:$I$29),4)))</f>
        <v>#REF!</v>
      </c>
      <c r="V7" s="114" t="e">
        <f t="array" aca="1" ref="V7" ca="1">IF(ROW()-ROW($K$2:$K$29)+1&gt;ROWS($J$2:$J$29)-COUNTBLANK($J$2:$J$29),"",INDIRECT(ADDRESS(SMALL((IF($J$2:$J$29&lt;&gt;"",ROW($J$2:$J$29),ROW()+ROWS($J$2:$J$29))),ROW()-ROW($K$2:$K$29)+1),COLUMN($J$2:$J$29),4)))</f>
        <v>#REF!</v>
      </c>
      <c r="W7" s="114" t="e">
        <f t="array" aca="1" ref="W7" ca="1">IF(ROW()-ROW($L$2:$L$29)+1&gt;ROWS($K$2:$K$29)-COUNTBLANK($K$2:$K$29),"",INDIRECT(ADDRESS(SMALL((IF($K$2:$K$29&lt;&gt;"",ROW($K$2:$K$29),ROW()+ROWS($K$2:$K$29))),ROW()-ROW($L$2:$L$29)+1),COLUMN($K$2:$K$29),4)))</f>
        <v>#REF!</v>
      </c>
      <c r="X7" s="129" t="e">
        <f t="array" aca="1" ref="X7" ca="1">IF(ROW()-ROW($M$2:$M$29)+1&gt;ROWS($L$2:$L$29)-COUNTBLANK($L$2:$L$29),"",INDIRECT(ADDRESS(SMALL((IF($L$2:$L$29&lt;&gt;"",ROW($L$2:$L$29),ROW()+ROWS($L$2:$L$29))),ROW()-ROW($M$2:$M$29)+1),COLUMN($L$2:$L$29),4)))</f>
        <v>#REF!</v>
      </c>
      <c r="Y7" s="129" t="e">
        <f t="array" aca="1" ref="Y7" ca="1">IF(ROW()-ROW($N$2:$N$29)+1&gt;ROWS($M$2:$M$29)-COUNTBLANK($M$2:$M$29),"",INDIRECT(ADDRESS(SMALL((IF($M$2:$M$29&lt;&gt;"",ROW($M$2:$M$29),ROW()+ROWS($M$2:$M$29))),ROW()-ROW($N$2:$N$29)+1),COLUMN($M$2:$M$29),4)))</f>
        <v>#REF!</v>
      </c>
    </row>
    <row r="8" spans="1:25" ht="60" customHeight="1" x14ac:dyDescent="0.25">
      <c r="A8" s="129" t="str">
        <f>IF('Indicator sheet_(IS)'!P34=0,"",'Indicator sheet_(IS)'!P34)</f>
        <v>Incomplete</v>
      </c>
      <c r="C8" s="29">
        <f>IF($A8="I.O.","",'Indicator sheet_(IS)'!A34)</f>
        <v>7</v>
      </c>
      <c r="D8" s="247" t="str">
        <f>IF($A8="I.O.","",'Indicator sheet_(IS)'!C34)</f>
        <v>Patients enrolled in a study</v>
      </c>
      <c r="E8" s="243" t="str">
        <f>IF(AND('Indicator sheet_(IS)'!J34="",$A8&lt;&gt;"I.O."),"-----",IF($A8="I.O.","",'Indicator sheet_(IS)'!J34))</f>
        <v>-----</v>
      </c>
      <c r="F8" s="29" t="str">
        <f>IF($A8="I.O.","",'Indicator sheet_(IS)'!K34)</f>
        <v xml:space="preserve"> ≥ 5%</v>
      </c>
      <c r="G8" s="243" t="str">
        <f>IF(AND('Indicator sheet_(IS)'!M34="",$A8&lt;&gt;"I.O."),"-----",IF($A8="I.O.","",'Indicator sheet_(IS)'!M34))</f>
        <v>-----</v>
      </c>
      <c r="H8" s="245">
        <f>IF($A8="I.O.","",IF('Indicator sheet_(IS)'!O34="","-----",'Indicator sheet_(IS)'!O34))</f>
        <v>0</v>
      </c>
      <c r="I8" s="245">
        <f>IF($A8="I.O.","",IF('Indicator sheet_(IS)'!O35="","-----",'Indicator sheet_(IS)'!O35))</f>
        <v>0</v>
      </c>
      <c r="J8" s="239" t="str">
        <f>IF($A8="I.O.","",IF('Indicator sheet_(IS)'!O36="",0,'Indicator sheet_(IS)'!O36))</f>
        <v>n.d.</v>
      </c>
      <c r="K8" s="244" t="str">
        <f>IF($A8="I.O.","",'Indicator sheet_(IS)'!P34)</f>
        <v>Incomplete</v>
      </c>
      <c r="L8" s="247" t="str">
        <f>IF(AND('Indicator sheet_(IS)'!Q34="",$A8&lt;&gt;"I.O."),"-----",IF($A8="I.O.","",'Indicator sheet_(IS)'!Q34))</f>
        <v>-----</v>
      </c>
      <c r="M8" s="247" t="str">
        <f>IF(AND('Indicator sheet_(IS)'!R34="",$A8&lt;&gt;"I.O."),"-----",IF($A8="I.O.","",'Indicator sheet_(IS)'!R34))</f>
        <v>-----</v>
      </c>
      <c r="O8" s="114" t="e">
        <f t="array" aca="1" ref="O8" ca="1">IF(ROW()-ROW($D$2:$D$29)+1&gt;ROWS($C$2:$C$29)-COUNTBLANK($C$2:$C$29),"",INDIRECT(ADDRESS(SMALL((IF($C$2:$C$29&lt;&gt;"",ROW($C$2:$C$29),ROW()+ROWS($C$2:$C$29))),ROW()-ROW($D$2:$D$29)+1),COLUMN($C$2:$C$29),4)))</f>
        <v>#REF!</v>
      </c>
      <c r="P8" s="246" t="e">
        <f t="array" aca="1" ref="P8" ca="1">IF(ROW()-ROW($E$2:$E$29)+1&gt;ROWS($D$2:$D$29)-COUNTBLANK($D$2:$D$29),"",INDIRECT(ADDRESS(SMALL((IF($D$2:$D$29&gt;"",ROW($D$2:$D$29),ROW()+ROWS($D$2:$D$29))),ROW()-ROW($E$2:$E$29)+1),COLUMN($D$2:$D$29),4)))</f>
        <v>#REF!</v>
      </c>
      <c r="Q8" s="169" t="e">
        <f t="array" aca="1" ref="Q8" ca="1">IF(ROW()-ROW($F$2:$F$29)+1&gt;ROWS($E$2:$E$29)-COUNTBLANK($E$2:$E$29),"",INDIRECT(ADDRESS(SMALL((IF($E$2:$E$29&gt;"",ROW($E$2:$E$29),ROW()+ROWS($E$2:$E$29))),ROW()-ROW($F$2:$F$29)+1),COLUMN($E$2:$E$29),4)))</f>
        <v>#REF!</v>
      </c>
      <c r="R8" s="169" t="e">
        <f t="array" aca="1" ref="R8" ca="1">IF(ROW()-ROW($G$2:$G$29)+1&gt;ROWS($F$2:$F$29)-COUNTBLANK($F$2:$F$29),"",INDIRECT(ADDRESS(SMALL((IF($F$2:$F$29&gt;"",ROW($F$2:$F$29),ROW()+ROWS($F$2:$F$29))),ROW()-ROW($G$2:$G$29)+1),COLUMN($F$2:$F$29),4)))</f>
        <v>#REF!</v>
      </c>
      <c r="S8" s="169" t="e">
        <f t="array" aca="1" ref="S8" ca="1">IF(ROW()-ROW($H$2:$H$29)+1&gt;ROWS($G$2:$G$29)-COUNTBLANK($G$2:$G$29),"",INDIRECT(ADDRESS(SMALL((IF($G$2:$G$29&lt;&gt;"",ROW($G$2:$G$29),ROW()+ROWS($G$2:$G$29))),ROW()-ROW($H$2:$H$29)+1),COLUMN($G$2:$G$29),4)))</f>
        <v>#REF!</v>
      </c>
      <c r="T8" s="114" t="e">
        <f t="array" aca="1" ref="T8" ca="1">IF(ROW()-ROW($I$2:$I$29)+1&gt;ROWS($H$2:$H$29)-COUNTBLANK($H$2:$H$29),"",INDIRECT(ADDRESS(SMALL((IF($H$2:$H$29&lt;&gt;"",ROW($H$2:$H$29),ROW()+ROWS($H$2:$H$29))),ROW()-ROW($I$2:$I$29)+1),COLUMN($H$2:$H$29),4)))</f>
        <v>#REF!</v>
      </c>
      <c r="U8" s="114" t="e">
        <f t="array" aca="1" ref="U8" ca="1">IF(ROW()-ROW($J$2:$J$29)+1&gt;ROWS($I$2:$I$29)-COUNTBLANK($I$2:$I$29),"",INDIRECT(ADDRESS(SMALL((IF($I$2:$I$29&lt;&gt;"",ROW($I$2:$I$29),ROW()+ROWS($I$2:$I$29))),ROW()-ROW($J$2:$J$29)+1),COLUMN($I$2:$I$29),4)))</f>
        <v>#REF!</v>
      </c>
      <c r="V8" s="114" t="e">
        <f t="array" aca="1" ref="V8" ca="1">IF(ROW()-ROW($K$2:$K$29)+1&gt;ROWS($J$2:$J$29)-COUNTBLANK($J$2:$J$29),"",INDIRECT(ADDRESS(SMALL((IF($J$2:$J$29&lt;&gt;"",ROW($J$2:$J$29),ROW()+ROWS($J$2:$J$29))),ROW()-ROW($K$2:$K$29)+1),COLUMN($J$2:$J$29),4)))</f>
        <v>#REF!</v>
      </c>
      <c r="W8" s="114" t="e">
        <f t="array" aca="1" ref="W8" ca="1">IF(ROW()-ROW($L$2:$L$29)+1&gt;ROWS($K$2:$K$29)-COUNTBLANK($K$2:$K$29),"",INDIRECT(ADDRESS(SMALL((IF($K$2:$K$29&lt;&gt;"",ROW($K$2:$K$29),ROW()+ROWS($K$2:$K$29))),ROW()-ROW($L$2:$L$29)+1),COLUMN($K$2:$K$29),4)))</f>
        <v>#REF!</v>
      </c>
      <c r="X8" s="129" t="e">
        <f t="array" aca="1" ref="X8" ca="1">IF(ROW()-ROW($M$2:$M$29)+1&gt;ROWS($L$2:$L$29)-COUNTBLANK($L$2:$L$29),"",INDIRECT(ADDRESS(SMALL((IF($L$2:$L$29&lt;&gt;"",ROW($L$2:$L$29),ROW()+ROWS($L$2:$L$29))),ROW()-ROW($M$2:$M$29)+1),COLUMN($L$2:$L$29),4)))</f>
        <v>#REF!</v>
      </c>
      <c r="Y8" s="129" t="e">
        <f t="array" aca="1" ref="Y8" ca="1">IF(ROW()-ROW($N$2:$N$29)+1&gt;ROWS($M$2:$M$29)-COUNTBLANK($M$2:$M$29),"",INDIRECT(ADDRESS(SMALL((IF($M$2:$M$29&lt;&gt;"",ROW($M$2:$M$29),ROW()+ROWS($M$2:$M$29))),ROW()-ROW($N$2:$N$29)+1),COLUMN($M$2:$M$29),4)))</f>
        <v>#REF!</v>
      </c>
    </row>
    <row r="9" spans="1:25" s="207" customFormat="1" ht="60" customHeight="1" x14ac:dyDescent="0.25">
      <c r="A9" s="129" t="str">
        <f>IF('Indicator sheet_(IS)'!P37=0,"",'Indicator sheet_(IS)'!P37)</f>
        <v>Incomplete</v>
      </c>
      <c r="B9" s="130"/>
      <c r="C9" s="29" t="str">
        <f>IF($A9="I.O.","",'Indicator sheet_(IS)'!A37)</f>
        <v>8a</v>
      </c>
      <c r="D9" s="247" t="str">
        <f>IF($A9="I.O.","",'Indicator sheet_(IS)'!C37)</f>
        <v xml:space="preserve">Flexible bronchoscopy </v>
      </c>
      <c r="E9" s="243" t="str">
        <f>IF(AND('Indicator sheet_(IS)'!J37="",$A9&lt;&gt;"I.O."),"-----",IF($A9="I.O.","",'Indicator sheet_(IS)'!J37))</f>
        <v>-----</v>
      </c>
      <c r="F9" s="29" t="str">
        <f>IF($A9="I.O.","",'Indicator sheet_(IS)'!K37)</f>
        <v>≥ 500</v>
      </c>
      <c r="G9" s="243" t="str">
        <f>IF(AND('Indicator sheet_(IS)'!M37="",$A9&lt;&gt;"I.O."),"-----",IF($A9="I.O.","",'Indicator sheet_(IS)'!M37))</f>
        <v>-----</v>
      </c>
      <c r="H9" s="245" t="e">
        <f>IF($A9="I.O.","",IF(SUM(#REF!)="",0,SUM(#REF!)))</f>
        <v>#REF!</v>
      </c>
      <c r="I9" s="245" t="str">
        <f t="shared" ref="I9:J12" si="0">IF($A9="I.O.","","-----")</f>
        <v>-----</v>
      </c>
      <c r="J9" s="239" t="str">
        <f t="shared" si="0"/>
        <v>-----</v>
      </c>
      <c r="K9" s="244" t="str">
        <f>IF($A9="I.O.","",'Indicator sheet_(IS)'!P37)</f>
        <v>Incomplete</v>
      </c>
      <c r="L9" s="247" t="str">
        <f>IF(AND('Indicator sheet_(IS)'!Q37="",$A9&lt;&gt;"I.O."),"-----",IF($A9="I.O.","",'Indicator sheet_(IS)'!Q37))</f>
        <v>-----</v>
      </c>
      <c r="M9" s="247" t="str">
        <f>IF(AND('Indicator sheet_(IS)'!R37="",$A9&lt;&gt;"I.O."),"-----",IF($A9="I.O.","",'Indicator sheet_(IS)'!R37))</f>
        <v>-----</v>
      </c>
      <c r="O9" s="114" t="e">
        <f t="array" aca="1" ref="O9" ca="1">IF(ROW()-ROW($D$2:$D$29)+1&gt;ROWS($C$2:$C$29)-COUNTBLANK($C$2:$C$29),"",INDIRECT(ADDRESS(SMALL((IF($C$2:$C$29&lt;&gt;"",ROW($C$2:$C$29),ROW()+ROWS($C$2:$C$29))),ROW()-ROW($D$2:$D$29)+1),COLUMN($C$2:$C$29),4)))</f>
        <v>#REF!</v>
      </c>
      <c r="P9" s="246" t="e">
        <f t="array" aca="1" ref="P9" ca="1">IF(ROW()-ROW($E$2:$E$29)+1&gt;ROWS($D$2:$D$29)-COUNTBLANK($D$2:$D$29),"",INDIRECT(ADDRESS(SMALL((IF($D$2:$D$29&gt;"",ROW($D$2:$D$29),ROW()+ROWS($D$2:$D$29))),ROW()-ROW($E$2:$E$29)+1),COLUMN($D$2:$D$29),4)))</f>
        <v>#REF!</v>
      </c>
      <c r="Q9" s="169" t="e">
        <f t="array" aca="1" ref="Q9" ca="1">IF(ROW()-ROW($F$2:$F$29)+1&gt;ROWS($E$2:$E$29)-COUNTBLANK($E$2:$E$29),"",INDIRECT(ADDRESS(SMALL((IF($E$2:$E$29&gt;"",ROW($E$2:$E$29),ROW()+ROWS($E$2:$E$29))),ROW()-ROW($F$2:$F$29)+1),COLUMN($E$2:$E$29),4)))</f>
        <v>#REF!</v>
      </c>
      <c r="R9" s="169" t="e">
        <f t="array" aca="1" ref="R9" ca="1">IF(ROW()-ROW($G$2:$G$29)+1&gt;ROWS($F$2:$F$29)-COUNTBLANK($F$2:$F$29),"",INDIRECT(ADDRESS(SMALL((IF($F$2:$F$29&gt;"",ROW($F$2:$F$29),ROW()+ROWS($F$2:$F$29))),ROW()-ROW($G$2:$G$29)+1),COLUMN($F$2:$F$29),4)))</f>
        <v>#REF!</v>
      </c>
      <c r="S9" s="169" t="e">
        <f t="array" aca="1" ref="S9" ca="1">IF(ROW()-ROW($H$2:$H$29)+1&gt;ROWS($G$2:$G$29)-COUNTBLANK($G$2:$G$29),"",INDIRECT(ADDRESS(SMALL((IF($G$2:$G$29&lt;&gt;"",ROW($G$2:$G$29),ROW()+ROWS($G$2:$G$29))),ROW()-ROW($H$2:$H$29)+1),COLUMN($G$2:$G$29),4)))</f>
        <v>#REF!</v>
      </c>
      <c r="T9" s="114" t="e">
        <f t="array" aca="1" ref="T9" ca="1">IF(ROW()-ROW($I$2:$I$29)+1&gt;ROWS($H$2:$H$29)-COUNTBLANK($H$2:$H$29),"",INDIRECT(ADDRESS(SMALL((IF($H$2:$H$29&lt;&gt;"",ROW($H$2:$H$29),ROW()+ROWS($H$2:$H$29))),ROW()-ROW($I$2:$I$29)+1),COLUMN($H$2:$H$29),4)))</f>
        <v>#REF!</v>
      </c>
      <c r="U9" s="114" t="e">
        <f t="array" aca="1" ref="U9" ca="1">IF(ROW()-ROW($J$2:$J$29)+1&gt;ROWS($I$2:$I$29)-COUNTBLANK($I$2:$I$29),"",INDIRECT(ADDRESS(SMALL((IF($I$2:$I$29&lt;&gt;"",ROW($I$2:$I$29),ROW()+ROWS($I$2:$I$29))),ROW()-ROW($J$2:$J$29)+1),COLUMN($I$2:$I$29),4)))</f>
        <v>#REF!</v>
      </c>
      <c r="V9" s="114" t="e">
        <f t="array" aca="1" ref="V9" ca="1">IF(ROW()-ROW($K$2:$K$29)+1&gt;ROWS($J$2:$J$29)-COUNTBLANK($J$2:$J$29),"",INDIRECT(ADDRESS(SMALL((IF($J$2:$J$29&lt;&gt;"",ROW($J$2:$J$29),ROW()+ROWS($J$2:$J$29))),ROW()-ROW($K$2:$K$29)+1),COLUMN($J$2:$J$29),4)))</f>
        <v>#REF!</v>
      </c>
      <c r="W9" s="114" t="e">
        <f t="array" aca="1" ref="W9" ca="1">IF(ROW()-ROW($L$2:$L$29)+1&gt;ROWS($K$2:$K$29)-COUNTBLANK($K$2:$K$29),"",INDIRECT(ADDRESS(SMALL((IF($K$2:$K$29&lt;&gt;"",ROW($K$2:$K$29),ROW()+ROWS($K$2:$K$29))),ROW()-ROW($L$2:$L$29)+1),COLUMN($K$2:$K$29),4)))</f>
        <v>#REF!</v>
      </c>
      <c r="X9" s="129" t="e">
        <f t="array" aca="1" ref="X9" ca="1">IF(ROW()-ROW($M$2:$M$29)+1&gt;ROWS($L$2:$L$29)-COUNTBLANK($L$2:$L$29),"",INDIRECT(ADDRESS(SMALL((IF($L$2:$L$29&lt;&gt;"",ROW($L$2:$L$29),ROW()+ROWS($L$2:$L$29))),ROW()-ROW($M$2:$M$29)+1),COLUMN($L$2:$L$29),4)))</f>
        <v>#REF!</v>
      </c>
      <c r="Y9" s="129" t="e">
        <f t="array" aca="1" ref="Y9" ca="1">IF(ROW()-ROW($N$2:$N$29)+1&gt;ROWS($M$2:$M$29)-COUNTBLANK($M$2:$M$29),"",INDIRECT(ADDRESS(SMALL((IF($M$2:$M$29&lt;&gt;"",ROW($M$2:$M$29),ROW()+ROWS($M$2:$M$29))),ROW()-ROW($N$2:$N$29)+1),COLUMN($M$2:$M$29),4)))</f>
        <v>#REF!</v>
      </c>
    </row>
    <row r="10" spans="1:25" ht="60" customHeight="1" x14ac:dyDescent="0.25">
      <c r="A10" s="129" t="str">
        <f>IF('Indicator sheet_(IS)'!P43=0,"",'Indicator sheet_(IS)'!P43)</f>
        <v>Incomplete</v>
      </c>
      <c r="C10" s="29">
        <f>IF($A10="I.O.","",'Indicator sheet_(IS)'!A43)</f>
        <v>9</v>
      </c>
      <c r="D10" s="247" t="str">
        <f>IF($A10="I.O.","",'Indicator sheet_(IS)'!C43)</f>
        <v>Interventional bronchoscopy (thermal procedures and stenting)</v>
      </c>
      <c r="E10" s="243" t="str">
        <f>IF(AND('Indicator sheet_(IS)'!J43="",$A10&lt;&gt;"I.O."),"-----",IF($A10="I.O.","",'Indicator sheet_(IS)'!J43))</f>
        <v>-----</v>
      </c>
      <c r="F10" s="29" t="str">
        <f>IF($A10="I.O.","",'Indicator sheet_(IS)'!K43)</f>
        <v>≥ 10</v>
      </c>
      <c r="G10" s="243" t="str">
        <f>IF(AND('Indicator sheet_(IS)'!M43="",$A10&lt;&gt;"I.O."),"-----",IF($A10="I.O.","",'Indicator sheet_(IS)'!M43))</f>
        <v>-----</v>
      </c>
      <c r="H10" s="245" t="e">
        <f>IF($A10="I.O.","",IF(SUM(#REF!)="",0,SUM(#REF!)))</f>
        <v>#REF!</v>
      </c>
      <c r="I10" s="245" t="str">
        <f t="shared" si="0"/>
        <v>-----</v>
      </c>
      <c r="J10" s="239" t="str">
        <f t="shared" si="0"/>
        <v>-----</v>
      </c>
      <c r="K10" s="244" t="str">
        <f>IF($A10="I.O.","",'Indicator sheet_(IS)'!P43)</f>
        <v>Incomplete</v>
      </c>
      <c r="L10" s="247" t="str">
        <f>IF(AND('Indicator sheet_(IS)'!Q43="",$A10&lt;&gt;"I.O."),"-----",IF($A10="I.O.","",'Indicator sheet_(IS)'!Q43))</f>
        <v>-----</v>
      </c>
      <c r="M10" s="247" t="str">
        <f>IF(AND('Indicator sheet_(IS)'!R43="",$A10&lt;&gt;"I.O."),"-----",IF($A10="I.O.","",'Indicator sheet_(IS)'!R43))</f>
        <v>-----</v>
      </c>
      <c r="O10" s="114" t="e">
        <f t="array" aca="1" ref="O10" ca="1">IF(ROW()-ROW($D$2:$D$29)+1&gt;ROWS($C$2:$C$29)-COUNTBLANK($C$2:$C$29),"",INDIRECT(ADDRESS(SMALL((IF($C$2:$C$29&lt;&gt;"",ROW($C$2:$C$29),ROW()+ROWS($C$2:$C$29))),ROW()-ROW($D$2:$D$29)+1),COLUMN($C$2:$C$29),4)))</f>
        <v>#REF!</v>
      </c>
      <c r="P10" s="246" t="e">
        <f t="array" aca="1" ref="P10" ca="1">IF(ROW()-ROW($E$2:$E$29)+1&gt;ROWS($D$2:$D$29)-COUNTBLANK($D$2:$D$29),"",INDIRECT(ADDRESS(SMALL((IF($D$2:$D$29&gt;"",ROW($D$2:$D$29),ROW()+ROWS($D$2:$D$29))),ROW()-ROW($E$2:$E$29)+1),COLUMN($D$2:$D$29),4)))</f>
        <v>#REF!</v>
      </c>
      <c r="Q10" s="169" t="e">
        <f t="array" aca="1" ref="Q10" ca="1">IF(ROW()-ROW($F$2:$F$29)+1&gt;ROWS($E$2:$E$29)-COUNTBLANK($E$2:$E$29),"",INDIRECT(ADDRESS(SMALL((IF($E$2:$E$29&gt;"",ROW($E$2:$E$29),ROW()+ROWS($E$2:$E$29))),ROW()-ROW($F$2:$F$29)+1),COLUMN($E$2:$E$29),4)))</f>
        <v>#REF!</v>
      </c>
      <c r="R10" s="169" t="e">
        <f t="array" aca="1" ref="R10" ca="1">IF(ROW()-ROW($G$2:$G$29)+1&gt;ROWS($F$2:$F$29)-COUNTBLANK($F$2:$F$29),"",INDIRECT(ADDRESS(SMALL((IF($F$2:$F$29&gt;"",ROW($F$2:$F$29),ROW()+ROWS($F$2:$F$29))),ROW()-ROW($G$2:$G$29)+1),COLUMN($F$2:$F$29),4)))</f>
        <v>#REF!</v>
      </c>
      <c r="S10" s="169" t="e">
        <f t="array" aca="1" ref="S10" ca="1">IF(ROW()-ROW($H$2:$H$29)+1&gt;ROWS($G$2:$G$29)-COUNTBLANK($G$2:$G$29),"",INDIRECT(ADDRESS(SMALL((IF($G$2:$G$29&lt;&gt;"",ROW($G$2:$G$29),ROW()+ROWS($G$2:$G$29))),ROW()-ROW($H$2:$H$29)+1),COLUMN($G$2:$G$29),4)))</f>
        <v>#REF!</v>
      </c>
      <c r="T10" s="114" t="e">
        <f t="array" aca="1" ref="T10" ca="1">IF(ROW()-ROW($I$2:$I$29)+1&gt;ROWS($H$2:$H$29)-COUNTBLANK($H$2:$H$29),"",INDIRECT(ADDRESS(SMALL((IF($H$2:$H$29&lt;&gt;"",ROW($H$2:$H$29),ROW()+ROWS($H$2:$H$29))),ROW()-ROW($I$2:$I$29)+1),COLUMN($H$2:$H$29),4)))</f>
        <v>#REF!</v>
      </c>
      <c r="U10" s="114" t="e">
        <f t="array" aca="1" ref="U10" ca="1">IF(ROW()-ROW($J$2:$J$29)+1&gt;ROWS($I$2:$I$29)-COUNTBLANK($I$2:$I$29),"",INDIRECT(ADDRESS(SMALL((IF($I$2:$I$29&lt;&gt;"",ROW($I$2:$I$29),ROW()+ROWS($I$2:$I$29))),ROW()-ROW($J$2:$J$29)+1),COLUMN($I$2:$I$29),4)))</f>
        <v>#REF!</v>
      </c>
      <c r="V10" s="114" t="e">
        <f t="array" aca="1" ref="V10" ca="1">IF(ROW()-ROW($K$2:$K$29)+1&gt;ROWS($J$2:$J$29)-COUNTBLANK($J$2:$J$29),"",INDIRECT(ADDRESS(SMALL((IF($J$2:$J$29&lt;&gt;"",ROW($J$2:$J$29),ROW()+ROWS($J$2:$J$29))),ROW()-ROW($K$2:$K$29)+1),COLUMN($J$2:$J$29),4)))</f>
        <v>#REF!</v>
      </c>
      <c r="W10" s="114" t="e">
        <f t="array" aca="1" ref="W10" ca="1">IF(ROW()-ROW($L$2:$L$29)+1&gt;ROWS($K$2:$K$29)-COUNTBLANK($K$2:$K$29),"",INDIRECT(ADDRESS(SMALL((IF($K$2:$K$29&lt;&gt;"",ROW($K$2:$K$29),ROW()+ROWS($K$2:$K$29))),ROW()-ROW($L$2:$L$29)+1),COLUMN($K$2:$K$29),4)))</f>
        <v>#REF!</v>
      </c>
      <c r="X10" s="129" t="e">
        <f t="array" aca="1" ref="X10" ca="1">IF(ROW()-ROW($M$2:$M$29)+1&gt;ROWS($L$2:$L$29)-COUNTBLANK($L$2:$L$29),"",INDIRECT(ADDRESS(SMALL((IF($L$2:$L$29&lt;&gt;"",ROW($L$2:$L$29),ROW()+ROWS($L$2:$L$29))),ROW()-ROW($M$2:$M$29)+1),COLUMN($L$2:$L$29),4)))</f>
        <v>#REF!</v>
      </c>
      <c r="Y10" s="129" t="e">
        <f t="array" aca="1" ref="Y10" ca="1">IF(ROW()-ROW($N$2:$N$29)+1&gt;ROWS($M$2:$M$29)-COUNTBLANK($M$2:$M$29),"",INDIRECT(ADDRESS(SMALL((IF($M$2:$M$29&lt;&gt;"",ROW($M$2:$M$29),ROW()+ROWS($M$2:$M$29))),ROW()-ROW($N$2:$N$29)+1),COLUMN($M$2:$M$29),4)))</f>
        <v>#REF!</v>
      </c>
    </row>
    <row r="11" spans="1:25" s="207" customFormat="1" ht="60" customHeight="1" x14ac:dyDescent="0.25">
      <c r="A11" s="129" t="str">
        <f>IF('Indicator sheet_(IS)'!P49=0,"",'Indicator sheet_(IS)'!P49)</f>
        <v>Incomplete</v>
      </c>
      <c r="B11" s="130"/>
      <c r="C11" s="29" t="str">
        <f>IF($A11="I.O.","",'Indicator sheet_(IS)'!A49)</f>
        <v>11a</v>
      </c>
      <c r="D11" s="247" t="str">
        <f>IF($A11="I.O.","",'Indicator sheet_(IS)'!C49)</f>
        <v>Lung resections</v>
      </c>
      <c r="E11" s="243" t="str">
        <f>IF(AND('Indicator sheet_(IS)'!J49="",$A11&lt;&gt;"I.O."),"-----",IF($A11="I.O.","",'Indicator sheet_(IS)'!J49))</f>
        <v>-----</v>
      </c>
      <c r="F11" s="29" t="str">
        <f>IF($A11="I.O.","",'Indicator sheet_(IS)'!K49)</f>
        <v>No target value</v>
      </c>
      <c r="G11" s="243" t="str">
        <f>IF(AND('Indicator sheet_(IS)'!M49="",$A11&lt;&gt;"I.O."),"-----",IF($A11="I.O.","",'Indicator sheet_(IS)'!M49))</f>
        <v>-----</v>
      </c>
      <c r="H11" s="245">
        <f>IF($A11="I.O.","",IF('Indicator sheet_(IS)'!O49="",0,'Indicator sheet_(IS)'!O49))</f>
        <v>0</v>
      </c>
      <c r="I11" s="245" t="str">
        <f t="shared" si="0"/>
        <v>-----</v>
      </c>
      <c r="J11" s="239" t="str">
        <f t="shared" si="0"/>
        <v>-----</v>
      </c>
      <c r="K11" s="244" t="str">
        <f>IF($A11="I.O.","",'Indicator sheet_(IS)'!P49)</f>
        <v>Incomplete</v>
      </c>
      <c r="L11" s="247" t="str">
        <f>IF(AND('Indicator sheet_(IS)'!Q49="",$A11&lt;&gt;"I.O."),"-----",IF($A11="I.O.","",'Indicator sheet_(IS)'!Q49))</f>
        <v>-----</v>
      </c>
      <c r="M11" s="247" t="str">
        <f>IF(AND('Indicator sheet_(IS)'!R49="",$A11&lt;&gt;"I.O."),"-----",IF($A11="I.O.","",'Indicator sheet_(IS)'!R49))</f>
        <v>-----</v>
      </c>
      <c r="O11" s="114" t="e">
        <f t="array" aca="1" ref="O11" ca="1">IF(ROW()-ROW($D$2:$D$29)+1&gt;ROWS($C$2:$C$29)-COUNTBLANK($C$2:$C$29),"",INDIRECT(ADDRESS(SMALL((IF($C$2:$C$29&lt;&gt;"",ROW($C$2:$C$29),ROW()+ROWS($C$2:$C$29))),ROW()-ROW($D$2:$D$29)+1),COLUMN($C$2:$C$29),4)))</f>
        <v>#REF!</v>
      </c>
      <c r="P11" s="246" t="e">
        <f t="array" aca="1" ref="P11" ca="1">IF(ROW()-ROW($E$2:$E$29)+1&gt;ROWS($D$2:$D$29)-COUNTBLANK($D$2:$D$29),"",INDIRECT(ADDRESS(SMALL((IF($D$2:$D$29&gt;"",ROW($D$2:$D$29),ROW()+ROWS($D$2:$D$29))),ROW()-ROW($E$2:$E$29)+1),COLUMN($D$2:$D$29),4)))</f>
        <v>#REF!</v>
      </c>
      <c r="Q11" s="169" t="e">
        <f t="array" aca="1" ref="Q11" ca="1">IF(ROW()-ROW($F$2:$F$29)+1&gt;ROWS($E$2:$E$29)-COUNTBLANK($E$2:$E$29),"",INDIRECT(ADDRESS(SMALL((IF($E$2:$E$29&gt;"",ROW($E$2:$E$29),ROW()+ROWS($E$2:$E$29))),ROW()-ROW($F$2:$F$29)+1),COLUMN($E$2:$E$29),4)))</f>
        <v>#REF!</v>
      </c>
      <c r="R11" s="169" t="e">
        <f t="array" aca="1" ref="R11" ca="1">IF(ROW()-ROW($G$2:$G$29)+1&gt;ROWS($F$2:$F$29)-COUNTBLANK($F$2:$F$29),"",INDIRECT(ADDRESS(SMALL((IF($F$2:$F$29&gt;"",ROW($F$2:$F$29),ROW()+ROWS($F$2:$F$29))),ROW()-ROW($G$2:$G$29)+1),COLUMN($F$2:$F$29),4)))</f>
        <v>#REF!</v>
      </c>
      <c r="S11" s="169" t="e">
        <f t="array" aca="1" ref="S11" ca="1">IF(ROW()-ROW($H$2:$H$29)+1&gt;ROWS($G$2:$G$29)-COUNTBLANK($G$2:$G$29),"",INDIRECT(ADDRESS(SMALL((IF($G$2:$G$29&lt;&gt;"",ROW($G$2:$G$29),ROW()+ROWS($G$2:$G$29))),ROW()-ROW($H$2:$H$29)+1),COLUMN($G$2:$G$29),4)))</f>
        <v>#REF!</v>
      </c>
      <c r="T11" s="114" t="e">
        <f t="array" aca="1" ref="T11" ca="1">IF(ROW()-ROW($I$2:$I$29)+1&gt;ROWS($H$2:$H$29)-COUNTBLANK($H$2:$H$29),"",INDIRECT(ADDRESS(SMALL((IF($H$2:$H$29&lt;&gt;"",ROW($H$2:$H$29),ROW()+ROWS($H$2:$H$29))),ROW()-ROW($I$2:$I$29)+1),COLUMN($H$2:$H$29),4)))</f>
        <v>#REF!</v>
      </c>
      <c r="U11" s="114" t="e">
        <f t="array" aca="1" ref="U11" ca="1">IF(ROW()-ROW($J$2:$J$29)+1&gt;ROWS($I$2:$I$29)-COUNTBLANK($I$2:$I$29),"",INDIRECT(ADDRESS(SMALL((IF($I$2:$I$29&lt;&gt;"",ROW($I$2:$I$29),ROW()+ROWS($I$2:$I$29))),ROW()-ROW($J$2:$J$29)+1),COLUMN($I$2:$I$29),4)))</f>
        <v>#REF!</v>
      </c>
      <c r="V11" s="114" t="e">
        <f t="array" aca="1" ref="V11" ca="1">IF(ROW()-ROW($K$2:$K$29)+1&gt;ROWS($J$2:$J$29)-COUNTBLANK($J$2:$J$29),"",INDIRECT(ADDRESS(SMALL((IF($J$2:$J$29&lt;&gt;"",ROW($J$2:$J$29),ROW()+ROWS($J$2:$J$29))),ROW()-ROW($K$2:$K$29)+1),COLUMN($J$2:$J$29),4)))</f>
        <v>#REF!</v>
      </c>
      <c r="W11" s="114" t="e">
        <f t="array" aca="1" ref="W11" ca="1">IF(ROW()-ROW($L$2:$L$29)+1&gt;ROWS($K$2:$K$29)-COUNTBLANK($K$2:$K$29),"",INDIRECT(ADDRESS(SMALL((IF($K$2:$K$29&lt;&gt;"",ROW($K$2:$K$29),ROW()+ROWS($K$2:$K$29))),ROW()-ROW($L$2:$L$29)+1),COLUMN($K$2:$K$29),4)))</f>
        <v>#REF!</v>
      </c>
      <c r="X11" s="129" t="e">
        <f t="array" aca="1" ref="X11" ca="1">IF(ROW()-ROW($M$2:$M$29)+1&gt;ROWS($L$2:$L$29)-COUNTBLANK($L$2:$L$29),"",INDIRECT(ADDRESS(SMALL((IF($L$2:$L$29&lt;&gt;"",ROW($L$2:$L$29),ROW()+ROWS($L$2:$L$29))),ROW()-ROW($M$2:$M$29)+1),COLUMN($L$2:$L$29),4)))</f>
        <v>#REF!</v>
      </c>
      <c r="Y11" s="129" t="e">
        <f t="array" aca="1" ref="Y11" ca="1">IF(ROW()-ROW($N$2:$N$29)+1&gt;ROWS($M$2:$M$29)-COUNTBLANK($M$2:$M$29),"",INDIRECT(ADDRESS(SMALL((IF($M$2:$M$29&lt;&gt;"",ROW($M$2:$M$29),ROW()+ROWS($M$2:$M$29))),ROW()-ROW($N$2:$N$29)+1),COLUMN($M$2:$M$29),4)))</f>
        <v>#REF!</v>
      </c>
    </row>
    <row r="12" spans="1:25" s="207" customFormat="1" ht="60" customHeight="1" x14ac:dyDescent="0.25">
      <c r="A12" s="129" t="str">
        <f>IF('Indicator sheet_(IS)'!P52=0,"",'Indicator sheet_(IS)'!P52)</f>
        <v>Incomplete</v>
      </c>
      <c r="B12" s="130"/>
      <c r="C12" s="29" t="str">
        <f>IF($A12="I.O.","",'Indicator sheet_(IS)'!A52)</f>
        <v>11b</v>
      </c>
      <c r="D12" s="247" t="str">
        <f>IF($A12="I.O.","",'Indicator sheet_(IS)'!C49)</f>
        <v>Lung resections</v>
      </c>
      <c r="E12" s="243" t="str">
        <f>IF(AND('Indicator sheet_(IS)'!J52="",$A12&lt;&gt;"I.O."),"-----",IF($A12="I.O.","",'Indicator sheet_(IS)'!J52))</f>
        <v>-----</v>
      </c>
      <c r="F12" s="29" t="str">
        <f>IF($A12="I.O.","",'Indicator sheet_(IS)'!K52)</f>
        <v>≥ 75</v>
      </c>
      <c r="G12" s="243" t="str">
        <f>IF(AND('Indicator sheet_(IS)'!M52="",$A12&lt;&gt;"I.O."),"-----",IF($A12="I.O.","",'Indicator sheet_(IS)'!M52))</f>
        <v>-----</v>
      </c>
      <c r="H12" s="245">
        <f>IF($A12="I.O.","",IF('Indicator sheet_(IS)'!O52="",0,'Indicator sheet_(IS)'!O52))</f>
        <v>0</v>
      </c>
      <c r="I12" s="245" t="str">
        <f t="shared" si="0"/>
        <v>-----</v>
      </c>
      <c r="J12" s="239" t="str">
        <f t="shared" si="0"/>
        <v>-----</v>
      </c>
      <c r="K12" s="244" t="str">
        <f>IF($A12="I.O.","",'Indicator sheet_(IS)'!P52)</f>
        <v>Incomplete</v>
      </c>
      <c r="L12" s="247" t="str">
        <f>IF(AND('Indicator sheet_(IS)'!Q52="",$A12&lt;&gt;"I.O."),"-----",IF($A12="I.O.","",'Indicator sheet_(IS)'!Q52))</f>
        <v>-----</v>
      </c>
      <c r="M12" s="247" t="str">
        <f>IF(AND('Indicator sheet_(IS)'!R52="",$A12&lt;&gt;"I.O."),"-----",IF($A12="I.O.","",'Indicator sheet_(IS)'!R52))</f>
        <v>-----</v>
      </c>
      <c r="O12" s="114" t="e">
        <f t="array" aca="1" ref="O12" ca="1">IF(ROW()-ROW($D$2:$D$29)+1&gt;ROWS($C$2:$C$29)-COUNTBLANK($C$2:$C$29),"",INDIRECT(ADDRESS(SMALL((IF($C$2:$C$29&lt;&gt;"",ROW($C$2:$C$29),ROW()+ROWS($C$2:$C$29))),ROW()-ROW($D$2:$D$29)+1),COLUMN($C$2:$C$29),4)))</f>
        <v>#REF!</v>
      </c>
      <c r="P12" s="246" t="e">
        <f t="array" aca="1" ref="P12" ca="1">IF(ROW()-ROW($E$2:$E$29)+1&gt;ROWS($D$2:$D$29)-COUNTBLANK($D$2:$D$29),"",INDIRECT(ADDRESS(SMALL((IF($D$2:$D$29&gt;"",ROW($D$2:$D$29),ROW()+ROWS($D$2:$D$29))),ROW()-ROW($E$2:$E$29)+1),COLUMN($D$2:$D$29),4)))</f>
        <v>#REF!</v>
      </c>
      <c r="Q12" s="169" t="e">
        <f t="array" aca="1" ref="Q12" ca="1">IF(ROW()-ROW($F$2:$F$29)+1&gt;ROWS($E$2:$E$29)-COUNTBLANK($E$2:$E$29),"",INDIRECT(ADDRESS(SMALL((IF($E$2:$E$29&gt;"",ROW($E$2:$E$29),ROW()+ROWS($E$2:$E$29))),ROW()-ROW($F$2:$F$29)+1),COLUMN($E$2:$E$29),4)))</f>
        <v>#REF!</v>
      </c>
      <c r="R12" s="169" t="e">
        <f t="array" aca="1" ref="R12" ca="1">IF(ROW()-ROW($G$2:$G$29)+1&gt;ROWS($F$2:$F$29)-COUNTBLANK($F$2:$F$29),"",INDIRECT(ADDRESS(SMALL((IF($F$2:$F$29&gt;"",ROW($F$2:$F$29),ROW()+ROWS($F$2:$F$29))),ROW()-ROW($G$2:$G$29)+1),COLUMN($F$2:$F$29),4)))</f>
        <v>#REF!</v>
      </c>
      <c r="S12" s="169" t="e">
        <f t="array" aca="1" ref="S12" ca="1">IF(ROW()-ROW($H$2:$H$29)+1&gt;ROWS($G$2:$G$29)-COUNTBLANK($G$2:$G$29),"",INDIRECT(ADDRESS(SMALL((IF($G$2:$G$29&lt;&gt;"",ROW($G$2:$G$29),ROW()+ROWS($G$2:$G$29))),ROW()-ROW($H$2:$H$29)+1),COLUMN($G$2:$G$29),4)))</f>
        <v>#REF!</v>
      </c>
      <c r="T12" s="114" t="e">
        <f t="array" aca="1" ref="T12" ca="1">IF(ROW()-ROW($I$2:$I$29)+1&gt;ROWS($H$2:$H$29)-COUNTBLANK($H$2:$H$29),"",INDIRECT(ADDRESS(SMALL((IF($H$2:$H$29&lt;&gt;"",ROW($H$2:$H$29),ROW()+ROWS($H$2:$H$29))),ROW()-ROW($I$2:$I$29)+1),COLUMN($H$2:$H$29),4)))</f>
        <v>#REF!</v>
      </c>
      <c r="U12" s="114" t="e">
        <f t="array" aca="1" ref="U12" ca="1">IF(ROW()-ROW($J$2:$J$29)+1&gt;ROWS($I$2:$I$29)-COUNTBLANK($I$2:$I$29),"",INDIRECT(ADDRESS(SMALL((IF($I$2:$I$29&lt;&gt;"",ROW($I$2:$I$29),ROW()+ROWS($I$2:$I$29))),ROW()-ROW($J$2:$J$29)+1),COLUMN($I$2:$I$29),4)))</f>
        <v>#REF!</v>
      </c>
      <c r="V12" s="114" t="e">
        <f t="array" aca="1" ref="V12" ca="1">IF(ROW()-ROW($K$2:$K$29)+1&gt;ROWS($J$2:$J$29)-COUNTBLANK($J$2:$J$29),"",INDIRECT(ADDRESS(SMALL((IF($J$2:$J$29&lt;&gt;"",ROW($J$2:$J$29),ROW()+ROWS($J$2:$J$29))),ROW()-ROW($K$2:$K$29)+1),COLUMN($J$2:$J$29),4)))</f>
        <v>#REF!</v>
      </c>
      <c r="W12" s="114" t="e">
        <f t="array" aca="1" ref="W12" ca="1">IF(ROW()-ROW($L$2:$L$29)+1&gt;ROWS($K$2:$K$29)-COUNTBLANK($K$2:$K$29),"",INDIRECT(ADDRESS(SMALL((IF($K$2:$K$29&lt;&gt;"",ROW($K$2:$K$29),ROW()+ROWS($K$2:$K$29))),ROW()-ROW($L$2:$L$29)+1),COLUMN($K$2:$K$29),4)))</f>
        <v>#REF!</v>
      </c>
      <c r="X12" s="129" t="e">
        <f t="array" aca="1" ref="X12" ca="1">IF(ROW()-ROW($M$2:$M$29)+1&gt;ROWS($L$2:$L$29)-COUNTBLANK($L$2:$L$29),"",INDIRECT(ADDRESS(SMALL((IF($L$2:$L$29&lt;&gt;"",ROW($L$2:$L$29),ROW()+ROWS($L$2:$L$29))),ROW()-ROW($M$2:$M$29)+1),COLUMN($L$2:$L$29),4)))</f>
        <v>#REF!</v>
      </c>
      <c r="Y12" s="129" t="e">
        <f t="array" aca="1" ref="Y12" ca="1">IF(ROW()-ROW($N$2:$N$29)+1&gt;ROWS($M$2:$M$29)-COUNTBLANK($M$2:$M$29),"",INDIRECT(ADDRESS(SMALL((IF($M$2:$M$29&lt;&gt;"",ROW($M$2:$M$29),ROW()+ROWS($M$2:$M$29))),ROW()-ROW($N$2:$N$29)+1),COLUMN($M$2:$M$29),4)))</f>
        <v>#REF!</v>
      </c>
    </row>
    <row r="13" spans="1:25" ht="60" customHeight="1" x14ac:dyDescent="0.25">
      <c r="A13" s="129" t="str">
        <f>IF('Indicator sheet_(IS)'!P55=0,"",'Indicator sheet_(IS)'!P55)</f>
        <v>Incomplete</v>
      </c>
      <c r="C13" s="29">
        <f>IF($A13="I.O.","",'Indicator sheet_(IS)'!A55)</f>
        <v>12</v>
      </c>
      <c r="D13" s="247" t="str">
        <f>IF($A13="I.O.","",'Indicator sheet_(IS)'!C55)</f>
        <v xml:space="preserve">Ratio of broncho-/angioplasty surgeries to pneumonectomies </v>
      </c>
      <c r="E13" s="243" t="str">
        <f>IF(AND('Indicator sheet_(IS)'!J55="",$A13&lt;&gt;"I.O."),"-----",IF($A13="I.O.","",'Indicator sheet_(IS)'!J55))</f>
        <v>&lt; 50%</v>
      </c>
      <c r="F13" s="29" t="str">
        <f>IF($A13="I.O.","",'Indicator sheet_(IS)'!K55)</f>
        <v>No target value</v>
      </c>
      <c r="G13" s="243" t="str">
        <f>IF(AND('Indicator sheet_(IS)'!M55="",$A13&lt;&gt;"I.O."),"-----",IF($A13="I.O.","",'Indicator sheet_(IS)'!M55))</f>
        <v>-----</v>
      </c>
      <c r="H13" s="245" t="str">
        <f>IF($A13="I.O.","",IF('Indicator sheet_(IS)'!O55="","-----",'Indicator sheet_(IS)'!O55))</f>
        <v>-----</v>
      </c>
      <c r="I13" s="245" t="str">
        <f>IF($A13="I.O.","",IF('Indicator sheet_(IS)'!O56="","-----",'Indicator sheet_(IS)'!O56))</f>
        <v>-----</v>
      </c>
      <c r="J13" s="239" t="str">
        <f>IF($A13="I.O.","",IF('Indicator sheet_(IS)'!O57="",0,'Indicator sheet_(IS)'!O57))</f>
        <v>n.d.</v>
      </c>
      <c r="K13" s="244" t="str">
        <f>IF($A13="I.O.","",'Indicator sheet_(IS)'!P55)</f>
        <v>Incomplete</v>
      </c>
      <c r="L13" s="247" t="str">
        <f>IF(AND('Indicator sheet_(IS)'!Q55="",$A13&lt;&gt;"I.O."),"-----",IF($A13="I.O.","",'Indicator sheet_(IS)'!Q55))</f>
        <v>-----</v>
      </c>
      <c r="M13" s="247" t="str">
        <f>IF(AND('Indicator sheet_(IS)'!R55="",$A13&lt;&gt;"I.O."),"-----",IF($A13="I.O.","",'Indicator sheet_(IS)'!R55))</f>
        <v>-----</v>
      </c>
      <c r="O13" s="114" t="e">
        <f t="array" aca="1" ref="O13" ca="1">IF(ROW()-ROW($D$2:$D$29)+1&gt;ROWS($C$2:$C$29)-COUNTBLANK($C$2:$C$29),"",INDIRECT(ADDRESS(SMALL((IF($C$2:$C$29&lt;&gt;"",ROW($C$2:$C$29),ROW()+ROWS($C$2:$C$29))),ROW()-ROW($D$2:$D$29)+1),COLUMN($C$2:$C$29),4)))</f>
        <v>#REF!</v>
      </c>
      <c r="P13" s="246" t="e">
        <f t="array" aca="1" ref="P13" ca="1">IF(ROW()-ROW($E$2:$E$29)+1&gt;ROWS($D$2:$D$29)-COUNTBLANK($D$2:$D$29),"",INDIRECT(ADDRESS(SMALL((IF($D$2:$D$29&gt;"",ROW($D$2:$D$29),ROW()+ROWS($D$2:$D$29))),ROW()-ROW($E$2:$E$29)+1),COLUMN($D$2:$D$29),4)))</f>
        <v>#REF!</v>
      </c>
      <c r="Q13" s="169" t="e">
        <f t="array" aca="1" ref="Q13" ca="1">IF(ROW()-ROW($F$2:$F$29)+1&gt;ROWS($E$2:$E$29)-COUNTBLANK($E$2:$E$29),"",INDIRECT(ADDRESS(SMALL((IF($E$2:$E$29&gt;"",ROW($E$2:$E$29),ROW()+ROWS($E$2:$E$29))),ROW()-ROW($F$2:$F$29)+1),COLUMN($E$2:$E$29),4)))</f>
        <v>#REF!</v>
      </c>
      <c r="R13" s="169" t="e">
        <f t="array" aca="1" ref="R13" ca="1">IF(ROW()-ROW($G$2:$G$29)+1&gt;ROWS($F$2:$F$29)-COUNTBLANK($F$2:$F$29),"",INDIRECT(ADDRESS(SMALL((IF($F$2:$F$29&gt;"",ROW($F$2:$F$29),ROW()+ROWS($F$2:$F$29))),ROW()-ROW($G$2:$G$29)+1),COLUMN($F$2:$F$29),4)))</f>
        <v>#REF!</v>
      </c>
      <c r="S13" s="169" t="e">
        <f t="array" aca="1" ref="S13" ca="1">IF(ROW()-ROW($H$2:$H$29)+1&gt;ROWS($G$2:$G$29)-COUNTBLANK($G$2:$G$29),"",INDIRECT(ADDRESS(SMALL((IF($G$2:$G$29&lt;&gt;"",ROW($G$2:$G$29),ROW()+ROWS($G$2:$G$29))),ROW()-ROW($H$2:$H$29)+1),COLUMN($G$2:$G$29),4)))</f>
        <v>#REF!</v>
      </c>
      <c r="T13" s="114" t="e">
        <f t="array" aca="1" ref="T13" ca="1">IF(ROW()-ROW($I$2:$I$29)+1&gt;ROWS($H$2:$H$29)-COUNTBLANK($H$2:$H$29),"",INDIRECT(ADDRESS(SMALL((IF($H$2:$H$29&lt;&gt;"",ROW($H$2:$H$29),ROW()+ROWS($H$2:$H$29))),ROW()-ROW($I$2:$I$29)+1),COLUMN($H$2:$H$29),4)))</f>
        <v>#REF!</v>
      </c>
      <c r="U13" s="114" t="e">
        <f t="array" aca="1" ref="U13" ca="1">IF(ROW()-ROW($J$2:$J$29)+1&gt;ROWS($I$2:$I$29)-COUNTBLANK($I$2:$I$29),"",INDIRECT(ADDRESS(SMALL((IF($I$2:$I$29&lt;&gt;"",ROW($I$2:$I$29),ROW()+ROWS($I$2:$I$29))),ROW()-ROW($J$2:$J$29)+1),COLUMN($I$2:$I$29),4)))</f>
        <v>#REF!</v>
      </c>
      <c r="V13" s="114" t="e">
        <f t="array" aca="1" ref="V13" ca="1">IF(ROW()-ROW($K$2:$K$29)+1&gt;ROWS($J$2:$J$29)-COUNTBLANK($J$2:$J$29),"",INDIRECT(ADDRESS(SMALL((IF($J$2:$J$29&lt;&gt;"",ROW($J$2:$J$29),ROW()+ROWS($J$2:$J$29))),ROW()-ROW($K$2:$K$29)+1),COLUMN($J$2:$J$29),4)))</f>
        <v>#REF!</v>
      </c>
      <c r="W13" s="114" t="e">
        <f t="array" aca="1" ref="W13" ca="1">IF(ROW()-ROW($L$2:$L$29)+1&gt;ROWS($K$2:$K$29)-COUNTBLANK($K$2:$K$29),"",INDIRECT(ADDRESS(SMALL((IF($K$2:$K$29&lt;&gt;"",ROW($K$2:$K$29),ROW()+ROWS($K$2:$K$29))),ROW()-ROW($L$2:$L$29)+1),COLUMN($K$2:$K$29),4)))</f>
        <v>#REF!</v>
      </c>
      <c r="X13" s="129" t="e">
        <f t="array" aca="1" ref="X13" ca="1">IF(ROW()-ROW($M$2:$M$29)+1&gt;ROWS($L$2:$L$29)-COUNTBLANK($L$2:$L$29),"",INDIRECT(ADDRESS(SMALL((IF($L$2:$L$29&lt;&gt;"",ROW($L$2:$L$29),ROW()+ROWS($L$2:$L$29))),ROW()-ROW($M$2:$M$29)+1),COLUMN($L$2:$L$29),4)))</f>
        <v>#REF!</v>
      </c>
      <c r="Y13" s="129" t="e">
        <f t="array" aca="1" ref="Y13" ca="1">IF(ROW()-ROW($N$2:$N$29)+1&gt;ROWS($M$2:$M$29)-COUNTBLANK($M$2:$M$29),"",INDIRECT(ADDRESS(SMALL((IF($M$2:$M$29&lt;&gt;"",ROW($M$2:$M$29),ROW()+ROWS($M$2:$M$29))),ROW()-ROW($N$2:$N$29)+1),COLUMN($M$2:$M$29),4)))</f>
        <v>#REF!</v>
      </c>
    </row>
    <row r="14" spans="1:25" s="207" customFormat="1" ht="60" customHeight="1" x14ac:dyDescent="0.25">
      <c r="A14" s="129" t="str">
        <f>IF('Indicator sheet_(IS)'!P58=0,"",'Indicator sheet_(IS)'!P58)</f>
        <v>Incomplete</v>
      </c>
      <c r="B14" s="130"/>
      <c r="C14" s="29">
        <f>IF($A14="I.O.","",'Indicator sheet_(IS)'!A58)</f>
        <v>13</v>
      </c>
      <c r="D14" s="247" t="str">
        <f>IF($A14="I.O.","",'Indicator sheet_(IS)'!C58)</f>
        <v>Videothoracoscopic (VATS) and/or robotic-assisted (RATS) anatomic resections</v>
      </c>
      <c r="E14" s="243" t="str">
        <f>IF(AND('Indicator sheet_(IS)'!J58="",$A14&lt;&gt;"I.O."),"-----",IF($A14="I.O.","",'Indicator sheet_(IS)'!J58))</f>
        <v>-----</v>
      </c>
      <c r="F14" s="29" t="str">
        <f>IF($A14="I.O.","",'Indicator sheet_(IS)'!K58)</f>
        <v>No target value</v>
      </c>
      <c r="G14" s="243" t="str">
        <f>IF(AND('Indicator sheet_(IS)'!M58="",$A14&lt;&gt;"I.O."),"-----",IF($A14="I.O.","",'Indicator sheet_(IS)'!M58))</f>
        <v>-----</v>
      </c>
      <c r="H14" s="245" t="str">
        <f>IF($A14="I.O.","",IF('Indicator sheet_(IS)'!O58="","-----",'Indicator sheet_(IS)'!O58))</f>
        <v>-----</v>
      </c>
      <c r="I14" s="245">
        <f>IF($A14="I.O.","",IF('Indicator sheet_(IS)'!O59="","-----",'Indicator sheet_(IS)'!O59))</f>
        <v>0</v>
      </c>
      <c r="J14" s="239" t="str">
        <f>IF($A14="I.O.","",IF('Indicator sheet_(IS)'!O60="",0,'Indicator sheet_(IS)'!O60))</f>
        <v>n.d.</v>
      </c>
      <c r="K14" s="244" t="str">
        <f>IF($A14="I.O.","",'Indicator sheet_(IS)'!P58)</f>
        <v>Incomplete</v>
      </c>
      <c r="L14" s="247" t="str">
        <f>IF(AND('Indicator sheet_(IS)'!Q58="",$A14&lt;&gt;"I.O."),"-----",IF($A14="I.O.","",'Indicator sheet_(IS)'!Q58))</f>
        <v>-----</v>
      </c>
      <c r="M14" s="247" t="str">
        <f>IF(AND('Indicator sheet_(IS)'!R58="",$A14&lt;&gt;"I.O."),"-----",IF($A14="I.O.","",'Indicator sheet_(IS)'!R58))</f>
        <v>-----</v>
      </c>
      <c r="O14" s="114" t="e">
        <f t="array" aca="1" ref="O14" ca="1">IF(ROW()-ROW($D$2:$D$29)+1&gt;ROWS($C$2:$C$29)-COUNTBLANK($C$2:$C$29),"",INDIRECT(ADDRESS(SMALL((IF($C$2:$C$29&lt;&gt;"",ROW($C$2:$C$29),ROW()+ROWS($C$2:$C$29))),ROW()-ROW($D$2:$D$29)+1),COLUMN($C$2:$C$29),4)))</f>
        <v>#REF!</v>
      </c>
      <c r="P14" s="246" t="e">
        <f t="array" aca="1" ref="P14" ca="1">IF(ROW()-ROW($E$2:$E$29)+1&gt;ROWS($D$2:$D$29)-COUNTBLANK($D$2:$D$29),"",INDIRECT(ADDRESS(SMALL((IF($D$2:$D$29&gt;"",ROW($D$2:$D$29),ROW()+ROWS($D$2:$D$29))),ROW()-ROW($E$2:$E$29)+1),COLUMN($D$2:$D$29),4)))</f>
        <v>#REF!</v>
      </c>
      <c r="Q14" s="169" t="e">
        <f t="array" aca="1" ref="Q14" ca="1">IF(ROW()-ROW($F$2:$F$29)+1&gt;ROWS($E$2:$E$29)-COUNTBLANK($E$2:$E$29),"",INDIRECT(ADDRESS(SMALL((IF($E$2:$E$29&gt;"",ROW($E$2:$E$29),ROW()+ROWS($E$2:$E$29))),ROW()-ROW($F$2:$F$29)+1),COLUMN($E$2:$E$29),4)))</f>
        <v>#REF!</v>
      </c>
      <c r="R14" s="169" t="e">
        <f t="array" aca="1" ref="R14" ca="1">IF(ROW()-ROW($G$2:$G$29)+1&gt;ROWS($F$2:$F$29)-COUNTBLANK($F$2:$F$29),"",INDIRECT(ADDRESS(SMALL((IF($F$2:$F$29&gt;"",ROW($F$2:$F$29),ROW()+ROWS($F$2:$F$29))),ROW()-ROW($G$2:$G$29)+1),COLUMN($F$2:$F$29),4)))</f>
        <v>#REF!</v>
      </c>
      <c r="S14" s="169" t="e">
        <f t="array" aca="1" ref="S14" ca="1">IF(ROW()-ROW($H$2:$H$29)+1&gt;ROWS($G$2:$G$29)-COUNTBLANK($G$2:$G$29),"",INDIRECT(ADDRESS(SMALL((IF($G$2:$G$29&lt;&gt;"",ROW($G$2:$G$29),ROW()+ROWS($G$2:$G$29))),ROW()-ROW($H$2:$H$29)+1),COLUMN($G$2:$G$29),4)))</f>
        <v>#REF!</v>
      </c>
      <c r="T14" s="114" t="e">
        <f t="array" aca="1" ref="T14" ca="1">IF(ROW()-ROW($I$2:$I$29)+1&gt;ROWS($H$2:$H$29)-COUNTBLANK($H$2:$H$29),"",INDIRECT(ADDRESS(SMALL((IF($H$2:$H$29&lt;&gt;"",ROW($H$2:$H$29),ROW()+ROWS($H$2:$H$29))),ROW()-ROW($I$2:$I$29)+1),COLUMN($H$2:$H$29),4)))</f>
        <v>#REF!</v>
      </c>
      <c r="U14" s="114" t="e">
        <f t="array" aca="1" ref="U14" ca="1">IF(ROW()-ROW($J$2:$J$29)+1&gt;ROWS($I$2:$I$29)-COUNTBLANK($I$2:$I$29),"",INDIRECT(ADDRESS(SMALL((IF($I$2:$I$29&lt;&gt;"",ROW($I$2:$I$29),ROW()+ROWS($I$2:$I$29))),ROW()-ROW($J$2:$J$29)+1),COLUMN($I$2:$I$29),4)))</f>
        <v>#REF!</v>
      </c>
      <c r="V14" s="114" t="e">
        <f t="array" aca="1" ref="V14" ca="1">IF(ROW()-ROW($K$2:$K$29)+1&gt;ROWS($J$2:$J$29)-COUNTBLANK($J$2:$J$29),"",INDIRECT(ADDRESS(SMALL((IF($J$2:$J$29&lt;&gt;"",ROW($J$2:$J$29),ROW()+ROWS($J$2:$J$29))),ROW()-ROW($K$2:$K$29)+1),COLUMN($J$2:$J$29),4)))</f>
        <v>#REF!</v>
      </c>
      <c r="W14" s="114" t="e">
        <f t="array" aca="1" ref="W14" ca="1">IF(ROW()-ROW($L$2:$L$29)+1&gt;ROWS($K$2:$K$29)-COUNTBLANK($K$2:$K$29),"",INDIRECT(ADDRESS(SMALL((IF($K$2:$K$29&lt;&gt;"",ROW($K$2:$K$29),ROW()+ROWS($K$2:$K$29))),ROW()-ROW($L$2:$L$29)+1),COLUMN($K$2:$K$29),4)))</f>
        <v>#REF!</v>
      </c>
      <c r="X14" s="129" t="e">
        <f t="array" aca="1" ref="X14" ca="1">IF(ROW()-ROW($M$2:$M$29)+1&gt;ROWS($L$2:$L$29)-COUNTBLANK($L$2:$L$29),"",INDIRECT(ADDRESS(SMALL((IF($L$2:$L$29&lt;&gt;"",ROW($L$2:$L$29),ROW()+ROWS($L$2:$L$29))),ROW()-ROW($M$2:$M$29)+1),COLUMN($L$2:$L$29),4)))</f>
        <v>#REF!</v>
      </c>
      <c r="Y14" s="129" t="e">
        <f t="array" aca="1" ref="Y14" ca="1">IF(ROW()-ROW($N$2:$N$29)+1&gt;ROWS($M$2:$M$29)-COUNTBLANK($M$2:$M$29),"",INDIRECT(ADDRESS(SMALL((IF($M$2:$M$29&lt;&gt;"",ROW($M$2:$M$29),ROW()+ROWS($M$2:$M$29))),ROW()-ROW($N$2:$N$29)+1),COLUMN($M$2:$M$29),4)))</f>
        <v>#REF!</v>
      </c>
    </row>
    <row r="15" spans="1:25" ht="60" customHeight="1" x14ac:dyDescent="0.25">
      <c r="A15" s="129" t="str">
        <f>IF('Indicator sheet_(IS)'!P61=0,"",'Indicator sheet_(IS)'!P61)</f>
        <v>Incomplete</v>
      </c>
      <c r="C15" s="29">
        <f>IF($A15="I.O.","",'Indicator sheet_(IS)'!A61)</f>
        <v>14</v>
      </c>
      <c r="D15" s="247" t="str">
        <f>IF($A15="I.O.","",'Indicator sheet_(IS)'!C61)</f>
        <v>30d lethality after resections</v>
      </c>
      <c r="E15" s="243" t="str">
        <f>IF(AND('Indicator sheet_(IS)'!J61="",$A15&lt;&gt;"I.O."),"-----",IF($A15="I.O.","",'Indicator sheet_(IS)'!J61))</f>
        <v>&lt; 0,01%</v>
      </c>
      <c r="F15" s="29" t="str">
        <f>IF($A15="I.O.","",'Indicator sheet_(IS)'!K61)</f>
        <v>≤ 5%</v>
      </c>
      <c r="G15" s="243" t="str">
        <f>IF(AND('Indicator sheet_(IS)'!M61="",$A15&lt;&gt;"I.O."),"-----",IF($A15="I.O.","",'Indicator sheet_(IS)'!M61))</f>
        <v>-----</v>
      </c>
      <c r="H15" s="245" t="str">
        <f>IF($A15="I.O.","",IF('Indicator sheet_(IS)'!O61="","-----",'Indicator sheet_(IS)'!O61))</f>
        <v>-----</v>
      </c>
      <c r="I15" s="245">
        <f>IF($A15="I.O.","",IF('Indicator sheet_(IS)'!O62="","-----",'Indicator sheet_(IS)'!O62))</f>
        <v>0</v>
      </c>
      <c r="J15" s="239" t="str">
        <f>IF($A15="I.O.","",IF('Indicator sheet_(IS)'!O63="",0,'Indicator sheet_(IS)'!O63))</f>
        <v>n.d.</v>
      </c>
      <c r="K15" s="244" t="str">
        <f>IF($A15="I.O.","",'Indicator sheet_(IS)'!P61)</f>
        <v>Incomplete</v>
      </c>
      <c r="L15" s="247" t="str">
        <f>IF(AND('Indicator sheet_(IS)'!Q61="",$A15&lt;&gt;"I.O."),"-----",IF($A15="I.O.","",'Indicator sheet_(IS)'!Q61))</f>
        <v>-----</v>
      </c>
      <c r="M15" s="247" t="str">
        <f>IF(AND('Indicator sheet_(IS)'!R61="",$A15&lt;&gt;"I.O."),"-----",IF($A15="I.O.","",'Indicator sheet_(IS)'!R61))</f>
        <v>-----</v>
      </c>
      <c r="O15" s="114" t="e">
        <f t="array" aca="1" ref="O15" ca="1">IF(ROW()-ROW($D$2:$D$29)+1&gt;ROWS($C$2:$C$29)-COUNTBLANK($C$2:$C$29),"",INDIRECT(ADDRESS(SMALL((IF($C$2:$C$29&lt;&gt;"",ROW($C$2:$C$29),ROW()+ROWS($C$2:$C$29))),ROW()-ROW($D$2:$D$29)+1),COLUMN($C$2:$C$29),4)))</f>
        <v>#REF!</v>
      </c>
      <c r="P15" s="246" t="e">
        <f t="array" aca="1" ref="P15" ca="1">IF(ROW()-ROW($E$2:$E$29)+1&gt;ROWS($D$2:$D$29)-COUNTBLANK($D$2:$D$29),"",INDIRECT(ADDRESS(SMALL((IF($D$2:$D$29&gt;"",ROW($D$2:$D$29),ROW()+ROWS($D$2:$D$29))),ROW()-ROW($E$2:$E$29)+1),COLUMN($D$2:$D$29),4)))</f>
        <v>#REF!</v>
      </c>
      <c r="Q15" s="169" t="e">
        <f t="array" aca="1" ref="Q15" ca="1">IF(ROW()-ROW($F$2:$F$29)+1&gt;ROWS($E$2:$E$29)-COUNTBLANK($E$2:$E$29),"",INDIRECT(ADDRESS(SMALL((IF($E$2:$E$29&gt;"",ROW($E$2:$E$29),ROW()+ROWS($E$2:$E$29))),ROW()-ROW($F$2:$F$29)+1),COLUMN($E$2:$E$29),4)))</f>
        <v>#REF!</v>
      </c>
      <c r="R15" s="169" t="e">
        <f t="array" aca="1" ref="R15" ca="1">IF(ROW()-ROW($G$2:$G$29)+1&gt;ROWS($F$2:$F$29)-COUNTBLANK($F$2:$F$29),"",INDIRECT(ADDRESS(SMALL((IF($F$2:$F$29&gt;"",ROW($F$2:$F$29),ROW()+ROWS($F$2:$F$29))),ROW()-ROW($G$2:$G$29)+1),COLUMN($F$2:$F$29),4)))</f>
        <v>#REF!</v>
      </c>
      <c r="S15" s="169" t="e">
        <f t="array" aca="1" ref="S15" ca="1">IF(ROW()-ROW($H$2:$H$29)+1&gt;ROWS($G$2:$G$29)-COUNTBLANK($G$2:$G$29),"",INDIRECT(ADDRESS(SMALL((IF($G$2:$G$29&lt;&gt;"",ROW($G$2:$G$29),ROW()+ROWS($G$2:$G$29))),ROW()-ROW($H$2:$H$29)+1),COLUMN($G$2:$G$29),4)))</f>
        <v>#REF!</v>
      </c>
      <c r="T15" s="114" t="e">
        <f t="array" aca="1" ref="T15" ca="1">IF(ROW()-ROW($I$2:$I$29)+1&gt;ROWS($H$2:$H$29)-COUNTBLANK($H$2:$H$29),"",INDIRECT(ADDRESS(SMALL((IF($H$2:$H$29&lt;&gt;"",ROW($H$2:$H$29),ROW()+ROWS($H$2:$H$29))),ROW()-ROW($I$2:$I$29)+1),COLUMN($H$2:$H$29),4)))</f>
        <v>#REF!</v>
      </c>
      <c r="U15" s="114" t="e">
        <f t="array" aca="1" ref="U15" ca="1">IF(ROW()-ROW($J$2:$J$29)+1&gt;ROWS($I$2:$I$29)-COUNTBLANK($I$2:$I$29),"",INDIRECT(ADDRESS(SMALL((IF($I$2:$I$29&lt;&gt;"",ROW($I$2:$I$29),ROW()+ROWS($I$2:$I$29))),ROW()-ROW($J$2:$J$29)+1),COLUMN($I$2:$I$29),4)))</f>
        <v>#REF!</v>
      </c>
      <c r="V15" s="114" t="e">
        <f t="array" aca="1" ref="V15" ca="1">IF(ROW()-ROW($K$2:$K$29)+1&gt;ROWS($J$2:$J$29)-COUNTBLANK($J$2:$J$29),"",INDIRECT(ADDRESS(SMALL((IF($J$2:$J$29&lt;&gt;"",ROW($J$2:$J$29),ROW()+ROWS($J$2:$J$29))),ROW()-ROW($K$2:$K$29)+1),COLUMN($J$2:$J$29),4)))</f>
        <v>#REF!</v>
      </c>
      <c r="W15" s="114" t="e">
        <f t="array" aca="1" ref="W15" ca="1">IF(ROW()-ROW($L$2:$L$29)+1&gt;ROWS($K$2:$K$29)-COUNTBLANK($K$2:$K$29),"",INDIRECT(ADDRESS(SMALL((IF($K$2:$K$29&lt;&gt;"",ROW($K$2:$K$29),ROW()+ROWS($K$2:$K$29))),ROW()-ROW($L$2:$L$29)+1),COLUMN($K$2:$K$29),4)))</f>
        <v>#REF!</v>
      </c>
      <c r="X15" s="129" t="e">
        <f t="array" aca="1" ref="X15" ca="1">IF(ROW()-ROW($M$2:$M$29)+1&gt;ROWS($L$2:$L$29)-COUNTBLANK($L$2:$L$29),"",INDIRECT(ADDRESS(SMALL((IF($L$2:$L$29&lt;&gt;"",ROW($L$2:$L$29),ROW()+ROWS($L$2:$L$29))),ROW()-ROW($M$2:$M$29)+1),COLUMN($L$2:$L$29),4)))</f>
        <v>#REF!</v>
      </c>
      <c r="Y15" s="129" t="e">
        <f t="array" aca="1" ref="Y15" ca="1">IF(ROW()-ROW($N$2:$N$29)+1&gt;ROWS($M$2:$M$29)-COUNTBLANK($M$2:$M$29),"",INDIRECT(ADDRESS(SMALL((IF($M$2:$M$29&lt;&gt;"",ROW($M$2:$M$29),ROW()+ROWS($M$2:$M$29))),ROW()-ROW($N$2:$N$29)+1),COLUMN($M$2:$M$29),4)))</f>
        <v>#REF!</v>
      </c>
    </row>
    <row r="16" spans="1:25" ht="60" customHeight="1" x14ac:dyDescent="0.25">
      <c r="A16" s="129" t="str">
        <f>IF('Indicator sheet_(IS)'!P64=0,"",'Indicator sheet_(IS)'!P64)</f>
        <v>Incomplete</v>
      </c>
      <c r="C16" s="29">
        <f>IF($A16="I.O.","",'Indicator sheet_(IS)'!A64)</f>
        <v>15</v>
      </c>
      <c r="D16" s="247" t="str">
        <f>IF($A16="I.O.","",'Indicator sheet_(IS)'!C64)</f>
        <v>Post-operative bronchial stump/anastomotic insufficiency</v>
      </c>
      <c r="E16" s="243" t="str">
        <f>IF(AND('Indicator sheet_(IS)'!J64="",$A16&lt;&gt;"I.O."),"-----",IF($A16="I.O.","",'Indicator sheet_(IS)'!J64))</f>
        <v>&lt; 0,01%</v>
      </c>
      <c r="F16" s="29" t="str">
        <f>IF($A16="I.O.","",'Indicator sheet_(IS)'!K64)</f>
        <v>≤ 5%</v>
      </c>
      <c r="G16" s="243" t="str">
        <f>IF(AND('Indicator sheet_(IS)'!M64="",$A16&lt;&gt;"I.O."),"-----",IF($A16="I.O.","",'Indicator sheet_(IS)'!M64))</f>
        <v>-----</v>
      </c>
      <c r="H16" s="245" t="str">
        <f>IF($A16="I.O.","",IF('Indicator sheet_(IS)'!O64="","-----",'Indicator sheet_(IS)'!O64))</f>
        <v>-----</v>
      </c>
      <c r="I16" s="245">
        <f>IF($A16="I.O.","",IF('Indicator sheet_(IS)'!O65="","-----",'Indicator sheet_(IS)'!O65))</f>
        <v>0</v>
      </c>
      <c r="J16" s="239" t="str">
        <f>IF($A16="I.O.","",IF('Indicator sheet_(IS)'!O66="",0,'Indicator sheet_(IS)'!O66))</f>
        <v>n.d.</v>
      </c>
      <c r="K16" s="244" t="str">
        <f>IF($A16="I.O.","",'Indicator sheet_(IS)'!P64)</f>
        <v>Incomplete</v>
      </c>
      <c r="L16" s="247" t="str">
        <f>IF(AND('Indicator sheet_(IS)'!Q64="",$A16&lt;&gt;"I.O."),"-----",IF($A16="I.O.","",'Indicator sheet_(IS)'!Q64))</f>
        <v>-----</v>
      </c>
      <c r="M16" s="247" t="str">
        <f>IF(AND('Indicator sheet_(IS)'!R64="",$A16&lt;&gt;"I.O."),"-----",IF($A16="I.O.","",'Indicator sheet_(IS)'!R64))</f>
        <v>-----</v>
      </c>
      <c r="O16" s="114" t="e">
        <f t="array" aca="1" ref="O16" ca="1">IF(ROW()-ROW($D$2:$D$29)+1&gt;ROWS($C$2:$C$29)-COUNTBLANK($C$2:$C$29),"",INDIRECT(ADDRESS(SMALL((IF($C$2:$C$29&lt;&gt;"",ROW($C$2:$C$29),ROW()+ROWS($C$2:$C$29))),ROW()-ROW($D$2:$D$29)+1),COLUMN($C$2:$C$29),4)))</f>
        <v>#REF!</v>
      </c>
      <c r="P16" s="246" t="e">
        <f t="array" aca="1" ref="P16" ca="1">IF(ROW()-ROW($E$2:$E$29)+1&gt;ROWS($D$2:$D$29)-COUNTBLANK($D$2:$D$29),"",INDIRECT(ADDRESS(SMALL((IF($D$2:$D$29&gt;"",ROW($D$2:$D$29),ROW()+ROWS($D$2:$D$29))),ROW()-ROW($E$2:$E$29)+1),COLUMN($D$2:$D$29),4)))</f>
        <v>#REF!</v>
      </c>
      <c r="Q16" s="169" t="e">
        <f t="array" aca="1" ref="Q16" ca="1">IF(ROW()-ROW($F$2:$F$29)+1&gt;ROWS($E$2:$E$29)-COUNTBLANK($E$2:$E$29),"",INDIRECT(ADDRESS(SMALL((IF($E$2:$E$29&gt;"",ROW($E$2:$E$29),ROW()+ROWS($E$2:$E$29))),ROW()-ROW($F$2:$F$29)+1),COLUMN($E$2:$E$29),4)))</f>
        <v>#REF!</v>
      </c>
      <c r="R16" s="169" t="e">
        <f t="array" aca="1" ref="R16" ca="1">IF(ROW()-ROW($G$2:$G$29)+1&gt;ROWS($F$2:$F$29)-COUNTBLANK($F$2:$F$29),"",INDIRECT(ADDRESS(SMALL((IF($F$2:$F$29&gt;"",ROW($F$2:$F$29),ROW()+ROWS($F$2:$F$29))),ROW()-ROW($G$2:$G$29)+1),COLUMN($F$2:$F$29),4)))</f>
        <v>#REF!</v>
      </c>
      <c r="S16" s="169" t="e">
        <f t="array" aca="1" ref="S16" ca="1">IF(ROW()-ROW($H$2:$H$29)+1&gt;ROWS($G$2:$G$29)-COUNTBLANK($G$2:$G$29),"",INDIRECT(ADDRESS(SMALL((IF($G$2:$G$29&lt;&gt;"",ROW($G$2:$G$29),ROW()+ROWS($G$2:$G$29))),ROW()-ROW($H$2:$H$29)+1),COLUMN($G$2:$G$29),4)))</f>
        <v>#REF!</v>
      </c>
      <c r="T16" s="114" t="e">
        <f t="array" aca="1" ref="T16" ca="1">IF(ROW()-ROW($I$2:$I$29)+1&gt;ROWS($H$2:$H$29)-COUNTBLANK($H$2:$H$29),"",INDIRECT(ADDRESS(SMALL((IF($H$2:$H$29&lt;&gt;"",ROW($H$2:$H$29),ROW()+ROWS($H$2:$H$29))),ROW()-ROW($I$2:$I$29)+1),COLUMN($H$2:$H$29),4)))</f>
        <v>#REF!</v>
      </c>
      <c r="U16" s="114" t="e">
        <f t="array" aca="1" ref="U16" ca="1">IF(ROW()-ROW($J$2:$J$29)+1&gt;ROWS($I$2:$I$29)-COUNTBLANK($I$2:$I$29),"",INDIRECT(ADDRESS(SMALL((IF($I$2:$I$29&lt;&gt;"",ROW($I$2:$I$29),ROW()+ROWS($I$2:$I$29))),ROW()-ROW($J$2:$J$29)+1),COLUMN($I$2:$I$29),4)))</f>
        <v>#REF!</v>
      </c>
      <c r="V16" s="114" t="e">
        <f t="array" aca="1" ref="V16" ca="1">IF(ROW()-ROW($K$2:$K$29)+1&gt;ROWS($J$2:$J$29)-COUNTBLANK($J$2:$J$29),"",INDIRECT(ADDRESS(SMALL((IF($J$2:$J$29&lt;&gt;"",ROW($J$2:$J$29),ROW()+ROWS($J$2:$J$29))),ROW()-ROW($K$2:$K$29)+1),COLUMN($J$2:$J$29),4)))</f>
        <v>#REF!</v>
      </c>
      <c r="W16" s="114" t="e">
        <f t="array" aca="1" ref="W16" ca="1">IF(ROW()-ROW($L$2:$L$29)+1&gt;ROWS($K$2:$K$29)-COUNTBLANK($K$2:$K$29),"",INDIRECT(ADDRESS(SMALL((IF($K$2:$K$29&lt;&gt;"",ROW($K$2:$K$29),ROW()+ROWS($K$2:$K$29))),ROW()-ROW($L$2:$L$29)+1),COLUMN($K$2:$K$29),4)))</f>
        <v>#REF!</v>
      </c>
      <c r="X16" s="129" t="e">
        <f t="array" aca="1" ref="X16" ca="1">IF(ROW()-ROW($M$2:$M$29)+1&gt;ROWS($L$2:$L$29)-COUNTBLANK($L$2:$L$29),"",INDIRECT(ADDRESS(SMALL((IF($L$2:$L$29&lt;&gt;"",ROW($L$2:$L$29),ROW()+ROWS($L$2:$L$29))),ROW()-ROW($M$2:$M$29)+1),COLUMN($L$2:$L$29),4)))</f>
        <v>#REF!</v>
      </c>
      <c r="Y16" s="129" t="e">
        <f t="array" aca="1" ref="Y16" ca="1">IF(ROW()-ROW($N$2:$N$29)+1&gt;ROWS($M$2:$M$29)-COUNTBLANK($M$2:$M$29),"",INDIRECT(ADDRESS(SMALL((IF($M$2:$M$29&lt;&gt;"",ROW($M$2:$M$29),ROW()+ROWS($M$2:$M$29))),ROW()-ROW($N$2:$N$29)+1),COLUMN($M$2:$M$29),4)))</f>
        <v>#REF!</v>
      </c>
    </row>
    <row r="17" spans="1:25" s="207" customFormat="1" ht="60" customHeight="1" x14ac:dyDescent="0.25">
      <c r="A17" s="129" t="e">
        <f>IF('Indicator sheet_(IS)'!#REF!=0,"",'Indicator sheet_(IS)'!#REF!)</f>
        <v>#REF!</v>
      </c>
      <c r="B17" s="130"/>
      <c r="C17" s="29" t="e">
        <f>IF($A17="I.O.","",'Indicator sheet_(IS)'!#REF!)</f>
        <v>#REF!</v>
      </c>
      <c r="D17" s="247" t="e">
        <f>IF($A17="I.O.","",'Indicator sheet_(IS)'!#REF!)</f>
        <v>#REF!</v>
      </c>
      <c r="E17" s="243" t="e">
        <f>IF(AND('Indicator sheet_(IS)'!#REF!="",$A17&lt;&gt;"I.O."),"-----",IF($A17="I.O.","",'Indicator sheet_(IS)'!#REF!))</f>
        <v>#REF!</v>
      </c>
      <c r="F17" s="29" t="e">
        <f>IF($A17="I.O.","",'Indicator sheet_(IS)'!#REF!)</f>
        <v>#REF!</v>
      </c>
      <c r="G17" s="243" t="e">
        <f>IF(AND('Indicator sheet_(IS)'!#REF!="",$A17&lt;&gt;"I.O."),"-----",IF($A17="I.O.","",'Indicator sheet_(IS)'!#REF!))</f>
        <v>#REF!</v>
      </c>
      <c r="H17" s="245" t="e">
        <f>IF($A17="I.O.","",IF('Indicator sheet_(IS)'!#REF!="","-----",'Indicator sheet_(IS)'!#REF!))</f>
        <v>#REF!</v>
      </c>
      <c r="I17" s="245" t="e">
        <f>IF($A17="I.O.","",IF('Indicator sheet_(IS)'!#REF!="","-----",'Indicator sheet_(IS)'!#REF!))</f>
        <v>#REF!</v>
      </c>
      <c r="J17" s="239" t="e">
        <f>IF($A17="I.O.","",IF('Indicator sheet_(IS)'!#REF!="",0,'Indicator sheet_(IS)'!#REF!))</f>
        <v>#REF!</v>
      </c>
      <c r="K17" s="244" t="e">
        <f>IF($A17="I.O.","",'Indicator sheet_(IS)'!#REF!)</f>
        <v>#REF!</v>
      </c>
      <c r="L17" s="247" t="e">
        <f>IF(AND('Indicator sheet_(IS)'!#REF!="",$A17&lt;&gt;"I.O."),"-----",IF($A17="I.O.","",'Indicator sheet_(IS)'!#REF!))</f>
        <v>#REF!</v>
      </c>
      <c r="M17" s="247" t="e">
        <f>IF(AND('Indicator sheet_(IS)'!#REF!="",$A17&lt;&gt;"I.O."),"-----",IF($A17="I.O.","",'Indicator sheet_(IS)'!#REF!))</f>
        <v>#REF!</v>
      </c>
      <c r="O17" s="114" t="e">
        <f t="array" aca="1" ref="O17" ca="1">IF(ROW()-ROW($D$2:$D$29)+1&gt;ROWS($C$2:$C$29)-COUNTBLANK($C$2:$C$29),"",INDIRECT(ADDRESS(SMALL((IF($C$2:$C$29&lt;&gt;"",ROW($C$2:$C$29),ROW()+ROWS($C$2:$C$29))),ROW()-ROW($D$2:$D$29)+1),COLUMN($C$2:$C$29),4)))</f>
        <v>#REF!</v>
      </c>
      <c r="P17" s="246" t="e">
        <f t="array" aca="1" ref="P17" ca="1">IF(ROW()-ROW($E$2:$E$29)+1&gt;ROWS($D$2:$D$29)-COUNTBLANK($D$2:$D$29),"",INDIRECT(ADDRESS(SMALL((IF($D$2:$D$29&gt;"",ROW($D$2:$D$29),ROW()+ROWS($D$2:$D$29))),ROW()-ROW($E$2:$E$29)+1),COLUMN($D$2:$D$29),4)))</f>
        <v>#REF!</v>
      </c>
      <c r="Q17" s="169" t="e">
        <f t="array" aca="1" ref="Q17" ca="1">IF(ROW()-ROW($F$2:$F$29)+1&gt;ROWS($E$2:$E$29)-COUNTBLANK($E$2:$E$29),"",INDIRECT(ADDRESS(SMALL((IF($E$2:$E$29&gt;"",ROW($E$2:$E$29),ROW()+ROWS($E$2:$E$29))),ROW()-ROW($F$2:$F$29)+1),COLUMN($E$2:$E$29),4)))</f>
        <v>#REF!</v>
      </c>
      <c r="R17" s="169" t="e">
        <f t="array" aca="1" ref="R17" ca="1">IF(ROW()-ROW($G$2:$G$29)+1&gt;ROWS($F$2:$F$29)-COUNTBLANK($F$2:$F$29),"",INDIRECT(ADDRESS(SMALL((IF($F$2:$F$29&gt;"",ROW($F$2:$F$29),ROW()+ROWS($F$2:$F$29))),ROW()-ROW($G$2:$G$29)+1),COLUMN($F$2:$F$29),4)))</f>
        <v>#REF!</v>
      </c>
      <c r="S17" s="169" t="e">
        <f t="array" aca="1" ref="S17" ca="1">IF(ROW()-ROW($H$2:$H$29)+1&gt;ROWS($G$2:$G$29)-COUNTBLANK($G$2:$G$29),"",INDIRECT(ADDRESS(SMALL((IF($G$2:$G$29&lt;&gt;"",ROW($G$2:$G$29),ROW()+ROWS($G$2:$G$29))),ROW()-ROW($H$2:$H$29)+1),COLUMN($G$2:$G$29),4)))</f>
        <v>#REF!</v>
      </c>
      <c r="T17" s="114" t="e">
        <f t="array" aca="1" ref="T17" ca="1">IF(ROW()-ROW($I$2:$I$29)+1&gt;ROWS($H$2:$H$29)-COUNTBLANK($H$2:$H$29),"",INDIRECT(ADDRESS(SMALL((IF($H$2:$H$29&lt;&gt;"",ROW($H$2:$H$29),ROW()+ROWS($H$2:$H$29))),ROW()-ROW($I$2:$I$29)+1),COLUMN($H$2:$H$29),4)))</f>
        <v>#REF!</v>
      </c>
      <c r="U17" s="114" t="e">
        <f t="array" aca="1" ref="U17" ca="1">IF(ROW()-ROW($J$2:$J$29)+1&gt;ROWS($I$2:$I$29)-COUNTBLANK($I$2:$I$29),"",INDIRECT(ADDRESS(SMALL((IF($I$2:$I$29&lt;&gt;"",ROW($I$2:$I$29),ROW()+ROWS($I$2:$I$29))),ROW()-ROW($J$2:$J$29)+1),COLUMN($I$2:$I$29),4)))</f>
        <v>#REF!</v>
      </c>
      <c r="V17" s="114" t="e">
        <f t="array" aca="1" ref="V17" ca="1">IF(ROW()-ROW($K$2:$K$29)+1&gt;ROWS($J$2:$J$29)-COUNTBLANK($J$2:$J$29),"",INDIRECT(ADDRESS(SMALL((IF($J$2:$J$29&lt;&gt;"",ROW($J$2:$J$29),ROW()+ROWS($J$2:$J$29))),ROW()-ROW($K$2:$K$29)+1),COLUMN($J$2:$J$29),4)))</f>
        <v>#REF!</v>
      </c>
      <c r="W17" s="114" t="e">
        <f t="array" aca="1" ref="W17" ca="1">IF(ROW()-ROW($L$2:$L$29)+1&gt;ROWS($K$2:$K$29)-COUNTBLANK($K$2:$K$29),"",INDIRECT(ADDRESS(SMALL((IF($K$2:$K$29&lt;&gt;"",ROW($K$2:$K$29),ROW()+ROWS($K$2:$K$29))),ROW()-ROW($L$2:$L$29)+1),COLUMN($K$2:$K$29),4)))</f>
        <v>#REF!</v>
      </c>
      <c r="X17" s="129" t="e">
        <f t="array" aca="1" ref="X17" ca="1">IF(ROW()-ROW($M$2:$M$29)+1&gt;ROWS($L$2:$L$29)-COUNTBLANK($L$2:$L$29),"",INDIRECT(ADDRESS(SMALL((IF($L$2:$L$29&lt;&gt;"",ROW($L$2:$L$29),ROW()+ROWS($L$2:$L$29))),ROW()-ROW($M$2:$M$29)+1),COLUMN($L$2:$L$29),4)))</f>
        <v>#REF!</v>
      </c>
      <c r="Y17" s="129" t="e">
        <f t="array" aca="1" ref="Y17" ca="1">IF(ROW()-ROW($N$2:$N$29)+1&gt;ROWS($M$2:$M$29)-COUNTBLANK($M$2:$M$29),"",INDIRECT(ADDRESS(SMALL((IF($M$2:$M$29&lt;&gt;"",ROW($M$2:$M$29),ROW()+ROWS($M$2:$M$29))),ROW()-ROW($N$2:$N$29)+1),COLUMN($M$2:$M$29),4)))</f>
        <v>#REF!</v>
      </c>
    </row>
    <row r="18" spans="1:25" s="207" customFormat="1" ht="60" customHeight="1" x14ac:dyDescent="0.25">
      <c r="A18" s="129" t="str">
        <f>IF('Indicator sheet_(IS)'!P67=0,"",'Indicator sheet_(IS)'!P67)</f>
        <v>Incomplete</v>
      </c>
      <c r="B18" s="130"/>
      <c r="C18" s="29">
        <f>IF($A18="I.O.","",'Indicator sheet_(IS)'!A67)</f>
        <v>16</v>
      </c>
      <c r="D18" s="247" t="str">
        <f>IF($A18="I.O.","",'Indicator sheet_(IS)'!C67)</f>
        <v>Local R0 resections in stages IA/B and IIA/B</v>
      </c>
      <c r="E18" s="243" t="str">
        <f>IF(AND('Indicator sheet_(IS)'!J67="",$A18&lt;&gt;"I.O."),"-----",IF($A18="I.O.","",'Indicator sheet_(IS)'!J67))</f>
        <v>-----</v>
      </c>
      <c r="F18" s="29" t="str">
        <f>IF($A18="I.O.","",'Indicator sheet_(IS)'!K67)</f>
        <v>≥ 95%</v>
      </c>
      <c r="G18" s="243" t="str">
        <f>IF(AND('Indicator sheet_(IS)'!M67="",$A18&lt;&gt;"I.O."),"-----",IF($A18="I.O.","",'Indicator sheet_(IS)'!M67))</f>
        <v>-----</v>
      </c>
      <c r="H18" s="245" t="str">
        <f>IF($A18="I.O.","",IF('Indicator sheet_(IS)'!O67="","-----",'Indicator sheet_(IS)'!O67))</f>
        <v>-----</v>
      </c>
      <c r="I18" s="245">
        <f>IF($A18="I.O.","",IF('Indicator sheet_(IS)'!O68="","-----",'Indicator sheet_(IS)'!O68))</f>
        <v>0</v>
      </c>
      <c r="J18" s="239" t="str">
        <f>IF($A18="I.O.","",IF('Indicator sheet_(IS)'!O69="",0,'Indicator sheet_(IS)'!O69))</f>
        <v>n.d.</v>
      </c>
      <c r="K18" s="244" t="str">
        <f>IF($A18="I.O.","",'Indicator sheet_(IS)'!P67)</f>
        <v>Incomplete</v>
      </c>
      <c r="L18" s="247" t="str">
        <f>IF(AND('Indicator sheet_(IS)'!Q67="",$A18&lt;&gt;"I.O."),"-----",IF($A18="I.O.","",'Indicator sheet_(IS)'!Q67))</f>
        <v>-----</v>
      </c>
      <c r="M18" s="247" t="str">
        <f>IF(AND('Indicator sheet_(IS)'!R67="",$A18&lt;&gt;"I.O."),"-----",IF($A18="I.O.","",'Indicator sheet_(IS)'!R67))</f>
        <v>-----</v>
      </c>
      <c r="O18" s="114" t="e">
        <f t="array" aca="1" ref="O18" ca="1">IF(ROW()-ROW($D$2:$D$29)+1&gt;ROWS($C$2:$C$29)-COUNTBLANK($C$2:$C$29),"",INDIRECT(ADDRESS(SMALL((IF($C$2:$C$29&lt;&gt;"",ROW($C$2:$C$29),ROW()+ROWS($C$2:$C$29))),ROW()-ROW($D$2:$D$29)+1),COLUMN($C$2:$C$29),4)))</f>
        <v>#REF!</v>
      </c>
      <c r="P18" s="246" t="e">
        <f t="array" aca="1" ref="P18" ca="1">IF(ROW()-ROW($E$2:$E$29)+1&gt;ROWS($D$2:$D$29)-COUNTBLANK($D$2:$D$29),"",INDIRECT(ADDRESS(SMALL((IF($D$2:$D$29&gt;"",ROW($D$2:$D$29),ROW()+ROWS($D$2:$D$29))),ROW()-ROW($E$2:$E$29)+1),COLUMN($D$2:$D$29),4)))</f>
        <v>#REF!</v>
      </c>
      <c r="Q18" s="169" t="e">
        <f t="array" aca="1" ref="Q18" ca="1">IF(ROW()-ROW($F$2:$F$29)+1&gt;ROWS($E$2:$E$29)-COUNTBLANK($E$2:$E$29),"",INDIRECT(ADDRESS(SMALL((IF($E$2:$E$29&gt;"",ROW($E$2:$E$29),ROW()+ROWS($E$2:$E$29))),ROW()-ROW($F$2:$F$29)+1),COLUMN($E$2:$E$29),4)))</f>
        <v>#REF!</v>
      </c>
      <c r="R18" s="169" t="e">
        <f t="array" aca="1" ref="R18" ca="1">IF(ROW()-ROW($G$2:$G$29)+1&gt;ROWS($F$2:$F$29)-COUNTBLANK($F$2:$F$29),"",INDIRECT(ADDRESS(SMALL((IF($F$2:$F$29&gt;"",ROW($F$2:$F$29),ROW()+ROWS($F$2:$F$29))),ROW()-ROW($G$2:$G$29)+1),COLUMN($F$2:$F$29),4)))</f>
        <v>#REF!</v>
      </c>
      <c r="S18" s="169" t="e">
        <f t="array" aca="1" ref="S18" ca="1">IF(ROW()-ROW($H$2:$H$29)+1&gt;ROWS($G$2:$G$29)-COUNTBLANK($G$2:$G$29),"",INDIRECT(ADDRESS(SMALL((IF($G$2:$G$29&lt;&gt;"",ROW($G$2:$G$29),ROW()+ROWS($G$2:$G$29))),ROW()-ROW($H$2:$H$29)+1),COLUMN($G$2:$G$29),4)))</f>
        <v>#REF!</v>
      </c>
      <c r="T18" s="114" t="e">
        <f t="array" aca="1" ref="T18" ca="1">IF(ROW()-ROW($I$2:$I$29)+1&gt;ROWS($H$2:$H$29)-COUNTBLANK($H$2:$H$29),"",INDIRECT(ADDRESS(SMALL((IF($H$2:$H$29&lt;&gt;"",ROW($H$2:$H$29),ROW()+ROWS($H$2:$H$29))),ROW()-ROW($I$2:$I$29)+1),COLUMN($H$2:$H$29),4)))</f>
        <v>#REF!</v>
      </c>
      <c r="U18" s="114" t="e">
        <f t="array" aca="1" ref="U18" ca="1">IF(ROW()-ROW($J$2:$J$29)+1&gt;ROWS($I$2:$I$29)-COUNTBLANK($I$2:$I$29),"",INDIRECT(ADDRESS(SMALL((IF($I$2:$I$29&lt;&gt;"",ROW($I$2:$I$29),ROW()+ROWS($I$2:$I$29))),ROW()-ROW($J$2:$J$29)+1),COLUMN($I$2:$I$29),4)))</f>
        <v>#REF!</v>
      </c>
      <c r="V18" s="114" t="e">
        <f t="array" aca="1" ref="V18" ca="1">IF(ROW()-ROW($K$2:$K$29)+1&gt;ROWS($J$2:$J$29)-COUNTBLANK($J$2:$J$29),"",INDIRECT(ADDRESS(SMALL((IF($J$2:$J$29&lt;&gt;"",ROW($J$2:$J$29),ROW()+ROWS($J$2:$J$29))),ROW()-ROW($K$2:$K$29)+1),COLUMN($J$2:$J$29),4)))</f>
        <v>#REF!</v>
      </c>
      <c r="W18" s="114" t="e">
        <f t="array" aca="1" ref="W18" ca="1">IF(ROW()-ROW($L$2:$L$29)+1&gt;ROWS($K$2:$K$29)-COUNTBLANK($K$2:$K$29),"",INDIRECT(ADDRESS(SMALL((IF($K$2:$K$29&lt;&gt;"",ROW($K$2:$K$29),ROW()+ROWS($K$2:$K$29))),ROW()-ROW($L$2:$L$29)+1),COLUMN($K$2:$K$29),4)))</f>
        <v>#REF!</v>
      </c>
      <c r="X18" s="129" t="e">
        <f t="array" aca="1" ref="X18" ca="1">IF(ROW()-ROW($M$2:$M$29)+1&gt;ROWS($L$2:$L$29)-COUNTBLANK($L$2:$L$29),"",INDIRECT(ADDRESS(SMALL((IF($L$2:$L$29&lt;&gt;"",ROW($L$2:$L$29),ROW()+ROWS($L$2:$L$29))),ROW()-ROW($M$2:$M$29)+1),COLUMN($L$2:$L$29),4)))</f>
        <v>#REF!</v>
      </c>
      <c r="Y18" s="129" t="e">
        <f t="array" aca="1" ref="Y18" ca="1">IF(ROW()-ROW($N$2:$N$29)+1&gt;ROWS($M$2:$M$29)-COUNTBLANK($M$2:$M$29),"",INDIRECT(ADDRESS(SMALL((IF($M$2:$M$29&lt;&gt;"",ROW($M$2:$M$29),ROW()+ROWS($M$2:$M$29))),ROW()-ROW($N$2:$N$29)+1),COLUMN($M$2:$M$29),4)))</f>
        <v>#REF!</v>
      </c>
    </row>
    <row r="19" spans="1:25" ht="60" customHeight="1" x14ac:dyDescent="0.25">
      <c r="A19" s="129" t="str">
        <f>IF('Indicator sheet_(IS)'!P70=0,"",'Indicator sheet_(IS)'!P70)</f>
        <v>Incomplete</v>
      </c>
      <c r="C19" s="29">
        <f>IF($A19="I.O.","",'Indicator sheet_(IS)'!A70)</f>
        <v>17</v>
      </c>
      <c r="D19" s="247" t="str">
        <f>IF($A19="I.O.","",'Indicator sheet_(IS)'!C70)</f>
        <v xml:space="preserve">Local R0 resections in stages IIIA/B </v>
      </c>
      <c r="E19" s="243" t="str">
        <f>IF(AND('Indicator sheet_(IS)'!J70="",$A19&lt;&gt;"I.O."),"-----",IF($A19="I.O.","",'Indicator sheet_(IS)'!J70))</f>
        <v>-----</v>
      </c>
      <c r="F19" s="29" t="str">
        <f>IF($A19="I.O.","",'Indicator sheet_(IS)'!K70)</f>
        <v>≥ 85%</v>
      </c>
      <c r="G19" s="243" t="str">
        <f>IF(AND('Indicator sheet_(IS)'!M70="",$A19&lt;&gt;"I.O."),"-----",IF($A19="I.O.","",'Indicator sheet_(IS)'!M70))</f>
        <v>-----</v>
      </c>
      <c r="H19" s="245" t="str">
        <f>IF($A19="I.O.","",IF('Indicator sheet_(IS)'!O70="","-----",'Indicator sheet_(IS)'!O70))</f>
        <v>-----</v>
      </c>
      <c r="I19" s="245">
        <f>IF($A19="I.O.","",IF('Indicator sheet_(IS)'!O71="","-----",'Indicator sheet_(IS)'!O71))</f>
        <v>0</v>
      </c>
      <c r="J19" s="239" t="str">
        <f>IF($A19="I.O.","",IF('Indicator sheet_(IS)'!O72="",0,'Indicator sheet_(IS)'!O72))</f>
        <v>n.d.</v>
      </c>
      <c r="K19" s="244" t="str">
        <f>IF($A19="I.O.","",'Indicator sheet_(IS)'!P70)</f>
        <v>Incomplete</v>
      </c>
      <c r="L19" s="247" t="str">
        <f>IF(AND('Indicator sheet_(IS)'!Q70="",$A19&lt;&gt;"I.O."),"-----",IF($A19="I.O.","",'Indicator sheet_(IS)'!Q70))</f>
        <v>-----</v>
      </c>
      <c r="M19" s="247" t="str">
        <f>IF(AND('Indicator sheet_(IS)'!R70="",$A19&lt;&gt;"I.O."),"-----",IF($A19="I.O.","",'Indicator sheet_(IS)'!R70))</f>
        <v>-----</v>
      </c>
      <c r="O19" s="114" t="e">
        <f t="array" aca="1" ref="O19" ca="1">IF(ROW()-ROW($D$2:$D$29)+1&gt;ROWS($C$2:$C$29)-COUNTBLANK($C$2:$C$29),"",INDIRECT(ADDRESS(SMALL((IF($C$2:$C$29&lt;&gt;"",ROW($C$2:$C$29),ROW()+ROWS($C$2:$C$29))),ROW()-ROW($D$2:$D$29)+1),COLUMN($C$2:$C$29),4)))</f>
        <v>#REF!</v>
      </c>
      <c r="P19" s="246" t="e">
        <f t="array" aca="1" ref="P19" ca="1">IF(ROW()-ROW($E$2:$E$29)+1&gt;ROWS($D$2:$D$29)-COUNTBLANK($D$2:$D$29),"",INDIRECT(ADDRESS(SMALL((IF($D$2:$D$29&gt;"",ROW($D$2:$D$29),ROW()+ROWS($D$2:$D$29))),ROW()-ROW($E$2:$E$29)+1),COLUMN($D$2:$D$29),4)))</f>
        <v>#REF!</v>
      </c>
      <c r="Q19" s="169" t="e">
        <f t="array" aca="1" ref="Q19" ca="1">IF(ROW()-ROW($F$2:$F$29)+1&gt;ROWS($E$2:$E$29)-COUNTBLANK($E$2:$E$29),"",INDIRECT(ADDRESS(SMALL((IF($E$2:$E$29&gt;"",ROW($E$2:$E$29),ROW()+ROWS($E$2:$E$29))),ROW()-ROW($F$2:$F$29)+1),COLUMN($E$2:$E$29),4)))</f>
        <v>#REF!</v>
      </c>
      <c r="R19" s="169" t="e">
        <f t="array" aca="1" ref="R19" ca="1">IF(ROW()-ROW($G$2:$G$29)+1&gt;ROWS($F$2:$F$29)-COUNTBLANK($F$2:$F$29),"",INDIRECT(ADDRESS(SMALL((IF($F$2:$F$29&gt;"",ROW($F$2:$F$29),ROW()+ROWS($F$2:$F$29))),ROW()-ROW($G$2:$G$29)+1),COLUMN($F$2:$F$29),4)))</f>
        <v>#REF!</v>
      </c>
      <c r="S19" s="169" t="e">
        <f t="array" aca="1" ref="S19" ca="1">IF(ROW()-ROW($H$2:$H$29)+1&gt;ROWS($G$2:$G$29)-COUNTBLANK($G$2:$G$29),"",INDIRECT(ADDRESS(SMALL((IF($G$2:$G$29&lt;&gt;"",ROW($G$2:$G$29),ROW()+ROWS($G$2:$G$29))),ROW()-ROW($H$2:$H$29)+1),COLUMN($G$2:$G$29),4)))</f>
        <v>#REF!</v>
      </c>
      <c r="T19" s="114" t="e">
        <f t="array" aca="1" ref="T19" ca="1">IF(ROW()-ROW($I$2:$I$29)+1&gt;ROWS($H$2:$H$29)-COUNTBLANK($H$2:$H$29),"",INDIRECT(ADDRESS(SMALL((IF($H$2:$H$29&lt;&gt;"",ROW($H$2:$H$29),ROW()+ROWS($H$2:$H$29))),ROW()-ROW($I$2:$I$29)+1),COLUMN($H$2:$H$29),4)))</f>
        <v>#REF!</v>
      </c>
      <c r="U19" s="114" t="e">
        <f t="array" aca="1" ref="U19" ca="1">IF(ROW()-ROW($J$2:$J$29)+1&gt;ROWS($I$2:$I$29)-COUNTBLANK($I$2:$I$29),"",INDIRECT(ADDRESS(SMALL((IF($I$2:$I$29&lt;&gt;"",ROW($I$2:$I$29),ROW()+ROWS($I$2:$I$29))),ROW()-ROW($J$2:$J$29)+1),COLUMN($I$2:$I$29),4)))</f>
        <v>#REF!</v>
      </c>
      <c r="V19" s="114" t="e">
        <f t="array" aca="1" ref="V19" ca="1">IF(ROW()-ROW($K$2:$K$29)+1&gt;ROWS($J$2:$J$29)-COUNTBLANK($J$2:$J$29),"",INDIRECT(ADDRESS(SMALL((IF($J$2:$J$29&lt;&gt;"",ROW($J$2:$J$29),ROW()+ROWS($J$2:$J$29))),ROW()-ROW($K$2:$K$29)+1),COLUMN($J$2:$J$29),4)))</f>
        <v>#REF!</v>
      </c>
      <c r="W19" s="114" t="e">
        <f t="array" aca="1" ref="W19" ca="1">IF(ROW()-ROW($L$2:$L$29)+1&gt;ROWS($K$2:$K$29)-COUNTBLANK($K$2:$K$29),"",INDIRECT(ADDRESS(SMALL((IF($K$2:$K$29&lt;&gt;"",ROW($K$2:$K$29),ROW()+ROWS($K$2:$K$29))),ROW()-ROW($L$2:$L$29)+1),COLUMN($K$2:$K$29),4)))</f>
        <v>#REF!</v>
      </c>
      <c r="X19" s="129" t="e">
        <f t="array" aca="1" ref="X19" ca="1">IF(ROW()-ROW($M$2:$M$29)+1&gt;ROWS($L$2:$L$29)-COUNTBLANK($L$2:$L$29),"",INDIRECT(ADDRESS(SMALL((IF($L$2:$L$29&lt;&gt;"",ROW($L$2:$L$29),ROW()+ROWS($L$2:$L$29))),ROW()-ROW($M$2:$M$29)+1),COLUMN($L$2:$L$29),4)))</f>
        <v>#REF!</v>
      </c>
      <c r="Y19" s="129" t="e">
        <f t="array" aca="1" ref="Y19" ca="1">IF(ROW()-ROW($N$2:$N$29)+1&gt;ROWS($M$2:$M$29)-COUNTBLANK($M$2:$M$29),"",INDIRECT(ADDRESS(SMALL((IF($M$2:$M$29&lt;&gt;"",ROW($M$2:$M$29),ROW()+ROWS($M$2:$M$29))),ROW()-ROW($N$2:$N$29)+1),COLUMN($M$2:$M$29),4)))</f>
        <v>#REF!</v>
      </c>
    </row>
    <row r="20" spans="1:25" ht="60" customHeight="1" x14ac:dyDescent="0.25">
      <c r="A20" s="129" t="str">
        <f>IF('Indicator sheet_(IS)'!P73=0,"",'Indicator sheet_(IS)'!P73)</f>
        <v>Incomplete</v>
      </c>
      <c r="C20" s="29">
        <f>IF($A20="I.O.","",'Indicator sheet_(IS)'!A73)</f>
        <v>18</v>
      </c>
      <c r="D20" s="247" t="str">
        <f>IF($A20="I.O.","",'Indicator sheet_(IS)'!C73)</f>
        <v>Thoracic radiotherapy</v>
      </c>
      <c r="E20" s="243" t="str">
        <f>IF(AND('Indicator sheet_(IS)'!J73="",$A20&lt;&gt;"I.O."),"-----",IF($A20="I.O.","",'Indicator sheet_(IS)'!J73))</f>
        <v>-----</v>
      </c>
      <c r="F20" s="29" t="str">
        <f>IF($A20="I.O.","",'Indicator sheet_(IS)'!K73)</f>
        <v>≥ 50</v>
      </c>
      <c r="G20" s="243" t="str">
        <f>IF(AND('Indicator sheet_(IS)'!M73="",$A20&lt;&gt;"I.O."),"-----",IF($A20="I.O.","",'Indicator sheet_(IS)'!M73))</f>
        <v>-----</v>
      </c>
      <c r="H20" s="245" t="e">
        <f>IF($A20="I.O.","",IF(SUM(#REF!)="",0,SUM(#REF!)))</f>
        <v>#REF!</v>
      </c>
      <c r="I20" s="245" t="str">
        <f>IF($A20="I.O.","","-----")</f>
        <v>-----</v>
      </c>
      <c r="J20" s="239" t="str">
        <f>IF($A20="I.O.","","-----")</f>
        <v>-----</v>
      </c>
      <c r="K20" s="244" t="str">
        <f>IF($A20="I.O.","",'Indicator sheet_(IS)'!P73)</f>
        <v>Incomplete</v>
      </c>
      <c r="L20" s="247" t="str">
        <f>IF(AND('Indicator sheet_(IS)'!Q73="",$A20&lt;&gt;"I.O."),"-----",IF($A20="I.O.","",'Indicator sheet_(IS)'!Q73))</f>
        <v>-----</v>
      </c>
      <c r="M20" s="247" t="str">
        <f>IF(AND('Indicator sheet_(IS)'!R73="",$A20&lt;&gt;"I.O."),"-----",IF($A20="I.O.","",'Indicator sheet_(IS)'!R73))</f>
        <v>-----</v>
      </c>
      <c r="O20" s="114" t="e">
        <f t="array" aca="1" ref="O20" ca="1">IF(ROW()-ROW($D$2:$D$29)+1&gt;ROWS($C$2:$C$29)-COUNTBLANK($C$2:$C$29),"",INDIRECT(ADDRESS(SMALL((IF($C$2:$C$29&lt;&gt;"",ROW($C$2:$C$29),ROW()+ROWS($C$2:$C$29))),ROW()-ROW($D$2:$D$29)+1),COLUMN($C$2:$C$29),4)))</f>
        <v>#REF!</v>
      </c>
      <c r="P20" s="246" t="e">
        <f t="array" aca="1" ref="P20" ca="1">IF(ROW()-ROW($E$2:$E$29)+1&gt;ROWS($D$2:$D$29)-COUNTBLANK($D$2:$D$29),"",INDIRECT(ADDRESS(SMALL((IF($D$2:$D$29&gt;"",ROW($D$2:$D$29),ROW()+ROWS($D$2:$D$29))),ROW()-ROW($E$2:$E$29)+1),COLUMN($D$2:$D$29),4)))</f>
        <v>#REF!</v>
      </c>
      <c r="Q20" s="169" t="e">
        <f t="array" aca="1" ref="Q20" ca="1">IF(ROW()-ROW($F$2:$F$29)+1&gt;ROWS($E$2:$E$29)-COUNTBLANK($E$2:$E$29),"",INDIRECT(ADDRESS(SMALL((IF($E$2:$E$29&gt;"",ROW($E$2:$E$29),ROW()+ROWS($E$2:$E$29))),ROW()-ROW($F$2:$F$29)+1),COLUMN($E$2:$E$29),4)))</f>
        <v>#REF!</v>
      </c>
      <c r="R20" s="169" t="e">
        <f t="array" aca="1" ref="R20" ca="1">IF(ROW()-ROW($G$2:$G$29)+1&gt;ROWS($F$2:$F$29)-COUNTBLANK($F$2:$F$29),"",INDIRECT(ADDRESS(SMALL((IF($F$2:$F$29&gt;"",ROW($F$2:$F$29),ROW()+ROWS($F$2:$F$29))),ROW()-ROW($G$2:$G$29)+1),COLUMN($F$2:$F$29),4)))</f>
        <v>#REF!</v>
      </c>
      <c r="S20" s="169" t="e">
        <f t="array" aca="1" ref="S20" ca="1">IF(ROW()-ROW($H$2:$H$29)+1&gt;ROWS($G$2:$G$29)-COUNTBLANK($G$2:$G$29),"",INDIRECT(ADDRESS(SMALL((IF($G$2:$G$29&lt;&gt;"",ROW($G$2:$G$29),ROW()+ROWS($G$2:$G$29))),ROW()-ROW($H$2:$H$29)+1),COLUMN($G$2:$G$29),4)))</f>
        <v>#REF!</v>
      </c>
      <c r="T20" s="114" t="e">
        <f t="array" aca="1" ref="T20" ca="1">IF(ROW()-ROW($I$2:$I$29)+1&gt;ROWS($H$2:$H$29)-COUNTBLANK($H$2:$H$29),"",INDIRECT(ADDRESS(SMALL((IF($H$2:$H$29&lt;&gt;"",ROW($H$2:$H$29),ROW()+ROWS($H$2:$H$29))),ROW()-ROW($I$2:$I$29)+1),COLUMN($H$2:$H$29),4)))</f>
        <v>#REF!</v>
      </c>
      <c r="U20" s="114" t="e">
        <f t="array" aca="1" ref="U20" ca="1">IF(ROW()-ROW($J$2:$J$29)+1&gt;ROWS($I$2:$I$29)-COUNTBLANK($I$2:$I$29),"",INDIRECT(ADDRESS(SMALL((IF($I$2:$I$29&lt;&gt;"",ROW($I$2:$I$29),ROW()+ROWS($I$2:$I$29))),ROW()-ROW($J$2:$J$29)+1),COLUMN($I$2:$I$29),4)))</f>
        <v>#REF!</v>
      </c>
      <c r="V20" s="114" t="e">
        <f t="array" aca="1" ref="V20" ca="1">IF(ROW()-ROW($K$2:$K$29)+1&gt;ROWS($J$2:$J$29)-COUNTBLANK($J$2:$J$29),"",INDIRECT(ADDRESS(SMALL((IF($J$2:$J$29&lt;&gt;"",ROW($J$2:$J$29),ROW()+ROWS($J$2:$J$29))),ROW()-ROW($K$2:$K$29)+1),COLUMN($J$2:$J$29),4)))</f>
        <v>#REF!</v>
      </c>
      <c r="W20" s="114" t="e">
        <f t="array" aca="1" ref="W20" ca="1">IF(ROW()-ROW($L$2:$L$29)+1&gt;ROWS($K$2:$K$29)-COUNTBLANK($K$2:$K$29),"",INDIRECT(ADDRESS(SMALL((IF($K$2:$K$29&lt;&gt;"",ROW($K$2:$K$29),ROW()+ROWS($K$2:$K$29))),ROW()-ROW($L$2:$L$29)+1),COLUMN($K$2:$K$29),4)))</f>
        <v>#REF!</v>
      </c>
      <c r="X20" s="129" t="e">
        <f t="array" aca="1" ref="X20" ca="1">IF(ROW()-ROW($M$2:$M$29)+1&gt;ROWS($L$2:$L$29)-COUNTBLANK($L$2:$L$29),"",INDIRECT(ADDRESS(SMALL((IF($L$2:$L$29&lt;&gt;"",ROW($L$2:$L$29),ROW()+ROWS($L$2:$L$29))),ROW()-ROW($M$2:$M$29)+1),COLUMN($L$2:$L$29),4)))</f>
        <v>#REF!</v>
      </c>
      <c r="Y20" s="129" t="e">
        <f t="array" aca="1" ref="Y20" ca="1">IF(ROW()-ROW($N$2:$N$29)+1&gt;ROWS($M$2:$M$29)-COUNTBLANK($M$2:$M$29),"",INDIRECT(ADDRESS(SMALL((IF($M$2:$M$29&lt;&gt;"",ROW($M$2:$M$29),ROW()+ROWS($M$2:$M$29))),ROW()-ROW($N$2:$N$29)+1),COLUMN($M$2:$M$29),4)))</f>
        <v>#REF!</v>
      </c>
    </row>
    <row r="21" spans="1:25" s="207" customFormat="1" ht="60" customHeight="1" x14ac:dyDescent="0.25">
      <c r="A21" s="129" t="str">
        <f>IF('Indicator sheet_(IS)'!P79=0,"",'Indicator sheet_(IS)'!P79)</f>
        <v>Incomplete</v>
      </c>
      <c r="B21" s="130"/>
      <c r="C21" s="29">
        <f>IF($A21="I.O.","",'Indicator sheet_(IS)'!A79)</f>
        <v>20</v>
      </c>
      <c r="D21" s="247" t="str">
        <f>IF($A21="I.O.","",'Indicator sheet_(IS)'!C79)</f>
        <v>Pathology reports</v>
      </c>
      <c r="E21" s="243" t="str">
        <f>IF(AND('Indicator sheet_(IS)'!J79="",$A21&lt;&gt;"I.O."),"-----",IF($A21="I.O.","",'Indicator sheet_(IS)'!J79))</f>
        <v>-----</v>
      </c>
      <c r="F21" s="29" t="str">
        <f>IF($A21="I.O.","",'Indicator sheet_(IS)'!K79)</f>
        <v>≥ 200 malignant lung cases 
(for each specialist 100 L.)</v>
      </c>
      <c r="G21" s="243" t="str">
        <f>IF(AND('Indicator sheet_(IS)'!M79="",$A21&lt;&gt;"I.O."),"-----",IF($A21="I.O.","",'Indicator sheet_(IS)'!M79))</f>
        <v>-----</v>
      </c>
      <c r="H21" s="245" t="e">
        <f>IF($A21="I.O.","",IF(SUM(#REF!)="",0,SUM(#REF!)))</f>
        <v>#REF!</v>
      </c>
      <c r="I21" s="245" t="str">
        <f>IF($A21="I.O.","","-----")</f>
        <v>-----</v>
      </c>
      <c r="J21" s="239" t="str">
        <f>IF($A21="I.O.","","-----")</f>
        <v>-----</v>
      </c>
      <c r="K21" s="244" t="str">
        <f>IF($A21="I.O.","",'Indicator sheet_(IS)'!P79)</f>
        <v>Incomplete</v>
      </c>
      <c r="L21" s="247" t="str">
        <f>IF(AND('Indicator sheet_(IS)'!Q79="",$A21&lt;&gt;"I.O."),"-----",IF($A21="I.O.","",'Indicator sheet_(IS)'!Q79))</f>
        <v>-----</v>
      </c>
      <c r="M21" s="247" t="str">
        <f>IF(AND('Indicator sheet_(IS)'!R79="",$A21&lt;&gt;"I.O."),"-----",IF($A21="I.O.","",'Indicator sheet_(IS)'!R79))</f>
        <v>-----</v>
      </c>
      <c r="O21" s="114" t="e">
        <f t="array" aca="1" ref="O21" ca="1">IF(ROW()-ROW($D$2:$D$29)+1&gt;ROWS($C$2:$C$29)-COUNTBLANK($C$2:$C$29),"",INDIRECT(ADDRESS(SMALL((IF($C$2:$C$29&lt;&gt;"",ROW($C$2:$C$29),ROW()+ROWS($C$2:$C$29))),ROW()-ROW($D$2:$D$29)+1),COLUMN($C$2:$C$29),4)))</f>
        <v>#REF!</v>
      </c>
      <c r="P21" s="246" t="e">
        <f t="array" aca="1" ref="P21" ca="1">IF(ROW()-ROW($E$2:$E$29)+1&gt;ROWS($D$2:$D$29)-COUNTBLANK($D$2:$D$29),"",INDIRECT(ADDRESS(SMALL((IF($D$2:$D$29&gt;"",ROW($D$2:$D$29),ROW()+ROWS($D$2:$D$29))),ROW()-ROW($E$2:$E$29)+1),COLUMN($D$2:$D$29),4)))</f>
        <v>#REF!</v>
      </c>
      <c r="Q21" s="169" t="e">
        <f t="array" aca="1" ref="Q21" ca="1">IF(ROW()-ROW($F$2:$F$29)+1&gt;ROWS($E$2:$E$29)-COUNTBLANK($E$2:$E$29),"",INDIRECT(ADDRESS(SMALL((IF($E$2:$E$29&gt;"",ROW($E$2:$E$29),ROW()+ROWS($E$2:$E$29))),ROW()-ROW($F$2:$F$29)+1),COLUMN($E$2:$E$29),4)))</f>
        <v>#REF!</v>
      </c>
      <c r="R21" s="169" t="e">
        <f t="array" aca="1" ref="R21" ca="1">IF(ROW()-ROW($G$2:$G$29)+1&gt;ROWS($F$2:$F$29)-COUNTBLANK($F$2:$F$29),"",INDIRECT(ADDRESS(SMALL((IF($F$2:$F$29&gt;"",ROW($F$2:$F$29),ROW()+ROWS($F$2:$F$29))),ROW()-ROW($G$2:$G$29)+1),COLUMN($F$2:$F$29),4)))</f>
        <v>#REF!</v>
      </c>
      <c r="S21" s="169" t="e">
        <f t="array" aca="1" ref="S21" ca="1">IF(ROW()-ROW($H$2:$H$29)+1&gt;ROWS($G$2:$G$29)-COUNTBLANK($G$2:$G$29),"",INDIRECT(ADDRESS(SMALL((IF($G$2:$G$29&lt;&gt;"",ROW($G$2:$G$29),ROW()+ROWS($G$2:$G$29))),ROW()-ROW($H$2:$H$29)+1),COLUMN($G$2:$G$29),4)))</f>
        <v>#REF!</v>
      </c>
      <c r="T21" s="114" t="e">
        <f t="array" aca="1" ref="T21" ca="1">IF(ROW()-ROW($I$2:$I$29)+1&gt;ROWS($H$2:$H$29)-COUNTBLANK($H$2:$H$29),"",INDIRECT(ADDRESS(SMALL((IF($H$2:$H$29&lt;&gt;"",ROW($H$2:$H$29),ROW()+ROWS($H$2:$H$29))),ROW()-ROW($I$2:$I$29)+1),COLUMN($H$2:$H$29),4)))</f>
        <v>#REF!</v>
      </c>
      <c r="U21" s="114" t="e">
        <f t="array" aca="1" ref="U21" ca="1">IF(ROW()-ROW($J$2:$J$29)+1&gt;ROWS($I$2:$I$29)-COUNTBLANK($I$2:$I$29),"",INDIRECT(ADDRESS(SMALL((IF($I$2:$I$29&lt;&gt;"",ROW($I$2:$I$29),ROW()+ROWS($I$2:$I$29))),ROW()-ROW($J$2:$J$29)+1),COLUMN($I$2:$I$29),4)))</f>
        <v>#REF!</v>
      </c>
      <c r="V21" s="114" t="e">
        <f t="array" aca="1" ref="V21" ca="1">IF(ROW()-ROW($K$2:$K$29)+1&gt;ROWS($J$2:$J$29)-COUNTBLANK($J$2:$J$29),"",INDIRECT(ADDRESS(SMALL((IF($J$2:$J$29&lt;&gt;"",ROW($J$2:$J$29),ROW()+ROWS($J$2:$J$29))),ROW()-ROW($K$2:$K$29)+1),COLUMN($J$2:$J$29),4)))</f>
        <v>#REF!</v>
      </c>
      <c r="W21" s="114" t="e">
        <f t="array" aca="1" ref="W21" ca="1">IF(ROW()-ROW($L$2:$L$29)+1&gt;ROWS($K$2:$K$29)-COUNTBLANK($K$2:$K$29),"",INDIRECT(ADDRESS(SMALL((IF($K$2:$K$29&lt;&gt;"",ROW($K$2:$K$29),ROW()+ROWS($K$2:$K$29))),ROW()-ROW($L$2:$L$29)+1),COLUMN($K$2:$K$29),4)))</f>
        <v>#REF!</v>
      </c>
      <c r="X21" s="129" t="e">
        <f t="array" aca="1" ref="X21" ca="1">IF(ROW()-ROW($M$2:$M$29)+1&gt;ROWS($L$2:$L$29)-COUNTBLANK($L$2:$L$29),"",INDIRECT(ADDRESS(SMALL((IF($L$2:$L$29&lt;&gt;"",ROW($L$2:$L$29),ROW()+ROWS($L$2:$L$29))),ROW()-ROW($M$2:$M$29)+1),COLUMN($L$2:$L$29),4)))</f>
        <v>#REF!</v>
      </c>
      <c r="Y21" s="129" t="e">
        <f t="array" aca="1" ref="Y21" ca="1">IF(ROW()-ROW($N$2:$N$29)+1&gt;ROWS($M$2:$M$29)-COUNTBLANK($M$2:$M$29),"",INDIRECT(ADDRESS(SMALL((IF($M$2:$M$29&lt;&gt;"",ROW($M$2:$M$29),ROW()+ROWS($M$2:$M$29))),ROW()-ROW($N$2:$N$29)+1),COLUMN($M$2:$M$29),4)))</f>
        <v>#REF!</v>
      </c>
    </row>
    <row r="22" spans="1:25" ht="60" customHeight="1" x14ac:dyDescent="0.25">
      <c r="A22" s="129" t="str">
        <f>IF('Indicator sheet_(IS)'!P82=0,"",'Indicator sheet_(IS)'!P82)</f>
        <v>Incomplete</v>
      </c>
      <c r="C22" s="29">
        <f>IF($A22="I.O.","",'Indicator sheet_(IS)'!A82)</f>
        <v>21</v>
      </c>
      <c r="D22" s="247" t="str">
        <f>IF($A22="I.O.","",'Indicator sheet_(IS)'!C82)</f>
        <v>Neoadjuvant or perioperative systemic therapy in pre-therapeutic / clinical stage IIB-IIIA</v>
      </c>
      <c r="E22" s="243" t="str">
        <f>IF(AND('Indicator sheet_(IS)'!J82="",$A22&lt;&gt;"I.O."),"-----",IF($A22="I.O.","",'Indicator sheet_(IS)'!J82))</f>
        <v>-----</v>
      </c>
      <c r="F22" s="29" t="str">
        <f>IF($A22="I.O.","",'Indicator sheet_(IS)'!K82)</f>
        <v>No target value</v>
      </c>
      <c r="G22" s="243" t="str">
        <f>IF(AND('Indicator sheet_(IS)'!M82="",$A22&lt;&gt;"I.O."),"-----",IF($A22="I.O.","",'Indicator sheet_(IS)'!M82))</f>
        <v>-----</v>
      </c>
      <c r="H22" s="245" t="str">
        <f>IF($A22="I.O.","",IF('Indicator sheet_(IS)'!O82="","-----",'Indicator sheet_(IS)'!O82))</f>
        <v>-----</v>
      </c>
      <c r="I22" s="245" t="str">
        <f>IF($A22="I.O.","",IF('Indicator sheet_(IS)'!O83="","-----",'Indicator sheet_(IS)'!O83))</f>
        <v>-----</v>
      </c>
      <c r="J22" s="239" t="str">
        <f>IF($A22="I.O.","",IF('Indicator sheet_(IS)'!O84="",0,'Indicator sheet_(IS)'!O84))</f>
        <v>n.d.</v>
      </c>
      <c r="K22" s="244" t="str">
        <f>IF($A22="I.O.","",'Indicator sheet_(IS)'!P82)</f>
        <v>Incomplete</v>
      </c>
      <c r="L22" s="247" t="str">
        <f>IF(AND('Indicator sheet_(IS)'!Q82="",$A22&lt;&gt;"I.O."),"-----",IF($A22="I.O.","",'Indicator sheet_(IS)'!Q82))</f>
        <v>-----</v>
      </c>
      <c r="M22" s="247" t="str">
        <f>IF(AND('Indicator sheet_(IS)'!R82="",$A22&lt;&gt;"I.O."),"-----",IF($A22="I.O.","",'Indicator sheet_(IS)'!R82))</f>
        <v>-----</v>
      </c>
      <c r="O22" s="114" t="e">
        <f t="array" aca="1" ref="O22" ca="1">IF(ROW()-ROW($D$2:$D$29)+1&gt;ROWS($C$2:$C$29)-COUNTBLANK($C$2:$C$29),"",INDIRECT(ADDRESS(SMALL((IF($C$2:$C$29&lt;&gt;"",ROW($C$2:$C$29),ROW()+ROWS($C$2:$C$29))),ROW()-ROW($D$2:$D$29)+1),COLUMN($C$2:$C$29),4)))</f>
        <v>#REF!</v>
      </c>
      <c r="P22" s="246" t="e">
        <f t="array" aca="1" ref="P22" ca="1">IF(ROW()-ROW($E$2:$E$29)+1&gt;ROWS($D$2:$D$29)-COUNTBLANK($D$2:$D$29),"",INDIRECT(ADDRESS(SMALL((IF($D$2:$D$29&gt;"",ROW($D$2:$D$29),ROW()+ROWS($D$2:$D$29))),ROW()-ROW($E$2:$E$29)+1),COLUMN($D$2:$D$29),4)))</f>
        <v>#REF!</v>
      </c>
      <c r="Q22" s="169" t="e">
        <f t="array" aca="1" ref="Q22" ca="1">IF(ROW()-ROW($F$2:$F$29)+1&gt;ROWS($E$2:$E$29)-COUNTBLANK($E$2:$E$29),"",INDIRECT(ADDRESS(SMALL((IF($E$2:$E$29&gt;"",ROW($E$2:$E$29),ROW()+ROWS($E$2:$E$29))),ROW()-ROW($F$2:$F$29)+1),COLUMN($E$2:$E$29),4)))</f>
        <v>#REF!</v>
      </c>
      <c r="R22" s="169" t="e">
        <f t="array" aca="1" ref="R22" ca="1">IF(ROW()-ROW($G$2:$G$29)+1&gt;ROWS($F$2:$F$29)-COUNTBLANK($F$2:$F$29),"",INDIRECT(ADDRESS(SMALL((IF($F$2:$F$29&gt;"",ROW($F$2:$F$29),ROW()+ROWS($F$2:$F$29))),ROW()-ROW($G$2:$G$29)+1),COLUMN($F$2:$F$29),4)))</f>
        <v>#REF!</v>
      </c>
      <c r="S22" s="169" t="e">
        <f t="array" aca="1" ref="S22" ca="1">IF(ROW()-ROW($H$2:$H$29)+1&gt;ROWS($G$2:$G$29)-COUNTBLANK($G$2:$G$29),"",INDIRECT(ADDRESS(SMALL((IF($G$2:$G$29&lt;&gt;"",ROW($G$2:$G$29),ROW()+ROWS($G$2:$G$29))),ROW()-ROW($H$2:$H$29)+1),COLUMN($G$2:$G$29),4)))</f>
        <v>#REF!</v>
      </c>
      <c r="T22" s="114" t="e">
        <f t="array" aca="1" ref="T22" ca="1">IF(ROW()-ROW($I$2:$I$29)+1&gt;ROWS($H$2:$H$29)-COUNTBLANK($H$2:$H$29),"",INDIRECT(ADDRESS(SMALL((IF($H$2:$H$29&lt;&gt;"",ROW($H$2:$H$29),ROW()+ROWS($H$2:$H$29))),ROW()-ROW($I$2:$I$29)+1),COLUMN($H$2:$H$29),4)))</f>
        <v>#REF!</v>
      </c>
      <c r="U22" s="114" t="e">
        <f t="array" aca="1" ref="U22" ca="1">IF(ROW()-ROW($J$2:$J$29)+1&gt;ROWS($I$2:$I$29)-COUNTBLANK($I$2:$I$29),"",INDIRECT(ADDRESS(SMALL((IF($I$2:$I$29&lt;&gt;"",ROW($I$2:$I$29),ROW()+ROWS($I$2:$I$29))),ROW()-ROW($J$2:$J$29)+1),COLUMN($I$2:$I$29),4)))</f>
        <v>#REF!</v>
      </c>
      <c r="V22" s="114" t="e">
        <f t="array" aca="1" ref="V22" ca="1">IF(ROW()-ROW($K$2:$K$29)+1&gt;ROWS($J$2:$J$29)-COUNTBLANK($J$2:$J$29),"",INDIRECT(ADDRESS(SMALL((IF($J$2:$J$29&lt;&gt;"",ROW($J$2:$J$29),ROW()+ROWS($J$2:$J$29))),ROW()-ROW($K$2:$K$29)+1),COLUMN($J$2:$J$29),4)))</f>
        <v>#REF!</v>
      </c>
      <c r="W22" s="114" t="e">
        <f t="array" aca="1" ref="W22" ca="1">IF(ROW()-ROW($L$2:$L$29)+1&gt;ROWS($K$2:$K$29)-COUNTBLANK($K$2:$K$29),"",INDIRECT(ADDRESS(SMALL((IF($K$2:$K$29&lt;&gt;"",ROW($K$2:$K$29),ROW()+ROWS($K$2:$K$29))),ROW()-ROW($L$2:$L$29)+1),COLUMN($K$2:$K$29),4)))</f>
        <v>#REF!</v>
      </c>
      <c r="X22" s="129" t="e">
        <f t="array" aca="1" ref="X22" ca="1">IF(ROW()-ROW($M$2:$M$29)+1&gt;ROWS($L$2:$L$29)-COUNTBLANK($L$2:$L$29),"",INDIRECT(ADDRESS(SMALL((IF($L$2:$L$29&lt;&gt;"",ROW($L$2:$L$29),ROW()+ROWS($L$2:$L$29))),ROW()-ROW($M$2:$M$29)+1),COLUMN($L$2:$L$29),4)))</f>
        <v>#REF!</v>
      </c>
      <c r="Y22" s="129" t="e">
        <f t="array" aca="1" ref="Y22" ca="1">IF(ROW()-ROW($N$2:$N$29)+1&gt;ROWS($M$2:$M$29)-COUNTBLANK($M$2:$M$29),"",INDIRECT(ADDRESS(SMALL((IF($M$2:$M$29&lt;&gt;"",ROW($M$2:$M$29),ROW()+ROWS($M$2:$M$29))),ROW()-ROW($N$2:$N$29)+1),COLUMN($M$2:$M$29),4)))</f>
        <v>#REF!</v>
      </c>
    </row>
    <row r="23" spans="1:25" ht="60" customHeight="1" x14ac:dyDescent="0.25">
      <c r="A23" s="129" t="str">
        <f>IF('Indicator sheet_(IS)'!P85=0,"",'Indicator sheet_(IS)'!P85)</f>
        <v>Incomplete</v>
      </c>
      <c r="C23" s="29">
        <f>IF($A23="I.O.","",'Indicator sheet_(IS)'!A85)</f>
        <v>22</v>
      </c>
      <c r="D23" s="247" t="str">
        <f>IF($A23="I.O.","",'Indicator sheet_(IS)'!C85)</f>
        <v>Combined radio-chemotherapy in stages IIIA4/IIIB/IIIC</v>
      </c>
      <c r="E23" s="243" t="str">
        <f>IF(AND('Indicator sheet_(IS)'!J85="",$A23&lt;&gt;"I.O."),"-----",IF($A23="I.O.","",'Indicator sheet_(IS)'!J85))</f>
        <v>-----</v>
      </c>
      <c r="F23" s="29" t="str">
        <f>IF($A23="I.O.","",'Indicator sheet_(IS)'!K85)</f>
        <v>≥ 25%</v>
      </c>
      <c r="G23" s="243" t="str">
        <f>IF(AND('Indicator sheet_(IS)'!M85="",$A23&lt;&gt;"I.O."),"-----",IF($A23="I.O.","",'Indicator sheet_(IS)'!M85))</f>
        <v>-----</v>
      </c>
      <c r="H23" s="245" t="str">
        <f>IF($A23="I.O.","",IF('Indicator sheet_(IS)'!O85="","-----",'Indicator sheet_(IS)'!O85))</f>
        <v>-----</v>
      </c>
      <c r="I23" s="245" t="str">
        <f>IF($A23="I.O.","",IF('Indicator sheet_(IS)'!O86="","-----",'Indicator sheet_(IS)'!O86))</f>
        <v>-----</v>
      </c>
      <c r="J23" s="239" t="str">
        <f>IF($A23="I.O.","",IF('Indicator sheet_(IS)'!O87="",0,'Indicator sheet_(IS)'!O87))</f>
        <v>n.d.</v>
      </c>
      <c r="K23" s="244" t="str">
        <f>IF($A23="I.O.","",'Indicator sheet_(IS)'!P85)</f>
        <v>Incomplete</v>
      </c>
      <c r="L23" s="247" t="str">
        <f>IF(AND('Indicator sheet_(IS)'!Q85="",$A23&lt;&gt;"I.O."),"-----",IF($A23="I.O.","",'Indicator sheet_(IS)'!Q85))</f>
        <v>-----</v>
      </c>
      <c r="M23" s="247" t="str">
        <f>IF(AND('Indicator sheet_(IS)'!R85="",$A23&lt;&gt;"I.O."),"-----",IF($A23="I.O.","",'Indicator sheet_(IS)'!R85))</f>
        <v>-----</v>
      </c>
      <c r="O23" s="114" t="e">
        <f t="array" aca="1" ref="O23" ca="1">IF(ROW()-ROW($D$2:$D$29)+1&gt;ROWS($C$2:$C$29)-COUNTBLANK($C$2:$C$29),"",INDIRECT(ADDRESS(SMALL((IF($C$2:$C$29&lt;&gt;"",ROW($C$2:$C$29),ROW()+ROWS($C$2:$C$29))),ROW()-ROW($D$2:$D$29)+1),COLUMN($C$2:$C$29),4)))</f>
        <v>#REF!</v>
      </c>
      <c r="P23" s="246" t="e">
        <f t="array" aca="1" ref="P23" ca="1">IF(ROW()-ROW($E$2:$E$29)+1&gt;ROWS($D$2:$D$29)-COUNTBLANK($D$2:$D$29),"",INDIRECT(ADDRESS(SMALL((IF($D$2:$D$29&gt;"",ROW($D$2:$D$29),ROW()+ROWS($D$2:$D$29))),ROW()-ROW($E$2:$E$29)+1),COLUMN($D$2:$D$29),4)))</f>
        <v>#REF!</v>
      </c>
      <c r="Q23" s="169" t="e">
        <f t="array" aca="1" ref="Q23" ca="1">IF(ROW()-ROW($F$2:$F$29)+1&gt;ROWS($E$2:$E$29)-COUNTBLANK($E$2:$E$29),"",INDIRECT(ADDRESS(SMALL((IF($E$2:$E$29&gt;"",ROW($E$2:$E$29),ROW()+ROWS($E$2:$E$29))),ROW()-ROW($F$2:$F$29)+1),COLUMN($E$2:$E$29),4)))</f>
        <v>#REF!</v>
      </c>
      <c r="R23" s="169" t="e">
        <f t="array" aca="1" ref="R23" ca="1">IF(ROW()-ROW($G$2:$G$29)+1&gt;ROWS($F$2:$F$29)-COUNTBLANK($F$2:$F$29),"",INDIRECT(ADDRESS(SMALL((IF($F$2:$F$29&gt;"",ROW($F$2:$F$29),ROW()+ROWS($F$2:$F$29))),ROW()-ROW($G$2:$G$29)+1),COLUMN($F$2:$F$29),4)))</f>
        <v>#REF!</v>
      </c>
      <c r="S23" s="169" t="e">
        <f t="array" aca="1" ref="S23" ca="1">IF(ROW()-ROW($H$2:$H$29)+1&gt;ROWS($G$2:$G$29)-COUNTBLANK($G$2:$G$29),"",INDIRECT(ADDRESS(SMALL((IF($G$2:$G$29&lt;&gt;"",ROW($G$2:$G$29),ROW()+ROWS($G$2:$G$29))),ROW()-ROW($H$2:$H$29)+1),COLUMN($G$2:$G$29),4)))</f>
        <v>#REF!</v>
      </c>
      <c r="T23" s="114" t="e">
        <f t="array" aca="1" ref="T23" ca="1">IF(ROW()-ROW($I$2:$I$29)+1&gt;ROWS($H$2:$H$29)-COUNTBLANK($H$2:$H$29),"",INDIRECT(ADDRESS(SMALL((IF($H$2:$H$29&lt;&gt;"",ROW($H$2:$H$29),ROW()+ROWS($H$2:$H$29))),ROW()-ROW($I$2:$I$29)+1),COLUMN($H$2:$H$29),4)))</f>
        <v>#REF!</v>
      </c>
      <c r="U23" s="114" t="e">
        <f t="array" aca="1" ref="U23" ca="1">IF(ROW()-ROW($J$2:$J$29)+1&gt;ROWS($I$2:$I$29)-COUNTBLANK($I$2:$I$29),"",INDIRECT(ADDRESS(SMALL((IF($I$2:$I$29&lt;&gt;"",ROW($I$2:$I$29),ROW()+ROWS($I$2:$I$29))),ROW()-ROW($J$2:$J$29)+1),COLUMN($I$2:$I$29),4)))</f>
        <v>#REF!</v>
      </c>
      <c r="V23" s="114" t="e">
        <f t="array" aca="1" ref="V23" ca="1">IF(ROW()-ROW($K$2:$K$29)+1&gt;ROWS($J$2:$J$29)-COUNTBLANK($J$2:$J$29),"",INDIRECT(ADDRESS(SMALL((IF($J$2:$J$29&lt;&gt;"",ROW($J$2:$J$29),ROW()+ROWS($J$2:$J$29))),ROW()-ROW($K$2:$K$29)+1),COLUMN($J$2:$J$29),4)))</f>
        <v>#REF!</v>
      </c>
      <c r="W23" s="114" t="e">
        <f t="array" aca="1" ref="W23" ca="1">IF(ROW()-ROW($L$2:$L$29)+1&gt;ROWS($K$2:$K$29)-COUNTBLANK($K$2:$K$29),"",INDIRECT(ADDRESS(SMALL((IF($K$2:$K$29&lt;&gt;"",ROW($K$2:$K$29),ROW()+ROWS($K$2:$K$29))),ROW()-ROW($L$2:$L$29)+1),COLUMN($K$2:$K$29),4)))</f>
        <v>#REF!</v>
      </c>
      <c r="X23" s="129" t="e">
        <f t="array" aca="1" ref="X23" ca="1">IF(ROW()-ROW($M$2:$M$29)+1&gt;ROWS($L$2:$L$29)-COUNTBLANK($L$2:$L$29),"",INDIRECT(ADDRESS(SMALL((IF($L$2:$L$29&lt;&gt;"",ROW($L$2:$L$29),ROW()+ROWS($L$2:$L$29))),ROW()-ROW($M$2:$M$29)+1),COLUMN($L$2:$L$29),4)))</f>
        <v>#REF!</v>
      </c>
      <c r="Y23" s="129" t="e">
        <f t="array" aca="1" ref="Y23" ca="1">IF(ROW()-ROW($N$2:$N$29)+1&gt;ROWS($M$2:$M$29)-COUNTBLANK($M$2:$M$29),"",INDIRECT(ADDRESS(SMALL((IF($M$2:$M$29&lt;&gt;"",ROW($M$2:$M$29),ROW()+ROWS($M$2:$M$29))),ROW()-ROW($N$2:$N$29)+1),COLUMN($M$2:$M$29),4)))</f>
        <v>#REF!</v>
      </c>
    </row>
    <row r="24" spans="1:25" ht="60" customHeight="1" x14ac:dyDescent="0.25">
      <c r="A24" s="129" t="str">
        <f>IF('Indicator sheet_(IS)'!P91=0,"",'Indicator sheet_(IS)'!P91)</f>
        <v>Incomplete</v>
      </c>
      <c r="C24" s="29">
        <f>IF($A24="I.O.","",'Indicator sheet_(IS)'!A91)</f>
        <v>24</v>
      </c>
      <c r="D24" s="247" t="str">
        <f>IF($A24="I.O.","",'Indicator sheet_(IS)'!C91)</f>
        <v xml:space="preserve">Molecular-pathological examination of patients NSCLC stage IV </v>
      </c>
      <c r="E24" s="243" t="str">
        <f>IF(AND('Indicator sheet_(IS)'!J91="",$A24&lt;&gt;"I.O."),"-----",IF($A24="I.O.","",'Indicator sheet_(IS)'!J91))</f>
        <v>-----</v>
      </c>
      <c r="F24" s="29" t="str">
        <f>IF($A24="I.O.","",'Indicator sheet_(IS)'!K91)</f>
        <v>≥ 75%</v>
      </c>
      <c r="G24" s="243" t="str">
        <f>IF(AND('Indicator sheet_(IS)'!M91="",$A24&lt;&gt;"I.O."),"-----",IF($A24="I.O.","",'Indicator sheet_(IS)'!M91))</f>
        <v>-----</v>
      </c>
      <c r="H24" s="245" t="str">
        <f>IF($A24="I.O.","",IF('Indicator sheet_(IS)'!O91="","-----",'Indicator sheet_(IS)'!O91))</f>
        <v>-----</v>
      </c>
      <c r="I24" s="245" t="str">
        <f>IF($A24="I.O.","",IF('Indicator sheet_(IS)'!O92="","-----",'Indicator sheet_(IS)'!O92))</f>
        <v>-----</v>
      </c>
      <c r="J24" s="239" t="str">
        <f>IF($A24="I.O.","",IF('Indicator sheet_(IS)'!O93="","-----",'Indicator sheet_(IS)'!O93))</f>
        <v>n.d.</v>
      </c>
      <c r="K24" s="244" t="str">
        <f>IF($A24="I.O.","",'Indicator sheet_(IS)'!P91)</f>
        <v>Incomplete</v>
      </c>
      <c r="L24" s="247" t="str">
        <f>IF(AND('Indicator sheet_(IS)'!Q91="",$A24&lt;&gt;"I.O."),"-----",IF($A24="I.O.","",'Indicator sheet_(IS)'!Q91))</f>
        <v>-----</v>
      </c>
      <c r="M24" s="247" t="str">
        <f>IF(AND('Indicator sheet_(IS)'!R91="",$A24&lt;&gt;"I.O."),"-----",IF($A24="I.O.","",'Indicator sheet_(IS)'!R91))</f>
        <v>-----</v>
      </c>
      <c r="O24" s="114" t="e">
        <f t="array" aca="1" ref="O24" ca="1">IF(ROW()-ROW($D$2:$D$29)+1&gt;ROWS($C$2:$C$29)-COUNTBLANK($C$2:$C$29),"",INDIRECT(ADDRESS(SMALL((IF($C$2:$C$29&lt;&gt;"",ROW($C$2:$C$29),ROW()+ROWS($C$2:$C$29))),ROW()-ROW($D$2:$D$29)+1),COLUMN($C$2:$C$29),4)))</f>
        <v>#REF!</v>
      </c>
      <c r="P24" s="246" t="e">
        <f t="array" aca="1" ref="P24" ca="1">IF(ROW()-ROW($E$2:$E$29)+1&gt;ROWS($D$2:$D$29)-COUNTBLANK($D$2:$D$29),"",INDIRECT(ADDRESS(SMALL((IF($D$2:$D$29&gt;"",ROW($D$2:$D$29),ROW()+ROWS($D$2:$D$29))),ROW()-ROW($E$2:$E$29)+1),COLUMN($D$2:$D$29),4)))</f>
        <v>#REF!</v>
      </c>
      <c r="Q24" s="169" t="e">
        <f t="array" aca="1" ref="Q24" ca="1">IF(ROW()-ROW($F$2:$F$29)+1&gt;ROWS($E$2:$E$29)-COUNTBLANK($E$2:$E$29),"",INDIRECT(ADDRESS(SMALL((IF($E$2:$E$29&gt;"",ROW($E$2:$E$29),ROW()+ROWS($E$2:$E$29))),ROW()-ROW($F$2:$F$29)+1),COLUMN($E$2:$E$29),4)))</f>
        <v>#REF!</v>
      </c>
      <c r="R24" s="169" t="e">
        <f t="array" aca="1" ref="R24" ca="1">IF(ROW()-ROW($G$2:$G$29)+1&gt;ROWS($F$2:$F$29)-COUNTBLANK($F$2:$F$29),"",INDIRECT(ADDRESS(SMALL((IF($F$2:$F$29&gt;"",ROW($F$2:$F$29),ROW()+ROWS($F$2:$F$29))),ROW()-ROW($G$2:$G$29)+1),COLUMN($F$2:$F$29),4)))</f>
        <v>#REF!</v>
      </c>
      <c r="S24" s="169" t="e">
        <f t="array" aca="1" ref="S24" ca="1">IF(ROW()-ROW($H$2:$H$29)+1&gt;ROWS($G$2:$G$29)-COUNTBLANK($G$2:$G$29),"",INDIRECT(ADDRESS(SMALL((IF($G$2:$G$29&lt;&gt;"",ROW($G$2:$G$29),ROW()+ROWS($G$2:$G$29))),ROW()-ROW($H$2:$H$29)+1),COLUMN($G$2:$G$29),4)))</f>
        <v>#REF!</v>
      </c>
      <c r="T24" s="114" t="e">
        <f t="array" aca="1" ref="T24" ca="1">IF(ROW()-ROW($I$2:$I$29)+1&gt;ROWS($H$2:$H$29)-COUNTBLANK($H$2:$H$29),"",INDIRECT(ADDRESS(SMALL((IF($H$2:$H$29&lt;&gt;"",ROW($H$2:$H$29),ROW()+ROWS($H$2:$H$29))),ROW()-ROW($I$2:$I$29)+1),COLUMN($H$2:$H$29),4)))</f>
        <v>#REF!</v>
      </c>
      <c r="U24" s="114" t="e">
        <f t="array" aca="1" ref="U24" ca="1">IF(ROW()-ROW($J$2:$J$29)+1&gt;ROWS($I$2:$I$29)-COUNTBLANK($I$2:$I$29),"",INDIRECT(ADDRESS(SMALL((IF($I$2:$I$29&lt;&gt;"",ROW($I$2:$I$29),ROW()+ROWS($I$2:$I$29))),ROW()-ROW($J$2:$J$29)+1),COLUMN($I$2:$I$29),4)))</f>
        <v>#REF!</v>
      </c>
      <c r="V24" s="114" t="e">
        <f t="array" aca="1" ref="V24" ca="1">IF(ROW()-ROW($K$2:$K$29)+1&gt;ROWS($J$2:$J$29)-COUNTBLANK($J$2:$J$29),"",INDIRECT(ADDRESS(SMALL((IF($J$2:$J$29&lt;&gt;"",ROW($J$2:$J$29),ROW()+ROWS($J$2:$J$29))),ROW()-ROW($K$2:$K$29)+1),COLUMN($J$2:$J$29),4)))</f>
        <v>#REF!</v>
      </c>
      <c r="W24" s="114" t="e">
        <f t="array" aca="1" ref="W24" ca="1">IF(ROW()-ROW($L$2:$L$29)+1&gt;ROWS($K$2:$K$29)-COUNTBLANK($K$2:$K$29),"",INDIRECT(ADDRESS(SMALL((IF($K$2:$K$29&lt;&gt;"",ROW($K$2:$K$29),ROW()+ROWS($K$2:$K$29))),ROW()-ROW($L$2:$L$29)+1),COLUMN($K$2:$K$29),4)))</f>
        <v>#REF!</v>
      </c>
      <c r="X24" s="129" t="e">
        <f t="array" aca="1" ref="X24" ca="1">IF(ROW()-ROW($M$2:$M$29)+1&gt;ROWS($L$2:$L$29)-COUNTBLANK($L$2:$L$29),"",INDIRECT(ADDRESS(SMALL((IF($L$2:$L$29&lt;&gt;"",ROW($L$2:$L$29),ROW()+ROWS($L$2:$L$29))),ROW()-ROW($M$2:$M$29)+1),COLUMN($L$2:$L$29),4)))</f>
        <v>#REF!</v>
      </c>
      <c r="Y24" s="129" t="e">
        <f t="array" aca="1" ref="Y24" ca="1">IF(ROW()-ROW($N$2:$N$29)+1&gt;ROWS($M$2:$M$29)-COUNTBLANK($M$2:$M$29),"",INDIRECT(ADDRESS(SMALL((IF($M$2:$M$29&lt;&gt;"",ROW($M$2:$M$29),ROW()+ROWS($M$2:$M$29))),ROW()-ROW($N$2:$N$29)+1),COLUMN($M$2:$M$29),4)))</f>
        <v>#REF!</v>
      </c>
    </row>
    <row r="25" spans="1:25" ht="60" customHeight="1" x14ac:dyDescent="0.25">
      <c r="A25" s="129" t="e">
        <f>IF('Indicator sheet_(IS)'!#REF!=0,"",'Indicator sheet_(IS)'!#REF!)</f>
        <v>#REF!</v>
      </c>
      <c r="C25" s="29" t="e">
        <f>IF($A25="I.O.","",'Indicator sheet_(IS)'!#REF!)</f>
        <v>#REF!</v>
      </c>
      <c r="D25" s="247" t="e">
        <f>IF($A25="I.O.","",'Indicator sheet_(IS)'!#REF!)</f>
        <v>#REF!</v>
      </c>
      <c r="E25" s="243" t="e">
        <f>IF(AND('Indicator sheet_(IS)'!#REF!="",$A25&lt;&gt;"I.O."),"-----",IF($A25="I.O.","",'Indicator sheet_(IS)'!#REF!))</f>
        <v>#REF!</v>
      </c>
      <c r="F25" s="29" t="e">
        <f>IF($A25="I.O.","",'Indicator sheet_(IS)'!#REF!)</f>
        <v>#REF!</v>
      </c>
      <c r="G25" s="243" t="e">
        <f>IF(AND('Indicator sheet_(IS)'!#REF!="",$A25&lt;&gt;"I.O."),"-----",IF($A25="I.O.","",'Indicator sheet_(IS)'!#REF!))</f>
        <v>#REF!</v>
      </c>
      <c r="H25" s="245" t="e">
        <f>IF($A25="I.O.","",IF('Indicator sheet_(IS)'!#REF!="","-----",'Indicator sheet_(IS)'!#REF!))</f>
        <v>#REF!</v>
      </c>
      <c r="I25" s="245" t="e">
        <f>IF($A25="I.O.","",IF('Indicator sheet_(IS)'!#REF!="","-----",'Indicator sheet_(IS)'!#REF!))</f>
        <v>#REF!</v>
      </c>
      <c r="J25" s="239" t="e">
        <f>IF($A25="I.O.","",IF('Indicator sheet_(IS)'!#REF!="","-----",'Indicator sheet_(IS)'!#REF!))</f>
        <v>#REF!</v>
      </c>
      <c r="K25" s="244" t="e">
        <f>IF($A25="I.O.","",'Indicator sheet_(IS)'!#REF!)</f>
        <v>#REF!</v>
      </c>
      <c r="L25" s="247" t="e">
        <f>IF(AND('Indicator sheet_(IS)'!#REF!="",$A25&lt;&gt;"I.O."),"-----",IF($A25="I.O.","",'Indicator sheet_(IS)'!#REF!))</f>
        <v>#REF!</v>
      </c>
      <c r="M25" s="247" t="e">
        <f>IF(AND('Indicator sheet_(IS)'!#REF!="",$A25&lt;&gt;"I.O."),"-----",IF($A25="I.O.","",'Indicator sheet_(IS)'!#REF!))</f>
        <v>#REF!</v>
      </c>
      <c r="O25" s="114" t="e">
        <f t="array" aca="1" ref="O25" ca="1">IF(ROW()-ROW($D$2:$D$29)+1&gt;ROWS($C$2:$C$29)-COUNTBLANK($C$2:$C$29),"",INDIRECT(ADDRESS(SMALL((IF($C$2:$C$29&lt;&gt;"",ROW($C$2:$C$29),ROW()+ROWS($C$2:$C$29))),ROW()-ROW($D$2:$D$29)+1),COLUMN($C$2:$C$29),4)))</f>
        <v>#REF!</v>
      </c>
      <c r="P25" s="246" t="e">
        <f t="array" aca="1" ref="P25" ca="1">IF(ROW()-ROW($E$2:$E$29)+1&gt;ROWS($D$2:$D$29)-COUNTBLANK($D$2:$D$29),"",INDIRECT(ADDRESS(SMALL((IF($D$2:$D$29&gt;"",ROW($D$2:$D$29),ROW()+ROWS($D$2:$D$29))),ROW()-ROW($E$2:$E$29)+1),COLUMN($D$2:$D$29),4)))</f>
        <v>#REF!</v>
      </c>
      <c r="Q25" s="169" t="e">
        <f t="array" aca="1" ref="Q25" ca="1">IF(ROW()-ROW($F$2:$F$29)+1&gt;ROWS($E$2:$E$29)-COUNTBLANK($E$2:$E$29),"",INDIRECT(ADDRESS(SMALL((IF($E$2:$E$29&gt;"",ROW($E$2:$E$29),ROW()+ROWS($E$2:$E$29))),ROW()-ROW($F$2:$F$29)+1),COLUMN($E$2:$E$29),4)))</f>
        <v>#REF!</v>
      </c>
      <c r="R25" s="169" t="e">
        <f t="array" aca="1" ref="R25" ca="1">IF(ROW()-ROW($G$2:$G$29)+1&gt;ROWS($F$2:$F$29)-COUNTBLANK($F$2:$F$29),"",INDIRECT(ADDRESS(SMALL((IF($F$2:$F$29&gt;"",ROW($F$2:$F$29),ROW()+ROWS($F$2:$F$29))),ROW()-ROW($G$2:$G$29)+1),COLUMN($F$2:$F$29),4)))</f>
        <v>#REF!</v>
      </c>
      <c r="S25" s="169" t="e">
        <f t="array" aca="1" ref="S25" ca="1">IF(ROW()-ROW($H$2:$H$29)+1&gt;ROWS($G$2:$G$29)-COUNTBLANK($G$2:$G$29),"",INDIRECT(ADDRESS(SMALL((IF($G$2:$G$29&lt;&gt;"",ROW($G$2:$G$29),ROW()+ROWS($G$2:$G$29))),ROW()-ROW($H$2:$H$29)+1),COLUMN($G$2:$G$29),4)))</f>
        <v>#REF!</v>
      </c>
      <c r="T25" s="114" t="e">
        <f t="array" aca="1" ref="T25" ca="1">IF(ROW()-ROW($I$2:$I$29)+1&gt;ROWS($H$2:$H$29)-COUNTBLANK($H$2:$H$29),"",INDIRECT(ADDRESS(SMALL((IF($H$2:$H$29&lt;&gt;"",ROW($H$2:$H$29),ROW()+ROWS($H$2:$H$29))),ROW()-ROW($I$2:$I$29)+1),COLUMN($H$2:$H$29),4)))</f>
        <v>#REF!</v>
      </c>
      <c r="U25" s="114" t="e">
        <f t="array" aca="1" ref="U25" ca="1">IF(ROW()-ROW($J$2:$J$29)+1&gt;ROWS($I$2:$I$29)-COUNTBLANK($I$2:$I$29),"",INDIRECT(ADDRESS(SMALL((IF($I$2:$I$29&lt;&gt;"",ROW($I$2:$I$29),ROW()+ROWS($I$2:$I$29))),ROW()-ROW($J$2:$J$29)+1),COLUMN($I$2:$I$29),4)))</f>
        <v>#REF!</v>
      </c>
      <c r="V25" s="114" t="e">
        <f t="array" aca="1" ref="V25" ca="1">IF(ROW()-ROW($K$2:$K$29)+1&gt;ROWS($J$2:$J$29)-COUNTBLANK($J$2:$J$29),"",INDIRECT(ADDRESS(SMALL((IF($J$2:$J$29&lt;&gt;"",ROW($J$2:$J$29),ROW()+ROWS($J$2:$J$29))),ROW()-ROW($K$2:$K$29)+1),COLUMN($J$2:$J$29),4)))</f>
        <v>#REF!</v>
      </c>
      <c r="W25" s="114" t="e">
        <f t="array" aca="1" ref="W25" ca="1">IF(ROW()-ROW($L$2:$L$29)+1&gt;ROWS($K$2:$K$29)-COUNTBLANK($K$2:$K$29),"",INDIRECT(ADDRESS(SMALL((IF($K$2:$K$29&lt;&gt;"",ROW($K$2:$K$29),ROW()+ROWS($K$2:$K$29))),ROW()-ROW($L$2:$L$29)+1),COLUMN($K$2:$K$29),4)))</f>
        <v>#REF!</v>
      </c>
      <c r="X25" s="129" t="e">
        <f t="array" aca="1" ref="X25" ca="1">IF(ROW()-ROW($M$2:$M$29)+1&gt;ROWS($L$2:$L$29)-COUNTBLANK($L$2:$L$29),"",INDIRECT(ADDRESS(SMALL((IF($L$2:$L$29&lt;&gt;"",ROW($L$2:$L$29),ROW()+ROWS($L$2:$L$29))),ROW()-ROW($M$2:$M$29)+1),COLUMN($L$2:$L$29),4)))</f>
        <v>#REF!</v>
      </c>
      <c r="Y25" s="129" t="e">
        <f t="array" aca="1" ref="Y25" ca="1">IF(ROW()-ROW($N$2:$N$29)+1&gt;ROWS($M$2:$M$29)-COUNTBLANK($M$2:$M$29),"",INDIRECT(ADDRESS(SMALL((IF($M$2:$M$29&lt;&gt;"",ROW($M$2:$M$29),ROW()+ROWS($M$2:$M$29))),ROW()-ROW($N$2:$N$29)+1),COLUMN($M$2:$M$29),4)))</f>
        <v>#REF!</v>
      </c>
    </row>
    <row r="26" spans="1:25" ht="60" customHeight="1" x14ac:dyDescent="0.25">
      <c r="A26" s="129" t="e">
        <f>IF('Indicator sheet_(IS)'!#REF!=0,"",'Indicator sheet_(IS)'!#REF!)</f>
        <v>#REF!</v>
      </c>
      <c r="C26" s="29" t="e">
        <f>IF($A26="I.O.","",'Indicator sheet_(IS)'!#REF!)</f>
        <v>#REF!</v>
      </c>
      <c r="D26" s="247" t="e">
        <f>IF($A26="I.O.","",'Indicator sheet_(IS)'!#REF!)</f>
        <v>#REF!</v>
      </c>
      <c r="E26" s="243" t="e">
        <f>IF(AND('Indicator sheet_(IS)'!#REF!="",$A26&lt;&gt;"I.O."),"-----",IF($A26="I.O.","",'Indicator sheet_(IS)'!#REF!))</f>
        <v>#REF!</v>
      </c>
      <c r="F26" s="29" t="e">
        <f>IF($A26="I.O.","",'Indicator sheet_(IS)'!#REF!)</f>
        <v>#REF!</v>
      </c>
      <c r="G26" s="243" t="e">
        <f>IF(AND('Indicator sheet_(IS)'!#REF!="",$A26&lt;&gt;"I.O."),"-----",IF($A26="I.O.","",'Indicator sheet_(IS)'!#REF!))</f>
        <v>#REF!</v>
      </c>
      <c r="H26" s="245" t="e">
        <f>IF($A26="I.O.","",IF('Indicator sheet_(IS)'!#REF!="","-----",'Indicator sheet_(IS)'!#REF!))</f>
        <v>#REF!</v>
      </c>
      <c r="I26" s="245" t="e">
        <f>IF($A26="I.O.","",IF('Indicator sheet_(IS)'!#REF!="","-----",'Indicator sheet_(IS)'!#REF!))</f>
        <v>#REF!</v>
      </c>
      <c r="J26" s="239" t="e">
        <f>IF($A26="I.O.","",IF('Indicator sheet_(IS)'!#REF!="","-----",'Indicator sheet_(IS)'!#REF!))</f>
        <v>#REF!</v>
      </c>
      <c r="K26" s="244" t="e">
        <f>IF($A26="I.O.","",'Indicator sheet_(IS)'!#REF!)</f>
        <v>#REF!</v>
      </c>
      <c r="L26" s="247" t="e">
        <f>IF(AND('Indicator sheet_(IS)'!#REF!="",$A26&lt;&gt;"I.O."),"-----",IF($A26="I.O.","",'Indicator sheet_(IS)'!#REF!))</f>
        <v>#REF!</v>
      </c>
      <c r="M26" s="247" t="e">
        <f>IF(AND('Indicator sheet_(IS)'!#REF!="",$A26&lt;&gt;"I.O."),"-----",IF($A26="I.O.","",'Indicator sheet_(IS)'!#REF!))</f>
        <v>#REF!</v>
      </c>
      <c r="O26" s="114" t="e">
        <f t="array" aca="1" ref="O26" ca="1">IF(ROW()-ROW($D$2:$D$29)+1&gt;ROWS($C$2:$C$29)-COUNTBLANK($C$2:$C$29),"",INDIRECT(ADDRESS(SMALL((IF($C$2:$C$29&lt;&gt;"",ROW($C$2:$C$29),ROW()+ROWS($C$2:$C$29))),ROW()-ROW($D$2:$D$29)+1),COLUMN($C$2:$C$29),4)))</f>
        <v>#REF!</v>
      </c>
      <c r="P26" s="246" t="e">
        <f t="array" aca="1" ref="P26" ca="1">IF(ROW()-ROW($E$2:$E$29)+1&gt;ROWS($D$2:$D$29)-COUNTBLANK($D$2:$D$29),"",INDIRECT(ADDRESS(SMALL((IF($D$2:$D$29&gt;"",ROW($D$2:$D$29),ROW()+ROWS($D$2:$D$29))),ROW()-ROW($E$2:$E$29)+1),COLUMN($D$2:$D$29),4)))</f>
        <v>#REF!</v>
      </c>
      <c r="Q26" s="169" t="e">
        <f t="array" aca="1" ref="Q26" ca="1">IF(ROW()-ROW($F$2:$F$29)+1&gt;ROWS($E$2:$E$29)-COUNTBLANK($E$2:$E$29),"",INDIRECT(ADDRESS(SMALL((IF($E$2:$E$29&gt;"",ROW($E$2:$E$29),ROW()+ROWS($E$2:$E$29))),ROW()-ROW($F$2:$F$29)+1),COLUMN($E$2:$E$29),4)))</f>
        <v>#REF!</v>
      </c>
      <c r="R26" s="169" t="e">
        <f t="array" aca="1" ref="R26" ca="1">IF(ROW()-ROW($G$2:$G$29)+1&gt;ROWS($F$2:$F$29)-COUNTBLANK($F$2:$F$29),"",INDIRECT(ADDRESS(SMALL((IF($F$2:$F$29&gt;"",ROW($F$2:$F$29),ROW()+ROWS($F$2:$F$29))),ROW()-ROW($G$2:$G$29)+1),COLUMN($F$2:$F$29),4)))</f>
        <v>#REF!</v>
      </c>
      <c r="S26" s="169" t="e">
        <f t="array" aca="1" ref="S26" ca="1">IF(ROW()-ROW($H$2:$H$29)+1&gt;ROWS($G$2:$G$29)-COUNTBLANK($G$2:$G$29),"",INDIRECT(ADDRESS(SMALL((IF($G$2:$G$29&lt;&gt;"",ROW($G$2:$G$29),ROW()+ROWS($G$2:$G$29))),ROW()-ROW($H$2:$H$29)+1),COLUMN($G$2:$G$29),4)))</f>
        <v>#REF!</v>
      </c>
      <c r="T26" s="114" t="e">
        <f t="array" aca="1" ref="T26" ca="1">IF(ROW()-ROW($I$2:$I$29)+1&gt;ROWS($H$2:$H$29)-COUNTBLANK($H$2:$H$29),"",INDIRECT(ADDRESS(SMALL((IF($H$2:$H$29&lt;&gt;"",ROW($H$2:$H$29),ROW()+ROWS($H$2:$H$29))),ROW()-ROW($I$2:$I$29)+1),COLUMN($H$2:$H$29),4)))</f>
        <v>#REF!</v>
      </c>
      <c r="U26" s="114" t="e">
        <f t="array" aca="1" ref="U26" ca="1">IF(ROW()-ROW($J$2:$J$29)+1&gt;ROWS($I$2:$I$29)-COUNTBLANK($I$2:$I$29),"",INDIRECT(ADDRESS(SMALL((IF($I$2:$I$29&lt;&gt;"",ROW($I$2:$I$29),ROW()+ROWS($I$2:$I$29))),ROW()-ROW($J$2:$J$29)+1),COLUMN($I$2:$I$29),4)))</f>
        <v>#REF!</v>
      </c>
      <c r="V26" s="114" t="e">
        <f t="array" aca="1" ref="V26" ca="1">IF(ROW()-ROW($K$2:$K$29)+1&gt;ROWS($J$2:$J$29)-COUNTBLANK($J$2:$J$29),"",INDIRECT(ADDRESS(SMALL((IF($J$2:$J$29&lt;&gt;"",ROW($J$2:$J$29),ROW()+ROWS($J$2:$J$29))),ROW()-ROW($K$2:$K$29)+1),COLUMN($J$2:$J$29),4)))</f>
        <v>#REF!</v>
      </c>
      <c r="W26" s="114" t="e">
        <f t="array" aca="1" ref="W26" ca="1">IF(ROW()-ROW($L$2:$L$29)+1&gt;ROWS($K$2:$K$29)-COUNTBLANK($K$2:$K$29),"",INDIRECT(ADDRESS(SMALL((IF($K$2:$K$29&lt;&gt;"",ROW($K$2:$K$29),ROW()+ROWS($K$2:$K$29))),ROW()-ROW($L$2:$L$29)+1),COLUMN($K$2:$K$29),4)))</f>
        <v>#REF!</v>
      </c>
      <c r="X26" s="129" t="e">
        <f t="array" aca="1" ref="X26" ca="1">IF(ROW()-ROW($M$2:$M$29)+1&gt;ROWS($L$2:$L$29)-COUNTBLANK($L$2:$L$29),"",INDIRECT(ADDRESS(SMALL((IF($L$2:$L$29&lt;&gt;"",ROW($L$2:$L$29),ROW()+ROWS($L$2:$L$29))),ROW()-ROW($M$2:$M$29)+1),COLUMN($L$2:$L$29),4)))</f>
        <v>#REF!</v>
      </c>
      <c r="Y26" s="129" t="e">
        <f t="array" aca="1" ref="Y26" ca="1">IF(ROW()-ROW($N$2:$N$29)+1&gt;ROWS($M$2:$M$29)-COUNTBLANK($M$2:$M$29),"",INDIRECT(ADDRESS(SMALL((IF($M$2:$M$29&lt;&gt;"",ROW($M$2:$M$29),ROW()+ROWS($M$2:$M$29))),ROW()-ROW($N$2:$N$29)+1),COLUMN($M$2:$M$29),4)))</f>
        <v>#REF!</v>
      </c>
    </row>
    <row r="27" spans="1:25" ht="60" customHeight="1" x14ac:dyDescent="0.25">
      <c r="A27" s="129" t="e">
        <f>IF('Indicator sheet_(IS)'!#REF!=0,"",'Indicator sheet_(IS)'!#REF!)</f>
        <v>#REF!</v>
      </c>
      <c r="C27" s="29" t="e">
        <f>IF($A27="I.O.","",'Indicator sheet_(IS)'!#REF!)</f>
        <v>#REF!</v>
      </c>
      <c r="D27" s="247" t="e">
        <f>IF($A27="I.O.","",'Indicator sheet_(IS)'!#REF!)</f>
        <v>#REF!</v>
      </c>
      <c r="E27" s="243" t="e">
        <f>IF(AND('Indicator sheet_(IS)'!#REF!="",$A27&lt;&gt;"I.O."),"-----",IF($A27="I.O.","",'Indicator sheet_(IS)'!#REF!))</f>
        <v>#REF!</v>
      </c>
      <c r="F27" s="29" t="e">
        <f>IF($A27="I.O.","",'Indicator sheet_(IS)'!#REF!)</f>
        <v>#REF!</v>
      </c>
      <c r="G27" s="243" t="e">
        <f>IF(AND('Indicator sheet_(IS)'!#REF!="",$A27&lt;&gt;"I.O."),"-----",IF($A27="I.O.","",'Indicator sheet_(IS)'!#REF!))</f>
        <v>#REF!</v>
      </c>
      <c r="H27" s="245" t="e">
        <f>IF($A27="I.O.","",IF('Indicator sheet_(IS)'!#REF!="","-----",'Indicator sheet_(IS)'!#REF!))</f>
        <v>#REF!</v>
      </c>
      <c r="I27" s="245" t="e">
        <f>IF($A27="I.O.","",IF('Indicator sheet_(IS)'!#REF!="","-----",'Indicator sheet_(IS)'!#REF!))</f>
        <v>#REF!</v>
      </c>
      <c r="J27" s="239" t="e">
        <f>IF($A27="I.O.","",IF('Indicator sheet_(IS)'!#REF!="","-----",'Indicator sheet_(IS)'!#REF!))</f>
        <v>#REF!</v>
      </c>
      <c r="K27" s="244" t="e">
        <f>IF($A27="I.O.","",'Indicator sheet_(IS)'!#REF!)</f>
        <v>#REF!</v>
      </c>
      <c r="L27" s="247" t="e">
        <f>IF(AND('Indicator sheet_(IS)'!#REF!="",$A27&lt;&gt;"I.O."),"-----",IF($A27="I.O.","",'Indicator sheet_(IS)'!#REF!))</f>
        <v>#REF!</v>
      </c>
      <c r="M27" s="247" t="e">
        <f>IF(AND('Indicator sheet_(IS)'!#REF!="",$A27&lt;&gt;"I.O."),"-----",IF($A27="I.O.","",'Indicator sheet_(IS)'!#REF!))</f>
        <v>#REF!</v>
      </c>
      <c r="O27" s="114" t="e">
        <f t="array" aca="1" ref="O27" ca="1">IF(ROW()-ROW($D$2:$D$29)+1&gt;ROWS($C$2:$C$29)-COUNTBLANK($C$2:$C$29),"",INDIRECT(ADDRESS(SMALL((IF($C$2:$C$29&lt;&gt;"",ROW($C$2:$C$29),ROW()+ROWS($C$2:$C$29))),ROW()-ROW($D$2:$D$29)+1),COLUMN($C$2:$C$29),4)))</f>
        <v>#REF!</v>
      </c>
      <c r="P27" s="246" t="e">
        <f t="array" aca="1" ref="P27" ca="1">IF(ROW()-ROW($E$2:$E$29)+1&gt;ROWS($D$2:$D$29)-COUNTBLANK($D$2:$D$29),"",INDIRECT(ADDRESS(SMALL((IF($D$2:$D$29&gt;"",ROW($D$2:$D$29),ROW()+ROWS($D$2:$D$29))),ROW()-ROW($E$2:$E$29)+1),COLUMN($D$2:$D$29),4)))</f>
        <v>#REF!</v>
      </c>
      <c r="Q27" s="169" t="e">
        <f t="array" aca="1" ref="Q27" ca="1">IF(ROW()-ROW($F$2:$F$29)+1&gt;ROWS($E$2:$E$29)-COUNTBLANK($E$2:$E$29),"",INDIRECT(ADDRESS(SMALL((IF($E$2:$E$29&gt;"",ROW($E$2:$E$29),ROW()+ROWS($E$2:$E$29))),ROW()-ROW($F$2:$F$29)+1),COLUMN($E$2:$E$29),4)))</f>
        <v>#REF!</v>
      </c>
      <c r="R27" s="169" t="e">
        <f t="array" aca="1" ref="R27" ca="1">IF(ROW()-ROW($G$2:$G$29)+1&gt;ROWS($F$2:$F$29)-COUNTBLANK($F$2:$F$29),"",INDIRECT(ADDRESS(SMALL((IF($F$2:$F$29&gt;"",ROW($F$2:$F$29),ROW()+ROWS($F$2:$F$29))),ROW()-ROW($G$2:$G$29)+1),COLUMN($F$2:$F$29),4)))</f>
        <v>#REF!</v>
      </c>
      <c r="S27" s="169" t="e">
        <f t="array" aca="1" ref="S27" ca="1">IF(ROW()-ROW($H$2:$H$29)+1&gt;ROWS($G$2:$G$29)-COUNTBLANK($G$2:$G$29),"",INDIRECT(ADDRESS(SMALL((IF($G$2:$G$29&lt;&gt;"",ROW($G$2:$G$29),ROW()+ROWS($G$2:$G$29))),ROW()-ROW($H$2:$H$29)+1),COLUMN($G$2:$G$29),4)))</f>
        <v>#REF!</v>
      </c>
      <c r="T27" s="114" t="e">
        <f t="array" aca="1" ref="T27" ca="1">IF(ROW()-ROW($I$2:$I$29)+1&gt;ROWS($H$2:$H$29)-COUNTBLANK($H$2:$H$29),"",INDIRECT(ADDRESS(SMALL((IF($H$2:$H$29&lt;&gt;"",ROW($H$2:$H$29),ROW()+ROWS($H$2:$H$29))),ROW()-ROW($I$2:$I$29)+1),COLUMN($H$2:$H$29),4)))</f>
        <v>#REF!</v>
      </c>
      <c r="U27" s="114" t="e">
        <f t="array" aca="1" ref="U27" ca="1">IF(ROW()-ROW($J$2:$J$29)+1&gt;ROWS($I$2:$I$29)-COUNTBLANK($I$2:$I$29),"",INDIRECT(ADDRESS(SMALL((IF($I$2:$I$29&lt;&gt;"",ROW($I$2:$I$29),ROW()+ROWS($I$2:$I$29))),ROW()-ROW($J$2:$J$29)+1),COLUMN($I$2:$I$29),4)))</f>
        <v>#REF!</v>
      </c>
      <c r="V27" s="114" t="e">
        <f t="array" aca="1" ref="V27" ca="1">IF(ROW()-ROW($K$2:$K$29)+1&gt;ROWS($J$2:$J$29)-COUNTBLANK($J$2:$J$29),"",INDIRECT(ADDRESS(SMALL((IF($J$2:$J$29&lt;&gt;"",ROW($J$2:$J$29),ROW()+ROWS($J$2:$J$29))),ROW()-ROW($K$2:$K$29)+1),COLUMN($J$2:$J$29),4)))</f>
        <v>#REF!</v>
      </c>
      <c r="W27" s="114" t="e">
        <f t="array" aca="1" ref="W27" ca="1">IF(ROW()-ROW($L$2:$L$29)+1&gt;ROWS($K$2:$K$29)-COUNTBLANK($K$2:$K$29),"",INDIRECT(ADDRESS(SMALL((IF($K$2:$K$29&lt;&gt;"",ROW($K$2:$K$29),ROW()+ROWS($K$2:$K$29))),ROW()-ROW($L$2:$L$29)+1),COLUMN($K$2:$K$29),4)))</f>
        <v>#REF!</v>
      </c>
      <c r="X27" s="129" t="e">
        <f t="array" aca="1" ref="X27" ca="1">IF(ROW()-ROW($M$2:$M$29)+1&gt;ROWS($L$2:$L$29)-COUNTBLANK($L$2:$L$29),"",INDIRECT(ADDRESS(SMALL((IF($L$2:$L$29&lt;&gt;"",ROW($L$2:$L$29),ROW()+ROWS($L$2:$L$29))),ROW()-ROW($M$2:$M$29)+1),COLUMN($L$2:$L$29),4)))</f>
        <v>#REF!</v>
      </c>
      <c r="Y27" s="129" t="e">
        <f t="array" aca="1" ref="Y27" ca="1">IF(ROW()-ROW($N$2:$N$29)+1&gt;ROWS($M$2:$M$29)-COUNTBLANK($M$2:$M$29),"",INDIRECT(ADDRESS(SMALL((IF($M$2:$M$29&lt;&gt;"",ROW($M$2:$M$29),ROW()+ROWS($M$2:$M$29))),ROW()-ROW($N$2:$N$29)+1),COLUMN($M$2:$M$29),4)))</f>
        <v>#REF!</v>
      </c>
    </row>
    <row r="28" spans="1:25" ht="60" customHeight="1" x14ac:dyDescent="0.25">
      <c r="A28" s="129" t="str">
        <f>IF('Indicator sheet_(IS)'!P97=0,"",'Indicator sheet_(IS)'!P97)</f>
        <v>Incomplete</v>
      </c>
      <c r="C28" s="29">
        <f>IF($A28="I.O.","",'Indicator sheet_(IS)'!A97)</f>
        <v>26</v>
      </c>
      <c r="D28" s="247" t="str">
        <f>IF($A28="I.O.","",'Indicator sheet_(IS)'!C97)</f>
        <v>Combined radiochemotherapy for SCLC stages IIB – IIIC</v>
      </c>
      <c r="E28" s="243" t="str">
        <f>IF(AND('Indicator sheet_(IS)'!J97="",$A28&lt;&gt;"I.O."),"-----",IF($A28="I.O.","",'Indicator sheet_(IS)'!J97))</f>
        <v>&lt; 30%</v>
      </c>
      <c r="F28" s="29" t="str">
        <f>IF($A28="I.O.","",'Indicator sheet_(IS)'!K97)</f>
        <v>No target value</v>
      </c>
      <c r="G28" s="243" t="str">
        <f>IF(AND('Indicator sheet_(IS)'!M97="",$A28&lt;&gt;"I.O."),"-----",IF($A28="I.O.","",'Indicator sheet_(IS)'!M97))</f>
        <v>-----</v>
      </c>
      <c r="H28" s="245" t="str">
        <f>IF($A28="I.O.","",IF('Indicator sheet_(IS)'!O97="","-----",'Indicator sheet_(IS)'!O97))</f>
        <v>-----</v>
      </c>
      <c r="I28" s="245" t="str">
        <f>IF($A28="I.O.","",IF('Indicator sheet_(IS)'!O98="","-----",'Indicator sheet_(IS)'!O98))</f>
        <v>-----</v>
      </c>
      <c r="J28" s="239" t="str">
        <f>IF($A28="I.O.","",IF('Indicator sheet_(IS)'!O99="","-----",'Indicator sheet_(IS)'!O99))</f>
        <v>n.d.</v>
      </c>
      <c r="K28" s="244" t="str">
        <f>IF($A28="I.O.","",'Indicator sheet_(IS)'!P97)</f>
        <v>Incomplete</v>
      </c>
      <c r="L28" s="247" t="str">
        <f>IF(AND('Indicator sheet_(IS)'!Q97="",$A28&lt;&gt;"I.O."),"-----",IF($A28="I.O.","",'Indicator sheet_(IS)'!Q97))</f>
        <v>-----</v>
      </c>
      <c r="M28" s="247" t="str">
        <f>IF(AND('Indicator sheet_(IS)'!R97="",$A28&lt;&gt;"I.O."),"-----",IF($A28="I.O.","",'Indicator sheet_(IS)'!R97))</f>
        <v>-----</v>
      </c>
      <c r="O28" s="114" t="e">
        <f t="array" aca="1" ref="O28" ca="1">IF(ROW()-ROW($D$2:$D$29)+1&gt;ROWS($C$2:$C$29)-COUNTBLANK($C$2:$C$29),"",INDIRECT(ADDRESS(SMALL((IF($C$2:$C$29&lt;&gt;"",ROW($C$2:$C$29),ROW()+ROWS($C$2:$C$29))),ROW()-ROW($D$2:$D$29)+1),COLUMN($C$2:$C$29),4)))</f>
        <v>#REF!</v>
      </c>
      <c r="P28" s="246" t="e">
        <f t="array" aca="1" ref="P28" ca="1">IF(ROW()-ROW($E$2:$E$29)+1&gt;ROWS($D$2:$D$29)-COUNTBLANK($D$2:$D$29),"",INDIRECT(ADDRESS(SMALL((IF($D$2:$D$29&gt;"",ROW($D$2:$D$29),ROW()+ROWS($D$2:$D$29))),ROW()-ROW($E$2:$E$29)+1),COLUMN($D$2:$D$29),4)))</f>
        <v>#REF!</v>
      </c>
      <c r="Q28" s="169" t="e">
        <f t="array" aca="1" ref="Q28" ca="1">IF(ROW()-ROW($F$2:$F$29)+1&gt;ROWS($E$2:$E$29)-COUNTBLANK($E$2:$E$29),"",INDIRECT(ADDRESS(SMALL((IF($E$2:$E$29&gt;"",ROW($E$2:$E$29),ROW()+ROWS($E$2:$E$29))),ROW()-ROW($F$2:$F$29)+1),COLUMN($E$2:$E$29),4)))</f>
        <v>#REF!</v>
      </c>
      <c r="R28" s="169" t="e">
        <f t="array" aca="1" ref="R28" ca="1">IF(ROW()-ROW($G$2:$G$29)+1&gt;ROWS($F$2:$F$29)-COUNTBLANK($F$2:$F$29),"",INDIRECT(ADDRESS(SMALL((IF($F$2:$F$29&gt;"",ROW($F$2:$F$29),ROW()+ROWS($F$2:$F$29))),ROW()-ROW($G$2:$G$29)+1),COLUMN($F$2:$F$29),4)))</f>
        <v>#REF!</v>
      </c>
      <c r="S28" s="169" t="e">
        <f t="array" aca="1" ref="S28" ca="1">IF(ROW()-ROW($H$2:$H$29)+1&gt;ROWS($G$2:$G$29)-COUNTBLANK($G$2:$G$29),"",INDIRECT(ADDRESS(SMALL((IF($G$2:$G$29&lt;&gt;"",ROW($G$2:$G$29),ROW()+ROWS($G$2:$G$29))),ROW()-ROW($H$2:$H$29)+1),COLUMN($G$2:$G$29),4)))</f>
        <v>#REF!</v>
      </c>
      <c r="T28" s="114" t="e">
        <f t="array" aca="1" ref="T28" ca="1">IF(ROW()-ROW($I$2:$I$29)+1&gt;ROWS($H$2:$H$29)-COUNTBLANK($H$2:$H$29),"",INDIRECT(ADDRESS(SMALL((IF($H$2:$H$29&lt;&gt;"",ROW($H$2:$H$29),ROW()+ROWS($H$2:$H$29))),ROW()-ROW($I$2:$I$29)+1),COLUMN($H$2:$H$29),4)))</f>
        <v>#REF!</v>
      </c>
      <c r="U28" s="114" t="e">
        <f t="array" aca="1" ref="U28" ca="1">IF(ROW()-ROW($J$2:$J$29)+1&gt;ROWS($I$2:$I$29)-COUNTBLANK($I$2:$I$29),"",INDIRECT(ADDRESS(SMALL((IF($I$2:$I$29&lt;&gt;"",ROW($I$2:$I$29),ROW()+ROWS($I$2:$I$29))),ROW()-ROW($J$2:$J$29)+1),COLUMN($I$2:$I$29),4)))</f>
        <v>#REF!</v>
      </c>
      <c r="V28" s="114" t="e">
        <f t="array" aca="1" ref="V28" ca="1">IF(ROW()-ROW($K$2:$K$29)+1&gt;ROWS($J$2:$J$29)-COUNTBLANK($J$2:$J$29),"",INDIRECT(ADDRESS(SMALL((IF($J$2:$J$29&lt;&gt;"",ROW($J$2:$J$29),ROW()+ROWS($J$2:$J$29))),ROW()-ROW($K$2:$K$29)+1),COLUMN($J$2:$J$29),4)))</f>
        <v>#REF!</v>
      </c>
      <c r="W28" s="114" t="e">
        <f t="array" aca="1" ref="W28" ca="1">IF(ROW()-ROW($L$2:$L$29)+1&gt;ROWS($K$2:$K$29)-COUNTBLANK($K$2:$K$29),"",INDIRECT(ADDRESS(SMALL((IF($K$2:$K$29&lt;&gt;"",ROW($K$2:$K$29),ROW()+ROWS($K$2:$K$29))),ROW()-ROW($L$2:$L$29)+1),COLUMN($K$2:$K$29),4)))</f>
        <v>#REF!</v>
      </c>
      <c r="X28" s="129" t="e">
        <f t="array" aca="1" ref="X28" ca="1">IF(ROW()-ROW($M$2:$M$29)+1&gt;ROWS($L$2:$L$29)-COUNTBLANK($L$2:$L$29),"",INDIRECT(ADDRESS(SMALL((IF($L$2:$L$29&lt;&gt;"",ROW($L$2:$L$29),ROW()+ROWS($L$2:$L$29))),ROW()-ROW($M$2:$M$29)+1),COLUMN($L$2:$L$29),4)))</f>
        <v>#REF!</v>
      </c>
      <c r="Y28" s="129" t="e">
        <f t="array" aca="1" ref="Y28" ca="1">IF(ROW()-ROW($N$2:$N$29)+1&gt;ROWS($M$2:$M$29)-COUNTBLANK($M$2:$M$29),"",INDIRECT(ADDRESS(SMALL((IF($M$2:$M$29&lt;&gt;"",ROW($M$2:$M$29),ROW()+ROWS($M$2:$M$29))),ROW()-ROW($N$2:$N$29)+1),COLUMN($M$2:$M$29),4)))</f>
        <v>#REF!</v>
      </c>
    </row>
    <row r="29" spans="1:25" ht="60" customHeight="1" x14ac:dyDescent="0.25">
      <c r="A29" s="129" t="str">
        <f>IF('Indicator sheet_(IS)'!P106=0,"",'Indicator sheet_(IS)'!P106)</f>
        <v>Incomplete</v>
      </c>
      <c r="C29" s="29">
        <f>IF($A29="I.O.","",'Indicator sheet_(IS)'!A106)</f>
        <v>29</v>
      </c>
      <c r="D29" s="247" t="str">
        <f>IF($A29="I.O.","",'Indicator sheet_(IS)'!C106)</f>
        <v>CTCAE stage V on systemic therapy</v>
      </c>
      <c r="E29" s="243" t="str">
        <f>IF(AND('Indicator sheet_(IS)'!J106="",$A29&lt;&gt;"I.O."),"-----",IF($A29="I.O.","",'Indicator sheet_(IS)'!J106))</f>
        <v>-----</v>
      </c>
      <c r="F29" s="29" t="str">
        <f>IF($A29="I.O.","",'Indicator sheet_(IS)'!K106)</f>
        <v>No target value</v>
      </c>
      <c r="G29" s="243" t="str">
        <f>IF(AND('Indicator sheet_(IS)'!M106="",$A29&lt;&gt;"I.O."),"-----",IF($A29="I.O.","",'Indicator sheet_(IS)'!M106))</f>
        <v>&gt; 5%</v>
      </c>
      <c r="H29" s="245" t="str">
        <f>IF($A29="I.O.","",IF('Indicator sheet_(IS)'!O106="","-----",'Indicator sheet_(IS)'!O106))</f>
        <v>-----</v>
      </c>
      <c r="I29" s="245" t="str">
        <f>IF($A29="I.O.","",IF('Indicator sheet_(IS)'!O107="","-----",'Indicator sheet_(IS)'!O107))</f>
        <v>-----</v>
      </c>
      <c r="J29" s="239" t="str">
        <f>IF($A29="I.O.","",IF('Indicator sheet_(IS)'!O108="",0,'Indicator sheet_(IS)'!O108))</f>
        <v>n.d.</v>
      </c>
      <c r="K29" s="244" t="str">
        <f>IF($A29="I.O.","",'Indicator sheet_(IS)'!P106)</f>
        <v>Incomplete</v>
      </c>
      <c r="L29" s="247" t="str">
        <f>IF(AND('Indicator sheet_(IS)'!Q106="",$A29&lt;&gt;"I.O."),"-----",IF($A29="I.O.","",'Indicator sheet_(IS)'!Q106))</f>
        <v>-----</v>
      </c>
      <c r="M29" s="247" t="str">
        <f>IF(AND('Indicator sheet_(IS)'!R106="",$A29&lt;&gt;"I.O."),"-----",IF($A29="I.O.","",'Indicator sheet_(IS)'!R106))</f>
        <v>-----</v>
      </c>
      <c r="O29" s="114" t="e">
        <f t="array" aca="1" ref="O29" ca="1">IF(ROW()-ROW($D$2:$D$29)+1&gt;ROWS($C$2:$C$29)-COUNTBLANK($C$2:$C$29),"",INDIRECT(ADDRESS(SMALL((IF($C$2:$C$29&lt;&gt;"",ROW($C$2:$C$29),ROW()+ROWS($C$2:$C$29))),ROW()-ROW($D$2:$D$29)+1),COLUMN($C$2:$C$29),4)))</f>
        <v>#REF!</v>
      </c>
      <c r="P29" s="246" t="e">
        <f t="array" aca="1" ref="P29" ca="1">IF(ROW()-ROW($E$2:$E$29)+1&gt;ROWS($D$2:$D$29)-COUNTBLANK($D$2:$D$29),"",INDIRECT(ADDRESS(SMALL((IF($D$2:$D$29&gt;"",ROW($D$2:$D$29),ROW()+ROWS($D$2:$D$29))),ROW()-ROW($E$2:$E$29)+1),COLUMN($D$2:$D$29),4)))</f>
        <v>#REF!</v>
      </c>
      <c r="Q29" s="169" t="e">
        <f t="array" aca="1" ref="Q29" ca="1">IF(ROW()-ROW($F$2:$F$29)+1&gt;ROWS($E$2:$E$29)-COUNTBLANK($E$2:$E$29),"",INDIRECT(ADDRESS(SMALL((IF($E$2:$E$29&gt;"",ROW($E$2:$E$29),ROW()+ROWS($E$2:$E$29))),ROW()-ROW($F$2:$F$29)+1),COLUMN($E$2:$E$29),4)))</f>
        <v>#REF!</v>
      </c>
      <c r="R29" s="169" t="e">
        <f t="array" aca="1" ref="R29" ca="1">IF(ROW()-ROW($G$2:$G$29)+1&gt;ROWS($F$2:$F$29)-COUNTBLANK($F$2:$F$29),"",INDIRECT(ADDRESS(SMALL((IF($F$2:$F$29&gt;"",ROW($F$2:$F$29),ROW()+ROWS($F$2:$F$29))),ROW()-ROW($G$2:$G$29)+1),COLUMN($F$2:$F$29),4)))</f>
        <v>#REF!</v>
      </c>
      <c r="S29" s="169" t="e">
        <f t="array" aca="1" ref="S29" ca="1">IF(ROW()-ROW($H$2:$H$29)+1&gt;ROWS($G$2:$G$29)-COUNTBLANK($G$2:$G$29),"",INDIRECT(ADDRESS(SMALL((IF($G$2:$G$29&lt;&gt;"",ROW($G$2:$G$29),ROW()+ROWS($G$2:$G$29))),ROW()-ROW($H$2:$H$29)+1),COLUMN($G$2:$G$29),4)))</f>
        <v>#REF!</v>
      </c>
      <c r="T29" s="114" t="e">
        <f t="array" aca="1" ref="T29" ca="1">IF(ROW()-ROW($I$2:$I$29)+1&gt;ROWS($H$2:$H$29)-COUNTBLANK($H$2:$H$29),"",INDIRECT(ADDRESS(SMALL((IF($H$2:$H$29&lt;&gt;"",ROW($H$2:$H$29),ROW()+ROWS($H$2:$H$29))),ROW()-ROW($I$2:$I$29)+1),COLUMN($H$2:$H$29),4)))</f>
        <v>#REF!</v>
      </c>
      <c r="U29" s="114" t="e">
        <f t="array" aca="1" ref="U29" ca="1">IF(ROW()-ROW($J$2:$J$29)+1&gt;ROWS($I$2:$I$29)-COUNTBLANK($I$2:$I$29),"",INDIRECT(ADDRESS(SMALL((IF($I$2:$I$29&lt;&gt;"",ROW($I$2:$I$29),ROW()+ROWS($I$2:$I$29))),ROW()-ROW($J$2:$J$29)+1),COLUMN($I$2:$I$29),4)))</f>
        <v>#REF!</v>
      </c>
      <c r="V29" s="114" t="e">
        <f t="array" aca="1" ref="V29" ca="1">IF(ROW()-ROW($K$2:$K$29)+1&gt;ROWS($J$2:$J$29)-COUNTBLANK($J$2:$J$29),"",INDIRECT(ADDRESS(SMALL((IF($J$2:$J$29&lt;&gt;"",ROW($J$2:$J$29),ROW()+ROWS($J$2:$J$29))),ROW()-ROW($K$2:$K$29)+1),COLUMN($J$2:$J$29),4)))</f>
        <v>#REF!</v>
      </c>
      <c r="W29" s="114" t="e">
        <f t="array" aca="1" ref="W29" ca="1">IF(ROW()-ROW($L$2:$L$29)+1&gt;ROWS($K$2:$K$29)-COUNTBLANK($K$2:$K$29),"",INDIRECT(ADDRESS(SMALL((IF($K$2:$K$29&lt;&gt;"",ROW($K$2:$K$29),ROW()+ROWS($K$2:$K$29))),ROW()-ROW($L$2:$L$29)+1),COLUMN($K$2:$K$29),4)))</f>
        <v>#REF!</v>
      </c>
      <c r="X29" s="129" t="e">
        <f t="array" aca="1" ref="X29" ca="1">IF(ROW()-ROW($M$2:$M$29)+1&gt;ROWS($L$2:$L$29)-COUNTBLANK($L$2:$L$29),"",INDIRECT(ADDRESS(SMALL((IF($L$2:$L$29&lt;&gt;"",ROW($L$2:$L$29),ROW()+ROWS($L$2:$L$29))),ROW()-ROW($M$2:$M$29)+1),COLUMN($L$2:$L$29),4)))</f>
        <v>#REF!</v>
      </c>
      <c r="Y29" s="129" t="e">
        <f t="array" aca="1" ref="Y29" ca="1">IF(ROW()-ROW($N$2:$N$29)+1&gt;ROWS($M$2:$M$29)-COUNTBLANK($M$2:$M$29),"",INDIRECT(ADDRESS(SMALL((IF($M$2:$M$29&lt;&gt;"",ROW($M$2:$M$29),ROW()+ROWS($M$2:$M$29))),ROW()-ROW($N$2:$N$29)+1),COLUMN($M$2:$M$29),4)))</f>
        <v>#REF!</v>
      </c>
    </row>
  </sheetData>
  <sheetProtection formatColumns="0" formatRows="0" selectLockedCells="1" sort="0"/>
  <phoneticPr fontId="36" type="noConversion"/>
  <conditionalFormatting sqref="K2:K29">
    <cfRule type="cellIs" dxfId="43" priority="1" stopIfTrue="1" operator="equal">
      <formula>"Sollvorgabe nicht erfüllt"</formula>
    </cfRule>
    <cfRule type="cellIs" dxfId="42" priority="14" stopIfTrue="1" operator="equal">
      <formula>"I.O. (Plausibilität unklar)"</formula>
    </cfRule>
    <cfRule type="cellIs" dxfId="41" priority="15" stopIfTrue="1" operator="equal">
      <formula>"Ausnahme (Plausibilität unklar)"</formula>
    </cfRule>
    <cfRule type="expression" dxfId="40" priority="16" stopIfTrue="1">
      <formula>OR(K2="Unvollständig",K2="Inkorrekt")</formula>
    </cfRule>
    <cfRule type="cellIs" dxfId="39" priority="17" stopIfTrue="1" operator="equal">
      <formula>"I.O."</formula>
    </cfRule>
  </conditionalFormatting>
  <pageMargins left="0.39370078740157483" right="0.19685039370078741" top="0.59055118110236227" bottom="0.39370078740157483" header="0.11811023622047245" footer="0.11811023622047245"/>
  <pageSetup paperSize="9" scale="87" orientation="landscape" r:id="rId1"/>
  <headerFooter>
    <oddFooter>&amp;L&amp;"Arial,Standard"&amp;7&amp;F&amp;C&amp;"Arial,Standard"&amp;7 © DKG  Alle Rechte vorbehalten&amp;R&amp;"Arial,Standard"&amp;7&amp;P</oddFooter>
  </headerFooter>
  <rowBreaks count="1" manualBreakCount="1">
    <brk id="16" min="2" max="12"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6">
    <pageSetUpPr fitToPage="1"/>
  </sheetPr>
  <dimension ref="A1:AE118"/>
  <sheetViews>
    <sheetView showGridLines="0" showRuler="0" zoomScaleNormal="100" zoomScaleSheetLayoutView="100" workbookViewId="0">
      <selection activeCell="B2" sqref="B2"/>
    </sheetView>
  </sheetViews>
  <sheetFormatPr defaultColWidth="9" defaultRowHeight="14.25" x14ac:dyDescent="0.2"/>
  <cols>
    <col min="1" max="1" width="8.140625" style="3" customWidth="1"/>
    <col min="2" max="2" width="5.85546875" style="3" customWidth="1"/>
    <col min="3" max="12" width="5.7109375" style="3" customWidth="1"/>
    <col min="13" max="13" width="0.42578125" style="3" customWidth="1"/>
    <col min="14" max="17" width="5.7109375" style="3" customWidth="1"/>
    <col min="18" max="18" width="7.7109375" style="3" customWidth="1"/>
    <col min="19" max="19" width="0.42578125" style="3" customWidth="1"/>
    <col min="20" max="20" width="5.7109375" style="3" customWidth="1"/>
    <col min="21" max="21" width="5.7109375" style="3" hidden="1" customWidth="1"/>
    <col min="22" max="26" width="5.7109375" style="3" customWidth="1"/>
    <col min="27" max="27" width="0.42578125" style="3" customWidth="1"/>
    <col min="28" max="28" width="7.7109375" style="3" customWidth="1"/>
    <col min="29" max="29" width="7.7109375" style="14" customWidth="1"/>
    <col min="30" max="30" width="8" style="3" customWidth="1"/>
    <col min="31" max="31" width="8.42578125" style="3" customWidth="1"/>
    <col min="32" max="188" width="11.42578125" style="3" customWidth="1"/>
    <col min="189" max="16384" width="9" style="3"/>
  </cols>
  <sheetData>
    <row r="1" spans="1:29" ht="9.9499999999999993" customHeight="1" x14ac:dyDescent="0.2">
      <c r="C1" s="27"/>
      <c r="O1" s="15"/>
      <c r="P1" s="15"/>
      <c r="Q1" s="15"/>
      <c r="R1" s="15"/>
      <c r="S1" s="15"/>
      <c r="T1" s="15"/>
      <c r="U1" s="15"/>
      <c r="V1" s="15"/>
      <c r="W1" s="15"/>
      <c r="X1" s="15"/>
    </row>
    <row r="2" spans="1:29" ht="12.95" customHeight="1" x14ac:dyDescent="0.2">
      <c r="A2" s="314" t="str">
        <f>'Basic Data'!A2</f>
        <v>Annex CR Version J2.1 (Audit year 2026 / Indicator year 2025)</v>
      </c>
      <c r="L2" s="39"/>
      <c r="O2" s="15"/>
      <c r="P2" s="15"/>
      <c r="Q2" s="15"/>
      <c r="R2" s="15"/>
      <c r="S2" s="15"/>
      <c r="T2" s="15"/>
      <c r="U2" s="15"/>
      <c r="V2" s="15"/>
      <c r="W2" s="15"/>
      <c r="X2" s="15"/>
    </row>
    <row r="3" spans="1:29" ht="16.5" x14ac:dyDescent="0.25">
      <c r="A3" s="18" t="s">
        <v>312</v>
      </c>
      <c r="O3" s="15"/>
      <c r="P3" s="15"/>
      <c r="Q3" s="15"/>
      <c r="R3" s="15"/>
      <c r="S3" s="15"/>
      <c r="T3" s="15"/>
      <c r="U3" s="15"/>
      <c r="V3" s="15"/>
      <c r="X3" s="16"/>
      <c r="Y3" s="16"/>
      <c r="Z3" s="16"/>
    </row>
    <row r="4" spans="1:29" x14ac:dyDescent="0.2">
      <c r="A4" s="46"/>
      <c r="O4" s="15"/>
      <c r="P4" s="15"/>
      <c r="Q4" s="15"/>
      <c r="R4" s="15"/>
      <c r="S4" s="15"/>
      <c r="T4" s="15"/>
      <c r="U4" s="15"/>
      <c r="V4" s="15"/>
      <c r="X4" s="16"/>
      <c r="Y4" s="16"/>
      <c r="Z4" s="16"/>
    </row>
    <row r="5" spans="1:29" ht="15" customHeight="1" x14ac:dyDescent="0.2">
      <c r="T5" s="15"/>
      <c r="U5" s="15"/>
      <c r="V5" s="15"/>
    </row>
    <row r="6" spans="1:29" s="22" customFormat="1" ht="15" customHeight="1" x14ac:dyDescent="0.25">
      <c r="B6" s="25" t="s">
        <v>213</v>
      </c>
      <c r="D6" s="3"/>
      <c r="E6" s="923" t="str">
        <f>IF('Basic Data'!B9=0,"",'Basic Data'!B9)</f>
        <v/>
      </c>
      <c r="F6" s="924"/>
      <c r="G6" s="924"/>
      <c r="H6" s="924"/>
      <c r="I6" s="924"/>
      <c r="J6" s="924"/>
      <c r="K6" s="924"/>
      <c r="L6" s="924"/>
      <c r="M6" s="924"/>
      <c r="N6" s="863"/>
      <c r="O6" s="863"/>
      <c r="P6" s="863"/>
      <c r="Q6" s="863"/>
      <c r="R6" s="863"/>
      <c r="S6" s="863"/>
      <c r="T6" s="863"/>
      <c r="Z6"/>
      <c r="AA6"/>
      <c r="AB6"/>
      <c r="AC6" s="13"/>
    </row>
    <row r="7" spans="1:29" s="22" customFormat="1" ht="6.95" customHeight="1" x14ac:dyDescent="0.2">
      <c r="B7" s="6"/>
      <c r="C7" s="21"/>
      <c r="D7" s="3"/>
      <c r="E7" s="3"/>
      <c r="F7" s="3"/>
      <c r="G7" s="3"/>
      <c r="H7" s="3"/>
      <c r="I7" s="3"/>
      <c r="J7" s="3"/>
      <c r="K7" s="3"/>
      <c r="L7" s="3"/>
      <c r="M7" s="19"/>
      <c r="N7" s="20"/>
      <c r="O7" s="20"/>
      <c r="P7" s="20"/>
    </row>
    <row r="8" spans="1:29" s="22" customFormat="1" ht="15" customHeight="1" x14ac:dyDescent="0.25">
      <c r="B8" s="23" t="s">
        <v>156</v>
      </c>
      <c r="C8" s="24"/>
      <c r="D8" s="3"/>
      <c r="E8" s="937" t="str">
        <f>IF('Basic Data'!B7=0,"",'Basic Data'!B7)</f>
        <v/>
      </c>
      <c r="F8" s="855"/>
      <c r="G8" s="856"/>
      <c r="N8" s="4" t="s">
        <v>154</v>
      </c>
      <c r="Q8" s="931" t="str">
        <f>IF('Basic Data'!I13=0,"",'Basic Data'!I13)</f>
        <v/>
      </c>
      <c r="R8" s="932"/>
      <c r="S8" s="933"/>
      <c r="T8" s="934"/>
      <c r="AC8"/>
    </row>
    <row r="9" spans="1:29" s="22" customFormat="1" ht="6" customHeight="1" x14ac:dyDescent="0.2">
      <c r="B9" s="23"/>
      <c r="C9" s="24"/>
      <c r="D9" s="3"/>
      <c r="E9" s="3"/>
      <c r="F9" s="3"/>
      <c r="G9" s="3"/>
      <c r="I9" s="3"/>
      <c r="J9" s="3"/>
      <c r="K9" s="3"/>
      <c r="L9" s="3"/>
      <c r="M9" s="26"/>
      <c r="O9" s="20"/>
      <c r="P9" s="20"/>
      <c r="Q9" s="3"/>
      <c r="R9" s="3"/>
      <c r="AC9" s="13"/>
    </row>
    <row r="10" spans="1:29" ht="6.75" customHeight="1" x14ac:dyDescent="0.2">
      <c r="N10" s="22"/>
    </row>
    <row r="11" spans="1:29" ht="14.25" customHeight="1" x14ac:dyDescent="0.2">
      <c r="A11" s="935"/>
      <c r="B11" s="935"/>
      <c r="C11" s="935"/>
      <c r="D11" s="935"/>
      <c r="E11" s="935"/>
      <c r="F11" s="935"/>
      <c r="G11" s="935"/>
      <c r="H11" s="935"/>
      <c r="I11" s="935"/>
      <c r="J11" s="935"/>
      <c r="K11" s="935"/>
      <c r="L11" s="935"/>
      <c r="M11" s="935"/>
      <c r="N11" s="935"/>
      <c r="O11" s="935"/>
      <c r="P11" s="935"/>
      <c r="Q11" s="935"/>
      <c r="R11" s="935"/>
      <c r="S11" s="935"/>
      <c r="T11" s="935"/>
      <c r="U11" s="935"/>
      <c r="V11" s="935"/>
      <c r="W11" s="935"/>
      <c r="X11" s="935"/>
      <c r="Y11" s="935"/>
      <c r="Z11" s="935"/>
      <c r="AA11" s="935"/>
      <c r="AB11" s="935"/>
      <c r="AC11" s="935"/>
    </row>
    <row r="12" spans="1:29" ht="12" customHeight="1" x14ac:dyDescent="0.25">
      <c r="A12" s="9" t="s">
        <v>293</v>
      </c>
    </row>
    <row r="13" spans="1:29" ht="11.25" customHeight="1" x14ac:dyDescent="0.25">
      <c r="B13" s="925" t="str">
        <f>IF(OR(B14="",B14="Matrix kann eingereicht werden"),"In Ordnung",IF(B14="die inkorrekten und unvollständigen Einträge beheben","Nicht in Ordnung"))</f>
        <v>In Ordnung</v>
      </c>
      <c r="C13" s="926"/>
      <c r="D13" s="926"/>
      <c r="E13" s="926"/>
      <c r="F13" s="926"/>
      <c r="G13" s="927" t="s">
        <v>155</v>
      </c>
      <c r="H13" s="928"/>
      <c r="I13" s="928"/>
      <c r="J13" s="928"/>
      <c r="K13" s="928"/>
      <c r="L13" s="928"/>
      <c r="M13" s="928"/>
      <c r="N13" s="929" t="s">
        <v>20</v>
      </c>
      <c r="O13" s="930"/>
      <c r="P13" s="930"/>
      <c r="Q13" s="930"/>
      <c r="R13" s="930"/>
      <c r="S13" s="930"/>
      <c r="T13" s="936" t="s">
        <v>164</v>
      </c>
      <c r="U13" s="936"/>
      <c r="V13" s="938"/>
      <c r="W13" s="938"/>
      <c r="X13" s="928"/>
      <c r="Y13" s="936" t="s">
        <v>368</v>
      </c>
      <c r="Z13" s="936"/>
      <c r="AA13" s="936"/>
      <c r="AB13" s="928"/>
      <c r="AC13" s="928"/>
    </row>
    <row r="14" spans="1:29" ht="21.75" customHeight="1" x14ac:dyDescent="0.25">
      <c r="B14" s="902" t="str">
        <f>Berechnung2!B6</f>
        <v/>
      </c>
      <c r="C14" s="903"/>
      <c r="D14" s="903"/>
      <c r="E14" s="903"/>
      <c r="F14" s="903"/>
      <c r="G14" s="946">
        <f>Berechnung2!C6</f>
        <v>0</v>
      </c>
      <c r="H14" s="906"/>
      <c r="I14" s="906"/>
      <c r="J14" s="906"/>
      <c r="K14" s="906"/>
      <c r="L14" s="906"/>
      <c r="M14" s="906"/>
      <c r="N14" s="944">
        <f>Berechnung2!D6</f>
        <v>0</v>
      </c>
      <c r="O14" s="945"/>
      <c r="P14" s="945"/>
      <c r="Q14" s="945"/>
      <c r="R14" s="945"/>
      <c r="S14" s="945"/>
      <c r="T14" s="904">
        <f>Berechnung2!E6</f>
        <v>0</v>
      </c>
      <c r="U14" s="904"/>
      <c r="V14" s="905"/>
      <c r="W14" s="905"/>
      <c r="X14" s="906"/>
      <c r="Y14" s="904">
        <f>Berechnung2!F6</f>
        <v>0</v>
      </c>
      <c r="Z14" s="904"/>
      <c r="AA14" s="904"/>
      <c r="AB14" s="906"/>
      <c r="AC14" s="906"/>
    </row>
    <row r="15" spans="1:29" s="22" customFormat="1" ht="6.75" customHeight="1" x14ac:dyDescent="0.2">
      <c r="B15" s="6"/>
      <c r="C15" s="11"/>
      <c r="D15" s="11"/>
      <c r="E15" s="11"/>
      <c r="F15" s="11"/>
      <c r="G15" s="11"/>
      <c r="H15" s="11"/>
      <c r="I15" s="11"/>
      <c r="J15" s="11"/>
      <c r="K15" s="11"/>
      <c r="L15" s="11"/>
      <c r="AC15" s="13"/>
    </row>
    <row r="16" spans="1:29" s="22" customFormat="1" ht="3.75" customHeight="1" x14ac:dyDescent="0.2">
      <c r="B16" s="6"/>
      <c r="C16" s="11"/>
      <c r="D16" s="11"/>
      <c r="E16" s="11"/>
      <c r="F16" s="11"/>
      <c r="G16" s="11"/>
      <c r="H16" s="11"/>
      <c r="I16" s="11"/>
      <c r="J16" s="11"/>
      <c r="K16" s="11"/>
      <c r="L16" s="11"/>
      <c r="AC16" s="13"/>
    </row>
    <row r="17" spans="1:31" s="22" customFormat="1" ht="3" customHeight="1" x14ac:dyDescent="0.2">
      <c r="B17" s="6"/>
      <c r="C17" s="11"/>
      <c r="D17" s="11"/>
      <c r="E17" s="11"/>
      <c r="F17" s="11"/>
      <c r="G17" s="11"/>
      <c r="H17" s="11"/>
      <c r="I17" s="11"/>
      <c r="J17" s="11"/>
      <c r="K17" s="11"/>
      <c r="L17" s="11"/>
      <c r="AC17" s="13"/>
    </row>
    <row r="18" spans="1:31" s="22" customFormat="1" ht="3" customHeight="1" thickBot="1" x14ac:dyDescent="0.25">
      <c r="B18" s="6"/>
      <c r="C18" s="11"/>
      <c r="D18" s="11"/>
      <c r="E18" s="11"/>
      <c r="F18" s="11"/>
      <c r="G18" s="11"/>
      <c r="H18" s="11"/>
      <c r="I18" s="11"/>
      <c r="J18" s="11"/>
      <c r="K18" s="11"/>
      <c r="L18" s="11"/>
      <c r="AC18" s="13"/>
    </row>
    <row r="19" spans="1:31" ht="22.5" customHeight="1" thickTop="1" thickBot="1" x14ac:dyDescent="0.3">
      <c r="A19" s="266"/>
      <c r="B19" s="267"/>
      <c r="C19" s="947" t="s">
        <v>221</v>
      </c>
      <c r="D19" s="948"/>
      <c r="E19" s="948"/>
      <c r="F19" s="948"/>
      <c r="G19" s="948"/>
      <c r="H19" s="948"/>
      <c r="I19" s="948"/>
      <c r="J19" s="948"/>
      <c r="K19" s="948"/>
      <c r="L19" s="948"/>
      <c r="M19" s="345"/>
      <c r="N19" s="939" t="s">
        <v>160</v>
      </c>
      <c r="O19" s="940"/>
      <c r="P19" s="940"/>
      <c r="Q19" s="940"/>
      <c r="R19" s="940"/>
      <c r="S19" s="940"/>
      <c r="T19" s="940"/>
      <c r="U19" s="940"/>
      <c r="V19" s="940"/>
      <c r="W19" s="940"/>
      <c r="X19" s="940"/>
      <c r="Y19" s="940"/>
      <c r="Z19" s="941"/>
      <c r="AA19" s="259"/>
      <c r="AB19" s="942" t="s">
        <v>407</v>
      </c>
      <c r="AC19" s="943"/>
    </row>
    <row r="20" spans="1:31" ht="12.75" customHeight="1" thickBot="1" x14ac:dyDescent="0.25">
      <c r="A20" s="47" t="s">
        <v>208</v>
      </c>
      <c r="B20" s="1" t="s">
        <v>6</v>
      </c>
      <c r="C20" s="1" t="s">
        <v>21</v>
      </c>
      <c r="D20" s="2" t="s">
        <v>22</v>
      </c>
      <c r="E20" s="2" t="s">
        <v>23</v>
      </c>
      <c r="F20" s="2" t="s">
        <v>24</v>
      </c>
      <c r="G20" s="2" t="s">
        <v>25</v>
      </c>
      <c r="H20" s="2" t="s">
        <v>246</v>
      </c>
      <c r="I20" s="2" t="s">
        <v>26</v>
      </c>
      <c r="J20" s="2" t="s">
        <v>158</v>
      </c>
      <c r="K20" s="2" t="s">
        <v>487</v>
      </c>
      <c r="L20" s="2" t="s">
        <v>159</v>
      </c>
      <c r="M20" s="344"/>
      <c r="N20" s="262" t="s">
        <v>247</v>
      </c>
      <c r="O20" s="34" t="s">
        <v>27</v>
      </c>
      <c r="P20" s="34" t="s">
        <v>28</v>
      </c>
      <c r="Q20" s="34" t="s">
        <v>488</v>
      </c>
      <c r="R20" s="34" t="s">
        <v>114</v>
      </c>
      <c r="S20" s="271"/>
      <c r="T20" s="1" t="s">
        <v>29</v>
      </c>
      <c r="U20" s="34" t="s">
        <v>30</v>
      </c>
      <c r="V20" s="34" t="s">
        <v>31</v>
      </c>
      <c r="W20" s="34" t="s">
        <v>32</v>
      </c>
      <c r="X20" s="34" t="s">
        <v>248</v>
      </c>
      <c r="Y20" s="34" t="s">
        <v>489</v>
      </c>
      <c r="Z20" s="34" t="s">
        <v>33</v>
      </c>
      <c r="AA20" s="270"/>
      <c r="AB20" s="1" t="s">
        <v>490</v>
      </c>
      <c r="AC20" s="12" t="s">
        <v>491</v>
      </c>
    </row>
    <row r="21" spans="1:31" ht="129" customHeight="1" x14ac:dyDescent="0.2">
      <c r="A21" s="869" t="s">
        <v>100</v>
      </c>
      <c r="B21" s="871" t="s">
        <v>34</v>
      </c>
      <c r="C21" s="875" t="s">
        <v>223</v>
      </c>
      <c r="D21" s="875" t="s">
        <v>408</v>
      </c>
      <c r="E21" s="875" t="s">
        <v>409</v>
      </c>
      <c r="F21" s="875" t="s">
        <v>410</v>
      </c>
      <c r="G21" s="875" t="s">
        <v>411</v>
      </c>
      <c r="H21" s="875" t="s">
        <v>412</v>
      </c>
      <c r="I21" s="875" t="s">
        <v>413</v>
      </c>
      <c r="J21" s="875" t="s">
        <v>484</v>
      </c>
      <c r="K21" s="875" t="s">
        <v>485</v>
      </c>
      <c r="L21" s="875" t="s">
        <v>486</v>
      </c>
      <c r="M21" s="338"/>
      <c r="N21" s="875" t="s">
        <v>400</v>
      </c>
      <c r="O21" s="875" t="s">
        <v>399</v>
      </c>
      <c r="P21" s="875" t="s">
        <v>402</v>
      </c>
      <c r="Q21" s="875" t="s">
        <v>401</v>
      </c>
      <c r="R21" s="909" t="s">
        <v>271</v>
      </c>
      <c r="S21" s="264"/>
      <c r="T21" s="875" t="s">
        <v>403</v>
      </c>
      <c r="U21" s="871" t="s">
        <v>270</v>
      </c>
      <c r="V21" s="875" t="s">
        <v>404</v>
      </c>
      <c r="W21" s="875" t="s">
        <v>405</v>
      </c>
      <c r="X21" s="875" t="s">
        <v>406</v>
      </c>
      <c r="Y21" s="907" t="s">
        <v>269</v>
      </c>
      <c r="Z21" s="875" t="s">
        <v>261</v>
      </c>
      <c r="AA21" s="260"/>
      <c r="AB21" s="909" t="s">
        <v>35</v>
      </c>
      <c r="AC21" s="897" t="s">
        <v>12</v>
      </c>
    </row>
    <row r="22" spans="1:31" ht="38.25" customHeight="1" thickBot="1" x14ac:dyDescent="0.25">
      <c r="A22" s="870"/>
      <c r="B22" s="872"/>
      <c r="C22" s="876"/>
      <c r="D22" s="876"/>
      <c r="E22" s="876"/>
      <c r="F22" s="876"/>
      <c r="G22" s="876"/>
      <c r="H22" s="876"/>
      <c r="I22" s="876"/>
      <c r="J22" s="876"/>
      <c r="K22" s="876"/>
      <c r="L22" s="876"/>
      <c r="M22" s="338"/>
      <c r="N22" s="876"/>
      <c r="O22" s="876"/>
      <c r="P22" s="876"/>
      <c r="Q22" s="876"/>
      <c r="R22" s="910"/>
      <c r="S22" s="346"/>
      <c r="T22" s="876"/>
      <c r="U22" s="911"/>
      <c r="V22" s="876"/>
      <c r="W22" s="876"/>
      <c r="X22" s="876"/>
      <c r="Y22" s="908"/>
      <c r="Z22" s="876"/>
      <c r="AA22" s="260"/>
      <c r="AB22" s="910"/>
      <c r="AC22" s="898"/>
    </row>
    <row r="23" spans="1:31" ht="20.100000000000001" customHeight="1" thickBot="1" x14ac:dyDescent="0.25">
      <c r="A23" s="65" t="str">
        <f>IF(Datenquelle!$E$2&gt;6,IF(Datenquelle!$E$2=7,"EZ",IF(Datenquelle!$E$2&gt;7,"relevant","?")),"nicht relevant")</f>
        <v>nicht relevant</v>
      </c>
      <c r="B23" s="265">
        <v>2013</v>
      </c>
      <c r="C23" s="298">
        <f t="shared" ref="C23:C27" si="0">SUM(D23:L23)</f>
        <v>0</v>
      </c>
      <c r="D23" s="72"/>
      <c r="E23" s="72"/>
      <c r="F23" s="72"/>
      <c r="G23" s="72"/>
      <c r="H23" s="72"/>
      <c r="I23" s="72"/>
      <c r="J23" s="362"/>
      <c r="K23" s="72"/>
      <c r="L23" s="362"/>
      <c r="M23" s="338"/>
      <c r="N23" s="263" t="str">
        <f t="shared" ref="N23:N29" si="1">IF(SUM(O23:Q23)=0,"",SUM(O23:Q23))</f>
        <v/>
      </c>
      <c r="O23" s="72"/>
      <c r="P23" s="72"/>
      <c r="Q23" s="72"/>
      <c r="R23" s="272" t="str">
        <f t="shared" ref="R23:R27" si="2">IF(N23="","",IF(N23&gt;0,SUM(O23:P23) /N23,0))</f>
        <v/>
      </c>
      <c r="S23" s="339"/>
      <c r="T23" s="263" t="str">
        <f t="shared" ref="T23:T29" si="3">IF(COUNTA(V23:Z23)&lt;5,"",SUM(O23+P23-V23-W23-X23-Y23-Z23))</f>
        <v/>
      </c>
      <c r="U23" s="48" t="str">
        <f t="shared" ref="U23:U27" si="4">IF(AND(COUNTA(O23:P23)&gt;0,T23&lt;&gt;"",SUM(O23:P23)&gt;0),T23 /(O23+P23),"")</f>
        <v/>
      </c>
      <c r="V23" s="72"/>
      <c r="W23" s="72"/>
      <c r="X23" s="72"/>
      <c r="Y23" s="72"/>
      <c r="Z23" s="72"/>
      <c r="AA23" s="261"/>
      <c r="AB23" s="118"/>
      <c r="AC23" s="119"/>
    </row>
    <row r="24" spans="1:31" s="11" customFormat="1" ht="20.100000000000001" customHeight="1" thickBot="1" x14ac:dyDescent="0.25">
      <c r="A24" s="65" t="str">
        <f>IF(Datenquelle!$E$2&gt;5,IF(Datenquelle!$E$2=6,"EZ",IF(Datenquelle!$E$2&gt;6,"relevant","?")),"nicht relevant")</f>
        <v>nicht relevant</v>
      </c>
      <c r="B24" s="265">
        <v>2014</v>
      </c>
      <c r="C24" s="298">
        <f t="shared" si="0"/>
        <v>0</v>
      </c>
      <c r="D24" s="72"/>
      <c r="E24" s="72"/>
      <c r="F24" s="72"/>
      <c r="G24" s="72"/>
      <c r="H24" s="72"/>
      <c r="I24" s="72"/>
      <c r="J24" s="362"/>
      <c r="K24" s="72"/>
      <c r="L24" s="362"/>
      <c r="M24" s="338"/>
      <c r="N24" s="263" t="str">
        <f t="shared" si="1"/>
        <v/>
      </c>
      <c r="O24" s="72"/>
      <c r="P24" s="72"/>
      <c r="Q24" s="72"/>
      <c r="R24" s="272" t="str">
        <f t="shared" si="2"/>
        <v/>
      </c>
      <c r="S24" s="339"/>
      <c r="T24" s="263" t="str">
        <f t="shared" si="3"/>
        <v/>
      </c>
      <c r="U24" s="48" t="str">
        <f t="shared" si="4"/>
        <v/>
      </c>
      <c r="V24" s="72"/>
      <c r="W24" s="72"/>
      <c r="X24" s="72"/>
      <c r="Y24" s="72"/>
      <c r="Z24" s="72"/>
      <c r="AA24" s="261"/>
      <c r="AB24" s="118"/>
      <c r="AC24" s="119"/>
    </row>
    <row r="25" spans="1:31" s="11" customFormat="1" ht="20.100000000000001" customHeight="1" thickBot="1" x14ac:dyDescent="0.25">
      <c r="A25" s="65" t="str">
        <f>IF(Datenquelle!$E$2&gt;4,IF(Datenquelle!$E$2=5,"EZ",IF(Datenquelle!$E$2&gt;5,"relevant","?")),"nicht relevant")</f>
        <v>nicht relevant</v>
      </c>
      <c r="B25" s="265">
        <v>2015</v>
      </c>
      <c r="C25" s="298">
        <f t="shared" si="0"/>
        <v>0</v>
      </c>
      <c r="D25" s="72"/>
      <c r="E25" s="72"/>
      <c r="F25" s="72"/>
      <c r="G25" s="72"/>
      <c r="H25" s="72"/>
      <c r="I25" s="72"/>
      <c r="J25" s="362"/>
      <c r="K25" s="72"/>
      <c r="L25" s="362"/>
      <c r="M25" s="338"/>
      <c r="N25" s="263" t="str">
        <f t="shared" si="1"/>
        <v/>
      </c>
      <c r="O25" s="72"/>
      <c r="P25" s="72"/>
      <c r="Q25" s="72"/>
      <c r="R25" s="272" t="str">
        <f t="shared" si="2"/>
        <v/>
      </c>
      <c r="S25" s="339"/>
      <c r="T25" s="263" t="str">
        <f t="shared" si="3"/>
        <v/>
      </c>
      <c r="U25" s="48" t="str">
        <f t="shared" si="4"/>
        <v/>
      </c>
      <c r="V25" s="72"/>
      <c r="W25" s="72"/>
      <c r="X25" s="72"/>
      <c r="Y25" s="72"/>
      <c r="Z25" s="72"/>
      <c r="AA25" s="343"/>
      <c r="AB25" s="118"/>
      <c r="AC25" s="119"/>
    </row>
    <row r="26" spans="1:31" s="11" customFormat="1" ht="20.100000000000001" customHeight="1" thickBot="1" x14ac:dyDescent="0.25">
      <c r="A26" s="65" t="str">
        <f>IF(Datenquelle!$E$2&gt;3,IF(Datenquelle!$E$2=4,"EZ",IF(Datenquelle!$E$2&gt;4,"relevant","?")),"nicht relevant")</f>
        <v>nicht relevant</v>
      </c>
      <c r="B26" s="328">
        <v>2016</v>
      </c>
      <c r="C26" s="298">
        <f t="shared" si="0"/>
        <v>0</v>
      </c>
      <c r="D26" s="72"/>
      <c r="E26" s="72"/>
      <c r="F26" s="72"/>
      <c r="G26" s="72"/>
      <c r="H26" s="72"/>
      <c r="I26" s="72"/>
      <c r="J26" s="362"/>
      <c r="K26" s="72"/>
      <c r="L26" s="362"/>
      <c r="M26" s="338"/>
      <c r="N26" s="263" t="str">
        <f t="shared" si="1"/>
        <v/>
      </c>
      <c r="O26" s="72"/>
      <c r="P26" s="72"/>
      <c r="Q26" s="72"/>
      <c r="R26" s="272" t="str">
        <f t="shared" si="2"/>
        <v/>
      </c>
      <c r="S26" s="339"/>
      <c r="T26" s="263" t="str">
        <f t="shared" si="3"/>
        <v/>
      </c>
      <c r="U26" s="48" t="str">
        <f t="shared" si="4"/>
        <v/>
      </c>
      <c r="V26" s="72"/>
      <c r="W26" s="72"/>
      <c r="X26" s="72"/>
      <c r="Y26" s="72"/>
      <c r="Z26" s="72"/>
      <c r="AA26" s="343"/>
      <c r="AB26" s="118"/>
      <c r="AC26" s="119"/>
      <c r="AE26" s="38"/>
    </row>
    <row r="27" spans="1:31" s="11" customFormat="1" ht="20.100000000000001" customHeight="1" thickBot="1" x14ac:dyDescent="0.3">
      <c r="A27" s="384" t="s">
        <v>3</v>
      </c>
      <c r="B27" s="388">
        <v>2017</v>
      </c>
      <c r="C27" s="388">
        <f t="shared" si="0"/>
        <v>0</v>
      </c>
      <c r="D27" s="387"/>
      <c r="E27" s="387"/>
      <c r="F27" s="387"/>
      <c r="G27" s="387"/>
      <c r="H27" s="387"/>
      <c r="I27" s="387"/>
      <c r="J27" s="387"/>
      <c r="K27" s="387"/>
      <c r="L27" s="387"/>
      <c r="M27" s="387"/>
      <c r="N27" s="387" t="str">
        <f t="shared" si="1"/>
        <v/>
      </c>
      <c r="O27" s="387"/>
      <c r="P27" s="387"/>
      <c r="Q27" s="387"/>
      <c r="R27" s="387" t="str">
        <f t="shared" si="2"/>
        <v/>
      </c>
      <c r="S27" s="387"/>
      <c r="T27" s="387" t="str">
        <f t="shared" si="3"/>
        <v/>
      </c>
      <c r="U27" s="387" t="str">
        <f t="shared" si="4"/>
        <v/>
      </c>
      <c r="V27" s="387"/>
      <c r="W27" s="387"/>
      <c r="X27" s="387"/>
      <c r="Y27" s="387"/>
      <c r="Z27" s="387"/>
      <c r="AA27" s="387"/>
      <c r="AB27" s="387"/>
      <c r="AC27" s="387"/>
      <c r="AD27" s="385"/>
    </row>
    <row r="28" spans="1:31" s="11" customFormat="1" ht="20.100000000000001" customHeight="1" thickBot="1" x14ac:dyDescent="0.25">
      <c r="A28" s="364" t="str">
        <f>IF(Datenquelle!$E$2&gt;1,IF(Datenquelle!$E$2=2,"EZ",IF(Datenquelle!$E$2&gt;2,"relevant","?")),"nicht relevant")</f>
        <v>nicht relevant</v>
      </c>
      <c r="B28" s="336" t="s">
        <v>483</v>
      </c>
      <c r="C28" s="365">
        <f t="shared" ref="C28" si="5">SUM(D28:L28)</f>
        <v>0</v>
      </c>
      <c r="D28" s="366"/>
      <c r="E28" s="366"/>
      <c r="F28" s="366"/>
      <c r="G28" s="366"/>
      <c r="H28" s="366"/>
      <c r="I28" s="366"/>
      <c r="J28" s="366"/>
      <c r="K28" s="366"/>
      <c r="L28" s="366"/>
      <c r="M28" s="338"/>
      <c r="N28" s="881" t="str">
        <f t="shared" ref="N28" si="6">IF(SUM(O28:Q28)=0,"",SUM(O28:Q28))</f>
        <v/>
      </c>
      <c r="O28" s="882"/>
      <c r="P28" s="882"/>
      <c r="Q28" s="882"/>
      <c r="R28" s="883"/>
      <c r="S28" s="340"/>
      <c r="T28" s="881" t="str">
        <f t="shared" ref="T28" si="7">IF(COUNTA(V28:Z28)&lt;5,"",SUM(O28+P28-V28-W28-X28-Y28-Z28))</f>
        <v/>
      </c>
      <c r="U28" s="882"/>
      <c r="V28" s="882"/>
      <c r="W28" s="882"/>
      <c r="X28" s="882"/>
      <c r="Y28" s="882"/>
      <c r="Z28" s="883"/>
      <c r="AA28" s="342"/>
      <c r="AB28" s="884"/>
      <c r="AC28" s="885"/>
    </row>
    <row r="29" spans="1:31" s="11" customFormat="1" ht="20.100000000000001" customHeight="1" thickTop="1" thickBot="1" x14ac:dyDescent="0.25">
      <c r="A29" s="268" t="str">
        <f>IF(Datenquelle!$E$2&gt;0,IF(Datenquelle!$E$2=1,"EZ",IF(Datenquelle!$E$2&gt;1,"relevant","?")),"nicht relevant")</f>
        <v>nicht relevant</v>
      </c>
      <c r="B29" s="269" t="s">
        <v>482</v>
      </c>
      <c r="C29" s="329">
        <f t="shared" ref="C29" si="8">SUM(D29:L29)</f>
        <v>0</v>
      </c>
      <c r="D29" s="378" t="str">
        <f>'Basic Data'!B33</f>
        <v/>
      </c>
      <c r="E29" s="378" t="str">
        <f>'Basic Data'!C33</f>
        <v/>
      </c>
      <c r="F29" s="378" t="str">
        <f>'Basic Data'!D33</f>
        <v/>
      </c>
      <c r="G29" s="378" t="str">
        <f>'Basic Data'!E33</f>
        <v/>
      </c>
      <c r="H29" s="378" t="str">
        <f>'Basic Data'!F33</f>
        <v/>
      </c>
      <c r="I29" s="378" t="str">
        <f>'Basic Data'!G33</f>
        <v/>
      </c>
      <c r="J29" s="378" t="str">
        <f>'Basic Data'!H33</f>
        <v/>
      </c>
      <c r="K29" s="378" t="str">
        <f>'Basic Data'!I33</f>
        <v/>
      </c>
      <c r="L29" s="378" t="str">
        <f>'Basic Data'!J33</f>
        <v/>
      </c>
      <c r="M29" s="341"/>
      <c r="N29" s="881" t="str">
        <f t="shared" si="1"/>
        <v/>
      </c>
      <c r="O29" s="882"/>
      <c r="P29" s="882"/>
      <c r="Q29" s="882"/>
      <c r="R29" s="883"/>
      <c r="S29" s="340"/>
      <c r="T29" s="881" t="str">
        <f t="shared" si="3"/>
        <v/>
      </c>
      <c r="U29" s="882"/>
      <c r="V29" s="882"/>
      <c r="W29" s="882"/>
      <c r="X29" s="882"/>
      <c r="Y29" s="882"/>
      <c r="Z29" s="883"/>
      <c r="AA29" s="342"/>
      <c r="AB29" s="884"/>
      <c r="AC29" s="885"/>
    </row>
    <row r="30" spans="1:31" ht="5.25" customHeight="1" thickTop="1" x14ac:dyDescent="0.25">
      <c r="A30"/>
      <c r="B30"/>
      <c r="C30"/>
      <c r="D30"/>
      <c r="E30"/>
      <c r="F30"/>
      <c r="G30"/>
      <c r="H30"/>
      <c r="I30"/>
      <c r="J30"/>
      <c r="K30"/>
      <c r="L30"/>
      <c r="M30"/>
      <c r="N30"/>
      <c r="O30"/>
      <c r="P30"/>
      <c r="Q30"/>
      <c r="R30"/>
      <c r="S30"/>
      <c r="T30"/>
      <c r="U30"/>
      <c r="V30"/>
      <c r="W30"/>
      <c r="X30"/>
      <c r="Y30"/>
      <c r="Z30"/>
      <c r="AA30"/>
      <c r="AB30"/>
      <c r="AC30"/>
    </row>
    <row r="31" spans="1:31" ht="15" x14ac:dyDescent="0.25">
      <c r="A31"/>
      <c r="B31"/>
      <c r="C31"/>
      <c r="D31"/>
      <c r="E31"/>
      <c r="F31"/>
      <c r="G31"/>
      <c r="I31" s="308"/>
      <c r="J31" s="308"/>
      <c r="K31" s="308"/>
      <c r="L31" s="86" t="s">
        <v>523</v>
      </c>
      <c r="M31" s="308"/>
      <c r="N31" s="308"/>
      <c r="O31" s="308"/>
      <c r="P31" s="308"/>
      <c r="Q31" s="309"/>
      <c r="R31" s="273" t="str">
        <f>IF(A26="EZ","-----",IF(A26= "nicht relevant","-----",IF(COUNTBLANK(R25:R26)=2,"",SUMIF(A25:A26,"relevant",R25:R26) /COUNTIF(A25:A26,"relevant"))))</f>
        <v>-----</v>
      </c>
      <c r="S31"/>
      <c r="T31"/>
      <c r="U31">
        <f>IF((SUM(O31:P31)=0),0,T31 /(SUM(O31:P31)))</f>
        <v>0</v>
      </c>
      <c r="V31"/>
      <c r="W31"/>
      <c r="X31"/>
      <c r="Y31"/>
      <c r="Z31"/>
      <c r="AA31"/>
      <c r="AB31"/>
      <c r="AC31"/>
    </row>
    <row r="32" spans="1:31" ht="9.75" customHeight="1" x14ac:dyDescent="0.2">
      <c r="A32" s="49"/>
      <c r="B32" s="17"/>
      <c r="C32" s="17"/>
      <c r="D32" s="17"/>
      <c r="E32" s="17"/>
      <c r="F32" s="17"/>
      <c r="G32" s="17"/>
      <c r="H32" s="17"/>
      <c r="I32" s="17"/>
      <c r="J32" s="17"/>
      <c r="K32" s="17"/>
      <c r="L32" s="17"/>
      <c r="M32" s="17"/>
      <c r="N32" s="17"/>
      <c r="O32" s="17"/>
      <c r="P32" s="17"/>
      <c r="Q32" s="17"/>
      <c r="R32" s="17"/>
      <c r="S32" s="17"/>
      <c r="T32" s="17"/>
      <c r="U32" s="50"/>
      <c r="V32" s="50"/>
      <c r="W32" s="50"/>
      <c r="X32" s="17"/>
      <c r="Y32" s="17"/>
      <c r="Z32" s="17"/>
      <c r="AA32" s="17"/>
    </row>
    <row r="33" spans="1:29" ht="9.75" customHeight="1" x14ac:dyDescent="0.2">
      <c r="A33" s="49"/>
      <c r="B33" s="17"/>
      <c r="C33" s="17"/>
      <c r="D33" s="17"/>
      <c r="E33" s="17"/>
      <c r="F33" s="17"/>
      <c r="G33" s="17"/>
      <c r="H33" s="17"/>
      <c r="I33" s="17"/>
      <c r="J33" s="17"/>
      <c r="K33" s="17"/>
      <c r="L33" s="17"/>
      <c r="M33" s="17"/>
      <c r="N33" s="17"/>
      <c r="O33" s="17"/>
      <c r="P33" s="17"/>
      <c r="Q33" s="17"/>
      <c r="R33" s="17"/>
      <c r="S33" s="17"/>
      <c r="T33" s="17"/>
      <c r="U33" s="50"/>
      <c r="V33" s="50"/>
      <c r="W33" s="50"/>
      <c r="X33" s="17"/>
      <c r="Y33" s="17"/>
      <c r="Z33" s="17"/>
      <c r="AA33" s="17"/>
    </row>
    <row r="34" spans="1:29" s="86" customFormat="1" ht="14.1" customHeight="1" x14ac:dyDescent="0.2">
      <c r="A34" s="49" t="s">
        <v>414</v>
      </c>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row>
    <row r="35" spans="1:29" s="7" customFormat="1" ht="14.1" customHeight="1" x14ac:dyDescent="0.2">
      <c r="A35" s="90" t="s">
        <v>492</v>
      </c>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C35" s="86"/>
    </row>
    <row r="36" spans="1:29" s="7" customFormat="1" ht="14.1" customHeight="1" x14ac:dyDescent="0.2">
      <c r="A36" s="49" t="s">
        <v>493</v>
      </c>
      <c r="B36" s="89"/>
      <c r="C36" s="89"/>
      <c r="D36" s="89"/>
      <c r="E36" s="89"/>
      <c r="F36" s="89"/>
      <c r="G36" s="89"/>
      <c r="H36" s="89"/>
      <c r="I36" s="89"/>
      <c r="J36" s="89"/>
      <c r="K36" s="89"/>
      <c r="L36" s="89"/>
      <c r="M36" s="89"/>
      <c r="N36" s="89"/>
      <c r="O36" s="89"/>
      <c r="P36" s="89"/>
      <c r="Q36" s="89"/>
      <c r="R36" s="89"/>
      <c r="S36" s="89"/>
      <c r="T36" s="89"/>
      <c r="U36" s="89"/>
      <c r="V36" s="89"/>
      <c r="W36" s="89"/>
      <c r="X36" s="89"/>
      <c r="Y36" s="89"/>
      <c r="Z36" s="89"/>
      <c r="AA36" s="89"/>
      <c r="AC36" s="86"/>
    </row>
    <row r="37" spans="1:29" s="7" customFormat="1" ht="14.1" customHeight="1" x14ac:dyDescent="0.2">
      <c r="A37" s="49" t="s">
        <v>415</v>
      </c>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C37" s="86"/>
    </row>
    <row r="38" spans="1:29" s="7" customFormat="1" ht="14.1" customHeight="1" x14ac:dyDescent="0.2">
      <c r="A38" s="49" t="s">
        <v>416</v>
      </c>
      <c r="B38" s="49"/>
      <c r="C38" s="49"/>
      <c r="D38" s="49"/>
      <c r="E38" s="49"/>
      <c r="F38" s="49"/>
      <c r="G38" s="49"/>
      <c r="H38" s="49"/>
      <c r="I38" s="49"/>
      <c r="J38" s="49"/>
      <c r="K38" s="49"/>
      <c r="L38" s="49"/>
      <c r="M38" s="49"/>
      <c r="N38" s="90"/>
      <c r="O38" s="90"/>
      <c r="P38" s="90"/>
      <c r="Q38" s="90"/>
      <c r="R38" s="91"/>
      <c r="S38" s="90"/>
      <c r="T38" s="90"/>
      <c r="U38" s="90"/>
      <c r="V38" s="90"/>
      <c r="W38" s="90"/>
      <c r="X38" s="90"/>
      <c r="Y38" s="90"/>
      <c r="Z38" s="89"/>
      <c r="AA38" s="89"/>
      <c r="AC38" s="86"/>
    </row>
    <row r="39" spans="1:29" s="92" customFormat="1" ht="14.1" customHeight="1" x14ac:dyDescent="0.2">
      <c r="A39" s="89" t="s">
        <v>494</v>
      </c>
      <c r="B39" s="49"/>
      <c r="C39" s="49"/>
      <c r="D39" s="49"/>
      <c r="E39" s="49"/>
      <c r="F39" s="49"/>
      <c r="G39" s="49"/>
      <c r="H39" s="49"/>
      <c r="I39" s="49"/>
      <c r="J39" s="49"/>
      <c r="K39" s="49"/>
      <c r="L39" s="49"/>
      <c r="M39" s="49"/>
      <c r="N39" s="90"/>
      <c r="O39" s="90"/>
      <c r="P39" s="90"/>
      <c r="Q39" s="90"/>
      <c r="R39" s="90"/>
      <c r="S39" s="90"/>
      <c r="T39" s="90"/>
      <c r="U39" s="90"/>
      <c r="V39" s="90"/>
      <c r="W39" s="90"/>
      <c r="X39" s="90"/>
      <c r="Y39" s="90"/>
      <c r="Z39" s="89"/>
      <c r="AA39" s="89"/>
      <c r="AB39" s="86"/>
    </row>
    <row r="40" spans="1:29" s="92" customFormat="1" ht="14.1" customHeight="1" x14ac:dyDescent="0.2">
      <c r="A40" s="102" t="s">
        <v>495</v>
      </c>
      <c r="B40" s="49"/>
      <c r="C40" s="49"/>
      <c r="D40" s="49"/>
      <c r="E40" s="49"/>
      <c r="F40" s="49"/>
      <c r="G40" s="49"/>
      <c r="H40" s="49"/>
      <c r="I40" s="49"/>
      <c r="J40" s="49"/>
      <c r="K40" s="49"/>
      <c r="L40" s="49"/>
      <c r="M40" s="49"/>
      <c r="N40" s="90"/>
      <c r="O40" s="90"/>
      <c r="P40" s="90"/>
      <c r="Q40" s="90"/>
      <c r="R40" s="90"/>
      <c r="S40" s="90"/>
      <c r="T40" s="90"/>
      <c r="U40" s="90"/>
      <c r="V40" s="90"/>
      <c r="W40" s="90"/>
      <c r="X40" s="90"/>
      <c r="Y40" s="90"/>
      <c r="Z40" s="89"/>
      <c r="AA40" s="89"/>
      <c r="AB40" s="86"/>
    </row>
    <row r="41" spans="1:29" s="92" customFormat="1" ht="14.1" customHeight="1" x14ac:dyDescent="0.2">
      <c r="A41" s="102" t="s">
        <v>496</v>
      </c>
      <c r="B41" s="49"/>
      <c r="C41" s="49"/>
      <c r="D41" s="49"/>
      <c r="E41" s="49"/>
      <c r="F41" s="49"/>
      <c r="G41" s="49"/>
      <c r="H41" s="49"/>
      <c r="I41" s="49"/>
      <c r="J41" s="49"/>
      <c r="K41" s="49"/>
      <c r="L41" s="49"/>
      <c r="M41" s="49"/>
      <c r="N41" s="90"/>
      <c r="O41" s="90"/>
      <c r="Q41" s="90"/>
      <c r="R41" s="90"/>
      <c r="S41" s="90"/>
      <c r="T41" s="90"/>
      <c r="U41" s="90"/>
      <c r="V41" s="90"/>
      <c r="W41" s="90"/>
      <c r="X41" s="90"/>
      <c r="Y41" s="90"/>
      <c r="Z41" s="89"/>
      <c r="AA41" s="89"/>
      <c r="AB41" s="86"/>
    </row>
    <row r="42" spans="1:29" s="92" customFormat="1" ht="14.1" customHeight="1" x14ac:dyDescent="0.2">
      <c r="A42" s="102" t="s">
        <v>497</v>
      </c>
      <c r="B42" s="49"/>
      <c r="C42" s="49"/>
      <c r="D42" s="49"/>
      <c r="E42" s="49"/>
      <c r="F42" s="49"/>
      <c r="G42" s="49"/>
      <c r="H42" s="49"/>
      <c r="I42" s="49"/>
      <c r="J42" s="49"/>
      <c r="K42" s="49"/>
      <c r="L42" s="49"/>
      <c r="M42" s="49"/>
      <c r="N42" s="90"/>
      <c r="O42" s="90"/>
      <c r="P42" s="90"/>
      <c r="Q42" s="90"/>
      <c r="R42" s="90"/>
      <c r="S42" s="90"/>
      <c r="T42" s="90"/>
      <c r="U42" s="90"/>
      <c r="V42" s="90"/>
      <c r="W42" s="90"/>
      <c r="X42" s="90"/>
      <c r="Y42" s="90"/>
      <c r="Z42" s="89"/>
      <c r="AA42" s="89"/>
      <c r="AB42" s="86"/>
    </row>
    <row r="43" spans="1:29" s="7" customFormat="1" ht="14.1" customHeight="1" x14ac:dyDescent="0.2">
      <c r="A43" s="90" t="s">
        <v>417</v>
      </c>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C43" s="86"/>
    </row>
    <row r="44" spans="1:29" s="7" customFormat="1" ht="14.1" customHeight="1" x14ac:dyDescent="0.2">
      <c r="A44" s="89" t="s">
        <v>370</v>
      </c>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C44" s="86"/>
    </row>
    <row r="45" spans="1:29" s="7" customFormat="1" ht="13.5" customHeight="1" x14ac:dyDescent="0.2">
      <c r="A45" s="89" t="s">
        <v>244</v>
      </c>
      <c r="B45" s="89"/>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C45" s="86"/>
    </row>
    <row r="46" spans="1:29" s="7" customFormat="1" ht="24" customHeight="1" x14ac:dyDescent="0.2">
      <c r="A46" s="880" t="s">
        <v>498</v>
      </c>
      <c r="B46" s="880"/>
      <c r="C46" s="880"/>
      <c r="D46" s="880"/>
      <c r="E46" s="880"/>
      <c r="F46" s="880"/>
      <c r="G46" s="880"/>
      <c r="H46" s="880"/>
      <c r="I46" s="880"/>
      <c r="J46" s="880"/>
      <c r="K46" s="880"/>
      <c r="L46" s="880"/>
      <c r="M46" s="880"/>
      <c r="N46" s="880"/>
      <c r="O46" s="880"/>
      <c r="P46" s="880"/>
      <c r="Q46" s="880"/>
      <c r="R46" s="880"/>
      <c r="S46" s="880"/>
      <c r="T46" s="880"/>
      <c r="U46" s="880"/>
      <c r="V46" s="880"/>
      <c r="W46" s="880"/>
      <c r="X46" s="880"/>
      <c r="Y46" s="880"/>
      <c r="Z46" s="880"/>
      <c r="AA46" s="880"/>
      <c r="AB46" s="880"/>
      <c r="AC46" s="880"/>
    </row>
    <row r="47" spans="1:29" s="7" customFormat="1" ht="17.25" customHeight="1" x14ac:dyDescent="0.2">
      <c r="A47" s="873" t="s">
        <v>499</v>
      </c>
      <c r="B47" s="874"/>
      <c r="C47" s="874"/>
      <c r="D47" s="874"/>
      <c r="E47" s="874"/>
      <c r="F47" s="874"/>
      <c r="G47" s="874"/>
      <c r="H47" s="874"/>
      <c r="I47" s="874"/>
      <c r="J47" s="874"/>
      <c r="K47" s="874"/>
      <c r="L47" s="874"/>
      <c r="M47" s="874"/>
      <c r="N47" s="874"/>
      <c r="O47" s="874"/>
      <c r="P47" s="874"/>
      <c r="Q47" s="874"/>
      <c r="R47" s="874"/>
      <c r="S47" s="874"/>
      <c r="T47" s="874"/>
      <c r="U47" s="874"/>
      <c r="V47" s="874"/>
      <c r="W47" s="874"/>
      <c r="X47" s="874"/>
      <c r="Y47" s="874"/>
      <c r="Z47" s="874"/>
      <c r="AA47" s="874"/>
      <c r="AB47" s="874"/>
      <c r="AC47" s="874"/>
    </row>
    <row r="48" spans="1:29" s="7" customFormat="1" ht="24.75" customHeight="1" x14ac:dyDescent="0.2">
      <c r="A48" s="347" t="s">
        <v>152</v>
      </c>
      <c r="B48" s="93"/>
      <c r="C48" s="93"/>
    </row>
    <row r="49" spans="1:29" s="7" customFormat="1" ht="14.1" customHeight="1" x14ac:dyDescent="0.2">
      <c r="A49" s="31" t="s">
        <v>294</v>
      </c>
    </row>
    <row r="50" spans="1:29" s="31" customFormat="1" ht="14.1" customHeight="1" x14ac:dyDescent="0.25">
      <c r="A50" s="31" t="s">
        <v>295</v>
      </c>
    </row>
    <row r="51" spans="1:29" s="7" customFormat="1" ht="14.1" customHeight="1" x14ac:dyDescent="0.2">
      <c r="A51" s="94" t="s">
        <v>214</v>
      </c>
      <c r="B51" s="31" t="s">
        <v>500</v>
      </c>
    </row>
    <row r="52" spans="1:29" s="7" customFormat="1" ht="14.1" customHeight="1" x14ac:dyDescent="0.2">
      <c r="A52" s="94" t="s">
        <v>215</v>
      </c>
      <c r="B52" s="31" t="s">
        <v>263</v>
      </c>
    </row>
    <row r="53" spans="1:29" s="7" customFormat="1" ht="13.5" customHeight="1" x14ac:dyDescent="0.2">
      <c r="A53" s="94" t="s">
        <v>216</v>
      </c>
      <c r="B53" s="31" t="s">
        <v>501</v>
      </c>
      <c r="F53" s="95"/>
    </row>
    <row r="54" spans="1:29" s="7" customFormat="1" ht="14.1" customHeight="1" x14ac:dyDescent="0.2">
      <c r="A54" s="94" t="s">
        <v>217</v>
      </c>
      <c r="B54" s="31" t="s">
        <v>5</v>
      </c>
    </row>
    <row r="55" spans="1:29" s="7" customFormat="1" ht="14.1" customHeight="1" x14ac:dyDescent="0.2">
      <c r="A55" s="96" t="s">
        <v>218</v>
      </c>
      <c r="B55" s="31" t="s">
        <v>8</v>
      </c>
    </row>
    <row r="56" spans="1:29" s="7" customFormat="1" ht="14.1" customHeight="1" x14ac:dyDescent="0.2">
      <c r="A56" s="94" t="s">
        <v>220</v>
      </c>
      <c r="B56" s="31" t="s">
        <v>310</v>
      </c>
    </row>
    <row r="57" spans="1:29" s="7" customFormat="1" ht="14.1" customHeight="1" x14ac:dyDescent="0.2">
      <c r="A57" s="97"/>
      <c r="B57" s="31"/>
    </row>
    <row r="58" spans="1:29" s="7" customFormat="1" ht="14.1" customHeight="1" x14ac:dyDescent="0.2">
      <c r="A58" s="284" t="s">
        <v>203</v>
      </c>
      <c r="B58" s="93"/>
      <c r="M58" s="95"/>
    </row>
    <row r="59" spans="1:29" s="7" customFormat="1" ht="14.1" customHeight="1" x14ac:dyDescent="0.2">
      <c r="A59" s="31" t="s">
        <v>204</v>
      </c>
      <c r="M59" s="95"/>
    </row>
    <row r="60" spans="1:29" s="7" customFormat="1" ht="14.1" customHeight="1" x14ac:dyDescent="0.2">
      <c r="A60" s="31" t="s">
        <v>205</v>
      </c>
      <c r="M60" s="95"/>
    </row>
    <row r="61" spans="1:29" s="7" customFormat="1" ht="14.1" customHeight="1" x14ac:dyDescent="0.2">
      <c r="A61" s="31" t="s">
        <v>291</v>
      </c>
      <c r="M61" s="95"/>
    </row>
    <row r="62" spans="1:29" s="63" customFormat="1" ht="14.1" customHeight="1" x14ac:dyDescent="0.15">
      <c r="A62" s="64"/>
    </row>
    <row r="63" spans="1:29" s="7" customFormat="1" ht="14.1" customHeight="1" x14ac:dyDescent="0.2">
      <c r="A63" s="98" t="s">
        <v>151</v>
      </c>
    </row>
    <row r="64" spans="1:29" s="7" customFormat="1" ht="21.75" customHeight="1" x14ac:dyDescent="0.25">
      <c r="A64" s="877" t="s">
        <v>308</v>
      </c>
      <c r="B64" s="856"/>
      <c r="C64" s="886" t="s">
        <v>9</v>
      </c>
      <c r="D64" s="887"/>
      <c r="E64" s="887"/>
      <c r="F64" s="888" t="s">
        <v>103</v>
      </c>
      <c r="G64" s="889"/>
      <c r="H64" s="890"/>
      <c r="I64" s="894" t="s">
        <v>209</v>
      </c>
      <c r="J64" s="895"/>
      <c r="K64" s="895"/>
      <c r="L64" s="895"/>
      <c r="M64" s="895"/>
      <c r="N64" s="895"/>
      <c r="O64" s="895"/>
      <c r="P64" s="895"/>
      <c r="Q64" s="895"/>
      <c r="R64" s="895"/>
      <c r="S64" s="895"/>
      <c r="T64" s="895"/>
      <c r="U64" s="895"/>
      <c r="V64" s="895"/>
      <c r="W64" s="895"/>
      <c r="X64" s="895"/>
      <c r="Y64" s="895"/>
      <c r="Z64" s="895"/>
      <c r="AA64" s="895"/>
      <c r="AB64" s="895"/>
      <c r="AC64" s="896"/>
    </row>
    <row r="65" spans="1:29" s="7" customFormat="1" ht="12" customHeight="1" x14ac:dyDescent="0.25">
      <c r="A65" s="862" t="s">
        <v>178</v>
      </c>
      <c r="B65" s="863"/>
      <c r="C65" s="857" t="s">
        <v>3</v>
      </c>
      <c r="D65" s="858"/>
      <c r="E65" s="859"/>
      <c r="F65" s="891"/>
      <c r="G65" s="892"/>
      <c r="H65" s="893"/>
      <c r="I65" s="899" t="s">
        <v>14</v>
      </c>
      <c r="J65" s="900"/>
      <c r="K65" s="900"/>
      <c r="L65" s="900"/>
      <c r="M65" s="900"/>
      <c r="N65" s="900"/>
      <c r="O65" s="900"/>
      <c r="P65" s="900"/>
      <c r="Q65" s="900"/>
      <c r="R65" s="900"/>
      <c r="S65" s="900"/>
      <c r="T65" s="900"/>
      <c r="U65" s="900"/>
      <c r="V65" s="900"/>
      <c r="W65" s="900"/>
      <c r="X65" s="900"/>
      <c r="Y65" s="900"/>
      <c r="Z65" s="900"/>
      <c r="AA65" s="900"/>
      <c r="AB65" s="900"/>
      <c r="AC65" s="901"/>
    </row>
    <row r="66" spans="1:29" s="7" customFormat="1" ht="12" customHeight="1" x14ac:dyDescent="0.25">
      <c r="A66" s="862" t="s">
        <v>178</v>
      </c>
      <c r="B66" s="863"/>
      <c r="C66" s="857" t="s">
        <v>210</v>
      </c>
      <c r="D66" s="858"/>
      <c r="E66" s="859"/>
      <c r="F66" s="912"/>
      <c r="G66" s="913"/>
      <c r="H66" s="914"/>
      <c r="I66" s="899" t="s">
        <v>289</v>
      </c>
      <c r="J66" s="900"/>
      <c r="K66" s="900"/>
      <c r="L66" s="900"/>
      <c r="M66" s="900"/>
      <c r="N66" s="900"/>
      <c r="O66" s="900"/>
      <c r="P66" s="900"/>
      <c r="Q66" s="900"/>
      <c r="R66" s="900"/>
      <c r="S66" s="900"/>
      <c r="T66" s="900"/>
      <c r="U66" s="900"/>
      <c r="V66" s="900"/>
      <c r="W66" s="900"/>
      <c r="X66" s="900"/>
      <c r="Y66" s="900"/>
      <c r="Z66" s="900"/>
      <c r="AA66" s="900"/>
      <c r="AB66" s="900"/>
      <c r="AC66" s="901"/>
    </row>
    <row r="67" spans="1:29" s="7" customFormat="1" ht="12" customHeight="1" x14ac:dyDescent="0.25">
      <c r="A67" s="862" t="s">
        <v>208</v>
      </c>
      <c r="B67" s="863"/>
      <c r="C67" s="857" t="s">
        <v>10</v>
      </c>
      <c r="D67" s="858"/>
      <c r="E67" s="859"/>
      <c r="F67" s="878" t="s">
        <v>368</v>
      </c>
      <c r="G67" s="879"/>
      <c r="H67" s="879"/>
      <c r="I67" s="899" t="s">
        <v>290</v>
      </c>
      <c r="J67" s="900"/>
      <c r="K67" s="900"/>
      <c r="L67" s="900"/>
      <c r="M67" s="900"/>
      <c r="N67" s="900"/>
      <c r="O67" s="900"/>
      <c r="P67" s="900"/>
      <c r="Q67" s="900"/>
      <c r="R67" s="900"/>
      <c r="S67" s="900"/>
      <c r="T67" s="900"/>
      <c r="U67" s="900"/>
      <c r="V67" s="900"/>
      <c r="W67" s="900"/>
      <c r="X67" s="900"/>
      <c r="Y67" s="900"/>
      <c r="Z67" s="900"/>
      <c r="AA67" s="900"/>
      <c r="AB67" s="900"/>
      <c r="AC67" s="901"/>
    </row>
    <row r="68" spans="1:29" s="7" customFormat="1" ht="12" customHeight="1" x14ac:dyDescent="0.25">
      <c r="A68" s="862" t="s">
        <v>247</v>
      </c>
      <c r="B68" s="863"/>
      <c r="C68" s="857" t="s">
        <v>245</v>
      </c>
      <c r="D68" s="858"/>
      <c r="E68" s="859"/>
      <c r="F68" s="865" t="s">
        <v>164</v>
      </c>
      <c r="G68" s="866"/>
      <c r="H68" s="866"/>
      <c r="I68" s="899" t="s">
        <v>502</v>
      </c>
      <c r="J68" s="900"/>
      <c r="K68" s="900"/>
      <c r="L68" s="900"/>
      <c r="M68" s="900"/>
      <c r="N68" s="900"/>
      <c r="O68" s="900"/>
      <c r="P68" s="900"/>
      <c r="Q68" s="900"/>
      <c r="R68" s="900"/>
      <c r="S68" s="900"/>
      <c r="T68" s="900"/>
      <c r="U68" s="900"/>
      <c r="V68" s="900"/>
      <c r="W68" s="900"/>
      <c r="X68" s="900"/>
      <c r="Y68" s="900"/>
      <c r="Z68" s="900"/>
      <c r="AA68" s="900"/>
      <c r="AB68" s="900"/>
      <c r="AC68" s="901"/>
    </row>
    <row r="69" spans="1:29" s="7" customFormat="1" ht="12" customHeight="1" x14ac:dyDescent="0.25">
      <c r="A69" s="862" t="s">
        <v>29</v>
      </c>
      <c r="B69" s="863"/>
      <c r="C69" s="857" t="s">
        <v>503</v>
      </c>
      <c r="D69" s="858"/>
      <c r="E69" s="859"/>
      <c r="F69" s="865" t="s">
        <v>164</v>
      </c>
      <c r="G69" s="866"/>
      <c r="H69" s="866"/>
      <c r="I69" s="899" t="s">
        <v>504</v>
      </c>
      <c r="J69" s="900"/>
      <c r="K69" s="900"/>
      <c r="L69" s="900"/>
      <c r="M69" s="900"/>
      <c r="N69" s="900"/>
      <c r="O69" s="900"/>
      <c r="P69" s="900"/>
      <c r="Q69" s="900"/>
      <c r="R69" s="900"/>
      <c r="S69" s="900"/>
      <c r="T69" s="900"/>
      <c r="U69" s="900"/>
      <c r="V69" s="900"/>
      <c r="W69" s="900"/>
      <c r="X69" s="900"/>
      <c r="Y69" s="900"/>
      <c r="Z69" s="900"/>
      <c r="AA69" s="900"/>
      <c r="AB69" s="900"/>
      <c r="AC69" s="901"/>
    </row>
    <row r="70" spans="1:29" s="7" customFormat="1" ht="13.5" customHeight="1" x14ac:dyDescent="0.25">
      <c r="A70" s="862" t="s">
        <v>505</v>
      </c>
      <c r="B70" s="863"/>
      <c r="C70" s="857" t="s">
        <v>506</v>
      </c>
      <c r="D70" s="858"/>
      <c r="E70" s="859"/>
      <c r="F70" s="867" t="s">
        <v>20</v>
      </c>
      <c r="G70" s="868"/>
      <c r="H70" s="868"/>
      <c r="I70" s="899" t="s">
        <v>507</v>
      </c>
      <c r="J70" s="900"/>
      <c r="K70" s="900"/>
      <c r="L70" s="900"/>
      <c r="M70" s="900"/>
      <c r="N70" s="900"/>
      <c r="O70" s="900"/>
      <c r="P70" s="900"/>
      <c r="Q70" s="900"/>
      <c r="R70" s="900"/>
      <c r="S70" s="900"/>
      <c r="T70" s="900"/>
      <c r="U70" s="900"/>
      <c r="V70" s="900"/>
      <c r="W70" s="900"/>
      <c r="X70" s="900"/>
      <c r="Y70" s="900"/>
      <c r="Z70" s="900"/>
      <c r="AA70" s="900"/>
      <c r="AB70" s="900"/>
      <c r="AC70" s="901"/>
    </row>
    <row r="71" spans="1:29" s="7" customFormat="1" ht="12" customHeight="1" x14ac:dyDescent="0.25">
      <c r="A71" s="862" t="s">
        <v>21</v>
      </c>
      <c r="B71" s="863"/>
      <c r="C71" s="857" t="s">
        <v>297</v>
      </c>
      <c r="D71" s="858"/>
      <c r="E71" s="859"/>
      <c r="F71" s="860" t="s">
        <v>155</v>
      </c>
      <c r="G71" s="861"/>
      <c r="H71" s="861"/>
      <c r="I71" s="899" t="s">
        <v>223</v>
      </c>
      <c r="J71" s="900"/>
      <c r="K71" s="900"/>
      <c r="L71" s="900"/>
      <c r="M71" s="900"/>
      <c r="N71" s="900"/>
      <c r="O71" s="900"/>
      <c r="P71" s="900"/>
      <c r="Q71" s="900"/>
      <c r="R71" s="900"/>
      <c r="S71" s="900"/>
      <c r="T71" s="900"/>
      <c r="U71" s="900"/>
      <c r="V71" s="900"/>
      <c r="W71" s="900"/>
      <c r="X71" s="900"/>
      <c r="Y71" s="900"/>
      <c r="Z71" s="900"/>
      <c r="AA71" s="900"/>
      <c r="AB71" s="900"/>
      <c r="AC71" s="901"/>
    </row>
    <row r="72" spans="1:29" s="7" customFormat="1" ht="12" customHeight="1" x14ac:dyDescent="0.2">
      <c r="A72" s="862" t="s">
        <v>508</v>
      </c>
      <c r="B72" s="864"/>
      <c r="C72" s="857" t="s">
        <v>509</v>
      </c>
      <c r="D72" s="858"/>
      <c r="E72" s="859"/>
      <c r="F72" s="860" t="s">
        <v>155</v>
      </c>
      <c r="G72" s="861"/>
      <c r="H72" s="861"/>
      <c r="I72" s="899" t="s">
        <v>273</v>
      </c>
      <c r="J72" s="900"/>
      <c r="K72" s="900"/>
      <c r="L72" s="900"/>
      <c r="M72" s="900"/>
      <c r="N72" s="900"/>
      <c r="O72" s="900"/>
      <c r="P72" s="900"/>
      <c r="Q72" s="900"/>
      <c r="R72" s="900"/>
      <c r="S72" s="900"/>
      <c r="T72" s="900"/>
      <c r="U72" s="900"/>
      <c r="V72" s="900"/>
      <c r="W72" s="900"/>
      <c r="X72" s="900"/>
      <c r="Y72" s="900"/>
      <c r="Z72" s="900"/>
      <c r="AA72" s="900"/>
      <c r="AB72" s="900"/>
      <c r="AC72" s="901"/>
    </row>
    <row r="73" spans="1:29" s="7" customFormat="1" ht="12" customHeight="1" x14ac:dyDescent="0.25">
      <c r="A73" s="862" t="s">
        <v>505</v>
      </c>
      <c r="B73" s="863"/>
      <c r="C73" s="857" t="s">
        <v>510</v>
      </c>
      <c r="D73" s="858"/>
      <c r="E73" s="859"/>
      <c r="F73" s="860" t="s">
        <v>155</v>
      </c>
      <c r="G73" s="861"/>
      <c r="H73" s="861"/>
      <c r="I73" s="899" t="s">
        <v>517</v>
      </c>
      <c r="J73" s="900"/>
      <c r="K73" s="900"/>
      <c r="L73" s="900"/>
      <c r="M73" s="900"/>
      <c r="N73" s="900"/>
      <c r="O73" s="900"/>
      <c r="P73" s="900"/>
      <c r="Q73" s="900"/>
      <c r="R73" s="900"/>
      <c r="S73" s="900"/>
      <c r="T73" s="900"/>
      <c r="U73" s="900"/>
      <c r="V73" s="900"/>
      <c r="W73" s="900"/>
      <c r="X73" s="900"/>
      <c r="Y73" s="900"/>
      <c r="Z73" s="900"/>
      <c r="AA73" s="900"/>
      <c r="AB73" s="900"/>
      <c r="AC73" s="901"/>
    </row>
    <row r="74" spans="1:29" s="7" customFormat="1" ht="12" hidden="1" customHeight="1" x14ac:dyDescent="0.2">
      <c r="A74" s="45" t="s">
        <v>222</v>
      </c>
      <c r="B74" s="30"/>
      <c r="C74" s="857" t="s">
        <v>262</v>
      </c>
      <c r="D74" s="858"/>
      <c r="E74" s="859"/>
      <c r="F74" s="860" t="s">
        <v>155</v>
      </c>
      <c r="G74" s="861"/>
      <c r="H74" s="861"/>
      <c r="I74" s="99" t="s">
        <v>272</v>
      </c>
      <c r="J74" s="99"/>
      <c r="K74" s="99"/>
      <c r="L74" s="100"/>
      <c r="M74" s="100"/>
      <c r="N74" s="100"/>
      <c r="O74" s="100"/>
      <c r="P74" s="100"/>
      <c r="Q74" s="100"/>
      <c r="R74" s="100"/>
      <c r="S74" s="100"/>
      <c r="T74" s="100"/>
      <c r="U74" s="100"/>
      <c r="V74" s="100"/>
      <c r="W74" s="100"/>
      <c r="X74" s="100"/>
      <c r="Y74" s="100"/>
      <c r="Z74" s="100"/>
      <c r="AA74" s="100"/>
      <c r="AB74" s="101"/>
    </row>
    <row r="75" spans="1:29" s="7" customFormat="1" ht="12" customHeight="1" x14ac:dyDescent="0.25">
      <c r="A75" s="862" t="s">
        <v>511</v>
      </c>
      <c r="B75" s="863"/>
      <c r="C75" s="915" t="s">
        <v>225</v>
      </c>
      <c r="D75" s="916"/>
      <c r="E75" s="917"/>
      <c r="F75" s="860" t="s">
        <v>155</v>
      </c>
      <c r="G75" s="861"/>
      <c r="H75" s="861"/>
      <c r="I75" s="103" t="s">
        <v>211</v>
      </c>
      <c r="J75" s="99"/>
      <c r="K75" s="99"/>
      <c r="L75" s="99"/>
      <c r="M75" s="99"/>
      <c r="N75" s="99"/>
      <c r="O75" s="99"/>
      <c r="P75" s="99"/>
      <c r="Q75" s="99" t="s">
        <v>357</v>
      </c>
      <c r="R75" s="205" t="str">
        <f>CONCATENATE(B23," - ",B26)</f>
        <v>2013 - 2016</v>
      </c>
      <c r="S75" s="99"/>
      <c r="T75" s="99"/>
      <c r="U75" s="99"/>
      <c r="V75" s="99"/>
      <c r="W75" s="99"/>
      <c r="X75" s="99"/>
      <c r="Y75" s="99"/>
      <c r="Z75" s="99"/>
      <c r="AA75" s="99"/>
      <c r="AB75" s="99"/>
      <c r="AC75" s="104"/>
    </row>
    <row r="76" spans="1:29" s="7" customFormat="1" ht="12" customHeight="1" x14ac:dyDescent="0.25">
      <c r="A76" s="949" t="s">
        <v>512</v>
      </c>
      <c r="B76" s="950"/>
      <c r="C76" s="920" t="s">
        <v>282</v>
      </c>
      <c r="D76" s="921"/>
      <c r="E76" s="922"/>
      <c r="F76" s="918" t="s">
        <v>155</v>
      </c>
      <c r="G76" s="919"/>
      <c r="H76" s="919"/>
      <c r="I76" s="389" t="s">
        <v>211</v>
      </c>
      <c r="J76" s="390"/>
      <c r="K76" s="390"/>
      <c r="L76" s="390"/>
      <c r="M76" s="390"/>
      <c r="N76" s="390"/>
      <c r="O76" s="390"/>
      <c r="P76" s="390"/>
      <c r="Q76" s="390" t="s">
        <v>358</v>
      </c>
      <c r="R76" s="391">
        <f>B27</f>
        <v>2017</v>
      </c>
      <c r="S76" s="390"/>
      <c r="T76" s="390"/>
      <c r="U76" s="390"/>
      <c r="V76" s="390"/>
      <c r="W76" s="390"/>
      <c r="X76" s="390"/>
      <c r="Y76" s="390"/>
      <c r="Z76" s="390"/>
      <c r="AA76" s="390"/>
      <c r="AB76" s="390"/>
      <c r="AC76" s="392"/>
    </row>
    <row r="77" spans="1:29" s="7" customFormat="1" ht="12" customHeight="1" x14ac:dyDescent="0.25">
      <c r="A77" s="862" t="s">
        <v>513</v>
      </c>
      <c r="B77" s="863"/>
      <c r="C77" s="915" t="s">
        <v>225</v>
      </c>
      <c r="D77" s="916"/>
      <c r="E77" s="917"/>
      <c r="F77" s="860" t="s">
        <v>155</v>
      </c>
      <c r="G77" s="861"/>
      <c r="H77" s="861"/>
      <c r="I77" s="103" t="s">
        <v>212</v>
      </c>
      <c r="J77" s="99"/>
      <c r="K77" s="99"/>
      <c r="L77" s="99"/>
      <c r="M77" s="99"/>
      <c r="N77" s="99"/>
      <c r="O77" s="99"/>
      <c r="P77" s="99"/>
      <c r="Q77" s="99" t="s">
        <v>357</v>
      </c>
      <c r="R77" s="205" t="str">
        <f>CONCATENATE(B23," - ",B25)</f>
        <v>2013 - 2015</v>
      </c>
      <c r="S77" s="99"/>
      <c r="T77" s="99"/>
      <c r="U77" s="99"/>
      <c r="V77" s="99"/>
      <c r="W77" s="99"/>
      <c r="X77" s="99"/>
      <c r="Y77" s="99"/>
      <c r="Z77" s="99"/>
      <c r="AA77" s="99"/>
      <c r="AB77" s="99"/>
      <c r="AC77" s="104"/>
    </row>
    <row r="78" spans="1:29" s="7" customFormat="1" ht="12" customHeight="1" x14ac:dyDescent="0.25">
      <c r="A78" s="862" t="s">
        <v>514</v>
      </c>
      <c r="B78" s="863"/>
      <c r="C78" s="857" t="s">
        <v>284</v>
      </c>
      <c r="D78" s="858"/>
      <c r="E78" s="859"/>
      <c r="F78" s="860" t="s">
        <v>155</v>
      </c>
      <c r="G78" s="861"/>
      <c r="H78" s="861"/>
      <c r="I78" s="103" t="s">
        <v>212</v>
      </c>
      <c r="J78" s="99"/>
      <c r="K78" s="99"/>
      <c r="L78" s="99"/>
      <c r="M78" s="99"/>
      <c r="N78" s="99"/>
      <c r="O78" s="99"/>
      <c r="P78" s="99"/>
      <c r="Q78" s="99" t="s">
        <v>359</v>
      </c>
      <c r="R78" s="205">
        <f>B26</f>
        <v>2016</v>
      </c>
      <c r="S78" s="99"/>
      <c r="T78" s="99"/>
      <c r="U78" s="99"/>
      <c r="V78" s="99"/>
      <c r="W78" s="99"/>
      <c r="X78" s="99"/>
      <c r="Y78" s="99"/>
      <c r="Z78" s="99"/>
      <c r="AA78" s="99"/>
      <c r="AB78" s="99"/>
      <c r="AC78" s="104"/>
    </row>
    <row r="79" spans="1:29" s="7" customFormat="1" ht="12" customHeight="1" x14ac:dyDescent="0.25">
      <c r="A79" s="949" t="s">
        <v>515</v>
      </c>
      <c r="B79" s="950"/>
      <c r="C79" s="920" t="s">
        <v>283</v>
      </c>
      <c r="D79" s="921"/>
      <c r="E79" s="922"/>
      <c r="F79" s="918" t="s">
        <v>155</v>
      </c>
      <c r="G79" s="919"/>
      <c r="H79" s="919"/>
      <c r="I79" s="389" t="s">
        <v>212</v>
      </c>
      <c r="J79" s="390"/>
      <c r="K79" s="390"/>
      <c r="L79" s="390"/>
      <c r="M79" s="390"/>
      <c r="N79" s="390"/>
      <c r="O79" s="390"/>
      <c r="P79" s="390"/>
      <c r="Q79" s="390" t="s">
        <v>359</v>
      </c>
      <c r="R79" s="391">
        <f>B27</f>
        <v>2017</v>
      </c>
      <c r="S79" s="390"/>
      <c r="T79" s="390"/>
      <c r="U79" s="390"/>
      <c r="V79" s="390"/>
      <c r="W79" s="390"/>
      <c r="X79" s="390"/>
      <c r="Y79" s="390"/>
      <c r="Z79" s="390"/>
      <c r="AA79" s="390"/>
      <c r="AB79" s="390"/>
      <c r="AC79" s="392"/>
    </row>
    <row r="82" spans="1:29" ht="15" x14ac:dyDescent="0.25">
      <c r="A82"/>
      <c r="E82"/>
      <c r="F82"/>
      <c r="G82"/>
      <c r="H82"/>
      <c r="I82"/>
      <c r="J82"/>
      <c r="K82"/>
      <c r="L82"/>
      <c r="M82"/>
      <c r="N82"/>
      <c r="O82"/>
      <c r="P82"/>
      <c r="Q82"/>
      <c r="R82"/>
      <c r="S82"/>
      <c r="T82"/>
      <c r="U82"/>
      <c r="V82"/>
      <c r="W82"/>
      <c r="X82"/>
      <c r="Y82"/>
      <c r="Z82"/>
      <c r="AA82"/>
      <c r="AB82"/>
      <c r="AC82"/>
    </row>
    <row r="83" spans="1:29" ht="17.25" hidden="1" customHeight="1" x14ac:dyDescent="0.2">
      <c r="B83" s="41" t="str">
        <f>Berechnung2!B50</f>
        <v>Matrix</v>
      </c>
      <c r="C83" s="41"/>
      <c r="D83" s="41"/>
      <c r="E83" s="41"/>
      <c r="F83" s="41"/>
      <c r="G83" s="41"/>
      <c r="H83" s="42"/>
      <c r="I83" s="42"/>
      <c r="J83" s="42"/>
      <c r="K83" s="42"/>
      <c r="L83" s="42"/>
      <c r="M83" s="42"/>
      <c r="N83" s="42"/>
      <c r="O83" s="42"/>
      <c r="P83" s="42"/>
      <c r="Q83" s="42"/>
      <c r="R83" s="42"/>
      <c r="S83" s="42"/>
      <c r="T83" s="41"/>
      <c r="U83" s="41"/>
      <c r="V83" s="41"/>
    </row>
    <row r="84" spans="1:29" ht="14.25" hidden="1" customHeight="1" x14ac:dyDescent="0.2">
      <c r="A84" s="41" t="str">
        <f>Berechnung2!B51</f>
        <v>ART</v>
      </c>
      <c r="C84" s="41">
        <f>Berechnung2!C51</f>
        <v>0</v>
      </c>
      <c r="D84" s="41">
        <f>Berechnung2!D51</f>
        <v>0</v>
      </c>
      <c r="E84" s="41"/>
      <c r="F84" s="41"/>
      <c r="G84" s="41"/>
      <c r="H84" s="42">
        <f>Berechnung2!E51</f>
        <v>0</v>
      </c>
      <c r="I84" s="42" t="str">
        <f>Berechnung2!F51</f>
        <v>Werte</v>
      </c>
      <c r="J84" s="42"/>
      <c r="K84" s="42"/>
      <c r="L84" s="42">
        <f>Berechnung2!G51</f>
        <v>0</v>
      </c>
      <c r="M84" s="42">
        <f>Berechnung2!H51</f>
        <v>0</v>
      </c>
      <c r="N84" s="42">
        <f>Berechnung2!I51</f>
        <v>0</v>
      </c>
      <c r="O84" s="42">
        <f>Berechnung2!J51</f>
        <v>0</v>
      </c>
      <c r="P84" s="42">
        <f>Berechnung2!K51</f>
        <v>0</v>
      </c>
      <c r="Q84" s="42" t="str">
        <f>Berechnung2!L51</f>
        <v>Texte Matrix Datenquali</v>
      </c>
      <c r="R84" s="42">
        <f>Berechnung2!M51</f>
        <v>0</v>
      </c>
      <c r="S84" s="42" t="str">
        <f>Berechnung2!N51</f>
        <v>Fehlermeldungen Matrix</v>
      </c>
      <c r="T84" s="41"/>
      <c r="U84" s="41"/>
      <c r="V84" s="41"/>
    </row>
    <row r="85" spans="1:29" ht="14.25" hidden="1" customHeight="1" x14ac:dyDescent="0.2">
      <c r="A85" s="41" t="str">
        <f>Berechnung2!B52</f>
        <v>Anzahl Primärpatiente  größer als im KB</v>
      </c>
      <c r="C85" s="41">
        <f>Berechnung2!C52</f>
        <v>0</v>
      </c>
      <c r="D85" s="41" t="str">
        <f>Berechnung2!D52</f>
        <v>plausi</v>
      </c>
      <c r="E85" s="41"/>
      <c r="F85" s="41"/>
      <c r="G85" s="41"/>
      <c r="H85" s="51">
        <f>Berechnung2!E52</f>
        <v>0</v>
      </c>
      <c r="I85" s="51">
        <f>Berechnung2!F52</f>
        <v>0</v>
      </c>
      <c r="J85" s="51"/>
      <c r="K85" s="51"/>
      <c r="L85" s="51">
        <f>Berechnung2!G52</f>
        <v>0</v>
      </c>
      <c r="M85" s="51">
        <f>Berechnung2!H52</f>
        <v>0</v>
      </c>
      <c r="N85" s="51" t="str">
        <f>Berechnung2!I52</f>
        <v>Aus KB übertragen</v>
      </c>
      <c r="O85" s="107" t="str">
        <f>Berechnung2!J52</f>
        <v/>
      </c>
      <c r="P85" s="42">
        <f>Berechnung2!K52</f>
        <v>0</v>
      </c>
      <c r="Q85" s="42" t="str">
        <f>Berechnung2!L52</f>
        <v>Anzahl Primärpatienten in der Matrix größer als  Primärfälle Basisdaten</v>
      </c>
      <c r="R85" s="42">
        <f>Berechnung2!M52</f>
        <v>0</v>
      </c>
      <c r="S85" s="42">
        <f>Berechnung2!N52</f>
        <v>0</v>
      </c>
      <c r="T85" s="41"/>
      <c r="U85" s="41"/>
      <c r="V85" s="41"/>
    </row>
    <row r="86" spans="1:29" ht="14.25" hidden="1" customHeight="1" x14ac:dyDescent="0.2">
      <c r="A86" s="41">
        <f>Berechnung2!B53</f>
        <v>0</v>
      </c>
      <c r="C86" s="41">
        <f>Berechnung2!C53</f>
        <v>0</v>
      </c>
      <c r="D86" s="41" t="str">
        <f>Berechnung2!D53</f>
        <v>unvollständig</v>
      </c>
      <c r="E86" s="41"/>
      <c r="F86" s="41"/>
      <c r="G86" s="41"/>
      <c r="H86" s="51">
        <f>Berechnung2!E53</f>
        <v>0</v>
      </c>
      <c r="I86" s="51">
        <f>Berechnung2!F53</f>
        <v>0</v>
      </c>
      <c r="J86" s="51"/>
      <c r="K86" s="51"/>
      <c r="L86" s="51">
        <f>Berechnung2!G53</f>
        <v>0</v>
      </c>
      <c r="M86" s="51">
        <f>Berechnung2!H53</f>
        <v>0</v>
      </c>
      <c r="N86" s="51">
        <f>Berechnung2!I53</f>
        <v>0</v>
      </c>
      <c r="O86" s="51">
        <f>Berechnung2!J53</f>
        <v>0</v>
      </c>
      <c r="P86" s="42">
        <f>Berechnung2!K53</f>
        <v>0</v>
      </c>
      <c r="Q86" s="42" t="str">
        <f>Berechnung2!L53</f>
        <v>relevante Nachsorgejahre nicht/unvollständig bearbeitet</v>
      </c>
      <c r="R86" s="42">
        <f>Berechnung2!M53</f>
        <v>0</v>
      </c>
      <c r="S86" s="42">
        <f>Berechnung2!N53</f>
        <v>0</v>
      </c>
      <c r="T86" s="41"/>
      <c r="U86" s="41"/>
      <c r="V86" s="41"/>
    </row>
    <row r="87" spans="1:29" ht="14.25" hidden="1" customHeight="1" x14ac:dyDescent="0.2">
      <c r="A87" s="41" t="str">
        <f>Berechnung2!B54</f>
        <v>Relative Quote tumorfrei</v>
      </c>
      <c r="C87" s="41">
        <f>Berechnung2!C54</f>
        <v>0</v>
      </c>
      <c r="D87" s="41" t="str">
        <f>Berechnung2!D54</f>
        <v>plausi</v>
      </c>
      <c r="E87" s="41"/>
      <c r="F87" s="41"/>
      <c r="G87" s="41"/>
      <c r="H87" s="51" t="str">
        <f>Berechnung2!E54</f>
        <v>nicht geprüft</v>
      </c>
      <c r="I87" s="51">
        <f>Berechnung2!F54</f>
        <v>-1</v>
      </c>
      <c r="J87" s="51"/>
      <c r="K87" s="51"/>
      <c r="L87" s="51">
        <f>Berechnung2!G54</f>
        <v>-1</v>
      </c>
      <c r="M87" s="51">
        <f>Berechnung2!H54</f>
        <v>-1</v>
      </c>
      <c r="N87" s="51">
        <f>Berechnung2!I54</f>
        <v>-1</v>
      </c>
      <c r="O87" s="51">
        <f>Berechnung2!J54</f>
        <v>-1</v>
      </c>
      <c r="P87" s="42">
        <f>Berechnung2!K54</f>
        <v>0</v>
      </c>
      <c r="Q87" s="42" t="str">
        <f>Berechnung2!L54</f>
        <v>auffällig niedrige Quote tumorfreier Patienten</v>
      </c>
      <c r="R87" s="42">
        <f>Berechnung2!M54</f>
        <v>0</v>
      </c>
      <c r="S87" s="42">
        <f>Berechnung2!N54</f>
        <v>0</v>
      </c>
      <c r="T87" s="41"/>
      <c r="U87" s="41"/>
      <c r="V87" s="41"/>
      <c r="AC87" s="3"/>
    </row>
    <row r="88" spans="1:29" ht="14.25" hidden="1" customHeight="1" x14ac:dyDescent="0.2">
      <c r="A88" s="41" t="str">
        <f>Berechnung2!B55</f>
        <v xml:space="preserve">nur Prozentwerte können eingegeben werden </v>
      </c>
      <c r="C88" s="41">
        <f>Berechnung2!C55</f>
        <v>0</v>
      </c>
      <c r="D88" s="41" t="str">
        <f>Berechnung2!D55</f>
        <v>inkorrekt</v>
      </c>
      <c r="E88" s="41"/>
      <c r="F88" s="41"/>
      <c r="G88" s="41"/>
      <c r="H88" s="51" t="str">
        <f>Berechnung2!E55</f>
        <v>&gt;</v>
      </c>
      <c r="I88" s="51">
        <f>Berechnung2!F55</f>
        <v>0</v>
      </c>
      <c r="J88" s="51"/>
      <c r="K88" s="51"/>
      <c r="L88" s="51">
        <f>Berechnung2!G55</f>
        <v>0</v>
      </c>
      <c r="M88" s="51">
        <f>Berechnung2!H55</f>
        <v>0</v>
      </c>
      <c r="N88" s="51">
        <f>Berechnung2!I55</f>
        <v>0</v>
      </c>
      <c r="O88" s="51">
        <f>Berechnung2!J55</f>
        <v>1</v>
      </c>
      <c r="P88" s="42">
        <f>Berechnung2!K55</f>
        <v>0</v>
      </c>
      <c r="Q88" s="42">
        <f>Berechnung2!L55</f>
        <v>0</v>
      </c>
      <c r="R88" s="42">
        <f>Berechnung2!M55</f>
        <v>0</v>
      </c>
      <c r="S88" s="42">
        <f>Berechnung2!N55</f>
        <v>0</v>
      </c>
      <c r="T88" s="41"/>
      <c r="U88" s="41"/>
      <c r="V88" s="41"/>
      <c r="AC88" s="3"/>
    </row>
    <row r="89" spans="1:29" ht="14.25" hidden="1" customHeight="1" x14ac:dyDescent="0.2">
      <c r="A89" s="41" t="str">
        <f>Berechnung2!B56</f>
        <v>zu geringe Anzahl der Primärfälle</v>
      </c>
      <c r="C89" s="41">
        <f>Berechnung2!C56</f>
        <v>0</v>
      </c>
      <c r="D89" s="41" t="str">
        <f>Berechnung2!D56</f>
        <v>plausi</v>
      </c>
      <c r="E89" s="41"/>
      <c r="F89" s="41"/>
      <c r="G89" s="41"/>
      <c r="H89" s="42" t="str">
        <f>Berechnung2!E56</f>
        <v>&lt;</v>
      </c>
      <c r="I89" s="42">
        <f>Berechnung2!F56</f>
        <v>0</v>
      </c>
      <c r="J89" s="42"/>
      <c r="K89" s="42"/>
      <c r="L89" s="42">
        <f>Berechnung2!G56</f>
        <v>150</v>
      </c>
      <c r="M89" s="42">
        <f>Berechnung2!H56</f>
        <v>0</v>
      </c>
      <c r="N89" s="42">
        <f>Berechnung2!I56</f>
        <v>0</v>
      </c>
      <c r="O89" s="42">
        <f>Berechnung2!J56</f>
        <v>0</v>
      </c>
      <c r="P89" s="42">
        <f>Berechnung2!K56</f>
        <v>0</v>
      </c>
      <c r="Q89" s="42" t="str">
        <f>Berechnung2!L56</f>
        <v>zu wenig Primärfälle angegeben</v>
      </c>
      <c r="R89" s="42">
        <f>Berechnung2!M56</f>
        <v>0</v>
      </c>
      <c r="S89" s="42">
        <f>Berechnung2!N56</f>
        <v>0</v>
      </c>
      <c r="T89" s="41"/>
      <c r="U89" s="41"/>
      <c r="V89" s="41"/>
      <c r="AC89" s="3"/>
    </row>
    <row r="90" spans="1:29" ht="14.25" hidden="1" customHeight="1" x14ac:dyDescent="0.2">
      <c r="A90" s="41" t="str">
        <f>Berechnung2!B57</f>
        <v>zu viele Patientinnen im Follow-Up</v>
      </c>
      <c r="C90" s="41">
        <f>Berechnung2!C57</f>
        <v>0</v>
      </c>
      <c r="D90" s="41" t="str">
        <f>Berechnung2!D57</f>
        <v>inkorrekt</v>
      </c>
      <c r="E90" s="41"/>
      <c r="F90" s="41"/>
      <c r="G90" s="41"/>
      <c r="H90" s="52">
        <f>Berechnung2!E57</f>
        <v>0</v>
      </c>
      <c r="I90" s="52">
        <f>Berechnung2!F57</f>
        <v>0</v>
      </c>
      <c r="J90" s="52"/>
      <c r="K90" s="52"/>
      <c r="L90" s="52">
        <f>Berechnung2!G57</f>
        <v>0</v>
      </c>
      <c r="M90" s="52">
        <f>Berechnung2!H57</f>
        <v>0</v>
      </c>
      <c r="N90" s="52">
        <f>Berechnung2!I57</f>
        <v>0</v>
      </c>
      <c r="O90" s="52">
        <f>Berechnung2!J57</f>
        <v>0</v>
      </c>
      <c r="P90" s="42">
        <f>Berechnung2!K57</f>
        <v>0</v>
      </c>
      <c r="Q90" s="42" t="str">
        <f>Berechnung2!L57</f>
        <v>zu viele Pat im Follow-Up</v>
      </c>
      <c r="R90" s="42">
        <f>Berechnung2!M57</f>
        <v>0</v>
      </c>
      <c r="S90" s="42" t="str">
        <f>Berechnung2!N57</f>
        <v>Anzahl Pat. Im Follow-Up zu hoch.</v>
      </c>
      <c r="T90" s="41"/>
      <c r="U90" s="41"/>
      <c r="V90" s="41"/>
      <c r="AC90" s="3"/>
    </row>
    <row r="91" spans="1:29" ht="14.25" hidden="1" customHeight="1" x14ac:dyDescent="0.2">
      <c r="A91" s="41" t="str">
        <f>Berechnung2!B58</f>
        <v>geringe Follow-Up Quote</v>
      </c>
      <c r="C91" s="41">
        <f>Berechnung2!C58</f>
        <v>0</v>
      </c>
      <c r="D91" s="41" t="str">
        <f>Berechnung2!D58</f>
        <v>plausi</v>
      </c>
      <c r="E91" s="41"/>
      <c r="F91" s="41"/>
      <c r="G91" s="41"/>
      <c r="H91" s="52" t="str">
        <f>Berechnung2!E58</f>
        <v>&lt;</v>
      </c>
      <c r="I91" s="52">
        <f>Berechnung2!F58</f>
        <v>0</v>
      </c>
      <c r="J91" s="52"/>
      <c r="K91" s="52"/>
      <c r="L91" s="52">
        <f>Berechnung2!G58</f>
        <v>0</v>
      </c>
      <c r="M91" s="52">
        <f>Berechnung2!H58</f>
        <v>0</v>
      </c>
      <c r="N91" s="52">
        <f>Berechnung2!I58</f>
        <v>0.39999000000000001</v>
      </c>
      <c r="O91" s="52">
        <f>Berechnung2!J58</f>
        <v>0.39999000000000001</v>
      </c>
      <c r="P91" s="42">
        <f>Berechnung2!K58</f>
        <v>0</v>
      </c>
      <c r="Q91" s="42" t="str">
        <f>Berechnung2!L58</f>
        <v>geringe Follow-Up Quote der Nachsorgejahre</v>
      </c>
      <c r="R91" s="42">
        <f>Berechnung2!M58</f>
        <v>0</v>
      </c>
      <c r="S91" s="42">
        <f>Berechnung2!N58</f>
        <v>0</v>
      </c>
      <c r="T91" s="41"/>
      <c r="U91" s="41"/>
      <c r="V91" s="41"/>
      <c r="AC91" s="3"/>
    </row>
    <row r="92" spans="1:29" ht="14.25" hidden="1" customHeight="1" x14ac:dyDescent="0.2">
      <c r="A92" s="41" t="str">
        <f>Berechnung2!B59</f>
        <v>geringe Follow-Up Quote der letzten 2-4 Jahre</v>
      </c>
      <c r="C92" s="41">
        <f>Berechnung2!C59</f>
        <v>0</v>
      </c>
      <c r="D92" s="41" t="str">
        <f>Berechnung2!D59</f>
        <v>sollvorgabe</v>
      </c>
      <c r="E92" s="41"/>
      <c r="F92" s="41"/>
      <c r="G92" s="41"/>
      <c r="H92" s="52" t="str">
        <f>Berechnung2!E59</f>
        <v>&lt;</v>
      </c>
      <c r="I92" s="52">
        <f>Berechnung2!F59</f>
        <v>0</v>
      </c>
      <c r="J92" s="52"/>
      <c r="K92" s="52"/>
      <c r="L92" s="52">
        <f>Berechnung2!G59</f>
        <v>0</v>
      </c>
      <c r="M92" s="52">
        <f>Berechnung2!H59</f>
        <v>0</v>
      </c>
      <c r="N92" s="52">
        <f>Berechnung2!I59</f>
        <v>0.79998999999999998</v>
      </c>
      <c r="O92" s="52">
        <f>Berechnung2!J59</f>
        <v>0.79998999999999998</v>
      </c>
      <c r="P92" s="42">
        <f>Berechnung2!K59</f>
        <v>0</v>
      </c>
      <c r="Q92" s="42" t="str">
        <f>Berechnung2!L59</f>
        <v>durchschnittliche Follow-Up Quote &lt; 80%</v>
      </c>
      <c r="R92" s="42">
        <f>Berechnung2!M59</f>
        <v>0</v>
      </c>
      <c r="S92" s="42">
        <f>Berechnung2!N59</f>
        <v>0</v>
      </c>
      <c r="T92" s="41"/>
      <c r="U92" s="41"/>
      <c r="V92" s="41"/>
      <c r="AC92" s="3"/>
    </row>
    <row r="93" spans="1:29" ht="14.25" hidden="1" customHeight="1" x14ac:dyDescent="0.2">
      <c r="A93" s="41" t="str">
        <f>Berechnung2!B60</f>
        <v>zu hohe Follow-Up Quote der letzten 2-4 Jahre</v>
      </c>
      <c r="C93" s="41">
        <f>Berechnung2!C60</f>
        <v>0</v>
      </c>
      <c r="D93" s="41" t="str">
        <f>Berechnung2!D60</f>
        <v>plausi</v>
      </c>
      <c r="E93" s="41"/>
      <c r="F93" s="41"/>
      <c r="G93" s="41"/>
      <c r="H93" s="52" t="str">
        <f>Berechnung2!E60</f>
        <v>&gt;</v>
      </c>
      <c r="I93" s="52">
        <f>Berechnung2!F60</f>
        <v>0</v>
      </c>
      <c r="J93" s="52"/>
      <c r="K93" s="52"/>
      <c r="L93" s="52">
        <f>Berechnung2!G60</f>
        <v>0</v>
      </c>
      <c r="M93" s="52">
        <f>Berechnung2!H60</f>
        <v>0.95001000000000002</v>
      </c>
      <c r="N93" s="52">
        <f>Berechnung2!I60</f>
        <v>1</v>
      </c>
      <c r="O93" s="52">
        <f>Berechnung2!J60</f>
        <v>0.95001000000000002</v>
      </c>
      <c r="P93" s="42">
        <f>Berechnung2!K60</f>
        <v>0</v>
      </c>
      <c r="Q93" s="42" t="str">
        <f>Berechnung2!L60</f>
        <v>durchschnittliche Follow-Up Quote &gt; 95%</v>
      </c>
      <c r="R93" s="42">
        <f>Berechnung2!M60</f>
        <v>0</v>
      </c>
      <c r="S93" s="42">
        <f>Berechnung2!N60</f>
        <v>0</v>
      </c>
      <c r="T93" s="41"/>
      <c r="U93" s="41"/>
      <c r="V93" s="41"/>
      <c r="AC93" s="3"/>
    </row>
    <row r="94" spans="1:29" ht="14.25" hidden="1" customHeight="1" x14ac:dyDescent="0.2">
      <c r="A94" s="41" t="str">
        <f>Berechnung2!B61</f>
        <v xml:space="preserve">Fehler bei Ereignisse </v>
      </c>
      <c r="C94" s="41">
        <f>Berechnung2!C61</f>
        <v>0</v>
      </c>
      <c r="D94" s="41" t="str">
        <f>Berechnung2!D61</f>
        <v>inkorrekt</v>
      </c>
      <c r="E94" s="41"/>
      <c r="F94" s="41"/>
      <c r="G94" s="41"/>
      <c r="H94" s="52">
        <f>Berechnung2!E61</f>
        <v>0</v>
      </c>
      <c r="I94" s="52">
        <f>Berechnung2!F61</f>
        <v>0</v>
      </c>
      <c r="J94" s="52"/>
      <c r="K94" s="52"/>
      <c r="L94" s="52">
        <f>Berechnung2!G61</f>
        <v>0</v>
      </c>
      <c r="M94" s="52">
        <f>Berechnung2!H61</f>
        <v>0</v>
      </c>
      <c r="N94" s="52">
        <f>Berechnung2!I61</f>
        <v>0</v>
      </c>
      <c r="O94" s="52">
        <f>Berechnung2!J61</f>
        <v>0</v>
      </c>
      <c r="P94" s="42">
        <f>Berechnung2!K61</f>
        <v>0</v>
      </c>
      <c r="Q94" s="42" t="str">
        <f>Berechnung2!L61</f>
        <v>----</v>
      </c>
      <c r="R94" s="42">
        <f>Berechnung2!M61</f>
        <v>0</v>
      </c>
      <c r="S94" s="42">
        <f>Berechnung2!N61</f>
        <v>0</v>
      </c>
      <c r="T94" s="41"/>
      <c r="U94" s="41"/>
      <c r="V94" s="41"/>
      <c r="AC94" s="3"/>
    </row>
    <row r="95" spans="1:29" ht="14.25" hidden="1" customHeight="1" x14ac:dyDescent="0.2">
      <c r="A95" s="41">
        <f>Berechnung2!B62</f>
        <v>0</v>
      </c>
      <c r="C95" s="41">
        <f>Berechnung2!C62</f>
        <v>0</v>
      </c>
      <c r="D95" s="41">
        <f>Berechnung2!D62</f>
        <v>0</v>
      </c>
      <c r="E95" s="41"/>
      <c r="F95" s="41"/>
      <c r="G95" s="41"/>
      <c r="H95" s="52">
        <f>Berechnung2!E62</f>
        <v>0</v>
      </c>
      <c r="I95" s="52">
        <f>Berechnung2!F62</f>
        <v>0</v>
      </c>
      <c r="J95" s="52"/>
      <c r="K95" s="52"/>
      <c r="L95" s="52">
        <f>Berechnung2!G62</f>
        <v>0</v>
      </c>
      <c r="M95" s="52">
        <f>Berechnung2!H62</f>
        <v>0</v>
      </c>
      <c r="N95" s="52">
        <f>Berechnung2!I62</f>
        <v>0</v>
      </c>
      <c r="O95" s="52">
        <f>Berechnung2!J62</f>
        <v>0</v>
      </c>
      <c r="P95" s="42">
        <f>Berechnung2!K62</f>
        <v>0</v>
      </c>
      <c r="Q95" s="42">
        <f>Berechnung2!L62</f>
        <v>0</v>
      </c>
      <c r="R95" s="42">
        <f>Berechnung2!M62</f>
        <v>0</v>
      </c>
      <c r="S95" s="42">
        <f>Berechnung2!N62</f>
        <v>0</v>
      </c>
      <c r="T95" s="41"/>
      <c r="U95" s="41"/>
      <c r="V95" s="41"/>
      <c r="AC95" s="3"/>
    </row>
    <row r="96" spans="1:29" ht="14.25" hidden="1" customHeight="1" x14ac:dyDescent="0.2">
      <c r="A96" s="41" t="str">
        <f>Berechnung2!B63</f>
        <v>wenn sich Minuswerte berechnen</v>
      </c>
      <c r="C96" s="41">
        <f>Berechnung2!C63</f>
        <v>0</v>
      </c>
      <c r="D96" s="41" t="str">
        <f>Berechnung2!D63</f>
        <v>inkorrekt</v>
      </c>
      <c r="E96" s="41"/>
      <c r="F96" s="41"/>
      <c r="G96" s="41"/>
      <c r="H96" s="52" t="str">
        <f>Berechnung2!E63</f>
        <v>&lt;</v>
      </c>
      <c r="I96" s="52">
        <f>Berechnung2!F63</f>
        <v>0</v>
      </c>
      <c r="J96" s="52"/>
      <c r="K96" s="52"/>
      <c r="L96" s="52">
        <f>Berechnung2!G63</f>
        <v>0</v>
      </c>
      <c r="M96" s="52">
        <f>Berechnung2!H63</f>
        <v>0</v>
      </c>
      <c r="N96" s="52">
        <f>Berechnung2!I63</f>
        <v>0</v>
      </c>
      <c r="O96" s="52">
        <f>Berechnung2!J63</f>
        <v>0</v>
      </c>
      <c r="P96" s="42">
        <f>Berechnung2!K63</f>
        <v>0</v>
      </c>
      <c r="Q96" s="42" t="str">
        <f>Berechnung2!L63</f>
        <v>Zahlen in Spalte R dürfen keine negativen Werte annehmen</v>
      </c>
      <c r="R96" s="42">
        <f>Berechnung2!M63</f>
        <v>0</v>
      </c>
      <c r="S96" s="42"/>
      <c r="T96" s="41"/>
      <c r="U96" s="41"/>
      <c r="V96" s="41"/>
      <c r="AC96" s="3"/>
    </row>
    <row r="97" spans="1:29" ht="14.25" hidden="1" customHeight="1" x14ac:dyDescent="0.2">
      <c r="A97" s="41">
        <f>Berechnung2!B64</f>
        <v>0</v>
      </c>
      <c r="C97" s="41">
        <f>Berechnung2!C64</f>
        <v>0</v>
      </c>
      <c r="D97" s="41">
        <f>Berechnung2!D64</f>
        <v>0</v>
      </c>
      <c r="E97" s="41"/>
      <c r="F97" s="41"/>
      <c r="G97" s="41"/>
      <c r="H97" s="52">
        <f>Berechnung2!E64</f>
        <v>0</v>
      </c>
      <c r="I97" s="52">
        <f>Berechnung2!F64</f>
        <v>0</v>
      </c>
      <c r="J97" s="52"/>
      <c r="K97" s="52"/>
      <c r="L97" s="52">
        <f>Berechnung2!G64</f>
        <v>0</v>
      </c>
      <c r="M97" s="52">
        <f>Berechnung2!H64</f>
        <v>0</v>
      </c>
      <c r="N97" s="52">
        <f>Berechnung2!I64</f>
        <v>0</v>
      </c>
      <c r="O97" s="52">
        <f>Berechnung2!J64</f>
        <v>0</v>
      </c>
      <c r="P97" s="42">
        <f>Berechnung2!K64</f>
        <v>0</v>
      </c>
      <c r="Q97" s="42">
        <f>Berechnung2!L64</f>
        <v>0</v>
      </c>
      <c r="R97" s="42">
        <f>Berechnung2!M64</f>
        <v>0</v>
      </c>
      <c r="S97" s="42">
        <f>Berechnung2!N64</f>
        <v>0</v>
      </c>
      <c r="T97" s="41"/>
      <c r="U97" s="41"/>
      <c r="V97" s="41"/>
      <c r="AC97" s="3"/>
    </row>
    <row r="98" spans="1:29" ht="14.25" hidden="1" customHeight="1" x14ac:dyDescent="0.2">
      <c r="A98" s="41" t="str">
        <f>Berechnung2!B65</f>
        <v>DFS</v>
      </c>
      <c r="C98" s="41">
        <f>Berechnung2!C65</f>
        <v>0</v>
      </c>
      <c r="D98" s="41">
        <f>Berechnung2!D65</f>
        <v>0</v>
      </c>
      <c r="E98" s="41"/>
      <c r="F98" s="41"/>
      <c r="G98" s="41"/>
      <c r="H98" s="41" t="str">
        <f>Berechnung2!E65</f>
        <v>von</v>
      </c>
      <c r="I98" s="41">
        <f>Berechnung2!F65</f>
        <v>0</v>
      </c>
      <c r="J98" s="41"/>
      <c r="K98" s="41"/>
      <c r="L98" s="41" t="str">
        <f>Berechnung2!G65</f>
        <v>untere Grenze</v>
      </c>
      <c r="M98" s="41">
        <f>Berechnung2!H65</f>
        <v>0</v>
      </c>
      <c r="N98" s="41">
        <f>Berechnung2!I65</f>
        <v>0</v>
      </c>
      <c r="O98" s="41" t="str">
        <f>Berechnung2!J65</f>
        <v>obere Grenze</v>
      </c>
      <c r="P98" s="41">
        <f>Berechnung2!K65</f>
        <v>0</v>
      </c>
      <c r="Q98" s="41">
        <f>Berechnung2!L65</f>
        <v>0</v>
      </c>
      <c r="R98" s="41"/>
      <c r="S98" s="41">
        <f>Berechnung2!M65</f>
        <v>0</v>
      </c>
      <c r="T98" s="41"/>
      <c r="U98" s="41"/>
      <c r="V98" s="41"/>
      <c r="AC98" s="3"/>
    </row>
    <row r="99" spans="1:29" ht="14.25" hidden="1" customHeight="1" x14ac:dyDescent="0.2">
      <c r="A99" s="41">
        <f>Berechnung2!B66</f>
        <v>0</v>
      </c>
      <c r="C99" s="41"/>
      <c r="D99" s="41">
        <f>Berechnung2!D66</f>
        <v>0</v>
      </c>
      <c r="E99" s="41"/>
      <c r="F99" s="41"/>
      <c r="G99" s="41"/>
      <c r="H99" s="41">
        <f>Berechnung2!E66</f>
        <v>0</v>
      </c>
      <c r="I99" s="41">
        <f>Berechnung2!F66</f>
        <v>0</v>
      </c>
      <c r="J99" s="41"/>
      <c r="K99" s="41"/>
      <c r="L99" s="53">
        <f>Berechnung2!G66</f>
        <v>0</v>
      </c>
      <c r="M99" s="53">
        <f>Berechnung2!H66</f>
        <v>0</v>
      </c>
      <c r="N99" s="41">
        <f>Berechnung2!I66</f>
        <v>0</v>
      </c>
      <c r="O99" s="53">
        <f>Berechnung2!J66</f>
        <v>0</v>
      </c>
      <c r="P99" s="41">
        <f>Berechnung2!K66</f>
        <v>0</v>
      </c>
      <c r="Q99" s="41">
        <f>Berechnung2!L66</f>
        <v>0</v>
      </c>
      <c r="R99" s="41"/>
      <c r="S99" s="41">
        <f>Berechnung2!M66</f>
        <v>0</v>
      </c>
      <c r="T99" s="41"/>
      <c r="U99" s="41"/>
      <c r="V99" s="41"/>
      <c r="AC99" s="3"/>
    </row>
    <row r="100" spans="1:29" ht="14.25" hidden="1" customHeight="1" x14ac:dyDescent="0.2">
      <c r="A100" s="41">
        <f>Berechnung2!B67</f>
        <v>2013</v>
      </c>
      <c r="C100" s="41"/>
      <c r="D100" s="41">
        <f>Berechnung2!D67</f>
        <v>0</v>
      </c>
      <c r="E100" s="41"/>
      <c r="F100" s="41"/>
      <c r="G100" s="41"/>
      <c r="H100" s="41">
        <f>Berechnung2!E67</f>
        <v>0</v>
      </c>
      <c r="I100" s="41">
        <f>Berechnung2!F67</f>
        <v>0</v>
      </c>
      <c r="J100" s="41"/>
      <c r="K100" s="41"/>
      <c r="L100" s="53">
        <f>Berechnung2!G67</f>
        <v>0</v>
      </c>
      <c r="M100" s="53">
        <f>Berechnung2!H67</f>
        <v>0</v>
      </c>
      <c r="N100" s="41">
        <f>Berechnung2!I67</f>
        <v>0</v>
      </c>
      <c r="O100" s="53">
        <f>Berechnung2!J67</f>
        <v>0</v>
      </c>
      <c r="P100" s="41">
        <f>Berechnung2!K67</f>
        <v>0</v>
      </c>
      <c r="Q100" s="41">
        <f>Berechnung2!L67</f>
        <v>0</v>
      </c>
      <c r="R100" s="41"/>
      <c r="S100" s="41">
        <f>Berechnung2!M67</f>
        <v>0</v>
      </c>
      <c r="T100" s="41"/>
      <c r="U100" s="41"/>
      <c r="V100" s="41"/>
      <c r="AC100" s="3"/>
    </row>
    <row r="101" spans="1:29" ht="14.25" hidden="1" customHeight="1" x14ac:dyDescent="0.2">
      <c r="A101" s="41">
        <f>Berechnung2!B68</f>
        <v>2014</v>
      </c>
      <c r="C101" s="41"/>
      <c r="D101" s="41">
        <f>Berechnung2!D68</f>
        <v>0</v>
      </c>
      <c r="E101" s="41"/>
      <c r="F101" s="41"/>
      <c r="G101" s="41"/>
      <c r="H101" s="41">
        <f>Berechnung2!E68</f>
        <v>0</v>
      </c>
      <c r="I101" s="41">
        <f>Berechnung2!F68</f>
        <v>0</v>
      </c>
      <c r="J101" s="41"/>
      <c r="K101" s="41"/>
      <c r="L101" s="53">
        <f>Berechnung2!G68</f>
        <v>0</v>
      </c>
      <c r="M101" s="53">
        <f>Berechnung2!H68</f>
        <v>0</v>
      </c>
      <c r="N101" s="41">
        <f>Berechnung2!I68</f>
        <v>0</v>
      </c>
      <c r="O101" s="53">
        <f>Berechnung2!J68</f>
        <v>0</v>
      </c>
      <c r="P101" s="41">
        <f>Berechnung2!K68</f>
        <v>0</v>
      </c>
      <c r="Q101" s="41" t="str">
        <f>Berechnung2!L68</f>
        <v>DFS auffällig niedrig oder hoch</v>
      </c>
      <c r="R101" s="41"/>
      <c r="S101" s="41" t="str">
        <f>Berechnung2!M68</f>
        <v>DFS auffällig niedrig oder hoch</v>
      </c>
      <c r="T101" s="41"/>
      <c r="U101" s="41"/>
      <c r="V101" s="41"/>
      <c r="AC101" s="3"/>
    </row>
    <row r="102" spans="1:29" ht="14.25" hidden="1" customHeight="1" x14ac:dyDescent="0.2">
      <c r="A102" s="41">
        <f>Berechnung2!B69</f>
        <v>2015</v>
      </c>
      <c r="C102" s="41"/>
      <c r="D102" s="41">
        <f>Berechnung2!D69</f>
        <v>0</v>
      </c>
      <c r="E102" s="41"/>
      <c r="F102" s="41"/>
      <c r="G102" s="41"/>
      <c r="H102" s="41">
        <f>Berechnung2!E69</f>
        <v>0</v>
      </c>
      <c r="I102" s="41">
        <f>Berechnung2!F69</f>
        <v>0</v>
      </c>
      <c r="J102" s="41"/>
      <c r="K102" s="41"/>
      <c r="L102" s="53">
        <f>Berechnung2!G69</f>
        <v>0</v>
      </c>
      <c r="M102" s="53">
        <f>Berechnung2!H69</f>
        <v>0</v>
      </c>
      <c r="N102" s="41">
        <f>Berechnung2!I69</f>
        <v>0</v>
      </c>
      <c r="O102" s="53">
        <f>Berechnung2!J69</f>
        <v>0</v>
      </c>
      <c r="P102" s="41">
        <f>Berechnung2!K69</f>
        <v>0</v>
      </c>
      <c r="Q102" s="41" t="str">
        <f>Berechnung2!L69</f>
        <v>DFS auffällig niedrig oder hoch</v>
      </c>
      <c r="R102" s="41"/>
      <c r="S102" s="41" t="str">
        <f>Berechnung2!M69</f>
        <v>DFS auffällig niedrig oder hoch</v>
      </c>
      <c r="T102" s="41"/>
      <c r="U102" s="41"/>
      <c r="V102" s="41"/>
      <c r="AC102" s="3"/>
    </row>
    <row r="103" spans="1:29" ht="14.25" hidden="1" customHeight="1" x14ac:dyDescent="0.2">
      <c r="A103" s="41">
        <f>Berechnung2!B70</f>
        <v>2016</v>
      </c>
      <c r="C103" s="41"/>
      <c r="D103" s="41">
        <f>Berechnung2!D70</f>
        <v>0</v>
      </c>
      <c r="E103" s="41"/>
      <c r="F103" s="41"/>
      <c r="G103" s="41"/>
      <c r="H103" s="41">
        <f>Berechnung2!E70</f>
        <v>0</v>
      </c>
      <c r="I103" s="41">
        <f>Berechnung2!F70</f>
        <v>0</v>
      </c>
      <c r="J103" s="41"/>
      <c r="K103" s="41"/>
      <c r="L103" s="53">
        <f>Berechnung2!G70</f>
        <v>0</v>
      </c>
      <c r="M103" s="53">
        <f>Berechnung2!H70</f>
        <v>0</v>
      </c>
      <c r="N103" s="41">
        <f>Berechnung2!I70</f>
        <v>0</v>
      </c>
      <c r="O103" s="53">
        <f>Berechnung2!J70</f>
        <v>0</v>
      </c>
      <c r="P103" s="41">
        <f>Berechnung2!K70</f>
        <v>0</v>
      </c>
      <c r="Q103" s="41" t="str">
        <f>Berechnung2!L70</f>
        <v>DFS auffällig niedrig oder hoch</v>
      </c>
      <c r="R103" s="41"/>
      <c r="S103" s="41" t="str">
        <f>Berechnung2!M70</f>
        <v>DFS auffällig niedrig oder hoch</v>
      </c>
      <c r="T103" s="41"/>
      <c r="U103" s="41"/>
      <c r="V103" s="41"/>
      <c r="AC103" s="3"/>
    </row>
    <row r="104" spans="1:29" ht="14.25" hidden="1" customHeight="1" x14ac:dyDescent="0.2">
      <c r="A104" s="41">
        <f>Berechnung2!B71</f>
        <v>2017</v>
      </c>
      <c r="C104" s="41"/>
      <c r="D104" s="281">
        <f>Berechnung2!D71</f>
        <v>0</v>
      </c>
      <c r="E104" s="281"/>
      <c r="F104" s="281"/>
      <c r="G104" s="281"/>
      <c r="H104" s="281">
        <f>Berechnung2!E71</f>
        <v>0</v>
      </c>
      <c r="I104" s="282">
        <f>Berechnung2!F71</f>
        <v>0.2999</v>
      </c>
      <c r="J104" s="282"/>
      <c r="K104" s="282"/>
      <c r="L104" s="281">
        <f>Berechnung2!G71</f>
        <v>0.2999</v>
      </c>
      <c r="M104" s="281">
        <f>Berechnung2!H71</f>
        <v>0</v>
      </c>
      <c r="N104" s="282">
        <f>Berechnung2!I71</f>
        <v>0.70001000000000002</v>
      </c>
      <c r="O104" s="281">
        <f>Berechnung2!J71</f>
        <v>0.70001000000000002</v>
      </c>
      <c r="P104" s="41">
        <f>Berechnung2!K71</f>
        <v>0</v>
      </c>
      <c r="Q104" s="41" t="str">
        <f>Berechnung2!L71</f>
        <v>DFS auffällig niedrig oder hoch</v>
      </c>
      <c r="R104" s="41"/>
      <c r="S104" s="41" t="str">
        <f>Berechnung2!M71</f>
        <v>DFS auffällig niedrig oder hoch</v>
      </c>
      <c r="T104" s="41"/>
      <c r="U104" s="41"/>
      <c r="V104" s="41"/>
      <c r="AC104" s="3"/>
    </row>
    <row r="105" spans="1:29" ht="14.25" hidden="1" customHeight="1" x14ac:dyDescent="0.2">
      <c r="A105" s="280">
        <f>Berechnung2!B72</f>
        <v>0</v>
      </c>
      <c r="C105" s="41"/>
      <c r="D105" s="281">
        <f>Berechnung2!D72</f>
        <v>0</v>
      </c>
      <c r="E105" s="281"/>
      <c r="F105" s="281"/>
      <c r="G105" s="281"/>
      <c r="H105" s="281">
        <f>Berechnung2!E72</f>
        <v>0</v>
      </c>
      <c r="I105" s="282">
        <f>Berechnung2!F72</f>
        <v>0</v>
      </c>
      <c r="J105" s="282"/>
      <c r="K105" s="282"/>
      <c r="L105" s="281">
        <f>Berechnung2!G72</f>
        <v>0</v>
      </c>
      <c r="M105" s="281">
        <f>Berechnung2!H72</f>
        <v>0</v>
      </c>
      <c r="N105" s="282">
        <f>Berechnung2!I72</f>
        <v>0</v>
      </c>
      <c r="O105" s="281">
        <f>Berechnung2!J72</f>
        <v>0</v>
      </c>
      <c r="P105" s="41">
        <f>Berechnung2!K72</f>
        <v>0</v>
      </c>
      <c r="Q105" s="41">
        <f>Berechnung2!L72</f>
        <v>0</v>
      </c>
      <c r="R105" s="41"/>
      <c r="S105" s="41">
        <f>Berechnung2!M72</f>
        <v>0</v>
      </c>
      <c r="T105" s="41"/>
      <c r="U105" s="41"/>
      <c r="V105" s="41"/>
      <c r="AC105" s="3"/>
    </row>
    <row r="106" spans="1:29" ht="14.25" hidden="1" customHeight="1" x14ac:dyDescent="0.2">
      <c r="A106" s="41">
        <f>Berechnung2!B73</f>
        <v>0</v>
      </c>
      <c r="C106" s="41"/>
      <c r="D106" s="41">
        <f>Berechnung2!D73</f>
        <v>0</v>
      </c>
      <c r="E106" s="41"/>
      <c r="F106" s="41"/>
      <c r="G106" s="41"/>
      <c r="H106" s="41">
        <f>Berechnung2!E73</f>
        <v>0</v>
      </c>
      <c r="I106" s="41">
        <f>Berechnung2!F73</f>
        <v>0</v>
      </c>
      <c r="J106" s="41"/>
      <c r="K106" s="41"/>
      <c r="L106" s="41">
        <f>Berechnung2!G73</f>
        <v>0</v>
      </c>
      <c r="M106" s="41">
        <f>Berechnung2!H73</f>
        <v>0</v>
      </c>
      <c r="N106" s="41">
        <f>Berechnung2!I73</f>
        <v>0</v>
      </c>
      <c r="O106" s="53">
        <f>Berechnung2!J73</f>
        <v>0</v>
      </c>
      <c r="P106" s="41">
        <f>Berechnung2!K73</f>
        <v>0</v>
      </c>
      <c r="Q106" s="41">
        <f>Berechnung2!L73</f>
        <v>0</v>
      </c>
      <c r="R106" s="41"/>
      <c r="S106" s="41">
        <f>Berechnung2!M73</f>
        <v>0</v>
      </c>
      <c r="T106" s="41"/>
      <c r="U106" s="41"/>
      <c r="V106" s="41"/>
      <c r="AC106" s="3"/>
    </row>
    <row r="107" spans="1:29" ht="14.25" hidden="1" customHeight="1" x14ac:dyDescent="0.2">
      <c r="A107" s="41" t="str">
        <f>Berechnung2!B74</f>
        <v>OAS</v>
      </c>
      <c r="C107" s="41"/>
      <c r="D107" s="41">
        <f>Berechnung2!D74</f>
        <v>0</v>
      </c>
      <c r="E107" s="41"/>
      <c r="F107" s="41"/>
      <c r="G107" s="41"/>
      <c r="H107" s="41">
        <f>Berechnung2!E74</f>
        <v>0</v>
      </c>
      <c r="I107" s="41">
        <f>Berechnung2!F74</f>
        <v>0</v>
      </c>
      <c r="J107" s="41"/>
      <c r="K107" s="41"/>
      <c r="L107" s="41" t="str">
        <f>Berechnung2!G74</f>
        <v>untere Grenze</v>
      </c>
      <c r="M107" s="41">
        <f>Berechnung2!H74</f>
        <v>0</v>
      </c>
      <c r="N107" s="41">
        <f>Berechnung2!I74</f>
        <v>0</v>
      </c>
      <c r="O107" s="41" t="str">
        <f>Berechnung2!J74</f>
        <v>obere Grenze</v>
      </c>
      <c r="P107" s="41">
        <f>Berechnung2!K74</f>
        <v>0</v>
      </c>
      <c r="Q107" s="41">
        <f>Berechnung2!L74</f>
        <v>0</v>
      </c>
      <c r="R107" s="41"/>
      <c r="S107" s="41">
        <f>Berechnung2!M74</f>
        <v>0</v>
      </c>
      <c r="T107" s="41"/>
      <c r="U107" s="41"/>
      <c r="V107" s="41"/>
      <c r="AC107" s="3"/>
    </row>
    <row r="108" spans="1:29" ht="14.25" hidden="1" customHeight="1" x14ac:dyDescent="0.2">
      <c r="A108" s="41">
        <f>Berechnung2!B75</f>
        <v>0</v>
      </c>
      <c r="C108" s="41"/>
      <c r="D108" s="41">
        <f>Berechnung2!D75</f>
        <v>0</v>
      </c>
      <c r="E108" s="41"/>
      <c r="F108" s="41"/>
      <c r="G108" s="41"/>
      <c r="H108" s="41">
        <f>Berechnung2!E75</f>
        <v>0</v>
      </c>
      <c r="I108" s="41">
        <f>Berechnung2!F75</f>
        <v>0</v>
      </c>
      <c r="J108" s="41"/>
      <c r="K108" s="41"/>
      <c r="L108" s="53">
        <f>Berechnung2!G75</f>
        <v>0</v>
      </c>
      <c r="M108" s="53">
        <f>Berechnung2!H75</f>
        <v>0</v>
      </c>
      <c r="N108" s="41">
        <f>Berechnung2!I75</f>
        <v>0</v>
      </c>
      <c r="O108" s="53">
        <f>Berechnung2!J75</f>
        <v>0</v>
      </c>
      <c r="P108" s="41">
        <f>Berechnung2!K75</f>
        <v>0</v>
      </c>
      <c r="Q108" s="41">
        <f>Berechnung2!L75</f>
        <v>0</v>
      </c>
      <c r="R108" s="41"/>
      <c r="S108" s="41">
        <f>Berechnung2!M75</f>
        <v>0</v>
      </c>
      <c r="T108" s="41"/>
      <c r="U108" s="41"/>
      <c r="V108" s="41"/>
      <c r="AC108" s="3"/>
    </row>
    <row r="109" spans="1:29" ht="14.25" hidden="1" customHeight="1" x14ac:dyDescent="0.2">
      <c r="A109" s="41">
        <f>Berechnung2!B76</f>
        <v>2013</v>
      </c>
      <c r="C109" s="41"/>
      <c r="D109" s="41">
        <f>Berechnung2!D76</f>
        <v>0</v>
      </c>
      <c r="E109" s="41"/>
      <c r="F109" s="41"/>
      <c r="G109" s="41"/>
      <c r="H109" s="41">
        <f>Berechnung2!E76</f>
        <v>0</v>
      </c>
      <c r="I109" s="41">
        <f>Berechnung2!F76</f>
        <v>0</v>
      </c>
      <c r="J109" s="41"/>
      <c r="K109" s="41"/>
      <c r="L109" s="53">
        <f>Berechnung2!G76</f>
        <v>0</v>
      </c>
      <c r="M109" s="53">
        <f>Berechnung2!H76</f>
        <v>0</v>
      </c>
      <c r="N109" s="41">
        <f>Berechnung2!I76</f>
        <v>0</v>
      </c>
      <c r="O109" s="53">
        <f>Berechnung2!J76</f>
        <v>0</v>
      </c>
      <c r="P109" s="41">
        <f>Berechnung2!K76</f>
        <v>0</v>
      </c>
      <c r="Q109" s="41">
        <f>Berechnung2!L76</f>
        <v>0</v>
      </c>
      <c r="R109" s="41"/>
      <c r="S109" s="41">
        <f>Berechnung2!M76</f>
        <v>0</v>
      </c>
      <c r="T109" s="41"/>
      <c r="U109" s="41"/>
      <c r="V109" s="41"/>
      <c r="AC109" s="3"/>
    </row>
    <row r="110" spans="1:29" ht="14.25" hidden="1" customHeight="1" x14ac:dyDescent="0.2">
      <c r="A110" s="41">
        <f>Berechnung2!B77</f>
        <v>2014</v>
      </c>
      <c r="C110" s="41"/>
      <c r="D110" s="41">
        <f>Berechnung2!D77</f>
        <v>0</v>
      </c>
      <c r="E110" s="41"/>
      <c r="F110" s="41"/>
      <c r="G110" s="41"/>
      <c r="H110" s="41">
        <f>Berechnung2!E77</f>
        <v>0</v>
      </c>
      <c r="I110" s="41">
        <f>Berechnung2!F77</f>
        <v>0</v>
      </c>
      <c r="J110" s="41"/>
      <c r="K110" s="41"/>
      <c r="L110" s="53">
        <f>Berechnung2!G77</f>
        <v>0</v>
      </c>
      <c r="M110" s="53">
        <f>Berechnung2!H77</f>
        <v>0</v>
      </c>
      <c r="N110" s="41">
        <f>Berechnung2!I77</f>
        <v>0</v>
      </c>
      <c r="O110" s="53">
        <f>Berechnung2!J77</f>
        <v>0</v>
      </c>
      <c r="P110" s="41">
        <f>Berechnung2!K77</f>
        <v>0</v>
      </c>
      <c r="Q110" s="41" t="str">
        <f>Berechnung2!L77</f>
        <v>OAS auffällig niedrig oder hoch</v>
      </c>
      <c r="R110" s="41"/>
      <c r="S110" s="41" t="str">
        <f>Berechnung2!M77</f>
        <v>OAS auffällig niedrig oder hoch</v>
      </c>
      <c r="T110" s="41"/>
      <c r="U110" s="41"/>
      <c r="V110" s="41"/>
      <c r="AC110" s="3"/>
    </row>
    <row r="111" spans="1:29" ht="14.25" hidden="1" customHeight="1" x14ac:dyDescent="0.2">
      <c r="A111" s="41">
        <f>Berechnung2!B78</f>
        <v>2015</v>
      </c>
      <c r="C111" s="41"/>
      <c r="D111" s="41">
        <f>Berechnung2!D78</f>
        <v>0</v>
      </c>
      <c r="E111" s="41"/>
      <c r="F111" s="41"/>
      <c r="G111" s="41"/>
      <c r="H111" s="41">
        <f>Berechnung2!E78</f>
        <v>0</v>
      </c>
      <c r="I111" s="41">
        <f>Berechnung2!F78</f>
        <v>0</v>
      </c>
      <c r="J111" s="41"/>
      <c r="K111" s="41"/>
      <c r="L111" s="53">
        <f>Berechnung2!G78</f>
        <v>0</v>
      </c>
      <c r="M111" s="53">
        <f>Berechnung2!H78</f>
        <v>0</v>
      </c>
      <c r="N111" s="41">
        <f>Berechnung2!I78</f>
        <v>0</v>
      </c>
      <c r="O111" s="53">
        <f>Berechnung2!J78</f>
        <v>0</v>
      </c>
      <c r="P111" s="41">
        <f>Berechnung2!K78</f>
        <v>0</v>
      </c>
      <c r="Q111" s="41" t="str">
        <f>Berechnung2!L78</f>
        <v>OAS auffällig niedrig oder hoch</v>
      </c>
      <c r="R111" s="41"/>
      <c r="S111" s="41" t="str">
        <f>Berechnung2!M78</f>
        <v>OAS auffällig niedrig oder hoch</v>
      </c>
      <c r="T111" s="41"/>
      <c r="U111" s="41"/>
      <c r="V111" s="41"/>
      <c r="AC111" s="3"/>
    </row>
    <row r="112" spans="1:29" ht="14.25" hidden="1" customHeight="1" x14ac:dyDescent="0.2">
      <c r="A112" s="41">
        <f>Berechnung2!B79</f>
        <v>2016</v>
      </c>
      <c r="C112" s="41"/>
      <c r="D112" s="281">
        <f>Berechnung2!D79</f>
        <v>0</v>
      </c>
      <c r="E112" s="281"/>
      <c r="F112" s="281"/>
      <c r="G112" s="281"/>
      <c r="H112" s="281">
        <f>Berechnung2!E79</f>
        <v>0</v>
      </c>
      <c r="I112" s="282">
        <f>Berechnung2!F79</f>
        <v>0.19989999999999999</v>
      </c>
      <c r="J112" s="282"/>
      <c r="K112" s="282"/>
      <c r="L112" s="281">
        <f>Berechnung2!G79</f>
        <v>0.19989999999999999</v>
      </c>
      <c r="M112" s="281">
        <f>Berechnung2!H79</f>
        <v>0</v>
      </c>
      <c r="N112" s="282">
        <f>Berechnung2!I79</f>
        <v>0.50000999999999995</v>
      </c>
      <c r="O112" s="281">
        <f>Berechnung2!J79</f>
        <v>0.50000999999999995</v>
      </c>
      <c r="P112" s="281">
        <f>Berechnung2!K79</f>
        <v>0</v>
      </c>
      <c r="Q112" s="41" t="str">
        <f>Berechnung2!L79</f>
        <v>OAS auffällig niedrig oder hoch</v>
      </c>
      <c r="R112" s="41"/>
      <c r="S112" s="41" t="str">
        <f>Berechnung2!M79</f>
        <v>OAS auffällig niedrig oder hoch</v>
      </c>
      <c r="T112" s="41"/>
      <c r="U112" s="41"/>
      <c r="V112" s="41"/>
      <c r="AC112" s="3"/>
    </row>
    <row r="113" spans="1:29" ht="14.25" hidden="1" customHeight="1" x14ac:dyDescent="0.2">
      <c r="A113" s="41">
        <f>Berechnung2!B80</f>
        <v>2017</v>
      </c>
      <c r="C113" s="41"/>
      <c r="D113" s="281">
        <f>Berechnung2!D80</f>
        <v>0</v>
      </c>
      <c r="E113" s="281"/>
      <c r="F113" s="281"/>
      <c r="G113" s="281"/>
      <c r="H113" s="281">
        <f>Berechnung2!E80</f>
        <v>0</v>
      </c>
      <c r="I113" s="282">
        <f>Berechnung2!F80</f>
        <v>0.2999</v>
      </c>
      <c r="J113" s="282"/>
      <c r="K113" s="282"/>
      <c r="L113" s="281">
        <f>Berechnung2!G80</f>
        <v>0.2999</v>
      </c>
      <c r="M113" s="281">
        <f>Berechnung2!H80</f>
        <v>0</v>
      </c>
      <c r="N113" s="282">
        <f>Berechnung2!I80</f>
        <v>0.60001000000000004</v>
      </c>
      <c r="O113" s="281">
        <f>Berechnung2!J80</f>
        <v>0.60001000000000004</v>
      </c>
      <c r="P113" s="281">
        <f>Berechnung2!K80</f>
        <v>0</v>
      </c>
      <c r="Q113" s="41" t="str">
        <f>Berechnung2!L80</f>
        <v>OAS auffällig niedrig oder hoch</v>
      </c>
      <c r="R113" s="41"/>
      <c r="S113" s="41" t="str">
        <f>Berechnung2!M80</f>
        <v>OAS auffällig niedrig oder hoch</v>
      </c>
      <c r="T113" s="41"/>
      <c r="U113" s="41"/>
      <c r="V113" s="41"/>
      <c r="AC113" s="3"/>
    </row>
    <row r="114" spans="1:29" ht="14.25" hidden="1" customHeight="1" x14ac:dyDescent="0.2">
      <c r="A114" s="280">
        <f>Berechnung2!B81</f>
        <v>0</v>
      </c>
      <c r="C114" s="41"/>
      <c r="D114" s="281">
        <f>Berechnung2!D81</f>
        <v>0</v>
      </c>
      <c r="E114" s="281"/>
      <c r="F114" s="281"/>
      <c r="G114" s="281"/>
      <c r="H114" s="281">
        <f>Berechnung2!E81</f>
        <v>0</v>
      </c>
      <c r="I114" s="282">
        <f>Berechnung2!F81</f>
        <v>0</v>
      </c>
      <c r="J114" s="282"/>
      <c r="K114" s="282"/>
      <c r="L114" s="281">
        <f>Berechnung2!G81</f>
        <v>0</v>
      </c>
      <c r="M114" s="281">
        <f>Berechnung2!H81</f>
        <v>0</v>
      </c>
      <c r="N114" s="282">
        <f>Berechnung2!I81</f>
        <v>0</v>
      </c>
      <c r="O114" s="281">
        <f>Berechnung2!J81</f>
        <v>0</v>
      </c>
      <c r="P114" s="281">
        <f>Berechnung2!K81</f>
        <v>0</v>
      </c>
      <c r="Q114" s="41">
        <f>Berechnung2!L81</f>
        <v>0</v>
      </c>
      <c r="R114" s="41"/>
      <c r="S114" s="41">
        <f>Berechnung2!M81</f>
        <v>0</v>
      </c>
      <c r="T114" s="41"/>
      <c r="U114" s="41"/>
      <c r="V114" s="41"/>
      <c r="AC114" s="3"/>
    </row>
    <row r="115" spans="1:29" ht="14.25" customHeight="1" x14ac:dyDescent="0.2">
      <c r="AC115" s="3"/>
    </row>
    <row r="116" spans="1:29" ht="14.25" customHeight="1" x14ac:dyDescent="0.2">
      <c r="AC116" s="3"/>
    </row>
    <row r="117" spans="1:29" ht="14.25" customHeight="1" x14ac:dyDescent="0.2">
      <c r="AC117" s="3"/>
    </row>
    <row r="118" spans="1:29" ht="14.25" customHeight="1" x14ac:dyDescent="0.2">
      <c r="AC118" s="3"/>
    </row>
  </sheetData>
  <sheetProtection selectLockedCells="1"/>
  <dataConsolidate/>
  <mergeCells count="108">
    <mergeCell ref="J21:J22"/>
    <mergeCell ref="K21:K22"/>
    <mergeCell ref="N28:R28"/>
    <mergeCell ref="T28:Z28"/>
    <mergeCell ref="AB28:AC28"/>
    <mergeCell ref="F21:F22"/>
    <mergeCell ref="D21:D22"/>
    <mergeCell ref="E21:E22"/>
    <mergeCell ref="A79:B79"/>
    <mergeCell ref="F78:H78"/>
    <mergeCell ref="F79:H79"/>
    <mergeCell ref="C79:E79"/>
    <mergeCell ref="A78:B78"/>
    <mergeCell ref="I71:AC71"/>
    <mergeCell ref="C78:E78"/>
    <mergeCell ref="I73:AC73"/>
    <mergeCell ref="I72:AC72"/>
    <mergeCell ref="F75:H75"/>
    <mergeCell ref="F72:H72"/>
    <mergeCell ref="C74:E74"/>
    <mergeCell ref="F74:H74"/>
    <mergeCell ref="A77:B77"/>
    <mergeCell ref="A76:B76"/>
    <mergeCell ref="A75:B75"/>
    <mergeCell ref="F77:H77"/>
    <mergeCell ref="C75:E75"/>
    <mergeCell ref="F76:H76"/>
    <mergeCell ref="C77:E77"/>
    <mergeCell ref="C76:E76"/>
    <mergeCell ref="E6:T6"/>
    <mergeCell ref="B13:F13"/>
    <mergeCell ref="G13:M13"/>
    <mergeCell ref="N13:S13"/>
    <mergeCell ref="Q8:T8"/>
    <mergeCell ref="A11:AC11"/>
    <mergeCell ref="Y13:AC13"/>
    <mergeCell ref="E8:G8"/>
    <mergeCell ref="T13:X13"/>
    <mergeCell ref="I70:AC70"/>
    <mergeCell ref="N19:Z19"/>
    <mergeCell ref="AB19:AC19"/>
    <mergeCell ref="Z21:Z22"/>
    <mergeCell ref="N14:S14"/>
    <mergeCell ref="I65:AC65"/>
    <mergeCell ref="I66:AC66"/>
    <mergeCell ref="I67:AC67"/>
    <mergeCell ref="G14:M14"/>
    <mergeCell ref="C19:L19"/>
    <mergeCell ref="AC21:AC22"/>
    <mergeCell ref="O21:O22"/>
    <mergeCell ref="I68:AC68"/>
    <mergeCell ref="I69:AC69"/>
    <mergeCell ref="B14:F14"/>
    <mergeCell ref="T14:X14"/>
    <mergeCell ref="G21:G22"/>
    <mergeCell ref="Y21:Y22"/>
    <mergeCell ref="W21:W22"/>
    <mergeCell ref="R21:R22"/>
    <mergeCell ref="H21:H22"/>
    <mergeCell ref="I21:I22"/>
    <mergeCell ref="L21:L22"/>
    <mergeCell ref="A68:B68"/>
    <mergeCell ref="P21:P22"/>
    <mergeCell ref="N21:N22"/>
    <mergeCell ref="Y14:AC14"/>
    <mergeCell ref="AB21:AB22"/>
    <mergeCell ref="V21:V22"/>
    <mergeCell ref="U21:U22"/>
    <mergeCell ref="T21:T22"/>
    <mergeCell ref="X21:X22"/>
    <mergeCell ref="C66:E66"/>
    <mergeCell ref="F66:H66"/>
    <mergeCell ref="A21:A22"/>
    <mergeCell ref="B21:B22"/>
    <mergeCell ref="A47:AC47"/>
    <mergeCell ref="Q21:Q22"/>
    <mergeCell ref="C21:C22"/>
    <mergeCell ref="A64:B64"/>
    <mergeCell ref="A65:B65"/>
    <mergeCell ref="C71:E71"/>
    <mergeCell ref="F71:H71"/>
    <mergeCell ref="C68:E68"/>
    <mergeCell ref="F67:H67"/>
    <mergeCell ref="C67:E67"/>
    <mergeCell ref="F68:H68"/>
    <mergeCell ref="A66:B66"/>
    <mergeCell ref="A67:B67"/>
    <mergeCell ref="A46:AC46"/>
    <mergeCell ref="N29:R29"/>
    <mergeCell ref="T29:Z29"/>
    <mergeCell ref="AB29:AC29"/>
    <mergeCell ref="C64:E64"/>
    <mergeCell ref="F64:H64"/>
    <mergeCell ref="F65:H65"/>
    <mergeCell ref="I64:AC64"/>
    <mergeCell ref="C65:E65"/>
    <mergeCell ref="C73:E73"/>
    <mergeCell ref="F73:H73"/>
    <mergeCell ref="C72:E72"/>
    <mergeCell ref="A70:B70"/>
    <mergeCell ref="A71:B71"/>
    <mergeCell ref="A73:B73"/>
    <mergeCell ref="A72:B72"/>
    <mergeCell ref="A69:B69"/>
    <mergeCell ref="F69:H69"/>
    <mergeCell ref="C69:E69"/>
    <mergeCell ref="C70:E70"/>
    <mergeCell ref="F70:H70"/>
  </mergeCells>
  <phoneticPr fontId="36" type="noConversion"/>
  <conditionalFormatting sqref="B23:B26 B28:B29">
    <cfRule type="expression" dxfId="38" priority="346" stopIfTrue="1">
      <formula>OR(A23="nicht relevant",A23="EZ")</formula>
    </cfRule>
  </conditionalFormatting>
  <conditionalFormatting sqref="B13:F13">
    <cfRule type="expression" dxfId="37" priority="36" stopIfTrue="1">
      <formula>$B$13="Nicht in Ordnung"</formula>
    </cfRule>
  </conditionalFormatting>
  <conditionalFormatting sqref="B14:F14">
    <cfRule type="expression" dxfId="36" priority="37" stopIfTrue="1">
      <formula>$B$14="die inkorrekten und unvollständigen Einträge beheben"</formula>
    </cfRule>
  </conditionalFormatting>
  <conditionalFormatting sqref="C23:C26">
    <cfRule type="cellIs" dxfId="35" priority="1714" stopIfTrue="1" operator="lessThan">
      <formula>$L$89</formula>
    </cfRule>
  </conditionalFormatting>
  <conditionalFormatting sqref="C28:C29">
    <cfRule type="cellIs" dxfId="34" priority="1716" stopIfTrue="1" operator="lessThan">
      <formula>$L$89</formula>
    </cfRule>
  </conditionalFormatting>
  <conditionalFormatting sqref="C28:L29">
    <cfRule type="expression" dxfId="33" priority="347" stopIfTrue="1">
      <formula>OR($A28="nicht relevant",$A28="EZ")</formula>
    </cfRule>
  </conditionalFormatting>
  <conditionalFormatting sqref="C23:R26">
    <cfRule type="expression" dxfId="32" priority="31" stopIfTrue="1">
      <formula>OR($A23="nicht relevant",$A23="EZ")</formula>
    </cfRule>
  </conditionalFormatting>
  <conditionalFormatting sqref="D28:L29 O23:Q26 D23:I26 K23:K26">
    <cfRule type="expression" dxfId="31" priority="350" stopIfTrue="1">
      <formula>LEN(TRIM(D23))=0</formula>
    </cfRule>
  </conditionalFormatting>
  <conditionalFormatting sqref="N23:N26">
    <cfRule type="cellIs" dxfId="30" priority="352" stopIfTrue="1" operator="greaterThan">
      <formula>$C23</formula>
    </cfRule>
  </conditionalFormatting>
  <conditionalFormatting sqref="N23:R26">
    <cfRule type="expression" dxfId="29" priority="32" stopIfTrue="1">
      <formula>LEN(TRIM(N23))=0</formula>
    </cfRule>
  </conditionalFormatting>
  <conditionalFormatting sqref="R25:R26">
    <cfRule type="cellIs" dxfId="28" priority="1697" stopIfTrue="1" operator="between">
      <formula>$L$91</formula>
      <formula>$N$91</formula>
    </cfRule>
  </conditionalFormatting>
  <conditionalFormatting sqref="R31">
    <cfRule type="cellIs" dxfId="27" priority="354" operator="equal">
      <formula>"---"</formula>
    </cfRule>
    <cfRule type="cellIs" dxfId="26" priority="358" stopIfTrue="1" operator="between">
      <formula>$L$92</formula>
      <formula>$N$92</formula>
    </cfRule>
    <cfRule type="cellIs" dxfId="25" priority="359" stopIfTrue="1" operator="between">
      <formula>$M$93</formula>
      <formula>$N$93</formula>
    </cfRule>
  </conditionalFormatting>
  <conditionalFormatting sqref="T23:T26">
    <cfRule type="cellIs" dxfId="24" priority="353" stopIfTrue="1" operator="lessThan">
      <formula>0</formula>
    </cfRule>
  </conditionalFormatting>
  <conditionalFormatting sqref="T23:U26">
    <cfRule type="expression" dxfId="23" priority="349" stopIfTrue="1">
      <formula>OR($A23="nicht relevant",$A23="EZ")</formula>
    </cfRule>
  </conditionalFormatting>
  <conditionalFormatting sqref="U23:U26">
    <cfRule type="cellIs" dxfId="22" priority="1712" stopIfTrue="1" operator="between">
      <formula>$L$87</formula>
      <formula>$N$87</formula>
    </cfRule>
  </conditionalFormatting>
  <conditionalFormatting sqref="V23:Z23">
    <cfRule type="expression" dxfId="21" priority="15" stopIfTrue="1">
      <formula>OR($A23="nicht relevant",$A23="EZ")</formula>
    </cfRule>
    <cfRule type="expression" dxfId="20" priority="16" stopIfTrue="1">
      <formula>LEN(TRIM(V23))=0</formula>
    </cfRule>
  </conditionalFormatting>
  <conditionalFormatting sqref="V24:Z26">
    <cfRule type="expression" dxfId="19" priority="52" stopIfTrue="1">
      <formula>OR($A24="nicht relevant",$A24="EZ")</formula>
    </cfRule>
    <cfRule type="expression" dxfId="18" priority="53" stopIfTrue="1">
      <formula>LEN(TRIM(V24))=0</formula>
    </cfRule>
  </conditionalFormatting>
  <conditionalFormatting sqref="X24:Y26">
    <cfRule type="expression" dxfId="17" priority="48" stopIfTrue="1">
      <formula>OR($A24="nicht relevant",$A24="EZ")</formula>
    </cfRule>
    <cfRule type="expression" dxfId="16" priority="49" stopIfTrue="1">
      <formula>LEN(TRIM(X24))=0</formula>
    </cfRule>
  </conditionalFormatting>
  <conditionalFormatting sqref="AB23">
    <cfRule type="expression" dxfId="15" priority="1432" stopIfTrue="1">
      <formula>LEN(TRIM(AB23))=0</formula>
    </cfRule>
  </conditionalFormatting>
  <conditionalFormatting sqref="AB24">
    <cfRule type="expression" dxfId="14" priority="34" stopIfTrue="1">
      <formula>LEN(TRIM(AB24))=0</formula>
    </cfRule>
  </conditionalFormatting>
  <conditionalFormatting sqref="AB25">
    <cfRule type="expression" dxfId="13" priority="1635" stopIfTrue="1">
      <formula>LEN(TRIM(AB25))=0</formula>
    </cfRule>
  </conditionalFormatting>
  <conditionalFormatting sqref="AB26">
    <cfRule type="expression" dxfId="12" priority="21">
      <formula>LEN(TRIM(AB26))=0</formula>
    </cfRule>
  </conditionalFormatting>
  <conditionalFormatting sqref="AC23:AC24">
    <cfRule type="expression" dxfId="11" priority="33" stopIfTrue="1">
      <formula>LEN(TRIM(AC23))=0</formula>
    </cfRule>
  </conditionalFormatting>
  <conditionalFormatting sqref="AC26">
    <cfRule type="expression" dxfId="10" priority="17" stopIfTrue="1">
      <formula>LEN(TRIM(AC26))=0</formula>
    </cfRule>
    <cfRule type="cellIs" dxfId="9" priority="18" stopIfTrue="1" operator="between">
      <formula>$D112</formula>
      <formula>$I112</formula>
    </cfRule>
    <cfRule type="cellIs" dxfId="8" priority="19" stopIfTrue="1" operator="greaterThan">
      <formula>$O112</formula>
    </cfRule>
  </conditionalFormatting>
  <dataValidations count="10">
    <dataValidation type="whole" errorStyle="information" allowBlank="1" showInputMessage="1" showErrorMessage="1" errorTitle="Ausfüllhinweis" error="Nur postive ganze Zahlen verwenden." sqref="M23:M29" xr:uid="{00000000-0002-0000-1000-000000000000}">
      <formula1>0</formula1>
      <formula2>5000</formula2>
    </dataValidation>
    <dataValidation type="whole" operator="greaterThanOrEqual" allowBlank="1" showInputMessage="1" showErrorMessage="1" errorTitle="Error" error="Minuszahlen..." sqref="C23:C29" xr:uid="{00000000-0002-0000-1000-000001000000}">
      <formula1>0</formula1>
    </dataValidation>
    <dataValidation type="whole" allowBlank="1" showInputMessage="1" showErrorMessage="1" errorTitle="Eingabefehler" error="Ganze Zahl zwischen 0 und 5000 eingeben." sqref="O23:Q27 D23:L28" xr:uid="{00000000-0002-0000-1000-000002000000}">
      <formula1>0</formula1>
      <formula2>5000</formula2>
    </dataValidation>
    <dataValidation type="decimal" allowBlank="1" showInputMessage="1" showErrorMessage="1" errorTitle="Aufüllhinweis" error="Nur Prozentwerte zwischen 0% und 100% können verwendet werden." sqref="AB28:AB29 AB23:AC27" xr:uid="{00000000-0002-0000-1000-000003000000}">
      <formula1>0</formula1>
      <formula2>1</formula2>
    </dataValidation>
    <dataValidation type="whole" showInputMessage="1" showErrorMessage="1" errorTitle="Eingabefehler" error="Summe Spalten V+W+X+Y+Z (Patienten mit Ereignisse) darf nicht größer als Summe Spalten O+P (Patientenrückmeldungen) sein." sqref="V23:V27" xr:uid="{00000000-0002-0000-1000-000004000000}">
      <formula1>0</formula1>
      <formula2>SUM($O23:$P23)-$W23-$X23-$Y23-$Z23</formula2>
    </dataValidation>
    <dataValidation type="whole" showInputMessage="1" showErrorMessage="1" errorTitle="Eingabefehler" error="Summe Spalten V+W+X+Y+Z (Patienten mit Ereignisse) darf nicht größer als Summe Spalten O+P (Patientenrückmeldungen) sein." sqref="W23:W27" xr:uid="{00000000-0002-0000-1000-000005000000}">
      <formula1>0</formula1>
      <formula2>SUM($O23:$P23)-$V23-$X23-$Y23-$Z23</formula2>
    </dataValidation>
    <dataValidation type="whole" showInputMessage="1" showErrorMessage="1" errorTitle="Eingabefehler" error="Summe Spalten V+W+X+Y+Z (Patienten mit Ereignisse) darf nicht größer als Summe Spalten O+P (Patientenrückmeldungen) sein." sqref="X23:X27" xr:uid="{00000000-0002-0000-1000-000006000000}">
      <formula1>0</formula1>
      <formula2>SUM($O23:$P23)-$V23-$W23-$Y23-$Z23</formula2>
    </dataValidation>
    <dataValidation type="whole" showInputMessage="1" showErrorMessage="1" errorTitle="Eingabefehler" error="Summe Spalten V+W+X+Y+Z (Patienten mit Ereignisse) darf nicht größer als Summe Spalten O+P (Patientenrückmeldungen) sein." sqref="Y23:Y27" xr:uid="{00000000-0002-0000-1000-000007000000}">
      <formula1>0</formula1>
      <formula2>SUM($O23:$P23)-$V23-$W23-$X23-$Z23</formula2>
    </dataValidation>
    <dataValidation type="whole" showInputMessage="1" showErrorMessage="1" errorTitle="Eingabefehler" error="Summe Spalten V+W+X+Y+Z (Patienten mit Ereignisse) darf nicht größer als Summe Spalten O+P (Patientenrückmeldungen) sein." sqref="Z23:Z27" xr:uid="{00000000-0002-0000-1000-000008000000}">
      <formula1>0</formula1>
      <formula2>SUM($O23:$P23)-$W23-$X23-$Y23-$V23</formula2>
    </dataValidation>
    <dataValidation allowBlank="1" showInputMessage="1" showErrorMessage="1" errorTitle="Eingabefehler" error="Ganze Zahl zwischen 0 und 5000 eingeben." sqref="D29:L29" xr:uid="{00000000-0002-0000-1000-000009000000}"/>
  </dataValidations>
  <pageMargins left="0.39370078740157483" right="0.19685039370078741" top="0.59055118110236227" bottom="0.39370078740157483" header="0.11811023622047245" footer="0.11811023622047245"/>
  <pageSetup paperSize="9" scale="92" fitToHeight="0" orientation="landscape" r:id="rId1"/>
  <headerFooter>
    <oddFooter>&amp;L&amp;"Arial,Standard"&amp;7&amp;F&amp;C&amp;"Arial,Standard"&amp;7 © DKG  Alle Rechte vorbehalten&amp;R&amp;"Arial,Standard"&amp;7&amp;P</oddFooter>
  </headerFooter>
  <rowBreaks count="1" manualBreakCount="1">
    <brk id="61" max="16383" man="1"/>
  </rowBreaks>
  <ignoredErrors>
    <ignoredError sqref="C23" formulaRange="1"/>
  </ignoredError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7"/>
  <dimension ref="A1:Z8"/>
  <sheetViews>
    <sheetView topLeftCell="B1" workbookViewId="0">
      <selection activeCell="K1" sqref="K1"/>
    </sheetView>
  </sheetViews>
  <sheetFormatPr defaultColWidth="11.42578125" defaultRowHeight="15" x14ac:dyDescent="0.25"/>
  <cols>
    <col min="1" max="1" width="13.140625" style="131" customWidth="1"/>
    <col min="2" max="2" width="11.28515625" style="131" customWidth="1"/>
    <col min="3" max="3" width="13.42578125" style="131" customWidth="1"/>
    <col min="4" max="5" width="7.42578125" style="131" customWidth="1"/>
    <col min="6" max="12" width="8.7109375" style="131" customWidth="1"/>
    <col min="13" max="13" width="12.140625" style="131" customWidth="1"/>
    <col min="14" max="14" width="12.42578125" style="131" customWidth="1"/>
    <col min="15" max="15" width="9.140625" style="131" customWidth="1"/>
    <col min="16" max="16" width="12.28515625" style="131" customWidth="1"/>
    <col min="17" max="19" width="9.140625" style="131" customWidth="1"/>
    <col min="20" max="20" width="16.7109375" style="131" customWidth="1"/>
    <col min="21" max="21" width="12.28515625" style="131" customWidth="1"/>
    <col min="22" max="22" width="15.140625" style="131" customWidth="1"/>
    <col min="23" max="23" width="12.42578125" style="131" customWidth="1"/>
    <col min="24" max="24" width="9.140625" style="131" customWidth="1"/>
    <col min="25" max="25" width="10.85546875" style="131" customWidth="1"/>
    <col min="26" max="26" width="10.7109375" style="131" customWidth="1"/>
    <col min="27" max="258" width="9.140625" style="131" customWidth="1"/>
    <col min="259" max="16384" width="11.42578125" style="131"/>
  </cols>
  <sheetData>
    <row r="1" spans="1:26" s="128" customFormat="1" ht="84" customHeight="1" x14ac:dyDescent="0.25">
      <c r="A1" s="202" t="str">
        <f>Matrix!A21</f>
        <v>Relevante Nachsorgejahre</v>
      </c>
      <c r="B1" s="202" t="str">
        <f>Matrix!B21</f>
        <v>Jahr der Erstdiagnose</v>
      </c>
      <c r="C1" s="202" t="str">
        <f>Matrix!C21</f>
        <v>Anzahl Primärpatienten</v>
      </c>
      <c r="D1" s="202" t="str">
        <f>LEFT(Matrix!D21,7)</f>
        <v>UICC IA</v>
      </c>
      <c r="E1" s="202" t="str">
        <f>LEFT(Matrix!E21,7)</f>
        <v>UICC IB</v>
      </c>
      <c r="F1" s="202" t="str">
        <f>LEFT(Matrix!F21,8)</f>
        <v>UICC IIA</v>
      </c>
      <c r="G1" s="202" t="str">
        <f>LEFT(Matrix!G21,8)</f>
        <v>UICC IIB</v>
      </c>
      <c r="H1" s="202" t="str">
        <f>LEFT(Matrix!H21,9)</f>
        <v>UICC IIIA</v>
      </c>
      <c r="I1" s="202" t="str">
        <f>LEFT(Matrix!I21,9)</f>
        <v>UICC IIIB</v>
      </c>
      <c r="J1" s="202" t="str">
        <f>LEFT(Matrix!J21,9)</f>
        <v>UICC IIIC</v>
      </c>
      <c r="K1" s="202" t="str">
        <f>LEFT(Matrix!K21,9)</f>
        <v xml:space="preserve">UICC IVA </v>
      </c>
      <c r="L1" s="202" t="str">
        <f>LEFT(Matrix!L21,8)</f>
        <v>UICC IVB</v>
      </c>
      <c r="M1" s="202" t="str">
        <f>LEFT(Matrix!N21,59)</f>
        <v xml:space="preserve">Patienten „im Follow-Up“
(aus Grundgesamtheit Primärpat.)  </v>
      </c>
      <c r="N1" s="202" t="str">
        <f>LEFT(Matrix!O21,33)</f>
        <v>Follow-Up-Daten vom Krebsregister</v>
      </c>
      <c r="O1" s="202" t="str">
        <f>LEFT(Matrix!P21,56)</f>
        <v>Follow-Up-Daten vom Zentrum 
(bzw. Quelle nicht bekannt)</v>
      </c>
      <c r="P1" s="202" t="str">
        <f>LEFT(Matrix!Q21,19)</f>
        <v xml:space="preserve">Keine Rückmeldung  </v>
      </c>
      <c r="Q1" s="202" t="str">
        <f>Matrix!R21</f>
        <v>Follow-Up Quote in %
= (M + N) / L</v>
      </c>
      <c r="R1" s="176" t="str">
        <f>CONCATENATE(LEFT(Matrix!T21,19),RIGHT(Matrix!T21,18))</f>
        <v>Patienten tumorfrei
- ohne Ereignis -</v>
      </c>
      <c r="S1" s="202" t="s">
        <v>270</v>
      </c>
      <c r="T1" s="175" t="str">
        <f>CONCATENATE(LEFT(Matrix!V21,21),RIGHT(Matrix!V21,43))</f>
        <v>Patienten  tumorfrei - mit Ereignis (Rezidive, Fernmetastasen) -</v>
      </c>
      <c r="U1" s="175" t="str">
        <f>CONCATENATE(LEFT(Matrix!W21,26),RIGHT(Matrix!W21,17))</f>
        <v>Patienten nicht tumorfrei - ohne Progress -</v>
      </c>
      <c r="V1" s="175" t="str">
        <f>CONCATENATE(LEFT(Matrix!X21,26),RIGHT(Matrix!X21,43))</f>
        <v>Patienten nicht tumorfrei - mit Progress u. / o. mit Fernmetastasen -</v>
      </c>
      <c r="W1" s="175" t="str">
        <f>Matrix!Y21</f>
        <v>Tumorbedingt gestorben 
(bezüglich jeder Tumorentität)</v>
      </c>
      <c r="X1" s="175" t="str">
        <f>Matrix!Z21</f>
        <v>Nicht tumorbedingt gestorben bzw. Todesursache unbekannt</v>
      </c>
      <c r="Y1" s="175" t="str">
        <f>Matrix!AB21</f>
        <v>DFS nach Kaplan-Meier
(Disease Free Survival) in %</v>
      </c>
      <c r="Z1" s="175" t="str">
        <f>Matrix!AC21</f>
        <v>OAS nach Kaplan-Meier    
(Overall Survival) in %</v>
      </c>
    </row>
    <row r="2" spans="1:26" s="130" customFormat="1" ht="15" customHeight="1" x14ac:dyDescent="0.25">
      <c r="A2" s="129" t="str">
        <f>Matrix!A23</f>
        <v>nicht relevant</v>
      </c>
      <c r="B2" s="114">
        <f>Matrix!B23</f>
        <v>2013</v>
      </c>
      <c r="C2" s="114">
        <f>IF(Matrix!C23="","",Matrix!C23)</f>
        <v>0</v>
      </c>
      <c r="D2" s="114" t="str">
        <f>IF(Matrix!D23="","",Matrix!D23)</f>
        <v/>
      </c>
      <c r="E2" s="114" t="str">
        <f>IF(Matrix!E23="","",Matrix!E23)</f>
        <v/>
      </c>
      <c r="F2" s="114" t="str">
        <f>IF(Matrix!F23="","",Matrix!F23)</f>
        <v/>
      </c>
      <c r="G2" s="114" t="str">
        <f>IF(Matrix!G23="","",Matrix!G23)</f>
        <v/>
      </c>
      <c r="H2" s="114" t="str">
        <f>IF(Matrix!H23="","",Matrix!H23)</f>
        <v/>
      </c>
      <c r="I2" s="114" t="str">
        <f>IF(Matrix!I23="","",Matrix!I23)</f>
        <v/>
      </c>
      <c r="J2" s="114" t="str">
        <f>IF(Matrix!J23="","",Matrix!J23)</f>
        <v/>
      </c>
      <c r="K2" s="114" t="str">
        <f>IF(Matrix!K23="","",Matrix!K23)</f>
        <v/>
      </c>
      <c r="L2" s="114" t="str">
        <f>IF(Matrix!L23="","",Matrix!L23)</f>
        <v/>
      </c>
      <c r="M2" s="114" t="str">
        <f>IF(Matrix!N23="","",Matrix!N23)</f>
        <v/>
      </c>
      <c r="N2" s="114" t="str">
        <f>IF(Matrix!O23="","",Matrix!O23)</f>
        <v/>
      </c>
      <c r="O2" s="114" t="str">
        <f>IF(Matrix!P23="","",Matrix!P23)</f>
        <v/>
      </c>
      <c r="P2" s="114" t="str">
        <f>IF(Matrix!Q23="","",Matrix!Q23)</f>
        <v/>
      </c>
      <c r="Q2" s="184" t="str">
        <f>IF(Matrix!R23="","",Matrix!R23*100)</f>
        <v/>
      </c>
      <c r="R2" s="114" t="str">
        <f>IF(Matrix!T23="","",Matrix!T23)</f>
        <v/>
      </c>
      <c r="S2" s="184" t="str">
        <f>IF(Matrix!U23="","",Matrix!U23*100)</f>
        <v/>
      </c>
      <c r="T2" s="114" t="str">
        <f>IF(Matrix!V23="","",Matrix!V23)</f>
        <v/>
      </c>
      <c r="U2" s="114" t="str">
        <f>IF(Matrix!W23="","",Matrix!W23)</f>
        <v/>
      </c>
      <c r="V2" s="114" t="str">
        <f>IF(Matrix!X23="","",Matrix!X23)</f>
        <v/>
      </c>
      <c r="W2" s="114" t="str">
        <f>IF(Matrix!Y23="","",Matrix!Y23)</f>
        <v/>
      </c>
      <c r="X2" s="114" t="str">
        <f>IF(Matrix!Z23="","",Matrix!Z23)</f>
        <v/>
      </c>
      <c r="Y2" s="184" t="str">
        <f>IF(Matrix!AB23="","",Matrix!AB23*100)</f>
        <v/>
      </c>
      <c r="Z2" s="184" t="str">
        <f>IF(Matrix!AC23="","",Matrix!AC23*100)</f>
        <v/>
      </c>
    </row>
    <row r="3" spans="1:26" s="130" customFormat="1" ht="15" customHeight="1" x14ac:dyDescent="0.25">
      <c r="A3" s="129" t="str">
        <f>Matrix!A24</f>
        <v>nicht relevant</v>
      </c>
      <c r="B3" s="114">
        <f>Matrix!B24</f>
        <v>2014</v>
      </c>
      <c r="C3" s="114">
        <f>IF(Matrix!C24="","",Matrix!C24)</f>
        <v>0</v>
      </c>
      <c r="D3" s="114" t="str">
        <f>IF(Matrix!D24="","",Matrix!D24)</f>
        <v/>
      </c>
      <c r="E3" s="114" t="str">
        <f>IF(Matrix!E24="","",Matrix!E24)</f>
        <v/>
      </c>
      <c r="F3" s="114" t="str">
        <f>IF(Matrix!F24="","",Matrix!F24)</f>
        <v/>
      </c>
      <c r="G3" s="114" t="str">
        <f>IF(Matrix!G24="","",Matrix!G24)</f>
        <v/>
      </c>
      <c r="H3" s="114" t="str">
        <f>IF(Matrix!H24="","",Matrix!H24)</f>
        <v/>
      </c>
      <c r="I3" s="114" t="str">
        <f>IF(Matrix!I24="","",Matrix!I24)</f>
        <v/>
      </c>
      <c r="J3" s="114" t="str">
        <f>IF(Matrix!J24="","",Matrix!J24)</f>
        <v/>
      </c>
      <c r="K3" s="114" t="str">
        <f>IF(Matrix!K24="","",Matrix!K24)</f>
        <v/>
      </c>
      <c r="L3" s="114" t="str">
        <f>IF(Matrix!L24="","",Matrix!L24)</f>
        <v/>
      </c>
      <c r="M3" s="114" t="str">
        <f>IF(Matrix!N24="","",Matrix!N24)</f>
        <v/>
      </c>
      <c r="N3" s="114" t="str">
        <f>IF(Matrix!O24="","",Matrix!O24)</f>
        <v/>
      </c>
      <c r="O3" s="114" t="str">
        <f>IF(Matrix!P24="","",Matrix!P24)</f>
        <v/>
      </c>
      <c r="P3" s="114" t="str">
        <f>IF(Matrix!Q24="","",Matrix!Q24)</f>
        <v/>
      </c>
      <c r="Q3" s="184" t="str">
        <f>IF(Matrix!R24="","",Matrix!R24*100)</f>
        <v/>
      </c>
      <c r="R3" s="114" t="str">
        <f>IF(Matrix!T24="","",Matrix!T24)</f>
        <v/>
      </c>
      <c r="S3" s="184" t="str">
        <f>IF(Matrix!U24="","",Matrix!U24*100)</f>
        <v/>
      </c>
      <c r="T3" s="114" t="str">
        <f>IF(Matrix!V24="","",Matrix!V24)</f>
        <v/>
      </c>
      <c r="U3" s="114" t="str">
        <f>IF(Matrix!W24="","",Matrix!W24)</f>
        <v/>
      </c>
      <c r="V3" s="114" t="str">
        <f>IF(Matrix!X24="","",Matrix!X24)</f>
        <v/>
      </c>
      <c r="W3" s="114" t="str">
        <f>IF(Matrix!Y24="","",Matrix!Y24)</f>
        <v/>
      </c>
      <c r="X3" s="114" t="str">
        <f>IF(Matrix!Z24="","",Matrix!Z24)</f>
        <v/>
      </c>
      <c r="Y3" s="184" t="str">
        <f>IF(Matrix!AB24="","",Matrix!AB24*100)</f>
        <v/>
      </c>
      <c r="Z3" s="184" t="str">
        <f>IF(Matrix!AC24="","",Matrix!AC24*100)</f>
        <v/>
      </c>
    </row>
    <row r="4" spans="1:26" s="130" customFormat="1" ht="15" customHeight="1" x14ac:dyDescent="0.25">
      <c r="A4" s="129" t="str">
        <f>Matrix!A25</f>
        <v>nicht relevant</v>
      </c>
      <c r="B4" s="114">
        <f>Matrix!B25</f>
        <v>2015</v>
      </c>
      <c r="C4" s="114">
        <f>IF(Matrix!C25="","",Matrix!C25)</f>
        <v>0</v>
      </c>
      <c r="D4" s="114" t="str">
        <f>IF(Matrix!D25="","",Matrix!D25)</f>
        <v/>
      </c>
      <c r="E4" s="114" t="str">
        <f>IF(Matrix!E25="","",Matrix!E25)</f>
        <v/>
      </c>
      <c r="F4" s="114" t="str">
        <f>IF(Matrix!F25="","",Matrix!F25)</f>
        <v/>
      </c>
      <c r="G4" s="114" t="str">
        <f>IF(Matrix!G25="","",Matrix!G25)</f>
        <v/>
      </c>
      <c r="H4" s="114" t="str">
        <f>IF(Matrix!H25="","",Matrix!H25)</f>
        <v/>
      </c>
      <c r="I4" s="114" t="str">
        <f>IF(Matrix!I25="","",Matrix!I25)</f>
        <v/>
      </c>
      <c r="J4" s="114" t="str">
        <f>IF(Matrix!J25="","",Matrix!J25)</f>
        <v/>
      </c>
      <c r="K4" s="114" t="str">
        <f>IF(Matrix!K25="","",Matrix!K25)</f>
        <v/>
      </c>
      <c r="L4" s="114" t="str">
        <f>IF(Matrix!L25="","",Matrix!L25)</f>
        <v/>
      </c>
      <c r="M4" s="114" t="str">
        <f>IF(Matrix!N25="","",Matrix!N25)</f>
        <v/>
      </c>
      <c r="N4" s="114" t="str">
        <f>IF(Matrix!O25="","",Matrix!O25)</f>
        <v/>
      </c>
      <c r="O4" s="114" t="str">
        <f>IF(Matrix!P25="","",Matrix!P25)</f>
        <v/>
      </c>
      <c r="P4" s="114" t="str">
        <f>IF(Matrix!Q25="","",Matrix!Q25)</f>
        <v/>
      </c>
      <c r="Q4" s="184" t="str">
        <f>IF(Matrix!R25="","",Matrix!R25*100)</f>
        <v/>
      </c>
      <c r="R4" s="114" t="str">
        <f>IF(Matrix!T25="","",Matrix!T25)</f>
        <v/>
      </c>
      <c r="S4" s="184" t="str">
        <f>IF(Matrix!U25="","",Matrix!U25*100)</f>
        <v/>
      </c>
      <c r="T4" s="114" t="str">
        <f>IF(Matrix!V25="","",Matrix!V25)</f>
        <v/>
      </c>
      <c r="U4" s="114" t="str">
        <f>IF(Matrix!W25="","",Matrix!W25)</f>
        <v/>
      </c>
      <c r="V4" s="114" t="str">
        <f>IF(Matrix!X25="","",Matrix!X25)</f>
        <v/>
      </c>
      <c r="W4" s="114" t="str">
        <f>IF(Matrix!Y25="","",Matrix!Y25)</f>
        <v/>
      </c>
      <c r="X4" s="114" t="str">
        <f>IF(Matrix!Z25="","",Matrix!Z25)</f>
        <v/>
      </c>
      <c r="Y4" s="184" t="str">
        <f>IF(Matrix!AB25="","",Matrix!AB25*100)</f>
        <v/>
      </c>
      <c r="Z4" s="184" t="str">
        <f>IF(Matrix!AC25="","",Matrix!AC25*100)</f>
        <v/>
      </c>
    </row>
    <row r="5" spans="1:26" s="130" customFormat="1" ht="15" customHeight="1" x14ac:dyDescent="0.25">
      <c r="A5" s="129" t="str">
        <f>Matrix!A26</f>
        <v>nicht relevant</v>
      </c>
      <c r="B5" s="114">
        <f>Matrix!B26</f>
        <v>2016</v>
      </c>
      <c r="C5" s="114">
        <f>IF(Matrix!C26="","",Matrix!C26)</f>
        <v>0</v>
      </c>
      <c r="D5" s="114" t="str">
        <f>IF(Matrix!D26="","",Matrix!D26)</f>
        <v/>
      </c>
      <c r="E5" s="114" t="str">
        <f>IF(Matrix!E26="","",Matrix!E26)</f>
        <v/>
      </c>
      <c r="F5" s="114" t="str">
        <f>IF(Matrix!F26="","",Matrix!F26)</f>
        <v/>
      </c>
      <c r="G5" s="114" t="str">
        <f>IF(Matrix!G26="","",Matrix!G26)</f>
        <v/>
      </c>
      <c r="H5" s="114" t="str">
        <f>IF(Matrix!H26="","",Matrix!H26)</f>
        <v/>
      </c>
      <c r="I5" s="114" t="str">
        <f>IF(Matrix!I26="","",Matrix!I26)</f>
        <v/>
      </c>
      <c r="J5" s="114" t="str">
        <f>IF(Matrix!J26="","",Matrix!J26)</f>
        <v/>
      </c>
      <c r="K5" s="114" t="str">
        <f>IF(Matrix!K26="","",Matrix!K26)</f>
        <v/>
      </c>
      <c r="L5" s="114" t="str">
        <f>IF(Matrix!L26="","",Matrix!L26)</f>
        <v/>
      </c>
      <c r="M5" s="114" t="str">
        <f>IF(Matrix!N26="","",Matrix!N26)</f>
        <v/>
      </c>
      <c r="N5" s="114" t="str">
        <f>IF(Matrix!O26="","",Matrix!O26)</f>
        <v/>
      </c>
      <c r="O5" s="114" t="str">
        <f>IF(Matrix!P26="","",Matrix!P26)</f>
        <v/>
      </c>
      <c r="P5" s="114" t="str">
        <f>IF(Matrix!Q26="","",Matrix!Q26)</f>
        <v/>
      </c>
      <c r="Q5" s="184" t="str">
        <f>IF(Matrix!R26="","",Matrix!R26*100)</f>
        <v/>
      </c>
      <c r="R5" s="114" t="str">
        <f>IF(Matrix!T26="","",Matrix!T26)</f>
        <v/>
      </c>
      <c r="S5" s="184" t="str">
        <f>IF(Matrix!U26="","",Matrix!U26*100)</f>
        <v/>
      </c>
      <c r="T5" s="114" t="str">
        <f>IF(Matrix!V26="","",Matrix!V26)</f>
        <v/>
      </c>
      <c r="U5" s="114" t="str">
        <f>IF(Matrix!W26="","",Matrix!W26)</f>
        <v/>
      </c>
      <c r="V5" s="114" t="str">
        <f>IF(Matrix!X26="","",Matrix!X26)</f>
        <v/>
      </c>
      <c r="W5" s="114" t="str">
        <f>IF(Matrix!Y26="","",Matrix!Y26)</f>
        <v/>
      </c>
      <c r="X5" s="114" t="str">
        <f>IF(Matrix!Z26="","",Matrix!Z26)</f>
        <v/>
      </c>
      <c r="Y5" s="184" t="str">
        <f>IF(Matrix!AB26="","",Matrix!AB26*100)</f>
        <v/>
      </c>
      <c r="Z5" s="184" t="str">
        <f>IF(Matrix!AC26="","",Matrix!AC26*100)</f>
        <v/>
      </c>
    </row>
    <row r="6" spans="1:26" s="130" customFormat="1" ht="15" customHeight="1" x14ac:dyDescent="0.25">
      <c r="A6" s="129" t="str">
        <f>Matrix!A27</f>
        <v>nicht relevant</v>
      </c>
      <c r="B6" s="114">
        <f>Matrix!B27</f>
        <v>2017</v>
      </c>
      <c r="C6" s="114">
        <f>IF(Matrix!C27="","",Matrix!C27)</f>
        <v>0</v>
      </c>
      <c r="D6" s="114" t="str">
        <f>IF(Matrix!D27="","",Matrix!D27)</f>
        <v/>
      </c>
      <c r="E6" s="114" t="str">
        <f>IF(Matrix!E27="","",Matrix!E27)</f>
        <v/>
      </c>
      <c r="F6" s="114" t="str">
        <f>IF(Matrix!F27="","",Matrix!F27)</f>
        <v/>
      </c>
      <c r="G6" s="114" t="str">
        <f>IF(Matrix!G27="","",Matrix!G27)</f>
        <v/>
      </c>
      <c r="H6" s="114" t="str">
        <f>IF(Matrix!H27="","",Matrix!H27)</f>
        <v/>
      </c>
      <c r="I6" s="114" t="str">
        <f>IF(Matrix!I27="","",Matrix!I27)</f>
        <v/>
      </c>
      <c r="J6" s="114" t="str">
        <f>IF(Matrix!J27="","",Matrix!J27)</f>
        <v/>
      </c>
      <c r="K6" s="114" t="str">
        <f>IF(Matrix!K27="","",Matrix!K27)</f>
        <v/>
      </c>
      <c r="L6" s="114" t="str">
        <f>IF(Matrix!L27="","",Matrix!L27)</f>
        <v/>
      </c>
      <c r="M6" s="114" t="str">
        <f>IF(Matrix!N27="","",Matrix!N27)</f>
        <v/>
      </c>
      <c r="N6" s="114" t="str">
        <f>IF(Matrix!O27="","",Matrix!O27)</f>
        <v/>
      </c>
      <c r="O6" s="114" t="str">
        <f>IF(Matrix!P27="","",Matrix!P27)</f>
        <v/>
      </c>
      <c r="P6" s="114" t="str">
        <f>IF(Matrix!Q27="","",Matrix!Q27)</f>
        <v/>
      </c>
      <c r="Q6" s="184" t="str">
        <f>IF(Matrix!R27="","",Matrix!R27*100)</f>
        <v/>
      </c>
      <c r="R6" s="114" t="str">
        <f>IF(Matrix!T27="","",Matrix!T27)</f>
        <v/>
      </c>
      <c r="S6" s="184" t="str">
        <f>IF(Matrix!U27="","",Matrix!U27*100)</f>
        <v/>
      </c>
      <c r="T6" s="114" t="str">
        <f>IF(Matrix!V27="","",Matrix!V27)</f>
        <v/>
      </c>
      <c r="U6" s="114" t="str">
        <f>IF(Matrix!W27="","",Matrix!W27)</f>
        <v/>
      </c>
      <c r="V6" s="114" t="str">
        <f>IF(Matrix!X27="","",Matrix!X27)</f>
        <v/>
      </c>
      <c r="W6" s="114" t="str">
        <f>IF(Matrix!Y27="","",Matrix!Y27)</f>
        <v/>
      </c>
      <c r="X6" s="114" t="str">
        <f>IF(Matrix!Z27="","",Matrix!Z27)</f>
        <v/>
      </c>
      <c r="Y6" s="184" t="str">
        <f>IF(Matrix!AB27="","",Matrix!AB27*100)</f>
        <v/>
      </c>
      <c r="Z6" s="184" t="str">
        <f>IF(Matrix!AC27="","",Matrix!AC27*100)</f>
        <v/>
      </c>
    </row>
    <row r="7" spans="1:26" x14ac:dyDescent="0.25">
      <c r="A7" s="129" t="str">
        <f>Matrix!A28</f>
        <v>nicht relevant</v>
      </c>
      <c r="B7" s="114" t="str">
        <f>LEFT(Matrix!B28,4)</f>
        <v>2018</v>
      </c>
      <c r="C7" s="114">
        <f>IF(Matrix!C28="","",Matrix!C28)</f>
        <v>0</v>
      </c>
      <c r="D7" s="114" t="str">
        <f>IF(Matrix!D28="","",Matrix!D28)</f>
        <v/>
      </c>
      <c r="E7" s="114" t="str">
        <f>IF(Matrix!E28="","",Matrix!E28)</f>
        <v/>
      </c>
      <c r="F7" s="114" t="str">
        <f>IF(Matrix!F28="","",Matrix!F28)</f>
        <v/>
      </c>
      <c r="G7" s="114" t="str">
        <f>IF(Matrix!G28="","",Matrix!G28)</f>
        <v/>
      </c>
      <c r="H7" s="114" t="str">
        <f>IF(Matrix!H28="","",Matrix!H28)</f>
        <v/>
      </c>
      <c r="I7" s="114" t="str">
        <f>IF(Matrix!I28="","",Matrix!I28)</f>
        <v/>
      </c>
      <c r="J7" s="114" t="str">
        <f>IF(Matrix!J28="","",Matrix!J28)</f>
        <v/>
      </c>
      <c r="K7" s="114" t="str">
        <f>IF(Matrix!K28="","",Matrix!K28)</f>
        <v/>
      </c>
      <c r="L7" s="114" t="str">
        <f>IF(Matrix!L28="","",Matrix!L28)</f>
        <v/>
      </c>
      <c r="M7" s="114" t="str">
        <f>IF(Matrix!N28="","",Matrix!N28)</f>
        <v/>
      </c>
      <c r="N7" s="114" t="str">
        <f>IF(Matrix!O28="","",Matrix!O28)</f>
        <v/>
      </c>
      <c r="O7" s="114" t="str">
        <f>IF(Matrix!P28="","",Matrix!P28)</f>
        <v/>
      </c>
      <c r="P7" s="114" t="str">
        <f>IF(Matrix!Q28="","",Matrix!Q28)</f>
        <v/>
      </c>
      <c r="Q7" s="184" t="str">
        <f>IF(Matrix!R28="","",Matrix!R28*100)</f>
        <v/>
      </c>
      <c r="R7" s="114" t="str">
        <f>IF(Matrix!T28="","",Matrix!T28)</f>
        <v/>
      </c>
      <c r="S7" s="184" t="str">
        <f>IF(Matrix!U28="","",Matrix!U28*100)</f>
        <v/>
      </c>
      <c r="T7" s="114" t="str">
        <f>IF(Matrix!V28="","",Matrix!V28)</f>
        <v/>
      </c>
      <c r="U7" s="114" t="str">
        <f>IF(Matrix!W28="","",Matrix!W28)</f>
        <v/>
      </c>
      <c r="V7" s="114" t="str">
        <f>IF(Matrix!X28="","",Matrix!X28)</f>
        <v/>
      </c>
      <c r="W7" s="114" t="str">
        <f>IF(Matrix!Y28="","",Matrix!Y28)</f>
        <v/>
      </c>
      <c r="X7" s="114" t="str">
        <f>IF(Matrix!Z28="","",Matrix!Z28)</f>
        <v/>
      </c>
      <c r="Y7" s="184" t="str">
        <f>IF(Matrix!AB28="","",Matrix!AB28*100)</f>
        <v/>
      </c>
      <c r="Z7" s="184" t="str">
        <f>IF(Matrix!AC28="","",Matrix!AC28*100)</f>
        <v/>
      </c>
    </row>
    <row r="8" spans="1:26" x14ac:dyDescent="0.25">
      <c r="A8" s="129" t="str">
        <f>Matrix!A29</f>
        <v>nicht relevant</v>
      </c>
      <c r="B8" s="114" t="str">
        <f>LEFT(Matrix!B29, 4)</f>
        <v>2019</v>
      </c>
      <c r="C8" s="114">
        <f>IF(Matrix!C29="","",Matrix!C29)</f>
        <v>0</v>
      </c>
      <c r="D8" s="114" t="str">
        <f>IF(Matrix!D29="","",Matrix!D29)</f>
        <v/>
      </c>
      <c r="E8" s="114" t="str">
        <f>IF(Matrix!E29="","",Matrix!E29)</f>
        <v/>
      </c>
      <c r="F8" s="114" t="str">
        <f>IF(Matrix!F29="","",Matrix!F29)</f>
        <v/>
      </c>
      <c r="G8" s="114" t="str">
        <f>IF(Matrix!G29="","",Matrix!G29)</f>
        <v/>
      </c>
      <c r="H8" s="114" t="str">
        <f>IF(Matrix!H29="","",Matrix!H29)</f>
        <v/>
      </c>
      <c r="I8" s="114" t="str">
        <f>IF(Matrix!I29="","",Matrix!I29)</f>
        <v/>
      </c>
      <c r="J8" s="114" t="str">
        <f>IF(Matrix!J29="","",Matrix!J29)</f>
        <v/>
      </c>
      <c r="K8" s="114" t="str">
        <f>IF(Matrix!K29="","",Matrix!K29)</f>
        <v/>
      </c>
      <c r="L8" s="114" t="str">
        <f>IF(Matrix!L29="","",Matrix!L29)</f>
        <v/>
      </c>
      <c r="M8" s="114" t="str">
        <f>IF(Matrix!N29="","",Matrix!N29)</f>
        <v/>
      </c>
      <c r="N8" s="114" t="str">
        <f>IF(Matrix!O29="","",Matrix!O29)</f>
        <v/>
      </c>
      <c r="O8" s="114" t="str">
        <f>IF(Matrix!P29="","",Matrix!P29)</f>
        <v/>
      </c>
      <c r="P8" s="114" t="str">
        <f>IF(Matrix!Q29="","",Matrix!Q29)</f>
        <v/>
      </c>
      <c r="Q8" s="184" t="str">
        <f>IF(Matrix!R29="","",Matrix!R29*100)</f>
        <v/>
      </c>
      <c r="R8" s="114" t="str">
        <f>IF(Matrix!T29="","",Matrix!T29)</f>
        <v/>
      </c>
      <c r="S8" s="184" t="str">
        <f>IF(Matrix!U29="","",Matrix!U29*100)</f>
        <v/>
      </c>
      <c r="T8" s="114" t="str">
        <f>IF(Matrix!V29="","",Matrix!V29)</f>
        <v/>
      </c>
      <c r="U8" s="114" t="str">
        <f>IF(Matrix!W29="","",Matrix!W29)</f>
        <v/>
      </c>
      <c r="V8" s="114" t="str">
        <f>IF(Matrix!X29="","",Matrix!X29)</f>
        <v/>
      </c>
      <c r="W8" s="114" t="str">
        <f>IF(Matrix!Y29="","",Matrix!Y29)</f>
        <v/>
      </c>
      <c r="X8" s="114" t="str">
        <f>IF(Matrix!Z29="","",Matrix!Z29)</f>
        <v/>
      </c>
      <c r="Y8" s="184" t="str">
        <f>IF(Matrix!AB29="","",Matrix!AB29*100)</f>
        <v/>
      </c>
      <c r="Z8" s="184" t="str">
        <f>IF(Matrix!AC29="","",Matrix!AC29*100)</f>
        <v/>
      </c>
    </row>
  </sheetData>
  <phoneticPr fontId="36" type="noConversion"/>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9"/>
  <dimension ref="A1:BJ82"/>
  <sheetViews>
    <sheetView zoomScaleNormal="100" workbookViewId="0">
      <selection activeCell="B21" sqref="B21"/>
    </sheetView>
  </sheetViews>
  <sheetFormatPr defaultColWidth="9" defaultRowHeight="11.25" x14ac:dyDescent="0.25"/>
  <cols>
    <col min="1" max="1" width="20.7109375" style="31" customWidth="1"/>
    <col min="2" max="2" width="35.140625" style="31" customWidth="1"/>
    <col min="3" max="3" width="27.7109375" style="31" customWidth="1"/>
    <col min="4" max="4" width="22.140625" style="31" customWidth="1"/>
    <col min="5" max="5" width="29.7109375" style="31" customWidth="1"/>
    <col min="6" max="6" width="31.42578125" style="31" customWidth="1"/>
    <col min="7" max="7" width="24.5703125" style="148" customWidth="1"/>
    <col min="8" max="8" width="22.5703125" style="147" customWidth="1"/>
    <col min="9" max="9" width="30.7109375" style="147" customWidth="1"/>
    <col min="10" max="10" width="44.5703125" style="164" customWidth="1"/>
    <col min="11" max="11" width="29.85546875" style="31" customWidth="1"/>
    <col min="12" max="12" width="50.140625" style="31" customWidth="1"/>
    <col min="13" max="13" width="30.28515625" style="31" customWidth="1"/>
    <col min="14" max="14" width="35.7109375" style="164" customWidth="1"/>
    <col min="15" max="15" width="23.7109375" style="31" customWidth="1"/>
    <col min="16" max="16" width="11.42578125" style="31" customWidth="1"/>
    <col min="17" max="17" width="27.140625" style="31" customWidth="1"/>
    <col min="18" max="18" width="27.5703125" style="31" customWidth="1"/>
    <col min="19" max="19" width="21.7109375" style="31" customWidth="1"/>
    <col min="20" max="20" width="19.7109375" style="31" customWidth="1"/>
    <col min="21" max="21" width="18.7109375" style="31" customWidth="1"/>
    <col min="22" max="160" width="11.42578125" style="31" customWidth="1"/>
    <col min="161" max="16384" width="9" style="31"/>
  </cols>
  <sheetData>
    <row r="1" spans="1:62" x14ac:dyDescent="0.25">
      <c r="G1" s="31"/>
      <c r="H1" s="31"/>
      <c r="I1" s="31"/>
    </row>
    <row r="2" spans="1:62" ht="12.75" customHeight="1" x14ac:dyDescent="0.25">
      <c r="A2" s="98" t="s">
        <v>293</v>
      </c>
      <c r="G2" s="31"/>
      <c r="H2" s="31"/>
      <c r="I2" s="31"/>
      <c r="AI2" s="147"/>
      <c r="BJ2" s="148"/>
    </row>
    <row r="3" spans="1:62" ht="14.25" customHeight="1" x14ac:dyDescent="0.25">
      <c r="AI3" s="147"/>
      <c r="BJ3" s="148"/>
    </row>
    <row r="4" spans="1:62" x14ac:dyDescent="0.25">
      <c r="G4" s="31"/>
      <c r="H4" s="31"/>
      <c r="I4" s="31"/>
      <c r="AI4" s="147"/>
      <c r="BJ4" s="148"/>
    </row>
    <row r="5" spans="1:62" ht="15" customHeight="1" x14ac:dyDescent="0.25">
      <c r="B5" s="132" t="s">
        <v>163</v>
      </c>
      <c r="C5" s="133" t="s">
        <v>155</v>
      </c>
      <c r="D5" s="134" t="s">
        <v>20</v>
      </c>
      <c r="E5" s="135" t="s">
        <v>164</v>
      </c>
      <c r="F5" s="136" t="s">
        <v>165</v>
      </c>
      <c r="G5" s="31"/>
      <c r="H5" s="31"/>
      <c r="I5" s="31"/>
      <c r="AI5" s="147"/>
      <c r="BI5" s="87"/>
    </row>
    <row r="6" spans="1:62" ht="25.5" customHeight="1" x14ac:dyDescent="0.25">
      <c r="B6" s="143" t="str">
        <f>IF(AND(E6=0,F6=0,Berechnung3!A7="relevant"),B8,IF(OR(Berechnung3!A7="nicht relevant",Berechnung3!A7="EZ"),"",B9))</f>
        <v/>
      </c>
      <c r="C6" s="137">
        <f>Berechnung3!J53</f>
        <v>0</v>
      </c>
      <c r="D6" s="138">
        <f>Berechnung3!J54</f>
        <v>0</v>
      </c>
      <c r="E6" s="139">
        <f>Berechnung3!J52</f>
        <v>0</v>
      </c>
      <c r="F6" s="140">
        <f>Berechnung3!J51</f>
        <v>0</v>
      </c>
      <c r="G6" s="31"/>
      <c r="H6" s="31"/>
      <c r="I6" s="31"/>
      <c r="AI6" s="147"/>
    </row>
    <row r="7" spans="1:62" x14ac:dyDescent="0.25">
      <c r="G7" s="31"/>
      <c r="H7" s="31"/>
      <c r="I7" s="31"/>
      <c r="AI7" s="147"/>
    </row>
    <row r="8" spans="1:62" x14ac:dyDescent="0.25">
      <c r="A8" s="98" t="s">
        <v>0</v>
      </c>
      <c r="B8" s="31" t="s">
        <v>304</v>
      </c>
      <c r="G8" s="31"/>
      <c r="H8" s="31"/>
      <c r="I8" s="31"/>
      <c r="AI8" s="147"/>
    </row>
    <row r="9" spans="1:62" x14ac:dyDescent="0.25">
      <c r="B9" s="31" t="s">
        <v>13</v>
      </c>
      <c r="G9" s="31"/>
      <c r="H9" s="31"/>
      <c r="I9" s="31"/>
      <c r="AI9" s="147"/>
    </row>
    <row r="10" spans="1:62" x14ac:dyDescent="0.25">
      <c r="G10" s="31"/>
      <c r="H10" s="31"/>
      <c r="I10" s="31"/>
      <c r="AI10" s="147"/>
    </row>
    <row r="11" spans="1:62" x14ac:dyDescent="0.25">
      <c r="A11" s="147"/>
      <c r="B11" s="98" t="s">
        <v>194</v>
      </c>
      <c r="G11" s="31"/>
      <c r="H11" s="31"/>
      <c r="I11" s="31"/>
      <c r="AI11" s="147"/>
    </row>
    <row r="12" spans="1:62" x14ac:dyDescent="0.25">
      <c r="A12" s="147"/>
      <c r="G12" s="31"/>
      <c r="H12" s="31"/>
      <c r="I12" s="31"/>
      <c r="AI12" s="147"/>
    </row>
    <row r="13" spans="1:62" x14ac:dyDescent="0.25">
      <c r="A13" s="147"/>
      <c r="B13" s="951" t="s">
        <v>180</v>
      </c>
      <c r="C13" s="953" t="s">
        <v>196</v>
      </c>
      <c r="D13" s="886" t="s">
        <v>179</v>
      </c>
      <c r="E13" s="955" t="s">
        <v>338</v>
      </c>
      <c r="G13" s="31"/>
      <c r="H13" s="31"/>
      <c r="I13" s="31"/>
      <c r="AI13" s="147"/>
    </row>
    <row r="14" spans="1:62" ht="12" x14ac:dyDescent="0.25">
      <c r="A14" s="147"/>
      <c r="B14" s="952"/>
      <c r="C14" s="954"/>
      <c r="D14" s="886"/>
      <c r="E14" s="956"/>
      <c r="G14" s="31"/>
      <c r="H14" s="31"/>
      <c r="I14" s="157" t="s">
        <v>338</v>
      </c>
      <c r="J14" s="158" t="s">
        <v>339</v>
      </c>
      <c r="AI14" s="147"/>
    </row>
    <row r="15" spans="1:62" ht="38.1" customHeight="1" x14ac:dyDescent="0.25">
      <c r="A15" s="87" t="s">
        <v>193</v>
      </c>
      <c r="B15" s="29" t="str">
        <f>CONCATENATE(IF(Berechnung3!$H$2=Berechnung2!$L$53,Berechnung3!$B$2,""),IF(Berechnung3!$H$3=Berechnung2!$L$53,Berechnung3!$B$3,""),IF(Berechnung3!$H$4=Berechnung2!$L$53,Berechnung3!$B$4,""),IF(Berechnung3!$H$5=Berechnung2!$L$53,Berechnung3!$B$5,""),IF(Berechnung3!$H$6=Berechnung2!$L$53,Berechnung3!$B$6,""),IF(Berechnung3!$H$7=Berechnung2!$L$53,Berechnung3!$B$7,""),IF(Berechnung3!$H$8=Berechnung2!$L$53,Berechnung3!$B$8,""))</f>
        <v/>
      </c>
      <c r="C15" s="29">
        <f>IF(LEN(B15)&gt;0,"X",0)</f>
        <v>0</v>
      </c>
      <c r="D15" s="29" t="str">
        <f>IF(COUNTIF(Berechnung3!$H$2:$H$7,Berechnung2!$L$53)&gt;0,CONCATENATE(Berechnung2!$F$5,"                                     ",Berechnung2!$L$53),"")</f>
        <v/>
      </c>
      <c r="E15" s="45" t="str">
        <f>IF(COUNTIF(Berechnung3!$H$2:$H$7,Berechnung2!$L$53)&gt;0,"a","")</f>
        <v/>
      </c>
      <c r="G15" s="123" t="e">
        <f t="array" ref="G15">INDEX(B:B,SMALL(IF($C$15:$C$25="X",ROW($15:$25)),1))</f>
        <v>#NUM!</v>
      </c>
      <c r="H15" s="123" t="e">
        <f t="array" ref="H15">INDEX(D:D,SMALL(IF($C$15:$C$25="X",ROW($15:$25)),1))</f>
        <v>#NUM!</v>
      </c>
      <c r="I15" s="45" t="e">
        <f t="array" ref="I15">INDEX(E:E,SMALL(IF($C$15:$C$25="X",ROW($15:$25)),1))</f>
        <v>#NUM!</v>
      </c>
      <c r="J15" s="165" t="e">
        <f>IF(AND(Datendefizite_Matrix!C19="",I15&lt;&gt;""),"Anmerkung OnkoZert : Keine Erläuterung vorhanden",Datendefizite_Matrix!C19)</f>
        <v>#NUM!</v>
      </c>
      <c r="AI15" s="147"/>
    </row>
    <row r="16" spans="1:62" ht="38.1" customHeight="1" x14ac:dyDescent="0.25">
      <c r="A16" s="87" t="s">
        <v>197</v>
      </c>
      <c r="B16" s="29" t="str">
        <f>CONCATENATE(IF(Berechnung3!$H$9=Berechnung2!$L$57,Berechnung3!$B$2,""),IF(Berechnung3!$H$10=Berechnung2!$L$57,Berechnung3!$B$3,""),IF(Berechnung3!$H$11=Berechnung2!$L$57,Berechnung3!$B$4,""),IF(Berechnung3!$H$12=Berechnung2!$L$57,Berechnung3!$B$5,""),IF(Berechnung3!$H$13=Berechnung2!$L$57,Berechnung3!$B$6,""))</f>
        <v/>
      </c>
      <c r="C16" s="29">
        <f>IF(LEN(B16)&gt;0,"X",0)</f>
        <v>0</v>
      </c>
      <c r="D16" s="29" t="str">
        <f>IF(COUNTIF(Berechnung3!$H$9:$H$13,Berechnung2!$L$57)&gt;0,CONCATENATE(Berechnung2!$E$5,"                                     ",Berechnung2!$L$57),"")</f>
        <v/>
      </c>
      <c r="E16" s="45" t="str">
        <f>IF(COUNTIF(Berechnung3!$H$9:$H$13,Berechnung2!$L$57)&gt;0,"b","")</f>
        <v/>
      </c>
      <c r="G16" s="123" t="e">
        <f t="array" ref="G16">INDEX(B:B,SMALL(IF($C$15:$C$25="X",ROW($15:$25)),2))</f>
        <v>#NUM!</v>
      </c>
      <c r="H16" s="123" t="e">
        <f t="array" ref="H16">INDEX(D:D,SMALL(IF($C$15:$C$25="X",ROW($15:$25)),2))</f>
        <v>#NUM!</v>
      </c>
      <c r="I16" s="45" t="e">
        <f t="array" ref="I16">INDEX(E:E,SMALL(IF($C$15:$C$25="X",ROW($15:$25)),2))</f>
        <v>#NUM!</v>
      </c>
      <c r="J16" s="165" t="e">
        <f>IF(AND(Datendefizite_Matrix!C20="",I16&lt;&gt;""),"Anmerkung OnkoZert : Keine Erläuterung vorhanden",Datendefizite_Matrix!C20)</f>
        <v>#NUM!</v>
      </c>
      <c r="AI16" s="147"/>
      <c r="BJ16" s="159"/>
    </row>
    <row r="17" spans="1:62" ht="38.1" customHeight="1" x14ac:dyDescent="0.25">
      <c r="A17" s="87" t="s">
        <v>198</v>
      </c>
      <c r="B17" s="29" t="str">
        <f>CONCATENATE(IF(Berechnung3!$H$14=Berechnung2!$L$63,Berechnung3!$B$2,""),IF(Berechnung3!$H$15=Berechnung2!$L$63,Berechnung3!$B$3,""),IF(Berechnung3!$H$16=Berechnung2!$L$63,Berechnung3!$B$4,""),IF(Berechnung3!$H$17=Berechnung2!$L$63,Berechnung3!$B$5,""),IF(Berechnung3!$H$18=Berechnung2!$L$63,Berechnung3!$B$6,""))</f>
        <v/>
      </c>
      <c r="C17" s="29">
        <f>IF(LEN(B17)&gt;0,"X",0)</f>
        <v>0</v>
      </c>
      <c r="D17" s="29" t="str">
        <f>IF(COUNTIF(Berechnung3!$H$14:$H$18,Berechnung2!$L$63)&gt;0,CONCATENATE(Berechnung2!$E$5,"                                     ",Berechnung2!$L$63),"")</f>
        <v/>
      </c>
      <c r="E17" s="45" t="str">
        <f>IF(COUNTIF(Berechnung3!$H$14:$H$18,Berechnung2!$L$63)&gt;0,"c","")</f>
        <v/>
      </c>
      <c r="G17" s="123" t="e">
        <f t="array" ref="G17">INDEX(B:B,SMALL(IF($C$15:$C$25="X",ROW($15:$25)),3))</f>
        <v>#NUM!</v>
      </c>
      <c r="H17" s="123" t="e">
        <f t="array" ref="H17">INDEX(D:D,SMALL(IF($C$15:$C$25="X",ROW($15:$25)),3))</f>
        <v>#NUM!</v>
      </c>
      <c r="I17" s="45" t="e">
        <f t="array" ref="I17">INDEX(E:E,SMALL(IF($C$15:$C$25="X",ROW($15:$25)),3))</f>
        <v>#NUM!</v>
      </c>
      <c r="J17" s="165" t="e">
        <f>IF(AND(Datendefizite_Matrix!C21="",I17&lt;&gt;""),"Anmerkung OnkoZert : Keine Erläuterung vorhanden",Datendefizite_Matrix!C21)</f>
        <v>#NUM!</v>
      </c>
      <c r="AI17" s="147"/>
    </row>
    <row r="18" spans="1:62" ht="38.1" customHeight="1" x14ac:dyDescent="0.25">
      <c r="A18" s="163" t="s">
        <v>349</v>
      </c>
      <c r="B18" s="29" t="s">
        <v>524</v>
      </c>
      <c r="C18" s="29">
        <f>IF(LEN(D18)&gt;0,"X",0)</f>
        <v>0</v>
      </c>
      <c r="D18" s="29" t="str">
        <f>IF(COUNTIF(Berechnung3!$H$19,Berechnung2!$L$59)&gt;0,CONCATENATE(Berechnung2!$D$5,"                                     ",Berechnung2!$L$59),"")</f>
        <v/>
      </c>
      <c r="E18" s="45" t="str">
        <f>IF(COUNTIF(Berechnung3!$H$19,Berechnung2!$L$59)&gt;0,"d","")</f>
        <v/>
      </c>
      <c r="G18" s="123" t="e">
        <f t="array" ref="G18">INDEX(B:B,SMALL(IF($C$15:$C$25="X",ROW($15:$25)),4))</f>
        <v>#NUM!</v>
      </c>
      <c r="H18" s="123" t="e">
        <f t="array" ref="H18">INDEX(D:D,SMALL(IF($C$15:$C$25="X",ROW($15:$25)),4))</f>
        <v>#NUM!</v>
      </c>
      <c r="I18" s="45" t="e">
        <f t="array" ref="I18">INDEX(E:E,SMALL(IF($C$15:$C$25="X",ROW($15:$25)),4))</f>
        <v>#NUM!</v>
      </c>
      <c r="J18" s="165" t="e">
        <f>IF(AND(Datendefizite_Matrix!C22="",I18&lt;&gt;""),"Anmerkung OnkoZert : Keine Erläuterung vorhanden",Datendefizite_Matrix!C22)</f>
        <v>#NUM!</v>
      </c>
      <c r="AI18" s="147"/>
      <c r="BJ18" s="148"/>
    </row>
    <row r="19" spans="1:62" ht="38.1" customHeight="1" x14ac:dyDescent="0.25">
      <c r="A19" s="87" t="s">
        <v>199</v>
      </c>
      <c r="B19" s="29" t="str">
        <f>CONCATENATE(IF(Berechnung3!$H$20=Berechnung2!$L$56,Berechnung3!$B$2,""),IF(Berechnung3!$H$21=Berechnung2!$L$56,Berechnung3!$B$3,""),IF(Berechnung3!$H$22=Berechnung2!$L$56,Berechnung3!$B$4,""),IF(Berechnung3!$H$23=Berechnung2!$L$56,Berechnung3!$B$5,""),IF(Berechnung3!$H$24=Berechnung2!$L$56,Berechnung3!$B$6,""),IF(Berechnung3!$H$25=Berechnung2!$L$56,Berechnung3!$B$7,""),IF(Berechnung3!$H$26=Berechnung2!$L$56,Berechnung3!$B$8,""))</f>
        <v/>
      </c>
      <c r="C19" s="29">
        <f>IF(LEN(B19)&gt;0,"X",0)</f>
        <v>0</v>
      </c>
      <c r="D19" s="29" t="str">
        <f>IF(COUNTIF(Berechnung3!$H$20:$H$26,Berechnung2!$L$56)&gt;0,CONCATENATE(Berechnung2!$C$5,"                                     ",Berechnung2!$L$56),"")</f>
        <v/>
      </c>
      <c r="E19" s="45" t="str">
        <f>IF(COUNTIF(Berechnung3!$H$20:$H$26,Berechnung2!$L$56)&gt;0,"e","")</f>
        <v/>
      </c>
      <c r="G19" s="123" t="e">
        <f t="array" ref="G19">INDEX(B:B,SMALL(IF($C$15:$C$25="X",ROW($15:$25)),5))</f>
        <v>#NUM!</v>
      </c>
      <c r="H19" s="123" t="e">
        <f t="array" ref="H19">INDEX(D:D,SMALL(IF($C$15:$C$25="X",ROW($15:$25)),5))</f>
        <v>#NUM!</v>
      </c>
      <c r="I19" s="45" t="e">
        <f t="array" ref="I19">INDEX(E:E,SMALL(IF($C$15:$C$25="X",ROW($15:$25)),5))</f>
        <v>#NUM!</v>
      </c>
      <c r="J19" s="165" t="e">
        <f>IF(AND(Datendefizite_Matrix!C23="",I19&lt;&gt;""),"Anmerkung OnkoZert : Keine Erläuterung vorhanden",Datendefizite_Matrix!C23)</f>
        <v>#NUM!</v>
      </c>
    </row>
    <row r="20" spans="1:62" ht="38.1" customHeight="1" x14ac:dyDescent="0.25">
      <c r="A20" s="163" t="s">
        <v>350</v>
      </c>
      <c r="B20" s="29" t="s">
        <v>524</v>
      </c>
      <c r="C20" s="29">
        <f>IF(LEN(D20)&gt;0,"X",0)</f>
        <v>0</v>
      </c>
      <c r="D20" s="29" t="str">
        <f>IF(COUNTIF(Berechnung3!$H$27,Berechnung2!$L$60),CONCATENATE(Berechnung2!$C$5,"                                     ",Berechnung2!$L$60),"")</f>
        <v/>
      </c>
      <c r="E20" s="45" t="str">
        <f>IF(COUNTIF(Berechnung3!$H$27,Berechnung2!$L$60)&gt;0,"f","")</f>
        <v/>
      </c>
      <c r="G20" s="123" t="e">
        <f t="array" ref="G20">INDEX(B:B,SMALL(IF($C$15:$C$25="X",ROW($15:$25)),6))</f>
        <v>#NUM!</v>
      </c>
      <c r="H20" s="123" t="e">
        <f t="array" ref="H20">INDEX(D:D,SMALL(IF($C$15:$C$25="X",ROW($15:$25)),6))</f>
        <v>#NUM!</v>
      </c>
      <c r="I20" s="45" t="e">
        <f t="array" ref="I20">INDEX(E:E,SMALL(IF($C$15:$C$25="X",ROW($15:$25)),6))</f>
        <v>#NUM!</v>
      </c>
      <c r="J20" s="165" t="e">
        <f>IF(AND(Datendefizite_Matrix!C24="",I20&lt;&gt;""),"Anmerkung OnkoZert : Keine Erläuterung vorhanden",Datendefizite_Matrix!C24)</f>
        <v>#NUM!</v>
      </c>
    </row>
    <row r="21" spans="1:62" ht="41.25" customHeight="1" x14ac:dyDescent="0.25">
      <c r="A21" s="87" t="s">
        <v>200</v>
      </c>
      <c r="B21" s="29" t="str">
        <f>CONCATENATE(IF(Berechnung3!$H$28=Berechnung2!$L$58,Berechnung3!$B$2,""),IF(Berechnung3!$H$29=Berechnung2!$L$58,Berechnung3!$B$3,""),IF(Berechnung3!$H$30=Berechnung2!$L$58,Berechnung3!$B$4,""),IF(Berechnung3!$H$31=Berechnung2!$L$58,Berechnung3!$B$5,""),IF(Berechnung3!$H$32=Berechnung2!$L$58,Berechnung3!$B$6,""))</f>
        <v/>
      </c>
      <c r="C21" s="29">
        <f>IF(LEN(B21)&gt;0,"X",0)</f>
        <v>0</v>
      </c>
      <c r="D21" s="29" t="str">
        <f>IF(COUNTIF(Berechnung3!H28:H32,Berechnung2!$L$58)&gt;0,CONCATENATE(Berechnung2!$C$5,"                                     ",Berechnung2!$L$58),"")</f>
        <v/>
      </c>
      <c r="E21" s="45" t="str">
        <f>IF(COUNTIF(Berechnung3!$H$28:$H$32,Berechnung2!$L$58)&gt;0,"g","")</f>
        <v/>
      </c>
      <c r="G21" s="123" t="e">
        <f t="array" ref="G21">INDEX(B:B,SMALL(IF($C$15:$C$25="X",ROW($15:$25)),7))</f>
        <v>#NUM!</v>
      </c>
      <c r="H21" s="123" t="e">
        <f t="array" ref="H21">INDEX(D:D,SMALL(IF($C$15:$C$25="X",ROW($15:$25)),7))</f>
        <v>#NUM!</v>
      </c>
      <c r="I21" s="45" t="e">
        <f t="array" ref="I21">INDEX(E:E,SMALL(IF($C$15:$C$25="X",ROW($15:$25)),7))</f>
        <v>#NUM!</v>
      </c>
      <c r="J21" s="165" t="e">
        <f>IF(AND(Datendefizite_Matrix!C25="",I21&lt;&gt;""),"Anmerkung OnkoZert : Keine Erläuterung vorhanden",Datendefizite_Matrix!C25)</f>
        <v>#NUM!</v>
      </c>
    </row>
    <row r="22" spans="1:62" ht="49.5" customHeight="1" x14ac:dyDescent="0.25">
      <c r="A22" s="87" t="s">
        <v>201</v>
      </c>
      <c r="B22" s="29" t="str">
        <f>CONCATENATE(IF(Berechnung3!$H$33=Berechnung2!$L$54,Berechnung3!$B$2,""),IF(Berechnung3!$H$34=Berechnung2!$L$54,Berechnung3!$B$3,""),IF(Berechnung3!$H$35=Berechnung2!$L$54,Berechnung3!$B$4,""),IF(Berechnung3!$H$36=Berechnung2!$L$54,Berechnung3!$B$5,""),IF(Berechnung3!$H$37=Berechnung2!$L$54,Berechnung3!$B$6,""))</f>
        <v/>
      </c>
      <c r="C22" s="29">
        <f>IF(LEN(B22)&gt;0,"X",0)</f>
        <v>0</v>
      </c>
      <c r="D22" s="29" t="str">
        <f>IF(COUNTIF(Berechnung3!$H$33:$H$37,Berechnung2!$L$54)&gt;0,CONCATENATE(Berechnung2!$C$5,"                                     ",Berechnung2!$L$54),"")</f>
        <v/>
      </c>
      <c r="E22" s="45" t="str">
        <f>IF(COUNTIF(Berechnung3!$H$33:$H$37,Berechnung2!$L$54)&gt;0,"h","")</f>
        <v/>
      </c>
      <c r="G22" s="123" t="e">
        <f t="array" ref="G22">INDEX(B:B,SMALL(IF($C$15:$C$25="X",ROW($15:$25)),8))</f>
        <v>#NUM!</v>
      </c>
      <c r="H22" s="123" t="e">
        <f t="array" ref="H22">INDEX(D:D,SMALL(IF($C$15:$C$25="X",ROW($15:$25)),8))</f>
        <v>#NUM!</v>
      </c>
      <c r="I22" s="45" t="e">
        <f t="array" ref="I22">INDEX(E:E,SMALL(IF($C$15:$C$25="X",ROW($15:$25)),8))</f>
        <v>#NUM!</v>
      </c>
      <c r="J22" s="165" t="e">
        <f>IF(AND(Datendefizite_Matrix!C26="",I22&lt;&gt;""),"Anmerkung OnkoZert : Keine Erläuterung vorhanden",Datendefizite_Matrix!C26)</f>
        <v>#NUM!</v>
      </c>
    </row>
    <row r="23" spans="1:62" ht="38.1" customHeight="1" x14ac:dyDescent="0.25">
      <c r="A23" s="87" t="s">
        <v>168</v>
      </c>
      <c r="B23" s="29" t="str">
        <f>CONCATENATE(IF(Berechnung3!$H$38=Berechnung2!$L$68,Berechnung3!$B$2,""),IF(Berechnung3!$H$39=Berechnung2!$L$68,Berechnung3!$B$3,""),IF(Berechnung3!$H$40=Berechnung2!$L$68,Berechnung3!$B$4,""),IF(Berechnung3!$H$41=Berechnung2!$L$68,Berechnung3!$B$5,""),IF(Berechnung3!$H$42=Berechnung2!$L$68,Berechnung3!$B$6,""))</f>
        <v/>
      </c>
      <c r="C23" s="29">
        <f>IF(LEN(B23)&gt;0,"X",0)</f>
        <v>0</v>
      </c>
      <c r="D23" s="29" t="str">
        <f>IF(COUNTIF(Berechnung3!$H$38:$H$42,Berechnung2!$L$68)&gt;0,CONCATENATE(Berechnung2!$C$5,"                  ",Berechnung2!$L$68),"")</f>
        <v/>
      </c>
      <c r="E23" s="45" t="str">
        <f>IF(COUNTIF(Berechnung3!$H$38:$H$42,Berechnung2!$L$68)&gt;0,"i","")</f>
        <v/>
      </c>
      <c r="G23" s="123" t="e">
        <f t="array" ref="G23">INDEX(B:B,SMALL(IF($C$15:$C$25="X",ROW($15:$25)),9))</f>
        <v>#NUM!</v>
      </c>
      <c r="H23" s="123" t="e">
        <f t="array" ref="H23">INDEX(D:D,SMALL(IF($C$15:$C$25="X",ROW($15:$25)),9))</f>
        <v>#NUM!</v>
      </c>
      <c r="I23" s="45" t="e">
        <f t="array" ref="I23">INDEX(E:E,SMALL(IF($C$15:$C$25="X",ROW($15:$25)),9))</f>
        <v>#NUM!</v>
      </c>
      <c r="J23" s="165" t="e">
        <f>IF(AND(Datendefizite_Matrix!C27="",I23&lt;&gt;""),"Anmerkung OnkoZert : Keine Erläuterung vorhanden",Datendefizite_Matrix!C27)</f>
        <v>#NUM!</v>
      </c>
    </row>
    <row r="24" spans="1:62" ht="38.1" customHeight="1" x14ac:dyDescent="0.25">
      <c r="A24" s="87" t="s">
        <v>102</v>
      </c>
      <c r="B24" s="29" t="str">
        <f>CONCATENATE(IF(Berechnung3!$H$43=Berechnung2!$L$77,Berechnung3!$B$2,""),IF(Berechnung3!$H$44=Berechnung2!$L$77,Berechnung3!$B$3,""),IF(Berechnung3!$H$45=Berechnung2!$L$77,Berechnung3!$B$4,""),IF(Berechnung3!$H$46=Berechnung2!$L$77,Berechnung3!$B$5,""),IF(Berechnung3!$H$47=Berechnung2!$L$77,Berechnung3!$B$6,""))</f>
        <v/>
      </c>
      <c r="C24" s="29">
        <f>IF(LEN(B24)&gt;0,"X",0)</f>
        <v>0</v>
      </c>
      <c r="D24" s="29" t="str">
        <f>IF(COUNTIF(Berechnung3!$H$43:$H$47,Berechnung2!$L$77)&gt;0,CONCATENATE(Berechnung2!$C$5,"                 ",Berechnung2!$L$77),"")</f>
        <v/>
      </c>
      <c r="E24" s="45" t="str">
        <f>IF(COUNTIF(Berechnung3!$H$43:$H$47,Berechnung2!$L$77)&gt;0,"j","")</f>
        <v/>
      </c>
      <c r="G24" s="123" t="e">
        <f t="array" ref="G24">INDEX(B:B,SMALL(IF($C$15:$C$25="X",ROW($15:$25)),10))</f>
        <v>#NUM!</v>
      </c>
      <c r="H24" s="123" t="e">
        <f t="array" ref="H24">INDEX(D:D,SMALL(IF($C$15:$C$25="X",ROW($15:$25)),10))</f>
        <v>#NUM!</v>
      </c>
      <c r="I24" s="45" t="e">
        <f t="array" ref="I24">INDEX(E:E,SMALL(IF($C$15:$C$25="X",ROW($15:$25)),10))</f>
        <v>#NUM!</v>
      </c>
      <c r="J24" s="165" t="e">
        <f>IF(AND(Datendefizite_Matrix!C28="",I24&lt;&gt;""),"Anmerkung OnkoZert : Keine Erläuterung vorhanden",Datendefizite_Matrix!C28)</f>
        <v>#NUM!</v>
      </c>
    </row>
    <row r="25" spans="1:62" ht="51" customHeight="1" x14ac:dyDescent="0.25">
      <c r="A25" s="377" t="s">
        <v>19</v>
      </c>
      <c r="B25" s="367">
        <v>2016</v>
      </c>
      <c r="C25" s="367">
        <f>IF(LEN(D25)&gt;0,"X",0)</f>
        <v>0</v>
      </c>
      <c r="D25" s="367" t="str">
        <f>IF(COUNTIF(Berechnung3!$H$48,Berechnung2!$L$52),CONCATENATE(Berechnung2!$C$5,"                                     ",L52),"")</f>
        <v/>
      </c>
      <c r="E25" s="368" t="str">
        <f>IF(COUNTIF(Berechnung3!$H$48,Berechnung2!$L$52)&gt;0,"k","")</f>
        <v/>
      </c>
      <c r="G25" s="160"/>
      <c r="H25" s="160"/>
      <c r="I25" s="31"/>
    </row>
    <row r="26" spans="1:62" x14ac:dyDescent="0.25">
      <c r="A26" s="147"/>
      <c r="F26" s="161"/>
      <c r="G26" s="161"/>
      <c r="H26" s="31"/>
      <c r="I26" s="31"/>
    </row>
    <row r="27" spans="1:62" x14ac:dyDescent="0.25">
      <c r="G27" s="31"/>
      <c r="H27" s="31"/>
    </row>
    <row r="50" spans="1:16" s="130" customFormat="1" x14ac:dyDescent="0.25">
      <c r="B50" s="98" t="s">
        <v>178</v>
      </c>
      <c r="J50" s="128"/>
      <c r="N50" s="128"/>
    </row>
    <row r="51" spans="1:16" x14ac:dyDescent="0.25">
      <c r="A51" s="130"/>
      <c r="B51" s="162" t="s">
        <v>190</v>
      </c>
      <c r="C51" s="162"/>
      <c r="D51" s="162"/>
      <c r="E51" s="105"/>
      <c r="F51" s="112" t="s">
        <v>188</v>
      </c>
      <c r="G51" s="105"/>
      <c r="H51" s="105"/>
      <c r="I51" s="105"/>
      <c r="J51" s="166"/>
      <c r="K51" s="162"/>
      <c r="L51" s="162" t="s">
        <v>1</v>
      </c>
      <c r="M51" s="162"/>
      <c r="N51" s="277" t="s">
        <v>2</v>
      </c>
      <c r="O51" s="162"/>
      <c r="P51" s="130"/>
    </row>
    <row r="52" spans="1:16" x14ac:dyDescent="0.25">
      <c r="A52" s="130"/>
      <c r="B52" s="155" t="s">
        <v>302</v>
      </c>
      <c r="C52" s="162"/>
      <c r="D52" s="129" t="s">
        <v>191</v>
      </c>
      <c r="E52" s="105"/>
      <c r="F52" s="106"/>
      <c r="G52" s="105"/>
      <c r="H52" s="105"/>
      <c r="I52" s="105" t="s">
        <v>301</v>
      </c>
      <c r="J52" s="206" t="str">
        <f>'Basic Data'!$K$33</f>
        <v/>
      </c>
      <c r="K52" s="162"/>
      <c r="L52" s="155" t="s">
        <v>300</v>
      </c>
      <c r="M52" s="155"/>
      <c r="N52" s="165"/>
      <c r="O52" s="155"/>
      <c r="P52" s="130"/>
    </row>
    <row r="53" spans="1:16" x14ac:dyDescent="0.25">
      <c r="B53" s="129"/>
      <c r="C53" s="129"/>
      <c r="D53" s="129" t="s">
        <v>193</v>
      </c>
      <c r="E53" s="114"/>
      <c r="F53" s="113"/>
      <c r="G53" s="114"/>
      <c r="H53" s="114"/>
      <c r="I53" s="114"/>
      <c r="J53" s="167"/>
      <c r="K53" s="114"/>
      <c r="L53" s="155" t="s">
        <v>280</v>
      </c>
      <c r="M53" s="155"/>
      <c r="N53" s="165"/>
      <c r="O53" s="129"/>
      <c r="P53" s="130"/>
    </row>
    <row r="54" spans="1:16" s="288" customFormat="1" x14ac:dyDescent="0.25">
      <c r="B54" s="289" t="s">
        <v>177</v>
      </c>
      <c r="C54" s="289"/>
      <c r="D54" s="289" t="s">
        <v>191</v>
      </c>
      <c r="E54" s="290" t="s">
        <v>288</v>
      </c>
      <c r="F54" s="291">
        <v>-1</v>
      </c>
      <c r="G54" s="291">
        <v>-1</v>
      </c>
      <c r="H54" s="291">
        <v>-1</v>
      </c>
      <c r="I54" s="291">
        <v>-1</v>
      </c>
      <c r="J54" s="292">
        <v>-1</v>
      </c>
      <c r="K54" s="290"/>
      <c r="L54" s="293" t="s">
        <v>206</v>
      </c>
      <c r="M54" s="293"/>
      <c r="N54" s="294"/>
      <c r="O54" s="289"/>
      <c r="P54" s="295"/>
    </row>
    <row r="55" spans="1:16" x14ac:dyDescent="0.25">
      <c r="B55" s="129" t="s">
        <v>181</v>
      </c>
      <c r="C55" s="129"/>
      <c r="D55" s="129" t="s">
        <v>169</v>
      </c>
      <c r="E55" s="114" t="s">
        <v>173</v>
      </c>
      <c r="F55" s="116">
        <v>0</v>
      </c>
      <c r="G55" s="116">
        <v>0</v>
      </c>
      <c r="H55" s="116"/>
      <c r="I55" s="114"/>
      <c r="J55" s="167">
        <v>1</v>
      </c>
      <c r="K55" s="114"/>
      <c r="L55" s="155"/>
      <c r="M55" s="155"/>
      <c r="N55" s="165"/>
      <c r="O55" s="129"/>
      <c r="P55" s="130"/>
    </row>
    <row r="56" spans="1:16" x14ac:dyDescent="0.25">
      <c r="B56" s="129" t="s">
        <v>182</v>
      </c>
      <c r="C56" s="129"/>
      <c r="D56" s="129" t="s">
        <v>191</v>
      </c>
      <c r="E56" s="114" t="s">
        <v>174</v>
      </c>
      <c r="F56" s="114"/>
      <c r="G56" s="114">
        <v>150</v>
      </c>
      <c r="H56" s="114"/>
      <c r="I56" s="114"/>
      <c r="J56" s="167"/>
      <c r="K56" s="114"/>
      <c r="L56" s="155" t="s">
        <v>207</v>
      </c>
      <c r="M56" s="155"/>
      <c r="N56" s="165"/>
      <c r="O56" s="129"/>
      <c r="P56" s="130"/>
    </row>
    <row r="57" spans="1:16" x14ac:dyDescent="0.25">
      <c r="B57" s="129" t="s">
        <v>183</v>
      </c>
      <c r="C57" s="129"/>
      <c r="D57" s="129" t="s">
        <v>169</v>
      </c>
      <c r="E57" s="114"/>
      <c r="F57" s="114"/>
      <c r="G57" s="114"/>
      <c r="H57" s="114"/>
      <c r="I57" s="114"/>
      <c r="J57" s="167"/>
      <c r="K57" s="114"/>
      <c r="L57" s="155" t="s">
        <v>224</v>
      </c>
      <c r="M57" s="155"/>
      <c r="N57" s="165" t="s">
        <v>7</v>
      </c>
      <c r="O57" s="129"/>
      <c r="P57" s="130"/>
    </row>
    <row r="58" spans="1:16" x14ac:dyDescent="0.25">
      <c r="B58" s="129" t="s">
        <v>298</v>
      </c>
      <c r="C58" s="129"/>
      <c r="D58" s="129" t="s">
        <v>191</v>
      </c>
      <c r="E58" s="114" t="s">
        <v>174</v>
      </c>
      <c r="F58" s="116">
        <v>0</v>
      </c>
      <c r="G58" s="116">
        <v>0</v>
      </c>
      <c r="H58" s="116"/>
      <c r="I58" s="115">
        <v>0.39999000000000001</v>
      </c>
      <c r="J58" s="167">
        <v>0.39999000000000001</v>
      </c>
      <c r="K58" s="114"/>
      <c r="L58" s="155" t="s">
        <v>287</v>
      </c>
      <c r="M58" s="155"/>
      <c r="N58" s="165"/>
      <c r="O58" s="129"/>
      <c r="P58" s="130"/>
    </row>
    <row r="59" spans="1:16" x14ac:dyDescent="0.25">
      <c r="B59" s="155" t="s">
        <v>388</v>
      </c>
      <c r="C59" s="129"/>
      <c r="D59" s="129" t="s">
        <v>192</v>
      </c>
      <c r="E59" s="114" t="s">
        <v>174</v>
      </c>
      <c r="F59" s="116">
        <v>0</v>
      </c>
      <c r="G59" s="116">
        <v>0</v>
      </c>
      <c r="H59" s="116"/>
      <c r="I59" s="115">
        <v>0.79998999999999998</v>
      </c>
      <c r="J59" s="168">
        <v>0.79998999999999998</v>
      </c>
      <c r="K59" s="114"/>
      <c r="L59" s="155" t="s">
        <v>384</v>
      </c>
      <c r="M59" s="155"/>
      <c r="N59" s="165"/>
      <c r="O59" s="129"/>
      <c r="P59" s="130"/>
    </row>
    <row r="60" spans="1:16" x14ac:dyDescent="0.25">
      <c r="B60" s="155" t="s">
        <v>389</v>
      </c>
      <c r="C60" s="129"/>
      <c r="D60" s="129" t="s">
        <v>191</v>
      </c>
      <c r="E60" s="114" t="s">
        <v>173</v>
      </c>
      <c r="F60" s="115"/>
      <c r="G60" s="116">
        <v>0</v>
      </c>
      <c r="H60" s="116">
        <v>0.95001000000000002</v>
      </c>
      <c r="I60" s="115">
        <v>1</v>
      </c>
      <c r="J60" s="167">
        <v>0.95001000000000002</v>
      </c>
      <c r="K60" s="114"/>
      <c r="L60" s="155" t="s">
        <v>299</v>
      </c>
      <c r="M60" s="155"/>
      <c r="N60" s="165"/>
      <c r="O60" s="129"/>
      <c r="P60" s="130"/>
    </row>
    <row r="61" spans="1:16" x14ac:dyDescent="0.25">
      <c r="B61" s="129" t="s">
        <v>184</v>
      </c>
      <c r="C61" s="129"/>
      <c r="D61" s="129" t="s">
        <v>169</v>
      </c>
      <c r="E61" s="114"/>
      <c r="F61" s="114"/>
      <c r="G61" s="114"/>
      <c r="H61" s="114"/>
      <c r="I61" s="114"/>
      <c r="J61" s="167"/>
      <c r="K61" s="114"/>
      <c r="L61" s="155" t="s">
        <v>286</v>
      </c>
      <c r="M61" s="155"/>
      <c r="N61" s="165"/>
      <c r="O61" s="129"/>
      <c r="P61" s="130"/>
    </row>
    <row r="62" spans="1:16" x14ac:dyDescent="0.25">
      <c r="B62" s="129"/>
      <c r="C62" s="129"/>
      <c r="D62" s="129"/>
      <c r="E62" s="114"/>
      <c r="F62" s="114"/>
      <c r="G62" s="114"/>
      <c r="H62" s="114"/>
      <c r="I62" s="114"/>
      <c r="J62" s="167"/>
      <c r="K62" s="114"/>
      <c r="L62" s="155"/>
      <c r="M62" s="155"/>
      <c r="N62" s="165"/>
      <c r="O62" s="129"/>
      <c r="P62" s="130"/>
    </row>
    <row r="63" spans="1:16" ht="33.75" x14ac:dyDescent="0.25">
      <c r="B63" s="129" t="s">
        <v>185</v>
      </c>
      <c r="C63" s="129"/>
      <c r="D63" s="129" t="s">
        <v>169</v>
      </c>
      <c r="E63" s="114" t="s">
        <v>174</v>
      </c>
      <c r="F63" s="114"/>
      <c r="G63" s="114">
        <v>0</v>
      </c>
      <c r="H63" s="114"/>
      <c r="I63" s="114"/>
      <c r="J63" s="167"/>
      <c r="K63" s="114"/>
      <c r="L63" s="155" t="s">
        <v>285</v>
      </c>
      <c r="M63" s="155"/>
      <c r="N63" s="165" t="s">
        <v>518</v>
      </c>
      <c r="O63" s="129"/>
      <c r="P63" s="130"/>
    </row>
    <row r="64" spans="1:16" x14ac:dyDescent="0.25">
      <c r="A64" s="130"/>
      <c r="B64" s="129"/>
      <c r="C64" s="129"/>
      <c r="D64" s="129"/>
      <c r="E64" s="114"/>
      <c r="F64" s="114"/>
      <c r="G64" s="114"/>
      <c r="H64" s="114"/>
      <c r="I64" s="114"/>
      <c r="J64" s="169"/>
      <c r="K64" s="129"/>
      <c r="L64" s="155"/>
      <c r="M64" s="155"/>
      <c r="N64" s="165"/>
      <c r="O64" s="129"/>
      <c r="P64" s="130"/>
    </row>
    <row r="65" spans="1:16" ht="22.5" x14ac:dyDescent="0.25">
      <c r="A65" s="130"/>
      <c r="B65" s="129" t="s">
        <v>168</v>
      </c>
      <c r="C65" s="129"/>
      <c r="D65" s="129"/>
      <c r="E65" s="114" t="s">
        <v>189</v>
      </c>
      <c r="F65" s="114"/>
      <c r="G65" s="114" t="s">
        <v>186</v>
      </c>
      <c r="H65" s="114"/>
      <c r="I65" s="114"/>
      <c r="J65" s="169" t="s">
        <v>187</v>
      </c>
      <c r="K65" s="129"/>
      <c r="L65" s="155"/>
      <c r="M65" s="155"/>
      <c r="N65" s="165" t="s">
        <v>281</v>
      </c>
      <c r="O65" s="162"/>
      <c r="P65" s="130"/>
    </row>
    <row r="66" spans="1:16" x14ac:dyDescent="0.25">
      <c r="A66" s="130"/>
      <c r="B66" s="129"/>
      <c r="C66" s="116"/>
      <c r="D66" s="116"/>
      <c r="E66" s="116"/>
      <c r="F66" s="115"/>
      <c r="G66" s="116"/>
      <c r="H66" s="117"/>
      <c r="I66" s="115"/>
      <c r="J66" s="168"/>
      <c r="K66" s="129"/>
      <c r="L66" s="155"/>
      <c r="M66" s="155"/>
      <c r="N66" s="165"/>
      <c r="O66" s="129"/>
      <c r="P66" s="130"/>
    </row>
    <row r="67" spans="1:16" x14ac:dyDescent="0.25">
      <c r="A67" s="130"/>
      <c r="B67" s="306">
        <v>2013</v>
      </c>
      <c r="C67" s="116"/>
      <c r="D67" s="116"/>
      <c r="E67" s="116"/>
      <c r="F67" s="115"/>
      <c r="G67" s="116"/>
      <c r="H67" s="117"/>
      <c r="I67" s="115"/>
      <c r="J67" s="168"/>
      <c r="K67" s="129"/>
      <c r="L67" s="155"/>
      <c r="M67" s="155"/>
      <c r="N67" s="165"/>
      <c r="O67" s="129"/>
      <c r="P67" s="130"/>
    </row>
    <row r="68" spans="1:16" x14ac:dyDescent="0.25">
      <c r="A68" s="130"/>
      <c r="B68" s="306">
        <v>2014</v>
      </c>
      <c r="C68" s="116"/>
      <c r="D68" s="116"/>
      <c r="E68" s="116"/>
      <c r="F68" s="115"/>
      <c r="G68" s="116"/>
      <c r="H68" s="117"/>
      <c r="I68" s="115"/>
      <c r="J68" s="168"/>
      <c r="K68" s="129"/>
      <c r="L68" s="155" t="s">
        <v>211</v>
      </c>
      <c r="M68" s="155" t="s">
        <v>211</v>
      </c>
      <c r="N68" s="165"/>
      <c r="O68" s="129"/>
      <c r="P68" s="130"/>
    </row>
    <row r="69" spans="1:16" x14ac:dyDescent="0.25">
      <c r="A69" s="130"/>
      <c r="B69" s="306">
        <v>2015</v>
      </c>
      <c r="C69" s="116"/>
      <c r="D69" s="116"/>
      <c r="E69" s="116"/>
      <c r="F69" s="115"/>
      <c r="G69" s="116"/>
      <c r="H69" s="117"/>
      <c r="I69" s="115"/>
      <c r="J69" s="168"/>
      <c r="K69" s="129"/>
      <c r="L69" s="155" t="s">
        <v>211</v>
      </c>
      <c r="M69" s="155" t="s">
        <v>211</v>
      </c>
      <c r="N69" s="165"/>
      <c r="O69" s="129"/>
      <c r="P69" s="130"/>
    </row>
    <row r="70" spans="1:16" x14ac:dyDescent="0.25">
      <c r="A70" s="130"/>
      <c r="B70" s="306">
        <v>2016</v>
      </c>
      <c r="C70" s="116"/>
      <c r="D70" s="116"/>
      <c r="E70" s="116"/>
      <c r="F70" s="115"/>
      <c r="G70" s="116"/>
      <c r="H70" s="117"/>
      <c r="I70" s="115"/>
      <c r="J70" s="168"/>
      <c r="K70" s="129"/>
      <c r="L70" s="155" t="s">
        <v>211</v>
      </c>
      <c r="M70" s="155" t="s">
        <v>211</v>
      </c>
      <c r="N70" s="165"/>
      <c r="O70" s="129"/>
      <c r="P70" s="130"/>
    </row>
    <row r="71" spans="1:16" x14ac:dyDescent="0.25">
      <c r="A71" s="130"/>
      <c r="B71" s="306">
        <v>2017</v>
      </c>
      <c r="C71" s="116"/>
      <c r="D71" s="116"/>
      <c r="E71" s="116">
        <v>0</v>
      </c>
      <c r="F71" s="115">
        <v>0.2999</v>
      </c>
      <c r="G71" s="115">
        <v>0.2999</v>
      </c>
      <c r="H71" s="117"/>
      <c r="I71" s="115">
        <v>0.70001000000000002</v>
      </c>
      <c r="J71" s="167">
        <v>0.70001000000000002</v>
      </c>
      <c r="K71" s="129"/>
      <c r="L71" s="155" t="s">
        <v>211</v>
      </c>
      <c r="M71" s="155" t="s">
        <v>211</v>
      </c>
      <c r="N71" s="165"/>
      <c r="O71" s="129"/>
      <c r="P71" s="130"/>
    </row>
    <row r="72" spans="1:16" x14ac:dyDescent="0.25">
      <c r="A72" s="130"/>
      <c r="B72" s="306"/>
      <c r="C72" s="116"/>
      <c r="D72" s="116"/>
      <c r="E72" s="116"/>
      <c r="F72" s="115"/>
      <c r="G72" s="115"/>
      <c r="H72" s="117"/>
      <c r="I72" s="115"/>
      <c r="J72" s="167"/>
      <c r="K72" s="129"/>
      <c r="L72" s="155"/>
      <c r="M72" s="155"/>
      <c r="N72" s="165"/>
      <c r="O72" s="129"/>
      <c r="P72" s="130"/>
    </row>
    <row r="73" spans="1:16" x14ac:dyDescent="0.25">
      <c r="A73" s="130"/>
      <c r="B73" s="129"/>
      <c r="C73" s="114"/>
      <c r="D73" s="114"/>
      <c r="E73" s="114"/>
      <c r="F73" s="114"/>
      <c r="G73" s="114"/>
      <c r="H73" s="114"/>
      <c r="I73" s="114"/>
      <c r="J73" s="170"/>
      <c r="K73" s="129"/>
      <c r="L73" s="155"/>
      <c r="M73" s="155"/>
      <c r="N73" s="165"/>
      <c r="O73" s="129"/>
      <c r="P73" s="130"/>
    </row>
    <row r="74" spans="1:16" x14ac:dyDescent="0.25">
      <c r="A74" s="130"/>
      <c r="B74" s="129" t="s">
        <v>102</v>
      </c>
      <c r="C74" s="114"/>
      <c r="D74" s="114"/>
      <c r="E74" s="114"/>
      <c r="F74" s="114"/>
      <c r="G74" s="114" t="s">
        <v>186</v>
      </c>
      <c r="H74" s="114"/>
      <c r="I74" s="114"/>
      <c r="J74" s="169" t="s">
        <v>187</v>
      </c>
      <c r="K74" s="129"/>
      <c r="L74" s="155"/>
      <c r="M74" s="155"/>
      <c r="N74" s="165"/>
      <c r="O74" s="129"/>
      <c r="P74" s="130"/>
    </row>
    <row r="75" spans="1:16" x14ac:dyDescent="0.25">
      <c r="A75" s="130"/>
      <c r="B75" s="129"/>
      <c r="C75" s="116"/>
      <c r="D75" s="116"/>
      <c r="E75" s="116"/>
      <c r="F75" s="115"/>
      <c r="G75" s="116"/>
      <c r="H75" s="117"/>
      <c r="I75" s="115"/>
      <c r="J75" s="168"/>
      <c r="K75" s="129"/>
      <c r="L75" s="155"/>
      <c r="M75" s="155"/>
      <c r="N75" s="165"/>
      <c r="O75" s="129"/>
      <c r="P75" s="130"/>
    </row>
    <row r="76" spans="1:16" x14ac:dyDescent="0.25">
      <c r="A76" s="130"/>
      <c r="B76" s="306">
        <v>2013</v>
      </c>
      <c r="C76" s="116"/>
      <c r="D76" s="116"/>
      <c r="E76" s="116"/>
      <c r="F76" s="115"/>
      <c r="G76" s="116"/>
      <c r="H76" s="117"/>
      <c r="I76" s="115"/>
      <c r="J76" s="168"/>
      <c r="K76" s="129"/>
      <c r="L76" s="155"/>
      <c r="M76" s="155"/>
      <c r="N76" s="165"/>
      <c r="O76" s="129"/>
      <c r="P76" s="130"/>
    </row>
    <row r="77" spans="1:16" x14ac:dyDescent="0.25">
      <c r="A77" s="130"/>
      <c r="B77" s="306">
        <v>2014</v>
      </c>
      <c r="C77" s="116"/>
      <c r="D77" s="116"/>
      <c r="E77" s="116"/>
      <c r="F77" s="115"/>
      <c r="G77" s="116"/>
      <c r="H77" s="117"/>
      <c r="I77" s="115"/>
      <c r="J77" s="168"/>
      <c r="K77" s="129"/>
      <c r="L77" s="155" t="s">
        <v>212</v>
      </c>
      <c r="M77" s="155" t="s">
        <v>212</v>
      </c>
      <c r="N77" s="165"/>
      <c r="O77" s="129"/>
      <c r="P77" s="130"/>
    </row>
    <row r="78" spans="1:16" x14ac:dyDescent="0.25">
      <c r="A78" s="130"/>
      <c r="B78" s="306">
        <v>2015</v>
      </c>
      <c r="C78" s="116"/>
      <c r="D78" s="116"/>
      <c r="E78" s="116"/>
      <c r="F78" s="115"/>
      <c r="G78" s="116"/>
      <c r="H78" s="117"/>
      <c r="I78" s="115"/>
      <c r="J78" s="168"/>
      <c r="K78" s="129"/>
      <c r="L78" s="155" t="s">
        <v>212</v>
      </c>
      <c r="M78" s="155" t="s">
        <v>212</v>
      </c>
      <c r="N78" s="165"/>
      <c r="O78" s="129"/>
      <c r="P78" s="130"/>
    </row>
    <row r="79" spans="1:16" x14ac:dyDescent="0.25">
      <c r="A79" s="130"/>
      <c r="B79" s="306">
        <v>2016</v>
      </c>
      <c r="C79" s="116"/>
      <c r="D79" s="116"/>
      <c r="E79" s="116">
        <v>0</v>
      </c>
      <c r="F79" s="115">
        <v>0.19989999999999999</v>
      </c>
      <c r="G79" s="115">
        <v>0.19989999999999999</v>
      </c>
      <c r="H79" s="117"/>
      <c r="I79" s="115">
        <v>0.50000999999999995</v>
      </c>
      <c r="J79" s="167">
        <v>0.50000999999999995</v>
      </c>
      <c r="K79" s="129"/>
      <c r="L79" s="155" t="s">
        <v>212</v>
      </c>
      <c r="M79" s="155" t="s">
        <v>212</v>
      </c>
      <c r="N79" s="165"/>
      <c r="O79" s="129"/>
      <c r="P79" s="130"/>
    </row>
    <row r="80" spans="1:16" x14ac:dyDescent="0.25">
      <c r="A80" s="130"/>
      <c r="B80" s="306">
        <v>2017</v>
      </c>
      <c r="C80" s="116"/>
      <c r="D80" s="116"/>
      <c r="E80" s="116">
        <v>0</v>
      </c>
      <c r="F80" s="115">
        <v>0.2999</v>
      </c>
      <c r="G80" s="115">
        <v>0.2999</v>
      </c>
      <c r="H80" s="117"/>
      <c r="I80" s="115">
        <v>0.60001000000000004</v>
      </c>
      <c r="J80" s="167">
        <v>0.60001000000000004</v>
      </c>
      <c r="K80" s="129"/>
      <c r="L80" s="155" t="s">
        <v>212</v>
      </c>
      <c r="M80" s="155" t="s">
        <v>212</v>
      </c>
      <c r="N80" s="165"/>
      <c r="O80" s="129"/>
      <c r="P80" s="130"/>
    </row>
    <row r="81" spans="1:16" x14ac:dyDescent="0.25">
      <c r="A81" s="130"/>
      <c r="B81" s="306"/>
      <c r="C81" s="116"/>
      <c r="D81" s="116"/>
      <c r="E81" s="116"/>
      <c r="F81" s="115"/>
      <c r="G81" s="115"/>
      <c r="H81" s="117"/>
      <c r="I81" s="115"/>
      <c r="J81" s="167"/>
      <c r="K81" s="129"/>
      <c r="L81" s="155"/>
      <c r="M81" s="155"/>
      <c r="N81" s="165"/>
      <c r="O81" s="129"/>
      <c r="P81" s="130"/>
    </row>
    <row r="82" spans="1:16" x14ac:dyDescent="0.25">
      <c r="F82" s="148"/>
      <c r="G82" s="147"/>
      <c r="I82" s="31"/>
    </row>
  </sheetData>
  <mergeCells count="4">
    <mergeCell ref="B13:B14"/>
    <mergeCell ref="C13:C14"/>
    <mergeCell ref="D13:D14"/>
    <mergeCell ref="E13:E14"/>
  </mergeCells>
  <phoneticPr fontId="36" type="noConversion"/>
  <pageMargins left="0.31496062992125984" right="0.11811023622047245" top="0.39370078740157483" bottom="0.3937007874015748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35"/>
  <sheetViews>
    <sheetView showGridLines="0" zoomScaleNormal="100" zoomScaleSheetLayoutView="100" workbookViewId="0">
      <selection activeCell="I11" sqref="I11"/>
    </sheetView>
  </sheetViews>
  <sheetFormatPr defaultColWidth="11.42578125" defaultRowHeight="15" x14ac:dyDescent="0.25"/>
  <cols>
    <col min="1" max="1" width="3.85546875" style="68" customWidth="1"/>
    <col min="2" max="2" width="5" style="68" customWidth="1"/>
    <col min="3" max="3" width="14.5703125" style="68" customWidth="1"/>
    <col min="4" max="4" width="9.42578125" style="68" customWidth="1"/>
    <col min="5" max="5" width="10.7109375" style="68" customWidth="1"/>
    <col min="6" max="6" width="4.42578125" style="68" customWidth="1"/>
    <col min="7" max="7" width="3.42578125" style="68" customWidth="1"/>
    <col min="8" max="8" width="8.7109375" style="68" customWidth="1"/>
    <col min="9" max="9" width="20.7109375" style="68" customWidth="1"/>
    <col min="10" max="10" width="15.7109375" style="68" customWidth="1"/>
    <col min="11" max="11" width="6.28515625" style="68" customWidth="1"/>
    <col min="12" max="12" width="15.7109375" style="68" customWidth="1"/>
    <col min="13" max="13" width="7.7109375" style="68" customWidth="1"/>
    <col min="14" max="14" width="11.5703125" style="68" customWidth="1"/>
    <col min="15" max="15" width="8" style="68" customWidth="1"/>
    <col min="16" max="16" width="8.7109375" style="68" customWidth="1"/>
    <col min="17" max="17" width="61.28515625" style="68" customWidth="1"/>
    <col min="18" max="18" width="55.5703125" style="68" customWidth="1"/>
    <col min="19" max="19" width="9.140625" style="68" hidden="1" customWidth="1"/>
    <col min="20" max="257" width="9.140625" style="68" customWidth="1"/>
    <col min="258" max="16384" width="11.42578125" style="68"/>
  </cols>
  <sheetData>
    <row r="1" spans="1:19" s="14" customFormat="1" ht="9.9499999999999993" customHeight="1" x14ac:dyDescent="0.2"/>
    <row r="2" spans="1:19" s="14" customFormat="1" ht="12.95" customHeight="1" x14ac:dyDescent="0.2">
      <c r="A2" s="353" t="str">
        <f>'Basic Data'!A2</f>
        <v>Annex CR Version J2.1 (Audit year 2026 / Indicator year 2025)</v>
      </c>
    </row>
    <row r="3" spans="1:19" s="14" customFormat="1" ht="16.5" customHeight="1" x14ac:dyDescent="0.25">
      <c r="A3" s="73" t="s">
        <v>739</v>
      </c>
    </row>
    <row r="4" spans="1:19" s="14" customFormat="1" ht="15.75" customHeight="1" x14ac:dyDescent="0.2"/>
    <row r="5" spans="1:19" s="13" customFormat="1" ht="6.95" customHeight="1" x14ac:dyDescent="0.2">
      <c r="A5" s="6"/>
      <c r="B5" s="6"/>
      <c r="C5" s="21"/>
      <c r="D5" s="67"/>
      <c r="E5" s="67"/>
      <c r="F5" s="67"/>
      <c r="G5" s="67"/>
      <c r="H5" s="67"/>
      <c r="I5" s="67"/>
      <c r="J5" s="67"/>
      <c r="K5" s="67"/>
      <c r="L5" s="67"/>
      <c r="M5" s="67"/>
      <c r="N5" s="67"/>
      <c r="O5" s="67"/>
      <c r="P5" s="67"/>
      <c r="Q5" s="69"/>
      <c r="R5" s="69"/>
      <c r="S5" s="17"/>
    </row>
    <row r="6" spans="1:19" s="13" customFormat="1" ht="15" customHeight="1" x14ac:dyDescent="0.25">
      <c r="A6" s="319" t="s">
        <v>741</v>
      </c>
      <c r="B6" s="25"/>
      <c r="C6" s="613" t="str">
        <f>IF('Basic Data'!B7=0,"",'Basic Data'!B7)</f>
        <v/>
      </c>
      <c r="D6" s="614"/>
      <c r="E6" s="325" t="s">
        <v>740</v>
      </c>
      <c r="F6" s="634" t="str">
        <f>IF('Basic Data'!B9=0,"",'Basic Data'!B9)</f>
        <v/>
      </c>
      <c r="G6" s="635"/>
      <c r="H6" s="635"/>
      <c r="I6" s="635"/>
      <c r="J6" s="635"/>
      <c r="K6" s="635"/>
      <c r="L6" s="635"/>
      <c r="M6" s="635"/>
      <c r="N6" s="635"/>
      <c r="O6" s="636"/>
      <c r="Q6" s="69"/>
      <c r="R6" s="69"/>
      <c r="S6" s="17"/>
    </row>
    <row r="7" spans="1:19" ht="5.25" customHeight="1" x14ac:dyDescent="0.25"/>
    <row r="8" spans="1:19" ht="41.25" customHeight="1" thickBot="1" x14ac:dyDescent="0.3">
      <c r="A8" s="615" t="s">
        <v>980</v>
      </c>
      <c r="B8" s="616"/>
      <c r="C8" s="616"/>
      <c r="D8" s="616"/>
      <c r="E8" s="616"/>
      <c r="F8" s="616"/>
      <c r="G8" s="616"/>
      <c r="H8" s="617"/>
      <c r="I8" s="617"/>
      <c r="J8" s="617"/>
      <c r="K8" s="617"/>
      <c r="L8" s="617"/>
      <c r="M8" s="617"/>
      <c r="N8" s="617"/>
      <c r="O8" s="617"/>
      <c r="P8" s="617"/>
    </row>
    <row r="9" spans="1:19" ht="19.5" customHeight="1" thickBot="1" x14ac:dyDescent="0.3">
      <c r="A9" s="618" t="s">
        <v>766</v>
      </c>
      <c r="B9" s="618" t="s">
        <v>742</v>
      </c>
      <c r="C9" s="618" t="s">
        <v>743</v>
      </c>
      <c r="D9" s="620" t="s">
        <v>744</v>
      </c>
      <c r="E9" s="621"/>
      <c r="F9" s="624" t="s">
        <v>745</v>
      </c>
      <c r="G9" s="625"/>
      <c r="H9" s="620" t="s">
        <v>746</v>
      </c>
      <c r="I9" s="628"/>
      <c r="J9" s="628"/>
      <c r="K9" s="629"/>
      <c r="L9" s="630"/>
      <c r="M9" s="618" t="s">
        <v>747</v>
      </c>
      <c r="N9" s="618" t="s">
        <v>928</v>
      </c>
      <c r="O9" s="618" t="s">
        <v>940</v>
      </c>
      <c r="P9" s="618" t="s">
        <v>749</v>
      </c>
      <c r="Q9" s="608" t="s">
        <v>750</v>
      </c>
      <c r="R9" s="609"/>
    </row>
    <row r="10" spans="1:19" ht="33" customHeight="1" thickBot="1" x14ac:dyDescent="0.3">
      <c r="A10" s="619"/>
      <c r="B10" s="619"/>
      <c r="C10" s="619"/>
      <c r="D10" s="622"/>
      <c r="E10" s="623"/>
      <c r="F10" s="626"/>
      <c r="G10" s="627"/>
      <c r="H10" s="495"/>
      <c r="I10" s="410" t="s">
        <v>751</v>
      </c>
      <c r="J10" s="410" t="s">
        <v>752</v>
      </c>
      <c r="K10" s="411" t="s">
        <v>753</v>
      </c>
      <c r="L10" s="410" t="s">
        <v>754</v>
      </c>
      <c r="M10" s="631"/>
      <c r="N10" s="632"/>
      <c r="O10" s="633"/>
      <c r="P10" s="602"/>
      <c r="Q10" s="441" t="s">
        <v>929</v>
      </c>
      <c r="R10" s="441" t="s">
        <v>930</v>
      </c>
    </row>
    <row r="11" spans="1:19" s="14" customFormat="1" ht="26.1" customHeight="1" thickBot="1" x14ac:dyDescent="0.25">
      <c r="A11" s="577" t="str">
        <f>'Indicator sheet_(IS)'!A37</f>
        <v>8a</v>
      </c>
      <c r="B11" s="580" t="s">
        <v>241</v>
      </c>
      <c r="C11" s="583" t="str">
        <f>'Indicator sheet_(IS)'!C37</f>
        <v xml:space="preserve">Flexible bronchoscopy </v>
      </c>
      <c r="D11" s="583" t="str">
        <f>'Indicator sheet_(IS)'!F37</f>
        <v>Flexible bronchoscopies for each service provider</v>
      </c>
      <c r="E11" s="586"/>
      <c r="F11" s="589" t="str">
        <f>'Indicator sheet_(IS)'!K37</f>
        <v>≥ 500</v>
      </c>
      <c r="G11" s="590"/>
      <c r="H11" s="413" t="s">
        <v>1043</v>
      </c>
      <c r="I11" s="414"/>
      <c r="J11" s="414"/>
      <c r="K11" s="301"/>
      <c r="L11" s="414"/>
      <c r="M11" s="74"/>
      <c r="N11" s="440" t="str">
        <f>IF(COUNTIF(I11:M11,"")&gt;0,Berechnung1!$F$5,IF(OR(M11&lt; Berechnung1!$E$54,M11&gt; Berechnung1!$F$54),Berechnung1!$G$5,IF(OR(ROUND(M11,4)&lt;Berechnung1!$J$54,ROUND(M11,4)&gt;Berechnung1!$K$54),Berechnung1!$D$5,IF(OR(ROUND(M11,4)&lt;Berechnung1!$G$54,ROUND(M11,4)&gt;Berechnung1!$H$54),Berechnung1!$E$5,Berechnung1!$C$5))))</f>
        <v>Incomplete</v>
      </c>
      <c r="O11" s="577" t="str">
        <f>IF(SUM(Expertise_Lung!M11:M14)=0,"",SUM(Expertise_Lung!M11:M14))</f>
        <v/>
      </c>
      <c r="P11" s="574" t="str">
        <f>IF(O11="",Berechnung1!$F$5, IF(O11=0,Berechnung1!$D$5,IF(OR(O11&lt; Berechnung1!E54,O11&gt; Berechnung1!F54),Berechnung1!$G$5,IF(OR(ROUND(O11,4)&lt;Berechnung1!J54,ROUND(O11,4)&gt;Berechnung1!K54),Berechnung1!$D$5,IF(OR(ROUND(O11,4)&lt;Berechnung1!G54,ROUND(O11,4)&gt;Berechnung1!H54),Berechnung1!$E$5,Berechnung1!$C$5)))))</f>
        <v>Incomplete</v>
      </c>
      <c r="Q11" s="473"/>
      <c r="R11" s="473"/>
      <c r="S11" s="473" t="s">
        <v>981</v>
      </c>
    </row>
    <row r="12" spans="1:19" s="14" customFormat="1" ht="26.1" customHeight="1" thickBot="1" x14ac:dyDescent="0.25">
      <c r="A12" s="578"/>
      <c r="B12" s="581"/>
      <c r="C12" s="584"/>
      <c r="D12" s="584"/>
      <c r="E12" s="587"/>
      <c r="F12" s="591"/>
      <c r="G12" s="592"/>
      <c r="H12" s="413" t="s">
        <v>1044</v>
      </c>
      <c r="I12" s="75"/>
      <c r="J12" s="75"/>
      <c r="K12" s="302"/>
      <c r="L12" s="75"/>
      <c r="M12" s="74"/>
      <c r="N12" s="120" t="str">
        <f>IF(COUNTIF(I12:M12,"")=5,"",IF(COUNTIF(I12:M12,"")&gt;0,Berechnung1!$F$5,IF(OR(M12&lt;Berechnung1!$E$54,M12&gt;Berechnung1!$F$54),Berechnung1!$G$5,IF(OR(ROUND(M12,4)&lt;Berechnung1!$J$54,ROUND(M12,4)&gt;Berechnung1!$K$54),Berechnung1!$D$5,IF(OR(ROUND(M12,4)&lt;Berechnung1!$G$54,ROUND(M12,4)&gt;Berechnung1!$H$54),Berechnung1!$E$5,Berechnung1!$C$5)))))</f>
        <v/>
      </c>
      <c r="O12" s="578"/>
      <c r="P12" s="575"/>
      <c r="Q12" s="473"/>
      <c r="R12" s="473"/>
    </row>
    <row r="13" spans="1:19" s="14" customFormat="1" ht="26.1" customHeight="1" thickBot="1" x14ac:dyDescent="0.25">
      <c r="A13" s="578"/>
      <c r="B13" s="581"/>
      <c r="C13" s="584"/>
      <c r="D13" s="584"/>
      <c r="E13" s="587"/>
      <c r="F13" s="591"/>
      <c r="G13" s="592"/>
      <c r="H13" s="413" t="s">
        <v>1045</v>
      </c>
      <c r="I13" s="75"/>
      <c r="J13" s="75"/>
      <c r="K13" s="302"/>
      <c r="L13" s="75"/>
      <c r="M13" s="74"/>
      <c r="N13" s="120" t="str">
        <f>IF(COUNTIF(I13:M13,"")=5,"",IF(COUNTIF(I13:M13,"")&gt;0,Berechnung1!$F$5,IF(OR(M13&lt;Berechnung1!$E$54,M13&gt;Berechnung1!$F$54),Berechnung1!$G$5,IF(OR(ROUND(M13,4)&lt;Berechnung1!$J$54,ROUND(M13,4)&gt;Berechnung1!$K$54),Berechnung1!$D$5,IF(OR(ROUND(M13,4)&lt;Berechnung1!$G$54,ROUND(M13,4)&gt;Berechnung1!$H$54),Berechnung1!$E$5,Berechnung1!$C$5)))))</f>
        <v/>
      </c>
      <c r="O13" s="578"/>
      <c r="P13" s="575"/>
      <c r="Q13" s="473"/>
      <c r="R13" s="473"/>
    </row>
    <row r="14" spans="1:19" s="14" customFormat="1" ht="26.1" customHeight="1" thickBot="1" x14ac:dyDescent="0.25">
      <c r="A14" s="579"/>
      <c r="B14" s="582"/>
      <c r="C14" s="585"/>
      <c r="D14" s="585"/>
      <c r="E14" s="588"/>
      <c r="F14" s="593"/>
      <c r="G14" s="594"/>
      <c r="H14" s="413" t="s">
        <v>1046</v>
      </c>
      <c r="I14" s="75"/>
      <c r="J14" s="75"/>
      <c r="K14" s="302"/>
      <c r="L14" s="75"/>
      <c r="M14" s="74"/>
      <c r="N14" s="120" t="str">
        <f>IF(COUNTIF(I14:M14,"")=5,"",IF(COUNTIF(I14:M14,"")&gt;0,Berechnung1!$F$5,IF(OR(M14&lt;Berechnung1!$E$54,M14&gt;Berechnung1!$F$54),Berechnung1!$G$5,IF(OR(ROUND(M14,4)&lt;Berechnung1!$J$54,ROUND(M14,4)&gt;Berechnung1!$K$54),Berechnung1!$D$5,IF(OR(ROUND(M14,4)&lt;Berechnung1!$G$54,ROUND(M14,4)&gt;Berechnung1!$H$54),Berechnung1!$E$5,Berechnung1!$C$5)))))</f>
        <v/>
      </c>
      <c r="O14" s="579"/>
      <c r="P14" s="576"/>
      <c r="Q14" s="473"/>
      <c r="R14" s="473"/>
    </row>
    <row r="15" spans="1:19" s="14" customFormat="1" ht="26.1" customHeight="1" thickBot="1" x14ac:dyDescent="0.25">
      <c r="A15" s="577" t="str">
        <f>'Indicator sheet_(IS)'!A40</f>
        <v>8b</v>
      </c>
      <c r="B15" s="580"/>
      <c r="C15" s="583" t="str">
        <f>'Indicator sheet_(IS)'!C40</f>
        <v>EBUS with TBNA</v>
      </c>
      <c r="D15" s="583" t="str">
        <f>'Indicator sheet_(IS)'!F40</f>
        <v>Endobronchial ultrasound with TBNA - per service provider</v>
      </c>
      <c r="E15" s="586"/>
      <c r="F15" s="589" t="str">
        <f>'Indicator sheet_(IS)'!K40</f>
        <v>≥ 50</v>
      </c>
      <c r="G15" s="590"/>
      <c r="H15" s="409" t="s">
        <v>1043</v>
      </c>
      <c r="I15" s="275" t="str">
        <f>IF(I11="","",I11)</f>
        <v/>
      </c>
      <c r="J15" s="275" t="str">
        <f>IF(J11="","",J11)</f>
        <v/>
      </c>
      <c r="K15" s="275" t="str">
        <f t="shared" ref="K15:L15" si="0">IF(K11="","",K11)</f>
        <v/>
      </c>
      <c r="L15" s="275" t="str">
        <f t="shared" si="0"/>
        <v/>
      </c>
      <c r="M15" s="74"/>
      <c r="N15" s="120" t="str">
        <f>IF(COUNTIF(I15:M15,"")&gt;0,Berechnung1!$F$5,IF(OR(M15&lt; Berechnung1!$E$57,M15&gt; Berechnung1!$F$57),Berechnung1!$G$5,IF(OR(ROUND(M15,4)&lt;Berechnung1!$J$57,ROUND(M15,4)&gt;Berechnung1!$K$57),Berechnung1!$D$5,IF(OR(ROUND(M15,4)&lt;Berechnung1!$G$57,ROUND(M15,4)&gt;Berechnung1!$H$57),Berechnung1!$E$5,Berechnung1!$C$5))))</f>
        <v>Incomplete</v>
      </c>
      <c r="O15" s="577" t="str">
        <f>IF(SUM(Expertise_Lung!M15:M18)=0,"",SUM(Expertise_Lung!M15:M18))</f>
        <v/>
      </c>
      <c r="P15" s="574" t="str">
        <f>IF(O15="",Berechnung1!$F$5, IF(O15=0,Berechnung1!$D$5,IF(OR(O15&lt; Berechnung1!E57,O15&gt; Berechnung1!F57),Berechnung1!$G$5,IF(OR(ROUND(O15,4)&lt;Berechnung1!J57,ROUND(O15,4)&gt;Berechnung1!K57),Berechnung1!$D$5,IF(OR(ROUND(O15,4)&lt;Berechnung1!G57,ROUND(O15,4)&gt;Berechnung1!H57),Berechnung1!$E$5,Berechnung1!$C$5)))))</f>
        <v>Incomplete</v>
      </c>
      <c r="Q15" s="473"/>
      <c r="R15" s="473"/>
    </row>
    <row r="16" spans="1:19" s="14" customFormat="1" ht="26.1" customHeight="1" thickBot="1" x14ac:dyDescent="0.25">
      <c r="A16" s="578"/>
      <c r="B16" s="581"/>
      <c r="C16" s="584"/>
      <c r="D16" s="584"/>
      <c r="E16" s="587"/>
      <c r="F16" s="591"/>
      <c r="G16" s="592"/>
      <c r="H16" s="413" t="s">
        <v>1044</v>
      </c>
      <c r="I16" s="275" t="str">
        <f t="shared" ref="I16:L18" si="1">IF(I12="","",I12)</f>
        <v/>
      </c>
      <c r="J16" s="275" t="str">
        <f t="shared" si="1"/>
        <v/>
      </c>
      <c r="K16" s="275" t="str">
        <f t="shared" si="1"/>
        <v/>
      </c>
      <c r="L16" s="275" t="str">
        <f t="shared" si="1"/>
        <v/>
      </c>
      <c r="M16" s="74"/>
      <c r="N16" s="120" t="str">
        <f>IF(COUNTIF(I16:M16,"")=5,"",IF(COUNTIF(I16:M16,"")&gt;0,Berechnung1!$F$5,IF(OR(M16&lt;Berechnung1!$E$57,M16&gt;Berechnung1!$F$57),Berechnung1!$G$5,IF(OR(ROUND(M16,4)&lt;Berechnung1!$J$57,ROUND(M16,4)&gt;Berechnung1!$K$57),Berechnung1!$D$5,IF(OR(ROUND(M16,4)&lt;Berechnung1!$G$57,ROUND(M16,4)&gt;Berechnung1!$H$57),Berechnung1!$E$5,Berechnung1!$C$5)))))</f>
        <v/>
      </c>
      <c r="O16" s="578"/>
      <c r="P16" s="575"/>
      <c r="Q16" s="473"/>
      <c r="R16" s="473"/>
    </row>
    <row r="17" spans="1:18" s="14" customFormat="1" ht="25.5" customHeight="1" thickBot="1" x14ac:dyDescent="0.25">
      <c r="A17" s="578"/>
      <c r="B17" s="581"/>
      <c r="C17" s="584"/>
      <c r="D17" s="584"/>
      <c r="E17" s="587"/>
      <c r="F17" s="591"/>
      <c r="G17" s="592"/>
      <c r="H17" s="413" t="s">
        <v>1045</v>
      </c>
      <c r="I17" s="275" t="str">
        <f t="shared" si="1"/>
        <v/>
      </c>
      <c r="J17" s="275" t="str">
        <f t="shared" si="1"/>
        <v/>
      </c>
      <c r="K17" s="275" t="str">
        <f t="shared" si="1"/>
        <v/>
      </c>
      <c r="L17" s="275" t="str">
        <f t="shared" si="1"/>
        <v/>
      </c>
      <c r="M17" s="74"/>
      <c r="N17" s="120" t="str">
        <f>IF(COUNTIF(I17:M17,"")=5,"",IF(COUNTIF(I17:M17,"")&gt;0,Berechnung1!$F$5,IF(OR(M17&lt;Berechnung1!$E$57,M17&gt;Berechnung1!$F$57),Berechnung1!$G$5,IF(OR(ROUND(M17,4)&lt;Berechnung1!$J$57,ROUND(M17,4)&gt;Berechnung1!$K$57),Berechnung1!$D$5,IF(OR(ROUND(M17,4)&lt;Berechnung1!$G$57,ROUND(M17,4)&gt;Berechnung1!$H$57),Berechnung1!$E$5,Berechnung1!$C$5)))))</f>
        <v/>
      </c>
      <c r="O17" s="578"/>
      <c r="P17" s="575"/>
      <c r="Q17" s="473"/>
      <c r="R17" s="473"/>
    </row>
    <row r="18" spans="1:18" s="14" customFormat="1" ht="26.1" customHeight="1" thickBot="1" x14ac:dyDescent="0.25">
      <c r="A18" s="579"/>
      <c r="B18" s="582"/>
      <c r="C18" s="585"/>
      <c r="D18" s="585"/>
      <c r="E18" s="588"/>
      <c r="F18" s="593"/>
      <c r="G18" s="594"/>
      <c r="H18" s="413" t="s">
        <v>1046</v>
      </c>
      <c r="I18" s="275" t="str">
        <f t="shared" si="1"/>
        <v/>
      </c>
      <c r="J18" s="275" t="str">
        <f t="shared" si="1"/>
        <v/>
      </c>
      <c r="K18" s="275" t="str">
        <f t="shared" si="1"/>
        <v/>
      </c>
      <c r="L18" s="275" t="str">
        <f t="shared" si="1"/>
        <v/>
      </c>
      <c r="M18" s="74"/>
      <c r="N18" s="120" t="str">
        <f>IF(COUNTIF(I18:M18,"")=5,"",IF(COUNTIF(I18:M18,"")&gt;0,Berechnung1!$F$5,IF(OR(M18&lt;Berechnung1!$E$57,M18&gt;Berechnung1!$F$57),Berechnung1!$G$5,IF(OR(ROUND(M18,4)&lt;Berechnung1!$J$57,ROUND(M18,4)&gt;Berechnung1!$K$57),Berechnung1!$D$5,IF(OR(ROUND(M18,4)&lt;Berechnung1!$G$57,ROUND(M18,4)&gt;Berechnung1!$H$57),Berechnung1!$E$5,Berechnung1!$C$5)))))</f>
        <v/>
      </c>
      <c r="O18" s="579"/>
      <c r="P18" s="576"/>
      <c r="Q18" s="473"/>
      <c r="R18" s="473"/>
    </row>
    <row r="19" spans="1:18" s="14" customFormat="1" ht="34.5" customHeight="1" thickBot="1" x14ac:dyDescent="0.25">
      <c r="A19" s="577">
        <f>'Indicator sheet_(IS)'!A43</f>
        <v>9</v>
      </c>
      <c r="B19" s="580" t="s">
        <v>241</v>
      </c>
      <c r="C19" s="583" t="str">
        <f>'Indicator sheet_(IS)'!C43</f>
        <v>Interventional bronchoscopy (thermal procedures and stenting)</v>
      </c>
      <c r="D19" s="583" t="s">
        <v>1036</v>
      </c>
      <c r="E19" s="586"/>
      <c r="F19" s="604" t="str">
        <f>'Indicator sheet_(IS)'!K43</f>
        <v>≥ 10</v>
      </c>
      <c r="G19" s="605"/>
      <c r="H19" s="413" t="s">
        <v>1043</v>
      </c>
      <c r="I19" s="275" t="str">
        <f t="shared" ref="I19:L21" si="2">IF(I11="","",I11)</f>
        <v/>
      </c>
      <c r="J19" s="275" t="str">
        <f t="shared" si="2"/>
        <v/>
      </c>
      <c r="K19" s="1" t="str">
        <f t="shared" si="2"/>
        <v/>
      </c>
      <c r="L19" s="275" t="str">
        <f t="shared" si="2"/>
        <v/>
      </c>
      <c r="M19" s="74"/>
      <c r="N19" s="440" t="str">
        <f>IF(COUNTIF(I19:M19,"")&gt;0,Berechnung1!$F$5, IF(OR(M19&lt; Berechnung1!$E$60,M19&gt; Berechnung1!$F$60),Berechnung1!$G$5,IF(OR(ROUND(M19,4)&lt;Berechnung1!$J$60,ROUND(M19,4)&gt;Berechnung1!$K$60),Berechnung1!$D$5,IF(OR(ROUND(M19,4)&lt;Berechnung1!$G$60,ROUND(M19,4)&gt;Berechnung1!$H$60),Berechnung1!$E$5,Berechnung1!$C$5))))</f>
        <v>Incomplete</v>
      </c>
      <c r="O19" s="577" t="str">
        <f>IF(SUM(Expertise_Lung!M19:M22)=0,"",SUM(Expertise_Lung!M19:M22))</f>
        <v/>
      </c>
      <c r="P19" s="574" t="str">
        <f>IF(O19="",Berechnung1!$F$5, IF(O19=0,Berechnung1!$D$5,IF(OR(O19&lt; Berechnung1!E60,O19&gt; Berechnung1!F60),Berechnung1!$G$5,IF(OR(ROUND(O19,4)&lt;Berechnung1!J60,ROUND(O19,4)&gt;Berechnung1!K60),Berechnung1!$D$5,IF(OR(ROUND(O19,4)&lt;Berechnung1!G60,ROUND(O19,4)&gt;Berechnung1!H60),Berechnung1!$E$5,Berechnung1!$C$5)))))</f>
        <v>Incomplete</v>
      </c>
      <c r="Q19" s="473"/>
      <c r="R19" s="473"/>
    </row>
    <row r="20" spans="1:18" s="14" customFormat="1" ht="34.5" customHeight="1" thickBot="1" x14ac:dyDescent="0.25">
      <c r="A20" s="602"/>
      <c r="B20" s="603"/>
      <c r="C20" s="584"/>
      <c r="D20" s="584"/>
      <c r="E20" s="587"/>
      <c r="F20" s="606"/>
      <c r="G20" s="607"/>
      <c r="H20" s="413" t="s">
        <v>1044</v>
      </c>
      <c r="I20" s="275" t="str">
        <f t="shared" si="2"/>
        <v/>
      </c>
      <c r="J20" s="275" t="str">
        <f t="shared" si="2"/>
        <v/>
      </c>
      <c r="K20" s="1" t="str">
        <f t="shared" si="2"/>
        <v/>
      </c>
      <c r="L20" s="275" t="str">
        <f t="shared" si="2"/>
        <v/>
      </c>
      <c r="M20" s="74"/>
      <c r="N20" s="120" t="str">
        <f>IF(COUNTIF(I20:M20,"")=5,"",IF(COUNTIF(I20:M20,"")&gt;0,Berechnung1!$F$5, IF(OR(M20&lt; Berechnung1!$E$60,M20&gt; Berechnung1!$F$60),Berechnung1!$G$5,IF(OR(ROUND(M20,4)&lt;Berechnung1!$J$60,ROUND(M20,4)&gt;Berechnung1!$K$60),Berechnung1!$D$5,IF(OR(ROUND(M20,4)&lt;Berechnung1!$G$60,ROUND(M20,4)&gt;Berechnung1!$H$60),Berechnung1!$E$5,Berechnung1!$C$5)))))</f>
        <v/>
      </c>
      <c r="O20" s="578"/>
      <c r="P20" s="575"/>
      <c r="Q20" s="473"/>
      <c r="R20" s="473"/>
    </row>
    <row r="21" spans="1:18" s="14" customFormat="1" ht="34.5" customHeight="1" thickBot="1" x14ac:dyDescent="0.25">
      <c r="A21" s="602"/>
      <c r="B21" s="603"/>
      <c r="C21" s="584"/>
      <c r="D21" s="584"/>
      <c r="E21" s="587"/>
      <c r="F21" s="606"/>
      <c r="G21" s="607"/>
      <c r="H21" s="413" t="s">
        <v>1045</v>
      </c>
      <c r="I21" s="275" t="str">
        <f t="shared" si="2"/>
        <v/>
      </c>
      <c r="J21" s="275" t="str">
        <f t="shared" si="2"/>
        <v/>
      </c>
      <c r="K21" s="1" t="str">
        <f t="shared" si="2"/>
        <v/>
      </c>
      <c r="L21" s="275" t="str">
        <f t="shared" si="2"/>
        <v/>
      </c>
      <c r="M21" s="74"/>
      <c r="N21" s="120" t="str">
        <f>IF(COUNTIF(I21:M21,"")=5,"",IF(COUNTIF(I21:M21,"")&gt;0,Berechnung1!$F$5, IF(OR(M21&lt; Berechnung1!$E$60,M21&gt; Berechnung1!$F$60),Berechnung1!$G$5,IF(OR(ROUND(M21,4)&lt;Berechnung1!$J$60,ROUND(M21,4)&gt;Berechnung1!$K$60),Berechnung1!$D$5,IF(OR(ROUND(M21,4)&lt;Berechnung1!$G$60,ROUND(M21,4)&gt;Berechnung1!$H$60),Berechnung1!$E$5,Berechnung1!$C$5)))))</f>
        <v/>
      </c>
      <c r="O21" s="578"/>
      <c r="P21" s="575"/>
      <c r="Q21" s="473"/>
      <c r="R21" s="473"/>
    </row>
    <row r="22" spans="1:18" s="14" customFormat="1" ht="34.5" customHeight="1" thickBot="1" x14ac:dyDescent="0.25">
      <c r="A22" s="602"/>
      <c r="B22" s="603"/>
      <c r="C22" s="584"/>
      <c r="D22" s="584"/>
      <c r="E22" s="587"/>
      <c r="F22" s="606"/>
      <c r="G22" s="607"/>
      <c r="H22" s="413" t="s">
        <v>1046</v>
      </c>
      <c r="I22" s="275" t="str">
        <f t="shared" ref="I22:L22" si="3">IF(I14="","",I14)</f>
        <v/>
      </c>
      <c r="J22" s="275" t="str">
        <f t="shared" si="3"/>
        <v/>
      </c>
      <c r="K22" s="1" t="str">
        <f t="shared" si="3"/>
        <v/>
      </c>
      <c r="L22" s="275" t="str">
        <f t="shared" si="3"/>
        <v/>
      </c>
      <c r="M22" s="74"/>
      <c r="N22" s="120" t="str">
        <f>IF(COUNTIF(I22:M22,"")=5,"",IF(COUNTIF(I22:M22,"")&gt;0,Berechnung1!$F$5, IF(OR(M22&lt; Berechnung1!$E$60,M22&gt; Berechnung1!$F$60),Berechnung1!$G$5,IF(OR(ROUND(M22,4)&lt;Berechnung1!$J$60,ROUND(M22,4)&gt;Berechnung1!$K$60),Berechnung1!$D$5,IF(OR(ROUND(M22,4)&lt;Berechnung1!$G$60,ROUND(M22,4)&gt;Berechnung1!$H$60),Berechnung1!$E$5,Berechnung1!$C$5)))))</f>
        <v/>
      </c>
      <c r="O22" s="579"/>
      <c r="P22" s="576"/>
      <c r="Q22" s="473"/>
      <c r="R22" s="473"/>
    </row>
    <row r="23" spans="1:18" s="14" customFormat="1" ht="28.5" customHeight="1" thickBot="1" x14ac:dyDescent="0.25">
      <c r="A23" s="577">
        <f>'Indicator sheet_(IS)'!A73</f>
        <v>18</v>
      </c>
      <c r="B23" s="580" t="s">
        <v>436</v>
      </c>
      <c r="C23" s="583" t="str">
        <f>'Indicator sheet_(IS)'!C73</f>
        <v>Thoracic radiotherapy</v>
      </c>
      <c r="D23" s="583" t="str">
        <f>'Indicator sheet_(IS)'!F73</f>
        <v>Number of patients with lung cancer and thoracic radiotherapy as primary treatment* (no restriction to primary cases of the center)
* first time thoracic radiotherapy</v>
      </c>
      <c r="E23" s="586"/>
      <c r="F23" s="589" t="str">
        <f>'Indicator sheet_(IS)'!K73</f>
        <v>≥ 50</v>
      </c>
      <c r="G23" s="590"/>
      <c r="H23" s="413" t="s">
        <v>982</v>
      </c>
      <c r="I23" s="414"/>
      <c r="J23" s="414"/>
      <c r="K23" s="475"/>
      <c r="L23" s="414"/>
      <c r="M23" s="74"/>
      <c r="N23" s="440" t="str">
        <f>IF(COUNTIF(I23:M23,"")&gt;0,Berechnung1!$F$5, IF(OR(M23&lt; Berechnung1!$E$90,M23&gt; Berechnung1!$F$90),Berechnung1!$G$5,IF(OR(ROUND(M23,4)&lt;Berechnung1!$J$90,ROUND(M23,4)&gt;Berechnung1!$K$90),Berechnung1!$D$5,IF(OR(ROUND(M23,4)&lt;Berechnung1!$G$90,ROUND(M23,4)&gt;Berechnung1!$H$90),Berechnung1!$E$5,Berechnung1!$C$5))))</f>
        <v>Incomplete</v>
      </c>
      <c r="O23" s="577" t="str">
        <f>IF(SUM(Expertise_Lung!M23:M26)=0,"",SUM(Expertise_Lung!M23:M26))</f>
        <v/>
      </c>
      <c r="P23" s="574" t="str">
        <f>IF(O23="",Berechnung1!$F$5, IF(O23=0,Berechnung1!$D$5,IF(OR(O23&lt; Berechnung1!E90,O23&gt; Berechnung1!F60),Berechnung1!$G$5,IF(OR(ROUND(O23,4)&lt;Berechnung1!J90,ROUND(O23,4)&gt;Berechnung1!K90),Berechnung1!$D$5,IF(OR(ROUND(O23,4)&lt;Berechnung1!G90,ROUND(O23,4)&gt;Berechnung1!H90),Berechnung1!$E$5,Berechnung1!$C$5)))))</f>
        <v>Incomplete</v>
      </c>
      <c r="Q23" s="473"/>
      <c r="R23" s="473"/>
    </row>
    <row r="24" spans="1:18" s="14" customFormat="1" ht="28.5" customHeight="1" thickBot="1" x14ac:dyDescent="0.25">
      <c r="A24" s="578"/>
      <c r="B24" s="581"/>
      <c r="C24" s="600"/>
      <c r="D24" s="600"/>
      <c r="E24" s="587"/>
      <c r="F24" s="601"/>
      <c r="G24" s="592"/>
      <c r="H24" s="413" t="s">
        <v>983</v>
      </c>
      <c r="I24" s="75"/>
      <c r="J24" s="75"/>
      <c r="K24" s="302"/>
      <c r="L24" s="75"/>
      <c r="M24" s="74"/>
      <c r="N24" s="120" t="str">
        <f>IF(COUNTIF(I24:M24,"")=5,"",IF(COUNTIF(I24:M24,"")&gt;0,Berechnung1!$F$5,IF(OR(M24&lt; Berechnung1!$E$90,M24&gt; Berechnung1!$F$90),Berechnung1!$G$5,IF(OR(ROUND(M24,4)&lt;Berechnung1!$J$90,ROUND(M24,4)&gt;Berechnung1!$K$90),Berechnung1!$D$5,IF(OR(ROUND(M24,4)&lt;Berechnung1!$G$90,ROUND(M24,4)&gt;Berechnung1!$H$90),Berechnung1!$E$5,Berechnung1!$C$5)))))</f>
        <v/>
      </c>
      <c r="O24" s="578"/>
      <c r="P24" s="575"/>
      <c r="Q24" s="473"/>
      <c r="R24" s="473"/>
    </row>
    <row r="25" spans="1:18" s="14" customFormat="1" ht="28.5" customHeight="1" thickBot="1" x14ac:dyDescent="0.25">
      <c r="A25" s="578"/>
      <c r="B25" s="581"/>
      <c r="C25" s="600"/>
      <c r="D25" s="600"/>
      <c r="E25" s="587"/>
      <c r="F25" s="601"/>
      <c r="G25" s="592"/>
      <c r="H25" s="413" t="s">
        <v>984</v>
      </c>
      <c r="I25" s="75"/>
      <c r="J25" s="75"/>
      <c r="K25" s="302"/>
      <c r="L25" s="75"/>
      <c r="M25" s="74"/>
      <c r="N25" s="120" t="str">
        <f>IF(COUNTIF(I25:M25,"")=5,"",IF(COUNTIF(I25:M25,"")&gt;0,Berechnung1!$F$5,IF(OR(M25&lt; Berechnung1!$E$90,M25&gt; Berechnung1!$F$90),Berechnung1!$G$5,IF(OR(ROUND(M25,4)&lt;Berechnung1!$J$90,ROUND(M25,4)&gt;Berechnung1!$K$90),Berechnung1!$D$5,IF(OR(ROUND(M25,4)&lt;Berechnung1!$G$90,ROUND(M25,4)&gt;Berechnung1!$H$90),Berechnung1!$E$5,Berechnung1!$C$5)))))</f>
        <v/>
      </c>
      <c r="O25" s="578"/>
      <c r="P25" s="575"/>
      <c r="Q25" s="473"/>
      <c r="R25" s="473"/>
    </row>
    <row r="26" spans="1:18" s="14" customFormat="1" ht="28.5" customHeight="1" thickBot="1" x14ac:dyDescent="0.25">
      <c r="A26" s="598"/>
      <c r="B26" s="599"/>
      <c r="C26" s="585"/>
      <c r="D26" s="585"/>
      <c r="E26" s="588"/>
      <c r="F26" s="593"/>
      <c r="G26" s="594"/>
      <c r="H26" s="413" t="s">
        <v>985</v>
      </c>
      <c r="I26" s="76"/>
      <c r="J26" s="76"/>
      <c r="K26" s="304"/>
      <c r="L26" s="76"/>
      <c r="M26" s="74"/>
      <c r="N26" s="120" t="str">
        <f>IF(COUNTIF(I26:M26,"")=5,"",IF(COUNTIF(I26:M26,"")&gt;0,Berechnung1!$F$5,IF(OR(M26&lt; Berechnung1!$E$90,M26&gt; Berechnung1!$F$90),Berechnung1!$G$5,IF(OR(ROUND(M26,4)&lt;Berechnung1!$J$90,ROUND(M26,4)&gt;Berechnung1!$K$90),Berechnung1!$D$5,IF(OR(ROUND(M26,4)&lt;Berechnung1!$G$90,ROUND(M26,4)&gt;Berechnung1!$H$90),Berechnung1!$E$5,Berechnung1!$C$5)))))</f>
        <v/>
      </c>
      <c r="O26" s="579"/>
      <c r="P26" s="576"/>
      <c r="Q26" s="473"/>
      <c r="R26" s="473"/>
    </row>
    <row r="27" spans="1:18" s="14" customFormat="1" ht="28.5" customHeight="1" thickBot="1" x14ac:dyDescent="0.25">
      <c r="A27" s="577">
        <f>'Indicator sheet_(IS)'!A79</f>
        <v>20</v>
      </c>
      <c r="B27" s="580" t="s">
        <v>437</v>
      </c>
      <c r="C27" s="583" t="str">
        <f>'Indicator sheet_(IS)'!C79</f>
        <v>Pathology reports</v>
      </c>
      <c r="D27" s="583" t="str">
        <f>'Indicator sheet_(IS)'!F79</f>
        <v>Examined malignant lung cases</v>
      </c>
      <c r="E27" s="586"/>
      <c r="F27" s="589" t="str">
        <f>'Indicator sheet_(IS)'!K79</f>
        <v>≥ 200 malignant lung cases 
(for each specialist 100 L.)</v>
      </c>
      <c r="G27" s="590"/>
      <c r="H27" s="413" t="s">
        <v>1039</v>
      </c>
      <c r="I27" s="414"/>
      <c r="J27" s="414"/>
      <c r="K27" s="475"/>
      <c r="L27" s="414"/>
      <c r="M27" s="74"/>
      <c r="N27" s="440" t="str">
        <f>IF(COUNTIF(I27:M27,"")&gt;0,Berechnung1!$F$5, IF(OR(M27&lt; Berechnung1!$E$96,M27&gt; Berechnung1!$F$96),Berechnung1!$G$5,IF(OR(ROUND(M27,4)&lt;Berechnung1!$J$96,ROUND(M27,4)&gt;Berechnung1!$K$96),Berechnung1!$D$5,IF(OR(ROUND(M27,4)&lt;Berechnung1!$G$96,ROUND(M27,4)&gt;Berechnung1!$H$96),Berechnung1!$E$5,Berechnung1!$C$5))))</f>
        <v>Incomplete</v>
      </c>
      <c r="O27" s="577" t="str">
        <f>IF(SUM(Expertise_Lung!M27:M30)=0,"",SUM(Expertise_Lung!M27:M30))</f>
        <v/>
      </c>
      <c r="P27" s="574" t="str">
        <f>IF(O27="",Berechnung1!$F$5, IF(O27=0,Berechnung1!$D$5,IF(OR(O27&lt; Berechnung1!E96,O27&gt; Berechnung1!F96),Berechnung1!$G$5,IF(OR(ROUND(O27,4)&lt;Berechnung1!J96,ROUND(O27,4)&gt;Berechnung1!K96),Berechnung1!$D$5,IF(OR(ROUND(O27,4)&lt;Berechnung1!G96,ROUND(O27,4)&gt;Berechnung1!H96),Berechnung1!$E$5,Berechnung1!$C$5)))))</f>
        <v>Incomplete</v>
      </c>
      <c r="Q27" s="473"/>
      <c r="R27" s="473"/>
    </row>
    <row r="28" spans="1:18" s="14" customFormat="1" ht="28.5" customHeight="1" thickBot="1" x14ac:dyDescent="0.25">
      <c r="A28" s="578"/>
      <c r="B28" s="581"/>
      <c r="C28" s="600"/>
      <c r="D28" s="600"/>
      <c r="E28" s="587"/>
      <c r="F28" s="601"/>
      <c r="G28" s="592"/>
      <c r="H28" s="413" t="s">
        <v>1040</v>
      </c>
      <c r="I28" s="75"/>
      <c r="J28" s="75"/>
      <c r="K28" s="302"/>
      <c r="L28" s="75"/>
      <c r="M28" s="74"/>
      <c r="N28" s="120" t="str">
        <f>IF(COUNTIF(I28:M28,"")=5,"",IF(COUNTIF(I28:M28,"")&gt;0,Berechnung1!$F$5, IF(OR(M28&lt; Berechnung1!$E$96,M28&gt; Berechnung1!$F$96),Berechnung1!$G$5,IF(OR(ROUND(M28,4)&lt;Berechnung1!$J$96,ROUND(M28,4)&gt;Berechnung1!$K$96),Berechnung1!$D$5,IF(OR(ROUND(M28,4)&lt;Berechnung1!$G$96,ROUND(M28,4)&gt;Berechnung1!$H$96),Berechnung1!$E$5,Berechnung1!$C$5)))))</f>
        <v/>
      </c>
      <c r="O28" s="578"/>
      <c r="P28" s="575"/>
      <c r="Q28" s="473"/>
      <c r="R28" s="473"/>
    </row>
    <row r="29" spans="1:18" s="14" customFormat="1" ht="28.5" customHeight="1" thickBot="1" x14ac:dyDescent="0.25">
      <c r="A29" s="578"/>
      <c r="B29" s="581"/>
      <c r="C29" s="600"/>
      <c r="D29" s="600"/>
      <c r="E29" s="587"/>
      <c r="F29" s="601"/>
      <c r="G29" s="592"/>
      <c r="H29" s="413" t="s">
        <v>1041</v>
      </c>
      <c r="I29" s="75"/>
      <c r="J29" s="75"/>
      <c r="K29" s="302"/>
      <c r="L29" s="75"/>
      <c r="M29" s="74"/>
      <c r="N29" s="120" t="str">
        <f>IF(COUNTIF(I29:M29,"")=5,"",IF(COUNTIF(I29:M29,"")&gt;0,Berechnung1!$F$5, IF(OR(M29&lt; Berechnung1!$E$96,M29&gt; Berechnung1!$F$96),Berechnung1!$G$5,IF(OR(ROUND(M29,4)&lt;Berechnung1!$J$96,ROUND(M29,4)&gt;Berechnung1!$K$96),Berechnung1!$D$5,IF(OR(ROUND(M29,4)&lt;Berechnung1!$G$96,ROUND(M29,4)&gt;Berechnung1!$H$96),Berechnung1!$E$5,Berechnung1!$C$5)))))</f>
        <v/>
      </c>
      <c r="O29" s="578"/>
      <c r="P29" s="575"/>
      <c r="Q29" s="473"/>
      <c r="R29" s="473"/>
    </row>
    <row r="30" spans="1:18" s="14" customFormat="1" ht="28.5" customHeight="1" thickBot="1" x14ac:dyDescent="0.25">
      <c r="A30" s="598"/>
      <c r="B30" s="599"/>
      <c r="C30" s="585"/>
      <c r="D30" s="585"/>
      <c r="E30" s="588"/>
      <c r="F30" s="593"/>
      <c r="G30" s="594"/>
      <c r="H30" s="413" t="s">
        <v>1042</v>
      </c>
      <c r="I30" s="76"/>
      <c r="J30" s="76"/>
      <c r="K30" s="304"/>
      <c r="L30" s="76"/>
      <c r="M30" s="74"/>
      <c r="N30" s="120" t="str">
        <f>IF(COUNTIF(I30:M30,"")=5,"",IF(COUNTIF(I30:M30,"")&gt;0,Berechnung1!$F$5, IF(OR(M30&lt; Berechnung1!$E$96,M30&gt; Berechnung1!$F$96),Berechnung1!$G$5,IF(OR(ROUND(M30,4)&lt;Berechnung1!$J$96,ROUND(M30,4)&gt;Berechnung1!$K$96),Berechnung1!$D$5,IF(OR(ROUND(M30,4)&lt;Berechnung1!$G$96,ROUND(M30,4)&gt;Berechnung1!$H$96),Berechnung1!$E$5,Berechnung1!$C$5)))))</f>
        <v/>
      </c>
      <c r="O30" s="579"/>
      <c r="P30" s="576"/>
      <c r="Q30" s="473"/>
      <c r="R30" s="473"/>
    </row>
    <row r="31" spans="1:18" ht="39" customHeight="1" x14ac:dyDescent="0.25">
      <c r="A31" s="595" t="s">
        <v>941</v>
      </c>
      <c r="B31" s="596"/>
      <c r="C31" s="596"/>
      <c r="D31" s="596"/>
      <c r="E31" s="596"/>
      <c r="F31" s="596"/>
      <c r="G31" s="596"/>
      <c r="H31" s="597"/>
      <c r="I31" s="597"/>
      <c r="J31" s="597"/>
      <c r="K31" s="597"/>
      <c r="L31" s="597"/>
      <c r="M31" s="597"/>
      <c r="N31" s="597"/>
      <c r="O31" s="597"/>
      <c r="P31" s="597"/>
    </row>
    <row r="32" spans="1:18" ht="34.5" customHeight="1" x14ac:dyDescent="0.25">
      <c r="A32" s="610" t="s">
        <v>1022</v>
      </c>
      <c r="B32" s="611"/>
      <c r="C32" s="611"/>
      <c r="D32" s="611"/>
      <c r="E32" s="611"/>
      <c r="F32" s="611"/>
      <c r="G32" s="611"/>
      <c r="H32" s="612"/>
      <c r="I32" s="612"/>
      <c r="J32" s="612"/>
      <c r="K32" s="612"/>
      <c r="L32" s="612"/>
      <c r="M32" s="612"/>
      <c r="N32" s="612"/>
      <c r="O32" s="612"/>
      <c r="P32" s="612"/>
      <c r="Q32" s="3"/>
    </row>
    <row r="33" spans="1:16" ht="60" customHeight="1" x14ac:dyDescent="0.25">
      <c r="A33" s="610" t="s">
        <v>1032</v>
      </c>
      <c r="B33" s="611"/>
      <c r="C33" s="611"/>
      <c r="D33" s="611"/>
      <c r="E33" s="611"/>
      <c r="F33" s="611"/>
      <c r="G33" s="611"/>
      <c r="H33" s="612"/>
      <c r="I33" s="612"/>
      <c r="J33" s="612"/>
      <c r="K33" s="612"/>
      <c r="L33" s="612"/>
      <c r="M33" s="612"/>
      <c r="N33" s="612"/>
      <c r="O33" s="612"/>
      <c r="P33" s="612"/>
    </row>
    <row r="35" spans="1:16" hidden="1" x14ac:dyDescent="0.25">
      <c r="B35" s="68" t="s">
        <v>292</v>
      </c>
      <c r="D35" s="88" t="str">
        <f>[1]Basisdaten_Lunge!K34</f>
        <v/>
      </c>
    </row>
  </sheetData>
  <sheetProtection algorithmName="SHA-512" hashValue="Ml9PxW1TFnnuC0EOZGsVNnOj1z2qi9S/68N+hZQ1zb4fT/YeZdrNZq5AJCYLJszvGIBoSCC+p1vGycnGvYAq8g==" saltValue="jYJB6XruixUkBT/I2HadRw==" spinCount="100000" sheet="1" objects="1" scenarios="1" selectLockedCells="1"/>
  <dataConsolidate/>
  <mergeCells count="52">
    <mergeCell ref="A32:P32"/>
    <mergeCell ref="A33:P33"/>
    <mergeCell ref="C6:D6"/>
    <mergeCell ref="A8:P8"/>
    <mergeCell ref="A9:A10"/>
    <mergeCell ref="B9:B10"/>
    <mergeCell ref="C9:C10"/>
    <mergeCell ref="D9:E10"/>
    <mergeCell ref="F9:G10"/>
    <mergeCell ref="H9:L9"/>
    <mergeCell ref="M9:M10"/>
    <mergeCell ref="N9:N10"/>
    <mergeCell ref="O9:O10"/>
    <mergeCell ref="P9:P10"/>
    <mergeCell ref="F6:O6"/>
    <mergeCell ref="F23:G26"/>
    <mergeCell ref="Q9:R9"/>
    <mergeCell ref="A11:A14"/>
    <mergeCell ref="B11:B14"/>
    <mergeCell ref="C11:C14"/>
    <mergeCell ref="D11:E14"/>
    <mergeCell ref="F11:G14"/>
    <mergeCell ref="O11:O14"/>
    <mergeCell ref="P11:P14"/>
    <mergeCell ref="A19:A22"/>
    <mergeCell ref="B19:B22"/>
    <mergeCell ref="C19:C22"/>
    <mergeCell ref="D19:E22"/>
    <mergeCell ref="F19:G22"/>
    <mergeCell ref="O23:O26"/>
    <mergeCell ref="O19:O22"/>
    <mergeCell ref="P19:P22"/>
    <mergeCell ref="A31:P31"/>
    <mergeCell ref="P23:P26"/>
    <mergeCell ref="A27:A30"/>
    <mergeCell ref="B27:B30"/>
    <mergeCell ref="C27:C30"/>
    <mergeCell ref="D27:E30"/>
    <mergeCell ref="F27:G30"/>
    <mergeCell ref="O27:O30"/>
    <mergeCell ref="P27:P30"/>
    <mergeCell ref="A23:A26"/>
    <mergeCell ref="B23:B26"/>
    <mergeCell ref="C23:C26"/>
    <mergeCell ref="D23:E26"/>
    <mergeCell ref="P15:P18"/>
    <mergeCell ref="O15:O18"/>
    <mergeCell ref="A15:A18"/>
    <mergeCell ref="B15:B18"/>
    <mergeCell ref="C15:C18"/>
    <mergeCell ref="D15:E18"/>
    <mergeCell ref="F15:G18"/>
  </mergeCells>
  <phoneticPr fontId="164" type="noConversion"/>
  <conditionalFormatting sqref="I11:L11">
    <cfRule type="notContainsBlanks" dxfId="226" priority="88" stopIfTrue="1">
      <formula>LEN(TRIM(I11))&gt;0</formula>
    </cfRule>
  </conditionalFormatting>
  <conditionalFormatting sqref="I23:L27">
    <cfRule type="notContainsBlanks" dxfId="225" priority="60" stopIfTrue="1">
      <formula>LEN(TRIM(I23))&gt;0</formula>
    </cfRule>
  </conditionalFormatting>
  <conditionalFormatting sqref="K30:L30">
    <cfRule type="notContainsBlanks" dxfId="224" priority="92" stopIfTrue="1">
      <formula>LEN(TRIM(K30))&gt;0</formula>
    </cfRule>
  </conditionalFormatting>
  <conditionalFormatting sqref="M11">
    <cfRule type="expression" dxfId="223" priority="117" stopIfTrue="1">
      <formula>LEN(TRIM(M11))=0</formula>
    </cfRule>
  </conditionalFormatting>
  <conditionalFormatting sqref="M15">
    <cfRule type="expression" dxfId="222" priority="54" stopIfTrue="1">
      <formula>LEN(TRIM(M15))=0</formula>
    </cfRule>
  </conditionalFormatting>
  <conditionalFormatting sqref="M19">
    <cfRule type="expression" dxfId="221" priority="72" stopIfTrue="1">
      <formula>LEN(TRIM(M19))=0</formula>
    </cfRule>
  </conditionalFormatting>
  <conditionalFormatting sqref="M23">
    <cfRule type="expression" dxfId="220" priority="70" stopIfTrue="1">
      <formula>LEN(TRIM(M23))=0</formula>
    </cfRule>
  </conditionalFormatting>
  <conditionalFormatting sqref="M27">
    <cfRule type="expression" dxfId="219" priority="64" stopIfTrue="1">
      <formula>LEN(TRIM(M27))=0</formula>
    </cfRule>
  </conditionalFormatting>
  <conditionalFormatting sqref="N12:N22">
    <cfRule type="cellIs" dxfId="218" priority="85" stopIfTrue="1" operator="equal">
      <formula>"OK"</formula>
    </cfRule>
    <cfRule type="expression" dxfId="217" priority="82" stopIfTrue="1">
      <formula>OR(N12="Incomplete",N12="Incomplete")</formula>
    </cfRule>
  </conditionalFormatting>
  <conditionalFormatting sqref="N19">
    <cfRule type="cellIs" dxfId="216" priority="84" stopIfTrue="1" operator="equal">
      <formula>"Target value not met"</formula>
    </cfRule>
    <cfRule type="cellIs" dxfId="215" priority="83" stopIfTrue="1" operator="equal">
      <formula>"OK (Plausibility unclear)"</formula>
    </cfRule>
  </conditionalFormatting>
  <conditionalFormatting sqref="N20:N22">
    <cfRule type="cellIs" dxfId="214" priority="3" operator="equal">
      <formula>"Target value not met"</formula>
    </cfRule>
  </conditionalFormatting>
  <conditionalFormatting sqref="N24:N26">
    <cfRule type="expression" dxfId="213" priority="107" stopIfTrue="1">
      <formula>OR(N24="Incomplete")</formula>
    </cfRule>
    <cfRule type="cellIs" dxfId="212" priority="110" stopIfTrue="1" operator="equal">
      <formula>"OK"</formula>
    </cfRule>
    <cfRule type="cellIs" dxfId="211" priority="109" stopIfTrue="1" operator="equal">
      <formula>"Target value not met"</formula>
    </cfRule>
    <cfRule type="cellIs" dxfId="210" priority="108" stopIfTrue="1" operator="equal">
      <formula>"OK (Plausibility unclear)"</formula>
    </cfRule>
  </conditionalFormatting>
  <conditionalFormatting sqref="N28:N30">
    <cfRule type="cellIs" dxfId="209" priority="103" stopIfTrue="1" operator="equal">
      <formula>"Incomplete"</formula>
    </cfRule>
    <cfRule type="cellIs" dxfId="208" priority="104" stopIfTrue="1" operator="equal">
      <formula>"OK (Plausibility unclear)"</formula>
    </cfRule>
    <cfRule type="cellIs" dxfId="207" priority="105" stopIfTrue="1" operator="equal">
      <formula>"Target value not met"</formula>
    </cfRule>
    <cfRule type="cellIs" dxfId="206" priority="106" stopIfTrue="1" operator="equal">
      <formula>"OK"</formula>
    </cfRule>
  </conditionalFormatting>
  <conditionalFormatting sqref="N11:O11 N12:N18 O15">
    <cfRule type="cellIs" dxfId="205" priority="55" operator="equal">
      <formula>"Target value not met"</formula>
    </cfRule>
  </conditionalFormatting>
  <conditionalFormatting sqref="N11:O11 O15">
    <cfRule type="expression" dxfId="204" priority="124" stopIfTrue="1">
      <formula>OR(N11="Incomplete",N11="Incomplete")</formula>
    </cfRule>
    <cfRule type="cellIs" dxfId="203" priority="125" stopIfTrue="1" operator="equal">
      <formula>"OK"</formula>
    </cfRule>
  </conditionalFormatting>
  <conditionalFormatting sqref="N11:O11">
    <cfRule type="cellIs" dxfId="202" priority="120" stopIfTrue="1" operator="equal">
      <formula>"OK (Plausibility unclear)"</formula>
    </cfRule>
    <cfRule type="cellIs" dxfId="201" priority="121" stopIfTrue="1" operator="equal">
      <formula>"Target value not met"</formula>
    </cfRule>
  </conditionalFormatting>
  <conditionalFormatting sqref="N23:O23">
    <cfRule type="cellIs" dxfId="200" priority="80" stopIfTrue="1" operator="equal">
      <formula>"Target value not met"</formula>
    </cfRule>
    <cfRule type="cellIs" dxfId="199" priority="79" stopIfTrue="1" operator="equal">
      <formula>"OK (Plausibility unclear)"</formula>
    </cfRule>
    <cfRule type="expression" dxfId="198" priority="78" stopIfTrue="1">
      <formula>OR(N23="Incomplete",N23="Incomplete")</formula>
    </cfRule>
    <cfRule type="cellIs" dxfId="197" priority="81" stopIfTrue="1" operator="equal">
      <formula>"OK"</formula>
    </cfRule>
  </conditionalFormatting>
  <conditionalFormatting sqref="N27:P27">
    <cfRule type="cellIs" dxfId="196" priority="77" stopIfTrue="1" operator="equal">
      <formula>"OK"</formula>
    </cfRule>
    <cfRule type="cellIs" dxfId="195" priority="76" stopIfTrue="1" operator="equal">
      <formula>"Target value not met"</formula>
    </cfRule>
    <cfRule type="cellIs" dxfId="194" priority="75" stopIfTrue="1" operator="equal">
      <formula>"OK (Plausibility unclear)"</formula>
    </cfRule>
    <cfRule type="cellIs" dxfId="193" priority="74" stopIfTrue="1" operator="equal">
      <formula>"Incomplete"</formula>
    </cfRule>
  </conditionalFormatting>
  <conditionalFormatting sqref="O19">
    <cfRule type="expression" dxfId="192" priority="56" stopIfTrue="1">
      <formula>OR(O19="Unvollständig",O19="Unvollständig")</formula>
    </cfRule>
    <cfRule type="cellIs" dxfId="191" priority="57" stopIfTrue="1" operator="equal">
      <formula>"I.O."</formula>
    </cfRule>
  </conditionalFormatting>
  <conditionalFormatting sqref="P11">
    <cfRule type="expression" dxfId="190" priority="8" stopIfTrue="1">
      <formula>OR(P11="Incomplete")</formula>
    </cfRule>
    <cfRule type="cellIs" dxfId="189" priority="9" stopIfTrue="1" operator="equal">
      <formula>"OK (Plausibility unclear)"</formula>
    </cfRule>
    <cfRule type="cellIs" dxfId="188" priority="10" stopIfTrue="1" operator="equal">
      <formula>"Target value not met"</formula>
    </cfRule>
    <cfRule type="cellIs" dxfId="187" priority="11" stopIfTrue="1" operator="equal">
      <formula>"OK"</formula>
    </cfRule>
  </conditionalFormatting>
  <conditionalFormatting sqref="P15">
    <cfRule type="expression" dxfId="186" priority="4" stopIfTrue="1">
      <formula>OR(P15="Incomplete")</formula>
    </cfRule>
    <cfRule type="cellIs" dxfId="185" priority="5" stopIfTrue="1" operator="equal">
      <formula>"OK (Plausibility unclear)"</formula>
    </cfRule>
    <cfRule type="cellIs" dxfId="184" priority="6" stopIfTrue="1" operator="equal">
      <formula>"Target value not met"</formula>
    </cfRule>
    <cfRule type="cellIs" dxfId="183" priority="7" stopIfTrue="1" operator="equal">
      <formula>"OK"</formula>
    </cfRule>
  </conditionalFormatting>
  <conditionalFormatting sqref="P19">
    <cfRule type="expression" dxfId="182" priority="18" stopIfTrue="1">
      <formula>OR(P19="Incomplete")</formula>
    </cfRule>
    <cfRule type="cellIs" dxfId="181" priority="21" stopIfTrue="1" operator="equal">
      <formula>"OK"</formula>
    </cfRule>
    <cfRule type="cellIs" dxfId="180" priority="20" stopIfTrue="1" operator="equal">
      <formula>"Target value not met"</formula>
    </cfRule>
    <cfRule type="cellIs" dxfId="179" priority="19" stopIfTrue="1" operator="equal">
      <formula>"OK (Plausibility unclear)"</formula>
    </cfRule>
  </conditionalFormatting>
  <conditionalFormatting sqref="P23">
    <cfRule type="cellIs" dxfId="178" priority="100" stopIfTrue="1" operator="equal">
      <formula>"OK (Plausibility unclear)"</formula>
    </cfRule>
    <cfRule type="cellIs" dxfId="177" priority="101" stopIfTrue="1" operator="equal">
      <formula>"Target value not met"</formula>
    </cfRule>
    <cfRule type="cellIs" dxfId="176" priority="102" stopIfTrue="1" operator="equal">
      <formula>"OK"</formula>
    </cfRule>
    <cfRule type="expression" dxfId="175" priority="99" stopIfTrue="1">
      <formula>OR(P23="Incomplete")</formula>
    </cfRule>
  </conditionalFormatting>
  <conditionalFormatting sqref="Q11:Q19">
    <cfRule type="notContainsBlanks" dxfId="174" priority="123">
      <formula>LEN(TRIM(Q11))&gt;0</formula>
    </cfRule>
    <cfRule type="expression" dxfId="173" priority="127">
      <formula>OR($N11="Incomplete",$N11="Target value not met")</formula>
    </cfRule>
  </conditionalFormatting>
  <conditionalFormatting sqref="Q23">
    <cfRule type="expression" dxfId="172" priority="2">
      <formula>OR($N23="Incomplete",$N23="Target value not met")</formula>
    </cfRule>
    <cfRule type="notContainsBlanks" dxfId="171" priority="1">
      <formula>LEN(TRIM(Q23))&gt;0</formula>
    </cfRule>
  </conditionalFormatting>
  <conditionalFormatting sqref="Q27">
    <cfRule type="expression" dxfId="170" priority="13">
      <formula>OR($N27="Incomplete",$N27="Target value not met")</formula>
    </cfRule>
    <cfRule type="notContainsBlanks" dxfId="169" priority="12">
      <formula>LEN(TRIM(Q27))&gt;0</formula>
    </cfRule>
  </conditionalFormatting>
  <dataValidations xWindow="666" yWindow="508" count="13">
    <dataValidation type="textLength" allowBlank="1" showInputMessage="1" showErrorMessage="1" errorTitle="Input data error" error="Text up to 100 characters." sqref="K12:K14 K23:K30" xr:uid="{00000000-0002-0000-0100-000000000000}">
      <formula1>0</formula1>
      <formula2>10</formula2>
    </dataValidation>
    <dataValidation type="whole" allowBlank="1" showInputMessage="1" showErrorMessage="1" errorTitle="Input data error" error="Whole number between 0 and 10000." sqref="M11 M14:M30" xr:uid="{00000000-0002-0000-0100-000001000000}">
      <formula1>0</formula1>
      <formula2>10000</formula2>
    </dataValidation>
    <dataValidation errorStyle="information" allowBlank="1" showInputMessage="1" showErrorMessage="1" errorTitle="Kennzahl" promptTitle="Kennzahl" sqref="A9:B10" xr:uid="{00000000-0002-0000-0100-000002000000}"/>
    <dataValidation type="textLength" allowBlank="1" showInputMessage="1" showErrorMessage="1" errorTitle="Input data error" error="Text up to 100 characters." promptTitle="Remark" prompt="Columns I to M must be completed for each health care provider. " sqref="I27 I23 I11 I12 I13 I14 I15" xr:uid="{00000000-0002-0000-0100-000003000000}">
      <formula1>0</formula1>
      <formula2>100</formula2>
    </dataValidation>
    <dataValidation type="textLength" allowBlank="1" showInputMessage="1" showErrorMessage="1" errorTitle="Input data error" error="Text up to 100 characters." sqref="J11:J15 K15 L12:L15 J23:J30 L23:L30" xr:uid="{00000000-0002-0000-0100-000004000000}">
      <formula1>0</formula1>
      <formula2>100</formula2>
    </dataValidation>
    <dataValidation type="textLength" allowBlank="1" showInputMessage="1" showErrorMessage="1" errorTitle="Hinweis" error="Text up to 100 characters." sqref="K11" xr:uid="{00000000-0002-0000-0100-000005000000}">
      <formula1>0</formula1>
      <formula2>10</formula2>
    </dataValidation>
    <dataValidation type="textLength" allowBlank="1" showInputMessage="1" showErrorMessage="1" errorTitle="Hinweis" error="Text up to 100 characters." sqref="L11" xr:uid="{00000000-0002-0000-0100-000006000000}">
      <formula1>0</formula1>
      <formula2>100</formula2>
    </dataValidation>
    <dataValidation type="textLength" allowBlank="1" showInputMessage="1" showErrorMessage="1" errorTitle="Input data error" error="Text up to 100 characters." promptTitle="Hinweis" prompt="Zu jedem Leistungserbringer müssen die Spalten I bis M ausgefüllt werden." sqref="J16:L18" xr:uid="{00000000-0002-0000-0100-000007000000}">
      <formula1>0</formula1>
      <formula2>100</formula2>
    </dataValidation>
    <dataValidation type="whole" allowBlank="1" showInputMessage="1" showErrorMessage="1" errorTitle="Input data error" error="Whole number between 0 and 10000.." sqref="M12:M13" xr:uid="{00000000-0002-0000-0100-000008000000}">
      <formula1>0</formula1>
      <formula2>10000</formula2>
    </dataValidation>
    <dataValidation type="textLength" allowBlank="1" showInputMessage="1" showErrorMessage="1" errorTitle="Eingabefehler" error="Nur Texteingabe bis 100 Zeichen möglich." promptTitle="Remark" prompt="Columns I to M must be completed for each health care provider." sqref="I19:I22" xr:uid="{00000000-0002-0000-0100-000009000000}">
      <formula1>0</formula1>
      <formula2>100</formula2>
    </dataValidation>
    <dataValidation type="textLength" allowBlank="1" showInputMessage="1" showErrorMessage="1" errorTitle="Hinweis" error="Nur Texteingabe bis 100 Zeichen möglich." sqref="J19:L22" xr:uid="{00000000-0002-0000-0100-00000A000000}">
      <formula1>0</formula1>
      <formula2>100</formula2>
    </dataValidation>
    <dataValidation type="textLength" allowBlank="1" showInputMessage="1" showErrorMessage="1" errorTitle="Characters" error="Minimum 30 characters and maximum 500 characters." sqref="S11 Q11:R30" xr:uid="{00000000-0002-0000-0100-00000B000000}">
      <formula1>30</formula1>
      <formula2>500</formula2>
    </dataValidation>
    <dataValidation type="textLength" allowBlank="1" showInputMessage="1" showErrorMessage="1" errorTitle="Input data error" error="Text up to 100 characters." promptTitle="Remark" prompt="Columns I to M must be completed for each health care provider." sqref="I16 I17 I18 I24 I25 I26 I28 I29 I30" xr:uid="{00000000-0002-0000-0100-00000C000000}">
      <formula1>0</formula1>
      <formula2>100</formula2>
    </dataValidation>
  </dataValidations>
  <pageMargins left="0.39370078740157483" right="3.937007874015748E-2" top="0.59055118110236227" bottom="0.39370078740157483" header="0.11811023622047245" footer="0.11811023622047245"/>
  <pageSetup paperSize="9" scale="75" orientation="landscape" r:id="rId1"/>
  <headerFooter>
    <oddFooter>&amp;L&amp;"Arial,Regular"&amp;7&amp;F&amp;C&amp;"Arial,Regular"&amp;7© DKG  All rights reserved&amp;R&amp;"Arial,Regular"&amp;7&amp;P</oddFooter>
  </headerFooter>
  <rowBreaks count="1" manualBreakCount="1">
    <brk id="26" max="15" man="1"/>
  </row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7"/>
  <dimension ref="A1:U54"/>
  <sheetViews>
    <sheetView zoomScaleNormal="100" workbookViewId="0">
      <selection activeCell="B2" sqref="B2"/>
    </sheetView>
  </sheetViews>
  <sheetFormatPr defaultColWidth="9" defaultRowHeight="11.25" x14ac:dyDescent="0.25"/>
  <cols>
    <col min="1" max="1" width="6.5703125" style="31" customWidth="1"/>
    <col min="2" max="3" width="9" style="31"/>
    <col min="4" max="4" width="21" style="31" customWidth="1"/>
    <col min="5" max="5" width="12.5703125" style="31" customWidth="1"/>
    <col min="6" max="6" width="11.85546875" style="31" customWidth="1"/>
    <col min="7" max="7" width="12.28515625" style="31" customWidth="1"/>
    <col min="8" max="8" width="63.28515625" style="31" customWidth="1"/>
    <col min="9" max="9" width="67" style="31" customWidth="1"/>
    <col min="10" max="10" width="9.7109375" style="87" customWidth="1"/>
    <col min="11" max="11" width="27.5703125" style="147" customWidth="1"/>
    <col min="12" max="12" width="14.7109375" style="163" customWidth="1"/>
    <col min="13" max="13" width="9.5703125" style="163" customWidth="1"/>
    <col min="14" max="14" width="20.42578125" style="163" customWidth="1"/>
    <col min="15" max="15" width="55.28515625" style="164" customWidth="1"/>
    <col min="16" max="16" width="61.85546875" style="164" customWidth="1"/>
    <col min="17" max="17" width="27.140625" style="31" customWidth="1"/>
    <col min="18" max="16384" width="9" style="31"/>
  </cols>
  <sheetData>
    <row r="1" spans="1:21" ht="30.75" thickBot="1" x14ac:dyDescent="0.3">
      <c r="L1" s="201" t="s">
        <v>195</v>
      </c>
      <c r="M1" s="199" t="s">
        <v>338</v>
      </c>
      <c r="N1" s="199" t="s">
        <v>353</v>
      </c>
      <c r="O1" s="201" t="s">
        <v>103</v>
      </c>
      <c r="P1" s="201" t="s">
        <v>309</v>
      </c>
    </row>
    <row r="2" spans="1:21" ht="15" customHeight="1" x14ac:dyDescent="0.25">
      <c r="A2" s="155" t="str">
        <f>IF(Datenquelle!$E$2&gt;7,IF(Datenquelle!$E$2=7,"EZ",IF(Datenquelle!$E$2&gt;7,"relevant","?")),"nicht relevant")</f>
        <v>nicht relevant</v>
      </c>
      <c r="B2" s="45" t="str">
        <f>CONCATENATE("2013;"," ")</f>
        <v xml:space="preserve">2013; </v>
      </c>
      <c r="C2" s="142"/>
      <c r="D2" s="154" t="s">
        <v>165</v>
      </c>
      <c r="E2" s="145" t="str">
        <f>IF(H2="","","2013")</f>
        <v/>
      </c>
      <c r="F2" s="145" t="str">
        <f t="shared" ref="F2:F6" si="0">IF(H2="","","a")</f>
        <v/>
      </c>
      <c r="G2" s="145" t="str">
        <f t="shared" ref="G2:G6" si="1">IF(H2="","",1)</f>
        <v/>
      </c>
      <c r="H2" s="376" t="str">
        <f>IF(A2="relevant",IF(COUNTIF(Matrix!C23:Z23,"")&gt;4,Berechnung2!$L$53,""),"")</f>
        <v/>
      </c>
      <c r="I2" s="150" t="str">
        <f t="array" ref="I2">IF(H2="","",VLOOKUP(F2,Berechnung2!$I$15:$J$24,2,FALSE))</f>
        <v/>
      </c>
      <c r="J2" s="173" t="str">
        <f t="shared" ref="J2:J7" si="2">IF(H2&lt;&gt;"",1,"")</f>
        <v/>
      </c>
      <c r="K2" s="31"/>
      <c r="L2" s="29" t="str">
        <f t="array" aca="1" ref="L2" ca="1">IF(ROW()-ROW($F$2:$F$48)+1&gt;ROWS($E$2:$E$48)-COUNTBLANK($E$2:$E$48),"",INDIRECT(ADDRESS(SMALL((IF($E$2:$E$48&lt;&gt;"",ROW($E$2:$E$48),ROW()+ROWS($E$2:$E$48))),ROW()-ROW($F$2:$F$48)+1),COLUMN($E$2:$E$48),4)))</f>
        <v/>
      </c>
      <c r="M2" s="29" t="str">
        <f t="array" aca="1" ref="M2" ca="1">IF(ROW()-ROW($G$2:$G$48)+1&gt;ROWS($F$2:$F$48)-COUNTBLANK($F$2:$F$48),"",INDIRECT(ADDRESS(SMALL((IF($F$2:$F$48&lt;&gt;"",ROW($F$2:$F$48),ROW()+ROWS($F$2:$F$48))),ROW()-ROW($G$2:$G$48)+1),COLUMN($F$2:$F$48),4)))</f>
        <v/>
      </c>
      <c r="N2" s="29" t="str">
        <f t="array" aca="1" ref="N2" ca="1">IF(ROW()-ROW($H$2:$H$48)+1&gt;ROWS($G$2:$G$48)-COUNTBLANK($G$2:$G$48),"",INDIRECT(ADDRESS(SMALL((IF($G$2:$G$48&lt;&gt;"",ROW($G$2:$G$48),ROW()+ROWS($G$2:$G$48))),ROW()-ROW($H$2:$H$48)+1),COLUMN($G$2:$G$48),4)))</f>
        <v/>
      </c>
      <c r="O2" s="165" t="str">
        <f t="array" aca="1" ref="O2" ca="1">IF(ROW()-ROW($I$2:$I$48)+1&gt;ROWS($H$2:$H$48)-COUNTBLANK($H$2:$H$48),"",INDIRECT(ADDRESS(SMALL((IF($H$2:$H$48&lt;&gt;"",ROW($H$2:$H$48),ROW()+ROWS($H$2:$H$48))),ROW()-ROW($I$2:$I$48)+1),COLUMN($H$2:$H$48),4)))</f>
        <v/>
      </c>
      <c r="P2" s="165" t="str">
        <f t="array" aca="1" ref="P2" ca="1">IF(ROW()-ROW($J$2:$J$48)+1&gt;ROWS($I$2:$I$48)-COUNTBLANK($I$2:$I$48),"",INDIRECT(ADDRESS(SMALL((IF($I$2:$I$48&lt;&gt;"",ROW($I$2:$I$48),ROW()+ROWS($I$2:$I$48))),ROW()-ROW($J$2:$J$48)+1),COLUMN($I$2:$I$48),4)))</f>
        <v/>
      </c>
    </row>
    <row r="3" spans="1:21" ht="15" customHeight="1" x14ac:dyDescent="0.25">
      <c r="A3" s="155" t="str">
        <f>IF(Datenquelle!$E$2&gt;6,IF(Datenquelle!$E$2=6,"EZ",IF(Datenquelle!$E$2&gt;6,"relevant","?")),"nicht relevant")</f>
        <v>nicht relevant</v>
      </c>
      <c r="B3" s="45" t="str">
        <f>CONCATENATE("2014;"," ")</f>
        <v xml:space="preserve">2014; </v>
      </c>
      <c r="C3" s="142"/>
      <c r="D3" s="958" t="s">
        <v>280</v>
      </c>
      <c r="E3" s="29" t="str">
        <f>IF(H3="","","2014")</f>
        <v/>
      </c>
      <c r="F3" s="45" t="str">
        <f t="shared" si="0"/>
        <v/>
      </c>
      <c r="G3" s="45" t="str">
        <f t="shared" si="1"/>
        <v/>
      </c>
      <c r="H3" s="375" t="str">
        <f>IF(A3="relevant",IF(COUNTIF(Matrix!C24:Z24,"")&gt;4,Berechnung2!$L$53,""),"")</f>
        <v/>
      </c>
      <c r="I3" s="155" t="str">
        <f t="array" ref="I3">IF(H3="","",VLOOKUP(F3,Berechnung2!$I$15:$J$24,2,FALSE))</f>
        <v/>
      </c>
      <c r="J3" s="171" t="str">
        <f t="shared" si="2"/>
        <v/>
      </c>
      <c r="K3" s="31"/>
      <c r="L3" s="29" t="str">
        <f t="array" aca="1" ref="L3" ca="1">IF(ROW()-ROW($F$2:$F$48)+1&gt;ROWS($E$2:$E$48)-COUNTBLANK($E$2:$E$48),"",INDIRECT(ADDRESS(SMALL((IF($E$2:$E$48&lt;&gt;"",ROW($E$2:$E$48),ROW()+ROWS($E$2:$E$48))),ROW()-ROW($F$2:$F$48)+1),COLUMN($E$2:$E$48),4)))</f>
        <v/>
      </c>
      <c r="M3" s="29" t="str">
        <f t="array" aca="1" ref="M3" ca="1">IF(ROW()-ROW($G$2:$G$48)+1&gt;ROWS($F$2:$F$48)-COUNTBLANK($F$2:$F$48),"",INDIRECT(ADDRESS(SMALL((IF($F$2:$F$48&lt;&gt;"",ROW($F$2:$F$48),ROW()+ROWS($F$2:$F$48))),ROW()-ROW($G$2:$G$48)+1),COLUMN($F$2:$F$48),4)))</f>
        <v/>
      </c>
      <c r="N3" s="29" t="str">
        <f t="array" aca="1" ref="N3" ca="1">IF(ROW()-ROW($H$2:$H$48)+1&gt;ROWS($G$2:$G$48)-COUNTBLANK($G$2:$G$48),"",INDIRECT(ADDRESS(SMALL((IF($G$2:$G$48&lt;&gt;"",ROW($G$2:$G$48),ROW()+ROWS($G$2:$G$48))),ROW()-ROW($H$2:$H$48)+1),COLUMN($G$2:$G$48),4)))</f>
        <v/>
      </c>
      <c r="O3" s="165" t="str">
        <f t="array" aca="1" ref="O3" ca="1">IF(ROW()-ROW($I$2:$I$48)+1&gt;ROWS($H$2:$H$48)-COUNTBLANK($H$2:$H$48),"",INDIRECT(ADDRESS(SMALL((IF($H$2:$H$48&lt;&gt;"",ROW($H$2:$H$48),ROW()+ROWS($H$2:$H$48))),ROW()-ROW($I$2:$I$48)+1),COLUMN($H$2:$H$48),4)))</f>
        <v/>
      </c>
      <c r="P3" s="165" t="str">
        <f t="array" aca="1" ref="P3" ca="1">IF(ROW()-ROW($J$2:$J$48)+1&gt;ROWS($I$2:$I$48)-COUNTBLANK($I$2:$I$48),"",INDIRECT(ADDRESS(SMALL((IF($I$2:$I$48&lt;&gt;"",ROW($I$2:$I$48),ROW()+ROWS($I$2:$I$48))),ROW()-ROW($J$2:$J$48)+1),COLUMN($I$2:$I$48),4)))</f>
        <v/>
      </c>
    </row>
    <row r="4" spans="1:21" ht="15" customHeight="1" x14ac:dyDescent="0.25">
      <c r="A4" s="155" t="str">
        <f>IF(Datenquelle!$E$2&gt;5,IF(Datenquelle!$E$2=5,"EZ",IF(Datenquelle!$E$2&gt;5,"relevant","?")),"nicht relevant")</f>
        <v>nicht relevant</v>
      </c>
      <c r="B4" s="45" t="str">
        <f>CONCATENATE("2015;"," ")</f>
        <v xml:space="preserve">2015; </v>
      </c>
      <c r="C4" s="142"/>
      <c r="D4" s="958"/>
      <c r="E4" s="29" t="str">
        <f>IF(H4="","","2015")</f>
        <v/>
      </c>
      <c r="F4" s="45" t="str">
        <f t="shared" si="0"/>
        <v/>
      </c>
      <c r="G4" s="45" t="str">
        <f t="shared" si="1"/>
        <v/>
      </c>
      <c r="H4" s="375" t="str">
        <f>IF(A4="relevant",IF(COUNTIF(Matrix!C25:Z25,"")&gt;4,Berechnung2!$L$53,""),"")</f>
        <v/>
      </c>
      <c r="I4" s="155" t="str">
        <f t="array" ref="I4">IF(H4="","",VLOOKUP(F4,Berechnung2!$I$15:$J$24,2,FALSE))</f>
        <v/>
      </c>
      <c r="J4" s="171" t="str">
        <f t="shared" si="2"/>
        <v/>
      </c>
      <c r="K4" s="31"/>
      <c r="L4" s="29" t="str">
        <f t="array" aca="1" ref="L4" ca="1">IF(ROW()-ROW($F$2:$F$48)+1&gt;ROWS($E$2:$E$48)-COUNTBLANK($E$2:$E$48),"",INDIRECT(ADDRESS(SMALL((IF($E$2:$E$48&lt;&gt;"",ROW($E$2:$E$48),ROW()+ROWS($E$2:$E$48))),ROW()-ROW($F$2:$F$48)+1),COLUMN($E$2:$E$48),4)))</f>
        <v/>
      </c>
      <c r="M4" s="29" t="str">
        <f t="array" aca="1" ref="M4" ca="1">IF(ROW()-ROW($G$2:$G$48)+1&gt;ROWS($F$2:$F$48)-COUNTBLANK($F$2:$F$48),"",INDIRECT(ADDRESS(SMALL((IF($F$2:$F$48&lt;&gt;"",ROW($F$2:$F$48),ROW()+ROWS($F$2:$F$48))),ROW()-ROW($G$2:$G$48)+1),COLUMN($F$2:$F$48),4)))</f>
        <v/>
      </c>
      <c r="N4" s="29" t="str">
        <f t="array" aca="1" ref="N4" ca="1">IF(ROW()-ROW($H$2:$H$48)+1&gt;ROWS($G$2:$G$48)-COUNTBLANK($G$2:$G$48),"",INDIRECT(ADDRESS(SMALL((IF($G$2:$G$48&lt;&gt;"",ROW($G$2:$G$48),ROW()+ROWS($G$2:$G$48))),ROW()-ROW($H$2:$H$48)+1),COLUMN($G$2:$G$48),4)))</f>
        <v/>
      </c>
      <c r="O4" s="165" t="str">
        <f t="array" aca="1" ref="O4" ca="1">IF(ROW()-ROW($I$2:$I$48)+1&gt;ROWS($H$2:$H$48)-COUNTBLANK($H$2:$H$48),"",INDIRECT(ADDRESS(SMALL((IF($H$2:$H$48&lt;&gt;"",ROW($H$2:$H$48),ROW()+ROWS($H$2:$H$48))),ROW()-ROW($I$2:$I$48)+1),COLUMN($H$2:$H$48),4)))</f>
        <v/>
      </c>
      <c r="P4" s="165" t="str">
        <f t="array" aca="1" ref="P4" ca="1">IF(ROW()-ROW($J$2:$J$48)+1&gt;ROWS($I$2:$I$48)-COUNTBLANK($I$2:$I$48),"",INDIRECT(ADDRESS(SMALL((IF($I$2:$I$48&lt;&gt;"",ROW($I$2:$I$48),ROW()+ROWS($I$2:$I$48))),ROW()-ROW($J$2:$J$48)+1),COLUMN($I$2:$I$48),4)))</f>
        <v/>
      </c>
    </row>
    <row r="5" spans="1:21" ht="15" customHeight="1" x14ac:dyDescent="0.25">
      <c r="A5" s="155" t="str">
        <f>IF(Datenquelle!$E$2&gt;4,IF(Datenquelle!$E$2=4,"EZ",IF(Datenquelle!$E$2&gt;4,"relevant","?")),"nicht relevant")</f>
        <v>nicht relevant</v>
      </c>
      <c r="B5" s="45" t="str">
        <f>CONCATENATE("2016;"," ")</f>
        <v xml:space="preserve">2016; </v>
      </c>
      <c r="C5" s="142"/>
      <c r="D5" s="958"/>
      <c r="E5" s="29" t="str">
        <f>IF(H5="","","2016")</f>
        <v/>
      </c>
      <c r="F5" s="45" t="str">
        <f t="shared" si="0"/>
        <v/>
      </c>
      <c r="G5" s="45" t="str">
        <f t="shared" si="1"/>
        <v/>
      </c>
      <c r="H5" s="375" t="str">
        <f>IF(A5="relevant",IF(COUNTIF(Matrix!C26:Z26,"")&gt;4,Berechnung2!$L$53,""),"")</f>
        <v/>
      </c>
      <c r="I5" s="155" t="str">
        <f t="array" ref="I5">IF(H5="","",VLOOKUP(F5,Berechnung2!$I$15:$J$24,2,FALSE))</f>
        <v/>
      </c>
      <c r="J5" s="171" t="str">
        <f t="shared" si="2"/>
        <v/>
      </c>
      <c r="K5" s="31"/>
      <c r="L5" s="29" t="str">
        <f t="array" aca="1" ref="L5" ca="1">IF(ROW()-ROW($F$2:$F$48)+1&gt;ROWS($E$2:$E$48)-COUNTBLANK($E$2:$E$48),"",INDIRECT(ADDRESS(SMALL((IF($E$2:$E$48&lt;&gt;"",ROW($E$2:$E$48),ROW()+ROWS($E$2:$E$48))),ROW()-ROW($F$2:$F$48)+1),COLUMN($E$2:$E$48),4)))</f>
        <v/>
      </c>
      <c r="M5" s="29" t="str">
        <f t="array" aca="1" ref="M5" ca="1">IF(ROW()-ROW($G$2:$G$48)+1&gt;ROWS($F$2:$F$48)-COUNTBLANK($F$2:$F$48),"",INDIRECT(ADDRESS(SMALL((IF($F$2:$F$48&lt;&gt;"",ROW($F$2:$F$48),ROW()+ROWS($F$2:$F$48))),ROW()-ROW($G$2:$G$48)+1),COLUMN($F$2:$F$48),4)))</f>
        <v/>
      </c>
      <c r="N5" s="29" t="str">
        <f t="array" aca="1" ref="N5" ca="1">IF(ROW()-ROW($H$2:$H$48)+1&gt;ROWS($G$2:$G$48)-COUNTBLANK($G$2:$G$48),"",INDIRECT(ADDRESS(SMALL((IF($G$2:$G$48&lt;&gt;"",ROW($G$2:$G$48),ROW()+ROWS($G$2:$G$48))),ROW()-ROW($H$2:$H$48)+1),COLUMN($G$2:$G$48),4)))</f>
        <v/>
      </c>
      <c r="O5" s="165" t="str">
        <f t="array" aca="1" ref="O5" ca="1">IF(ROW()-ROW($I$2:$I$48)+1&gt;ROWS($H$2:$H$48)-COUNTBLANK($H$2:$H$48),"",INDIRECT(ADDRESS(SMALL((IF($H$2:$H$48&lt;&gt;"",ROW($H$2:$H$48),ROW()+ROWS($H$2:$H$48))),ROW()-ROW($I$2:$I$48)+1),COLUMN($H$2:$H$48),4)))</f>
        <v/>
      </c>
      <c r="P5" s="165" t="str">
        <f t="array" aca="1" ref="P5" ca="1">IF(ROW()-ROW($J$2:$J$48)+1&gt;ROWS($I$2:$I$48)-COUNTBLANK($I$2:$I$48),"",INDIRECT(ADDRESS(SMALL((IF($I$2:$I$48&lt;&gt;"",ROW($I$2:$I$48),ROW()+ROWS($I$2:$I$48))),ROW()-ROW($J$2:$J$48)+1),COLUMN($I$2:$I$48),4)))</f>
        <v/>
      </c>
    </row>
    <row r="6" spans="1:21" ht="15" customHeight="1" x14ac:dyDescent="0.25">
      <c r="A6" s="386" t="s">
        <v>3</v>
      </c>
      <c r="B6" s="45" t="str">
        <f>CONCATENATE("2017;"," ")</f>
        <v xml:space="preserve">2017; </v>
      </c>
      <c r="C6" s="142"/>
      <c r="D6" s="958"/>
      <c r="E6" s="29" t="str">
        <f>IF(H6="","","2017")</f>
        <v/>
      </c>
      <c r="F6" s="45" t="str">
        <f t="shared" si="0"/>
        <v/>
      </c>
      <c r="G6" s="45" t="str">
        <f t="shared" si="1"/>
        <v/>
      </c>
      <c r="H6" s="198" t="str">
        <f>IF(A6="relevant",IF(COUNTIF(Matrix!C27:Z27,"")&gt;2,Berechnung2!$L$53,""),"")</f>
        <v/>
      </c>
      <c r="I6" s="155" t="str">
        <f t="array" ref="I6">IF(H6="","",VLOOKUP(F6,Berechnung2!$I$15:$J$24,2,FALSE))</f>
        <v/>
      </c>
      <c r="J6" s="171" t="str">
        <f t="shared" si="2"/>
        <v/>
      </c>
      <c r="K6" s="31"/>
      <c r="L6" s="29" t="str">
        <f t="array" aca="1" ref="L6" ca="1">IF(ROW()-ROW($F$2:$F$48)+1&gt;ROWS($E$2:$E$48)-COUNTBLANK($E$2:$E$48),"",INDIRECT(ADDRESS(SMALL((IF($E$2:$E$48&lt;&gt;"",ROW($E$2:$E$48),ROW()+ROWS($E$2:$E$48))),ROW()-ROW($F$2:$F$48)+1),COLUMN($E$2:$E$48),4)))</f>
        <v/>
      </c>
      <c r="M6" s="29" t="str">
        <f t="array" aca="1" ref="M6" ca="1">IF(ROW()-ROW($G$2:$G$48)+1&gt;ROWS($F$2:$F$48)-COUNTBLANK($F$2:$F$48),"",INDIRECT(ADDRESS(SMALL((IF($F$2:$F$48&lt;&gt;"",ROW($F$2:$F$48),ROW()+ROWS($F$2:$F$48))),ROW()-ROW($G$2:$G$48)+1),COLUMN($F$2:$F$48),4)))</f>
        <v/>
      </c>
      <c r="N6" s="29" t="str">
        <f t="array" aca="1" ref="N6" ca="1">IF(ROW()-ROW($H$2:$H$48)+1&gt;ROWS($G$2:$G$48)-COUNTBLANK($G$2:$G$48),"",INDIRECT(ADDRESS(SMALL((IF($G$2:$G$48&lt;&gt;"",ROW($G$2:$G$48),ROW()+ROWS($G$2:$G$48))),ROW()-ROW($H$2:$H$48)+1),COLUMN($G$2:$G$48),4)))</f>
        <v/>
      </c>
      <c r="O6" s="165" t="str">
        <f t="array" aca="1" ref="O6" ca="1">IF(ROW()-ROW($I$2:$I$48)+1&gt;ROWS($H$2:$H$48)-COUNTBLANK($H$2:$H$48),"",INDIRECT(ADDRESS(SMALL((IF($H$2:$H$48&lt;&gt;"",ROW($H$2:$H$48),ROW()+ROWS($H$2:$H$48))),ROW()-ROW($I$2:$I$48)+1),COLUMN($H$2:$H$48),4)))</f>
        <v/>
      </c>
      <c r="P6" s="165" t="str">
        <f t="array" aca="1" ref="P6" ca="1">IF(ROW()-ROW($J$2:$J$48)+1&gt;ROWS($I$2:$I$48)-COUNTBLANK($I$2:$I$48),"",INDIRECT(ADDRESS(SMALL((IF($I$2:$I$48&lt;&gt;"",ROW($I$2:$I$48),ROW()+ROWS($I$2:$I$48))),ROW()-ROW($J$2:$J$48)+1),COLUMN($I$2:$I$48),4)))</f>
        <v/>
      </c>
    </row>
    <row r="7" spans="1:21" ht="15" customHeight="1" x14ac:dyDescent="0.25">
      <c r="A7" s="155" t="str">
        <f>IF(Datenquelle!$E$2&gt;2,IF(Datenquelle!$E$2=2,"EZ",IF(Datenquelle!$E$2&gt;2,"relevant","?")),"nicht relevant")</f>
        <v>nicht relevant</v>
      </c>
      <c r="B7" s="45" t="str">
        <f>CONCATENATE("2018;"," ")</f>
        <v xml:space="preserve">2018; </v>
      </c>
      <c r="C7" s="87"/>
      <c r="D7" s="361" t="s">
        <v>340</v>
      </c>
      <c r="E7" s="29" t="str">
        <f>IF(H7="","","2018")</f>
        <v/>
      </c>
      <c r="F7" s="45" t="str">
        <f t="shared" ref="F7" si="3">IF(H7="","","a")</f>
        <v/>
      </c>
      <c r="G7" s="45" t="str">
        <f t="shared" ref="G7" si="4">IF(H7="","",1)</f>
        <v/>
      </c>
      <c r="H7" s="198" t="str">
        <f>IF(A7="relevant",IF(COUNTIF(Matrix!C28:L28,"")&gt;0,Berechnung2!$L$53,""),"")</f>
        <v/>
      </c>
      <c r="I7" s="155" t="str">
        <f t="array" ref="I7">IF(H7="","",VLOOKUP(F7,Berechnung2!$I$15:$J$24,2,FALSE))</f>
        <v/>
      </c>
      <c r="J7" s="171" t="str">
        <f t="shared" si="2"/>
        <v/>
      </c>
      <c r="K7" s="31"/>
      <c r="L7" s="29" t="str">
        <f t="array" aca="1" ref="L7" ca="1">IF(ROW()-ROW($F$2:$F$48)+1&gt;ROWS($E$2:$E$48)-COUNTBLANK($E$2:$E$48),"",INDIRECT(ADDRESS(SMALL((IF($E$2:$E$48&lt;&gt;"",ROW($E$2:$E$48),ROW()+ROWS($E$2:$E$48))),ROW()-ROW($F$2:$F$48)+1),COLUMN($E$2:$E$48),4)))</f>
        <v/>
      </c>
      <c r="M7" s="29" t="str">
        <f t="array" aca="1" ref="M7" ca="1">IF(ROW()-ROW($G$2:$G$48)+1&gt;ROWS($F$2:$F$48)-COUNTBLANK($F$2:$F$48),"",INDIRECT(ADDRESS(SMALL((IF($F$2:$F$48&lt;&gt;"",ROW($F$2:$F$48),ROW()+ROWS($F$2:$F$48))),ROW()-ROW($G$2:$G$48)+1),COLUMN($F$2:$F$48),4)))</f>
        <v/>
      </c>
      <c r="N7" s="29" t="str">
        <f t="array" aca="1" ref="N7" ca="1">IF(ROW()-ROW($H$2:$H$48)+1&gt;ROWS($G$2:$G$48)-COUNTBLANK($G$2:$G$48),"",INDIRECT(ADDRESS(SMALL((IF($G$2:$G$48&lt;&gt;"",ROW($G$2:$G$48),ROW()+ROWS($G$2:$G$48))),ROW()-ROW($H$2:$H$48)+1),COLUMN($G$2:$G$48),4)))</f>
        <v/>
      </c>
      <c r="O7" s="165" t="str">
        <f t="array" aca="1" ref="O7" ca="1">IF(ROW()-ROW($I$2:$I$48)+1&gt;ROWS($H$2:$H$48)-COUNTBLANK($H$2:$H$48),"",INDIRECT(ADDRESS(SMALL((IF($H$2:$H$48&lt;&gt;"",ROW($H$2:$H$48),ROW()+ROWS($H$2:$H$48))),ROW()-ROW($I$2:$I$48)+1),COLUMN($H$2:$H$48),4)))</f>
        <v/>
      </c>
      <c r="P7" s="165" t="str">
        <f t="array" aca="1" ref="P7" ca="1">IF(ROW()-ROW($J$2:$J$48)+1&gt;ROWS($I$2:$I$48)-COUNTBLANK($I$2:$I$48),"",INDIRECT(ADDRESS(SMALL((IF($I$2:$I$48&lt;&gt;"",ROW($I$2:$I$48),ROW()+ROWS($I$2:$I$48))),ROW()-ROW($J$2:$J$48)+1),COLUMN($I$2:$I$48),4)))</f>
        <v/>
      </c>
    </row>
    <row r="8" spans="1:21" ht="15" customHeight="1" thickBot="1" x14ac:dyDescent="0.3">
      <c r="A8" s="155" t="str">
        <f>IF(Datenquelle!$E$2&gt;1,IF(Datenquelle!$E$2=2,"EZ",IF(Datenquelle!$E$2&gt;2,"relevant","?")),"nicht relevant")</f>
        <v>nicht relevant</v>
      </c>
      <c r="B8" s="45" t="str">
        <f>CONCATENATE("2019;"," ")</f>
        <v xml:space="preserve">2019; </v>
      </c>
      <c r="D8" s="360"/>
      <c r="E8" s="29" t="str">
        <f>IF(H8="","","2019")</f>
        <v/>
      </c>
      <c r="F8" s="45" t="str">
        <f t="shared" ref="F8" si="5">IF(H8="","","a")</f>
        <v/>
      </c>
      <c r="G8" s="45" t="str">
        <f t="shared" ref="G8" si="6">IF(H8="","",1)</f>
        <v/>
      </c>
      <c r="H8" s="198" t="str">
        <f>IF(A8="relevant",IF(COUNTIF(Matrix!C29:L29,"")&gt;0,Berechnung2!$L$53,""),"")</f>
        <v/>
      </c>
      <c r="I8" s="155" t="str">
        <f t="array" ref="I8">IF(H8="","",VLOOKUP(F8,Berechnung2!$I$15:$J$24,2,FALSE))</f>
        <v/>
      </c>
      <c r="J8" s="171" t="str">
        <f t="shared" ref="J8" si="7">IF(H8&lt;&gt;"",1,"")</f>
        <v/>
      </c>
      <c r="K8" s="31"/>
      <c r="L8" s="29"/>
      <c r="M8" s="29"/>
      <c r="N8" s="29"/>
      <c r="O8" s="165"/>
      <c r="P8" s="165"/>
      <c r="Q8" s="130"/>
      <c r="R8" s="130"/>
      <c r="S8" s="130"/>
      <c r="T8" s="130"/>
      <c r="U8" s="130"/>
    </row>
    <row r="9" spans="1:21" ht="15" customHeight="1" x14ac:dyDescent="0.25">
      <c r="D9" s="154" t="s">
        <v>164</v>
      </c>
      <c r="E9" s="145" t="str">
        <f>IF(H9="","","2013")</f>
        <v/>
      </c>
      <c r="F9" s="145" t="str">
        <f t="shared" ref="F9:F13" si="8">IF(H9="","","b")</f>
        <v/>
      </c>
      <c r="G9" s="145" t="str">
        <f>IF(H9="","","1")</f>
        <v/>
      </c>
      <c r="H9" s="197" t="str">
        <f>IF(A2="relevant",IF(Matrix!N23="","",IF((Matrix!N23)&gt;(Matrix!C23),Berechnung2!$L$57,"")),"")</f>
        <v/>
      </c>
      <c r="I9" s="150" t="str">
        <f t="array" ref="I9">IF(H9="","",VLOOKUP(F9,Berechnung2!$I$15:$J$24,2,FALSE))</f>
        <v/>
      </c>
      <c r="J9" s="173" t="str">
        <f t="shared" ref="J9:J25" si="9">IF(H9&lt;&gt;"",1,"")</f>
        <v/>
      </c>
      <c r="K9" s="148"/>
      <c r="L9" s="29" t="str">
        <f t="array" aca="1" ref="L9" ca="1">IF(ROW()-ROW($F$2:$F$48)+1&gt;ROWS($E$2:$E$48)-COUNTBLANK($E$2:$E$48),"",INDIRECT(ADDRESS(SMALL((IF($E$2:$E$48&lt;&gt;"",ROW($E$2:$E$48),ROW()+ROWS($E$2:$E$48))),ROW()-ROW($F$2:$F$48)+1),COLUMN($E$2:$E$48),4)))</f>
        <v/>
      </c>
      <c r="M9" s="29" t="str">
        <f t="array" aca="1" ref="M9" ca="1">IF(ROW()-ROW($G$2:$G$48)+1&gt;ROWS($F$2:$F$48)-COUNTBLANK($F$2:$F$48),"",INDIRECT(ADDRESS(SMALL((IF($F$2:$F$48&lt;&gt;"",ROW($F$2:$F$48),ROW()+ROWS($F$2:$F$48))),ROW()-ROW($G$2:$G$48)+1),COLUMN($F$2:$F$48),4)))</f>
        <v/>
      </c>
      <c r="N9" s="29" t="str">
        <f t="array" aca="1" ref="N9" ca="1">IF(ROW()-ROW($H$2:$H$48)+1&gt;ROWS($G$2:$G$48)-COUNTBLANK($G$2:$G$48),"",INDIRECT(ADDRESS(SMALL((IF($G$2:$G$48&lt;&gt;"",ROW($G$2:$G$48),ROW()+ROWS($G$2:$G$48))),ROW()-ROW($H$2:$H$48)+1),COLUMN($G$2:$G$48),4)))</f>
        <v/>
      </c>
      <c r="O9" s="165" t="str">
        <f t="array" aca="1" ref="O9" ca="1">IF(ROW()-ROW($I$2:$I$48)+1&gt;ROWS($H$2:$H$48)-COUNTBLANK($H$2:$H$48),"",INDIRECT(ADDRESS(SMALL((IF($H$2:$H$48&lt;&gt;"",ROW($H$2:$H$48),ROW()+ROWS($H$2:$H$48))),ROW()-ROW($I$2:$I$48)+1),COLUMN($H$2:$H$48),4)))</f>
        <v/>
      </c>
      <c r="P9" s="165" t="str">
        <f t="array" aca="1" ref="P9" ca="1">IF(ROW()-ROW($J$2:$J$48)+1&gt;ROWS($I$2:$I$48)-COUNTBLANK($I$2:$I$48),"",INDIRECT(ADDRESS(SMALL((IF($I$2:$I$48&lt;&gt;"",ROW($I$2:$I$48),ROW()+ROWS($I$2:$I$48))),ROW()-ROW($J$2:$J$48)+1),COLUMN($I$2:$I$48),4)))</f>
        <v/>
      </c>
      <c r="Q9" s="130"/>
      <c r="R9" s="130"/>
      <c r="S9" s="130"/>
      <c r="T9" s="130"/>
      <c r="U9" s="130"/>
    </row>
    <row r="10" spans="1:21" ht="15" customHeight="1" x14ac:dyDescent="0.25">
      <c r="D10" s="959" t="s">
        <v>224</v>
      </c>
      <c r="E10" s="29" t="str">
        <f>IF(H10="","","2014")</f>
        <v/>
      </c>
      <c r="F10" s="45" t="str">
        <f t="shared" si="8"/>
        <v/>
      </c>
      <c r="G10" s="45" t="str">
        <f t="shared" ref="G10:G13" si="10">IF(H10="","","1")</f>
        <v/>
      </c>
      <c r="H10" s="198" t="str">
        <f>IF(A3="relevant",IF(Matrix!N24="","",IF((Matrix!N24)&gt;(Matrix!C24),Berechnung2!$L$57,"")),"")</f>
        <v/>
      </c>
      <c r="I10" s="155" t="str">
        <f t="array" ref="I10">IF(H10="","",VLOOKUP(F10,Berechnung2!$I$15:$J$24,2,FALSE))</f>
        <v/>
      </c>
      <c r="J10" s="171" t="str">
        <f t="shared" si="9"/>
        <v/>
      </c>
      <c r="L10" s="29" t="str">
        <f t="array" aca="1" ref="L10" ca="1">IF(ROW()-ROW($F$2:$F$48)+1&gt;ROWS($E$2:$E$48)-COUNTBLANK($E$2:$E$48),"",INDIRECT(ADDRESS(SMALL((IF($E$2:$E$48&lt;&gt;"",ROW($E$2:$E$48),ROW()+ROWS($E$2:$E$48))),ROW()-ROW($F$2:$F$48)+1),COLUMN($E$2:$E$48),4)))</f>
        <v/>
      </c>
      <c r="M10" s="29" t="str">
        <f t="array" aca="1" ref="M10" ca="1">IF(ROW()-ROW($G$2:$G$48)+1&gt;ROWS($F$2:$F$48)-COUNTBLANK($F$2:$F$48),"",INDIRECT(ADDRESS(SMALL((IF($F$2:$F$48&lt;&gt;"",ROW($F$2:$F$48),ROW()+ROWS($F$2:$F$48))),ROW()-ROW($G$2:$G$48)+1),COLUMN($F$2:$F$48),4)))</f>
        <v/>
      </c>
      <c r="N10" s="29" t="str">
        <f t="array" aca="1" ref="N10" ca="1">IF(ROW()-ROW($H$2:$H$48)+1&gt;ROWS($G$2:$G$48)-COUNTBLANK($G$2:$G$48),"",INDIRECT(ADDRESS(SMALL((IF($G$2:$G$48&lt;&gt;"",ROW($G$2:$G$48),ROW()+ROWS($G$2:$G$48))),ROW()-ROW($H$2:$H$48)+1),COLUMN($G$2:$G$48),4)))</f>
        <v/>
      </c>
      <c r="O10" s="165" t="str">
        <f t="array" aca="1" ref="O10" ca="1">IF(ROW()-ROW($I$2:$I$48)+1&gt;ROWS($H$2:$H$48)-COUNTBLANK($H$2:$H$48),"",INDIRECT(ADDRESS(SMALL((IF($H$2:$H$48&lt;&gt;"",ROW($H$2:$H$48),ROW()+ROWS($H$2:$H$48))),ROW()-ROW($I$2:$I$48)+1),COLUMN($H$2:$H$48),4)))</f>
        <v/>
      </c>
      <c r="P10" s="165" t="str">
        <f t="array" aca="1" ref="P10" ca="1">IF(ROW()-ROW($J$2:$J$48)+1&gt;ROWS($I$2:$I$48)-COUNTBLANK($I$2:$I$48),"",INDIRECT(ADDRESS(SMALL((IF($I$2:$I$48&lt;&gt;"",ROW($I$2:$I$48),ROW()+ROWS($I$2:$I$48))),ROW()-ROW($J$2:$J$48)+1),COLUMN($I$2:$I$48),4)))</f>
        <v/>
      </c>
    </row>
    <row r="11" spans="1:21" ht="15" customHeight="1" x14ac:dyDescent="0.25">
      <c r="D11" s="959"/>
      <c r="E11" s="29" t="str">
        <f>IF(H11="","","2015")</f>
        <v/>
      </c>
      <c r="F11" s="45" t="str">
        <f t="shared" si="8"/>
        <v/>
      </c>
      <c r="G11" s="45" t="str">
        <f t="shared" si="10"/>
        <v/>
      </c>
      <c r="H11" s="198" t="str">
        <f>IF(A4="relevant",IF(Matrix!N25="","",IF((Matrix!N25)&gt;(Matrix!C25),Berechnung2!$L$57,"")),"")</f>
        <v/>
      </c>
      <c r="I11" s="155" t="str">
        <f t="array" ref="I11">IF(H11="","",VLOOKUP(F11,Berechnung2!$I$15:$J$24,2,FALSE))</f>
        <v/>
      </c>
      <c r="J11" s="171" t="str">
        <f t="shared" si="9"/>
        <v/>
      </c>
      <c r="L11" s="29" t="str">
        <f t="array" aca="1" ref="L11" ca="1">IF(ROW()-ROW($F$2:$F$48)+1&gt;ROWS($E$2:$E$48)-COUNTBLANK($E$2:$E$48),"",INDIRECT(ADDRESS(SMALL((IF($E$2:$E$48&lt;&gt;"",ROW($E$2:$E$48),ROW()+ROWS($E$2:$E$48))),ROW()-ROW($F$2:$F$48)+1),COLUMN($E$2:$E$48),4)))</f>
        <v/>
      </c>
      <c r="M11" s="29" t="str">
        <f t="array" aca="1" ref="M11" ca="1">IF(ROW()-ROW($G$2:$G$48)+1&gt;ROWS($F$2:$F$48)-COUNTBLANK($F$2:$F$48),"",INDIRECT(ADDRESS(SMALL((IF($F$2:$F$48&lt;&gt;"",ROW($F$2:$F$48),ROW()+ROWS($F$2:$F$48))),ROW()-ROW($G$2:$G$48)+1),COLUMN($F$2:$F$48),4)))</f>
        <v/>
      </c>
      <c r="N11" s="29" t="str">
        <f t="array" aca="1" ref="N11" ca="1">IF(ROW()-ROW($H$2:$H$48)+1&gt;ROWS($G$2:$G$48)-COUNTBLANK($G$2:$G$48),"",INDIRECT(ADDRESS(SMALL((IF($G$2:$G$48&lt;&gt;"",ROW($G$2:$G$48),ROW()+ROWS($G$2:$G$48))),ROW()-ROW($H$2:$H$48)+1),COLUMN($G$2:$G$48),4)))</f>
        <v/>
      </c>
      <c r="O11" s="165" t="str">
        <f t="array" aca="1" ref="O11" ca="1">IF(ROW()-ROW($I$2:$I$48)+1&gt;ROWS($H$2:$H$48)-COUNTBLANK($H$2:$H$48),"",INDIRECT(ADDRESS(SMALL((IF($H$2:$H$48&lt;&gt;"",ROW($H$2:$H$48),ROW()+ROWS($H$2:$H$48))),ROW()-ROW($I$2:$I$48)+1),COLUMN($H$2:$H$48),4)))</f>
        <v/>
      </c>
      <c r="P11" s="165" t="str">
        <f t="array" aca="1" ref="P11" ca="1">IF(ROW()-ROW($J$2:$J$48)+1&gt;ROWS($I$2:$I$48)-COUNTBLANK($I$2:$I$48),"",INDIRECT(ADDRESS(SMALL((IF($I$2:$I$48&lt;&gt;"",ROW($I$2:$I$48),ROW()+ROWS($I$2:$I$48))),ROW()-ROW($J$2:$J$48)+1),COLUMN($I$2:$I$48),4)))</f>
        <v/>
      </c>
    </row>
    <row r="12" spans="1:21" ht="15" customHeight="1" x14ac:dyDescent="0.25">
      <c r="D12" s="959"/>
      <c r="E12" s="29" t="str">
        <f>IF(H12="","","2016")</f>
        <v/>
      </c>
      <c r="F12" s="45" t="str">
        <f t="shared" si="8"/>
        <v/>
      </c>
      <c r="G12" s="45" t="str">
        <f t="shared" si="10"/>
        <v/>
      </c>
      <c r="H12" s="198" t="str">
        <f>IF(A5="relevant",IF(Matrix!N26="","",IF((Matrix!N26)&gt;(Matrix!C26),Berechnung2!$L$57,"")),"")</f>
        <v/>
      </c>
      <c r="I12" s="155" t="str">
        <f t="array" ref="I12">IF(H12="","",VLOOKUP(F12,Berechnung2!$I$15:$J$24,2,FALSE))</f>
        <v/>
      </c>
      <c r="J12" s="171" t="str">
        <f t="shared" si="9"/>
        <v/>
      </c>
      <c r="L12" s="29" t="str">
        <f t="array" aca="1" ref="L12" ca="1">IF(ROW()-ROW($F$2:$F$48)+1&gt;ROWS($E$2:$E$48)-COUNTBLANK($E$2:$E$48),"",INDIRECT(ADDRESS(SMALL((IF($E$2:$E$48&lt;&gt;"",ROW($E$2:$E$48),ROW()+ROWS($E$2:$E$48))),ROW()-ROW($F$2:$F$48)+1),COLUMN($E$2:$E$48),4)))</f>
        <v/>
      </c>
      <c r="M12" s="29" t="str">
        <f t="array" aca="1" ref="M12" ca="1">IF(ROW()-ROW($G$2:$G$48)+1&gt;ROWS($F$2:$F$48)-COUNTBLANK($F$2:$F$48),"",INDIRECT(ADDRESS(SMALL((IF($F$2:$F$48&lt;&gt;"",ROW($F$2:$F$48),ROW()+ROWS($F$2:$F$48))),ROW()-ROW($G$2:$G$48)+1),COLUMN($F$2:$F$48),4)))</f>
        <v/>
      </c>
      <c r="N12" s="29" t="str">
        <f t="array" aca="1" ref="N12" ca="1">IF(ROW()-ROW($H$2:$H$48)+1&gt;ROWS($G$2:$G$48)-COUNTBLANK($G$2:$G$48),"",INDIRECT(ADDRESS(SMALL((IF($G$2:$G$48&lt;&gt;"",ROW($G$2:$G$48),ROW()+ROWS($G$2:$G$48))),ROW()-ROW($H$2:$H$48)+1),COLUMN($G$2:$G$48),4)))</f>
        <v/>
      </c>
      <c r="O12" s="165" t="str">
        <f t="array" aca="1" ref="O12" ca="1">IF(ROW()-ROW($I$2:$I$48)+1&gt;ROWS($H$2:$H$48)-COUNTBLANK($H$2:$H$48),"",INDIRECT(ADDRESS(SMALL((IF($H$2:$H$48&lt;&gt;"",ROW($H$2:$H$48),ROW()+ROWS($H$2:$H$48))),ROW()-ROW($I$2:$I$48)+1),COLUMN($H$2:$H$48),4)))</f>
        <v/>
      </c>
      <c r="P12" s="165" t="str">
        <f t="array" aca="1" ref="P12" ca="1">IF(ROW()-ROW($J$2:$J$48)+1&gt;ROWS($I$2:$I$48)-COUNTBLANK($I$2:$I$48),"",INDIRECT(ADDRESS(SMALL((IF($I$2:$I$48&lt;&gt;"",ROW($I$2:$I$48),ROW()+ROWS($I$2:$I$48))),ROW()-ROW($J$2:$J$48)+1),COLUMN($I$2:$I$48),4)))</f>
        <v/>
      </c>
    </row>
    <row r="13" spans="1:21" ht="15" customHeight="1" thickBot="1" x14ac:dyDescent="0.3">
      <c r="D13" s="359" t="s">
        <v>341</v>
      </c>
      <c r="E13" s="29" t="str">
        <f>IF(H13="","","2017")</f>
        <v/>
      </c>
      <c r="F13" s="45" t="str">
        <f t="shared" si="8"/>
        <v/>
      </c>
      <c r="G13" s="45" t="str">
        <f t="shared" si="10"/>
        <v/>
      </c>
      <c r="H13" s="198" t="str">
        <f>IF(A6="relevant",IF(Matrix!N27="","",IF((Matrix!N27)&gt;(Matrix!C27),Berechnung2!$L$57,"")),"")</f>
        <v/>
      </c>
      <c r="I13" s="155" t="str">
        <f t="array" ref="I13">IF(H13="","",VLOOKUP(F13,Berechnung2!$I$15:$J$24,2,FALSE))</f>
        <v/>
      </c>
      <c r="J13" s="171" t="str">
        <f t="shared" si="9"/>
        <v/>
      </c>
      <c r="L13" s="29" t="str">
        <f t="array" aca="1" ref="L13" ca="1">IF(ROW()-ROW($F$2:$F$48)+1&gt;ROWS($E$2:$E$48)-COUNTBLANK($E$2:$E$48),"",INDIRECT(ADDRESS(SMALL((IF($E$2:$E$48&lt;&gt;"",ROW($E$2:$E$48),ROW()+ROWS($E$2:$E$48))),ROW()-ROW($F$2:$F$48)+1),COLUMN($E$2:$E$48),4)))</f>
        <v/>
      </c>
      <c r="M13" s="29" t="str">
        <f t="array" aca="1" ref="M13" ca="1">IF(ROW()-ROW($G$2:$G$48)+1&gt;ROWS($F$2:$F$48)-COUNTBLANK($F$2:$F$48),"",INDIRECT(ADDRESS(SMALL((IF($F$2:$F$48&lt;&gt;"",ROW($F$2:$F$48),ROW()+ROWS($F$2:$F$48))),ROW()-ROW($G$2:$G$48)+1),COLUMN($F$2:$F$48),4)))</f>
        <v/>
      </c>
      <c r="N13" s="29" t="str">
        <f t="array" aca="1" ref="N13" ca="1">IF(ROW()-ROW($H$2:$H$48)+1&gt;ROWS($G$2:$G$48)-COUNTBLANK($G$2:$G$48),"",INDIRECT(ADDRESS(SMALL((IF($G$2:$G$48&lt;&gt;"",ROW($G$2:$G$48),ROW()+ROWS($G$2:$G$48))),ROW()-ROW($H$2:$H$48)+1),COLUMN($G$2:$G$48),4)))</f>
        <v/>
      </c>
      <c r="O13" s="165" t="str">
        <f t="array" aca="1" ref="O13" ca="1">IF(ROW()-ROW($I$2:$I$48)+1&gt;ROWS($H$2:$H$48)-COUNTBLANK($H$2:$H$48),"",INDIRECT(ADDRESS(SMALL((IF($H$2:$H$48&lt;&gt;"",ROW($H$2:$H$48),ROW()+ROWS($H$2:$H$48))),ROW()-ROW($I$2:$I$48)+1),COLUMN($H$2:$H$48),4)))</f>
        <v/>
      </c>
      <c r="P13" s="165" t="str">
        <f t="array" aca="1" ref="P13" ca="1">IF(ROW()-ROW($J$2:$J$48)+1&gt;ROWS($I$2:$I$48)-COUNTBLANK($I$2:$I$48),"",INDIRECT(ADDRESS(SMALL((IF($I$2:$I$48&lt;&gt;"",ROW($I$2:$I$48),ROW()+ROWS($I$2:$I$48))),ROW()-ROW($J$2:$J$48)+1),COLUMN($I$2:$I$48),4)))</f>
        <v/>
      </c>
    </row>
    <row r="14" spans="1:21" ht="15" customHeight="1" x14ac:dyDescent="0.25">
      <c r="A14" s="156"/>
      <c r="D14" s="154" t="s">
        <v>164</v>
      </c>
      <c r="E14" s="145" t="str">
        <f>IF(H14="","","2013")</f>
        <v/>
      </c>
      <c r="F14" s="145" t="str">
        <f t="shared" ref="F14:F18" si="11">IF(H14="","","c")</f>
        <v/>
      </c>
      <c r="G14" s="145" t="str">
        <f>IF(H14="","","1")</f>
        <v/>
      </c>
      <c r="H14" s="197" t="str">
        <f>IF(A2="relevant",IF(Matrix!T23&lt;Berechnung2!$G$63,Berechnung2!$L$63,""),"")</f>
        <v/>
      </c>
      <c r="I14" s="150" t="str">
        <f t="array" ref="I14">IF(H14="","",VLOOKUP(F14,Berechnung2!$I$15:$J$24,2,FALSE))</f>
        <v/>
      </c>
      <c r="J14" s="173" t="str">
        <f t="shared" si="9"/>
        <v/>
      </c>
      <c r="L14" s="29" t="str">
        <f t="array" aca="1" ref="L14" ca="1">IF(ROW()-ROW($F$2:$F$48)+1&gt;ROWS($E$2:$E$48)-COUNTBLANK($E$2:$E$48),"",INDIRECT(ADDRESS(SMALL((IF($E$2:$E$48&lt;&gt;"",ROW($E$2:$E$48),ROW()+ROWS($E$2:$E$48))),ROW()-ROW($F$2:$F$48)+1),COLUMN($E$2:$E$48),4)))</f>
        <v/>
      </c>
      <c r="M14" s="29" t="str">
        <f t="array" aca="1" ref="M14" ca="1">IF(ROW()-ROW($G$2:$G$48)+1&gt;ROWS($F$2:$F$48)-COUNTBLANK($F$2:$F$48),"",INDIRECT(ADDRESS(SMALL((IF($F$2:$F$48&lt;&gt;"",ROW($F$2:$F$48),ROW()+ROWS($F$2:$F$48))),ROW()-ROW($G$2:$G$48)+1),COLUMN($F$2:$F$48),4)))</f>
        <v/>
      </c>
      <c r="N14" s="29" t="str">
        <f t="array" aca="1" ref="N14" ca="1">IF(ROW()-ROW($H$2:$H$48)+1&gt;ROWS($G$2:$G$48)-COUNTBLANK($G$2:$G$48),"",INDIRECT(ADDRESS(SMALL((IF($G$2:$G$48&lt;&gt;"",ROW($G$2:$G$48),ROW()+ROWS($G$2:$G$48))),ROW()-ROW($H$2:$H$48)+1),COLUMN($G$2:$G$48),4)))</f>
        <v/>
      </c>
      <c r="O14" s="165" t="str">
        <f t="array" aca="1" ref="O14" ca="1">IF(ROW()-ROW($I$2:$I$48)+1&gt;ROWS($H$2:$H$48)-COUNTBLANK($H$2:$H$48),"",INDIRECT(ADDRESS(SMALL((IF($H$2:$H$48&lt;&gt;"",ROW($H$2:$H$48),ROW()+ROWS($H$2:$H$48))),ROW()-ROW($I$2:$I$48)+1),COLUMN($H$2:$H$48),4)))</f>
        <v/>
      </c>
      <c r="P14" s="165" t="str">
        <f t="array" aca="1" ref="P14" ca="1">IF(ROW()-ROW($J$2:$J$48)+1&gt;ROWS($I$2:$I$48)-COUNTBLANK($I$2:$I$48),"",INDIRECT(ADDRESS(SMALL((IF($I$2:$I$48&lt;&gt;"",ROW($I$2:$I$48),ROW()+ROWS($I$2:$I$48))),ROW()-ROW($J$2:$J$48)+1),COLUMN($I$2:$I$48),4)))</f>
        <v/>
      </c>
    </row>
    <row r="15" spans="1:21" ht="15" customHeight="1" x14ac:dyDescent="0.25">
      <c r="A15" s="156"/>
      <c r="D15" s="960" t="s">
        <v>516</v>
      </c>
      <c r="E15" s="29" t="str">
        <f>IF(H15="","","2014")</f>
        <v/>
      </c>
      <c r="F15" s="45" t="str">
        <f t="shared" si="11"/>
        <v/>
      </c>
      <c r="G15" s="45" t="str">
        <f t="shared" ref="G15:G18" si="12">IF(H15="","","1")</f>
        <v/>
      </c>
      <c r="H15" s="198" t="str">
        <f>IF(A3="relevant",IF(Matrix!T24&lt;Berechnung2!$G$63,Berechnung2!$L$63,""),"")</f>
        <v/>
      </c>
      <c r="I15" s="155" t="str">
        <f t="array" ref="I15">IF(H15="","",VLOOKUP(F15,Berechnung2!$I$15:$J$24,2,FALSE))</f>
        <v/>
      </c>
      <c r="J15" s="171" t="str">
        <f t="shared" si="9"/>
        <v/>
      </c>
      <c r="L15" s="29" t="str">
        <f t="array" aca="1" ref="L15" ca="1">IF(ROW()-ROW($F$2:$F$48)+1&gt;ROWS($E$2:$E$48)-COUNTBLANK($E$2:$E$48),"",INDIRECT(ADDRESS(SMALL((IF($E$2:$E$48&lt;&gt;"",ROW($E$2:$E$48),ROW()+ROWS($E$2:$E$48))),ROW()-ROW($F$2:$F$48)+1),COLUMN($E$2:$E$48),4)))</f>
        <v/>
      </c>
      <c r="M15" s="29" t="str">
        <f t="array" aca="1" ref="M15" ca="1">IF(ROW()-ROW($G$2:$G$48)+1&gt;ROWS($F$2:$F$48)-COUNTBLANK($F$2:$F$48),"",INDIRECT(ADDRESS(SMALL((IF($F$2:$F$48&lt;&gt;"",ROW($F$2:$F$48),ROW()+ROWS($F$2:$F$48))),ROW()-ROW($G$2:$G$48)+1),COLUMN($F$2:$F$48),4)))</f>
        <v/>
      </c>
      <c r="N15" s="29" t="str">
        <f t="array" aca="1" ref="N15" ca="1">IF(ROW()-ROW($H$2:$H$48)+1&gt;ROWS($G$2:$G$48)-COUNTBLANK($G$2:$G$48),"",INDIRECT(ADDRESS(SMALL((IF($G$2:$G$48&lt;&gt;"",ROW($G$2:$G$48),ROW()+ROWS($G$2:$G$48))),ROW()-ROW($H$2:$H$48)+1),COLUMN($G$2:$G$48),4)))</f>
        <v/>
      </c>
      <c r="O15" s="165" t="str">
        <f t="array" aca="1" ref="O15" ca="1">IF(ROW()-ROW($I$2:$I$48)+1&gt;ROWS($H$2:$H$48)-COUNTBLANK($H$2:$H$48),"",INDIRECT(ADDRESS(SMALL((IF($H$2:$H$48&lt;&gt;"",ROW($H$2:$H$48),ROW()+ROWS($H$2:$H$48))),ROW()-ROW($I$2:$I$48)+1),COLUMN($H$2:$H$48),4)))</f>
        <v/>
      </c>
      <c r="P15" s="165" t="str">
        <f t="array" aca="1" ref="P15" ca="1">IF(ROW()-ROW($J$2:$J$48)+1&gt;ROWS($I$2:$I$48)-COUNTBLANK($I$2:$I$48),"",INDIRECT(ADDRESS(SMALL((IF($I$2:$I$48&lt;&gt;"",ROW($I$2:$I$48),ROW()+ROWS($I$2:$I$48))),ROW()-ROW($J$2:$J$48)+1),COLUMN($I$2:$I$48),4)))</f>
        <v/>
      </c>
    </row>
    <row r="16" spans="1:21" ht="15" customHeight="1" x14ac:dyDescent="0.25">
      <c r="A16" s="156"/>
      <c r="D16" s="960"/>
      <c r="E16" s="29" t="str">
        <f>IF(H16="","","2015")</f>
        <v/>
      </c>
      <c r="F16" s="45" t="str">
        <f t="shared" si="11"/>
        <v/>
      </c>
      <c r="G16" s="45" t="str">
        <f t="shared" si="12"/>
        <v/>
      </c>
      <c r="H16" s="198" t="str">
        <f>IF(A4="relevant",IF(Matrix!T25&lt;Berechnung2!$G$63,Berechnung2!$L$63,""),"")</f>
        <v/>
      </c>
      <c r="I16" s="155" t="str">
        <f t="array" ref="I16">IF(H16="","",VLOOKUP(F16,Berechnung2!$I$15:$J$24,2,FALSE))</f>
        <v/>
      </c>
      <c r="J16" s="171" t="str">
        <f t="shared" si="9"/>
        <v/>
      </c>
      <c r="L16" s="29" t="str">
        <f t="array" aca="1" ref="L16" ca="1">IF(ROW()-ROW($F$2:$F$48)+1&gt;ROWS($E$2:$E$48)-COUNTBLANK($E$2:$E$48),"",INDIRECT(ADDRESS(SMALL((IF($E$2:$E$48&lt;&gt;"",ROW($E$2:$E$48),ROW()+ROWS($E$2:$E$48))),ROW()-ROW($F$2:$F$48)+1),COLUMN($E$2:$E$48),4)))</f>
        <v/>
      </c>
      <c r="M16" s="29" t="str">
        <f t="array" aca="1" ref="M16" ca="1">IF(ROW()-ROW($G$2:$G$48)+1&gt;ROWS($F$2:$F$48)-COUNTBLANK($F$2:$F$48),"",INDIRECT(ADDRESS(SMALL((IF($F$2:$F$48&lt;&gt;"",ROW($F$2:$F$48),ROW()+ROWS($F$2:$F$48))),ROW()-ROW($G$2:$G$48)+1),COLUMN($F$2:$F$48),4)))</f>
        <v/>
      </c>
      <c r="N16" s="29" t="str">
        <f t="array" aca="1" ref="N16" ca="1">IF(ROW()-ROW($H$2:$H$48)+1&gt;ROWS($G$2:$G$48)-COUNTBLANK($G$2:$G$48),"",INDIRECT(ADDRESS(SMALL((IF($G$2:$G$48&lt;&gt;"",ROW($G$2:$G$48),ROW()+ROWS($G$2:$G$48))),ROW()-ROW($H$2:$H$48)+1),COLUMN($G$2:$G$48),4)))</f>
        <v/>
      </c>
      <c r="O16" s="165" t="str">
        <f t="array" aca="1" ref="O16" ca="1">IF(ROW()-ROW($I$2:$I$48)+1&gt;ROWS($H$2:$H$48)-COUNTBLANK($H$2:$H$48),"",INDIRECT(ADDRESS(SMALL((IF($H$2:$H$48&lt;&gt;"",ROW($H$2:$H$48),ROW()+ROWS($H$2:$H$48))),ROW()-ROW($I$2:$I$48)+1),COLUMN($H$2:$H$48),4)))</f>
        <v/>
      </c>
      <c r="P16" s="165" t="str">
        <f t="array" aca="1" ref="P16" ca="1">IF(ROW()-ROW($J$2:$J$48)+1&gt;ROWS($I$2:$I$48)-COUNTBLANK($I$2:$I$48),"",INDIRECT(ADDRESS(SMALL((IF($I$2:$I$48&lt;&gt;"",ROW($I$2:$I$48),ROW()+ROWS($I$2:$I$48))),ROW()-ROW($J$2:$J$48)+1),COLUMN($I$2:$I$48),4)))</f>
        <v/>
      </c>
    </row>
    <row r="17" spans="1:16" ht="39" customHeight="1" x14ac:dyDescent="0.25">
      <c r="D17" s="960"/>
      <c r="E17" s="29" t="str">
        <f>IF(H17="","","2016")</f>
        <v/>
      </c>
      <c r="F17" s="45" t="str">
        <f t="shared" si="11"/>
        <v/>
      </c>
      <c r="G17" s="45" t="str">
        <f t="shared" si="12"/>
        <v/>
      </c>
      <c r="H17" s="198" t="str">
        <f>IF(A5="relevant",IF(Matrix!T26&lt;Berechnung2!$G$63,Berechnung2!$L$63,""),"")</f>
        <v/>
      </c>
      <c r="I17" s="155" t="str">
        <f t="array" ref="I17">IF(H17="","",VLOOKUP(F17,Berechnung2!$I$15:$J$24,2,FALSE))</f>
        <v/>
      </c>
      <c r="J17" s="171" t="str">
        <f t="shared" si="9"/>
        <v/>
      </c>
      <c r="L17" s="29" t="str">
        <f t="array" aca="1" ref="L17" ca="1">IF(ROW()-ROW($F$2:$F$48)+1&gt;ROWS($E$2:$E$48)-COUNTBLANK($E$2:$E$48),"",INDIRECT(ADDRESS(SMALL((IF($E$2:$E$48&lt;&gt;"",ROW($E$2:$E$48),ROW()+ROWS($E$2:$E$48))),ROW()-ROW($F$2:$F$48)+1),COLUMN($E$2:$E$48),4)))</f>
        <v/>
      </c>
      <c r="M17" s="29" t="str">
        <f t="array" aca="1" ref="M17" ca="1">IF(ROW()-ROW($G$2:$G$48)+1&gt;ROWS($F$2:$F$48)-COUNTBLANK($F$2:$F$48),"",INDIRECT(ADDRESS(SMALL((IF($F$2:$F$48&lt;&gt;"",ROW($F$2:$F$48),ROW()+ROWS($F$2:$F$48))),ROW()-ROW($G$2:$G$48)+1),COLUMN($F$2:$F$48),4)))</f>
        <v/>
      </c>
      <c r="N17" s="29" t="str">
        <f t="array" aca="1" ref="N17" ca="1">IF(ROW()-ROW($H$2:$H$48)+1&gt;ROWS($G$2:$G$48)-COUNTBLANK($G$2:$G$48),"",INDIRECT(ADDRESS(SMALL((IF($G$2:$G$48&lt;&gt;"",ROW($G$2:$G$48),ROW()+ROWS($G$2:$G$48))),ROW()-ROW($H$2:$H$48)+1),COLUMN($G$2:$G$48),4)))</f>
        <v/>
      </c>
      <c r="O17" s="165" t="str">
        <f t="array" aca="1" ref="O17" ca="1">IF(ROW()-ROW($I$2:$I$48)+1&gt;ROWS($H$2:$H$48)-COUNTBLANK($H$2:$H$48),"",INDIRECT(ADDRESS(SMALL((IF($H$2:$H$48&lt;&gt;"",ROW($H$2:$H$48),ROW()+ROWS($H$2:$H$48))),ROW()-ROW($I$2:$I$48)+1),COLUMN($H$2:$H$48),4)))</f>
        <v/>
      </c>
      <c r="P17" s="165" t="str">
        <f t="array" aca="1" ref="P17" ca="1">IF(ROW()-ROW($J$2:$J$48)+1&gt;ROWS($I$2:$I$48)-COUNTBLANK($I$2:$I$48),"",INDIRECT(ADDRESS(SMALL((IF($I$2:$I$48&lt;&gt;"",ROW($I$2:$I$48),ROW()+ROWS($I$2:$I$48))),ROW()-ROW($J$2:$J$48)+1),COLUMN($I$2:$I$48),4)))</f>
        <v/>
      </c>
    </row>
    <row r="18" spans="1:16" ht="15" customHeight="1" thickBot="1" x14ac:dyDescent="0.3">
      <c r="A18" s="147"/>
      <c r="D18" s="359" t="s">
        <v>342</v>
      </c>
      <c r="E18" s="29" t="str">
        <f>IF(H18="","","2017")</f>
        <v/>
      </c>
      <c r="F18" s="45" t="str">
        <f t="shared" si="11"/>
        <v/>
      </c>
      <c r="G18" s="45" t="str">
        <f t="shared" si="12"/>
        <v/>
      </c>
      <c r="H18" s="198" t="str">
        <f>IF(A6="relevant",IF(Matrix!T27&lt;Berechnung2!$G$63,Berechnung2!$L$63,""),"")</f>
        <v/>
      </c>
      <c r="I18" s="155" t="str">
        <f t="array" ref="I18">IF(H18="","",VLOOKUP(F18,Berechnung2!$I$15:$J$24,2,FALSE))</f>
        <v/>
      </c>
      <c r="J18" s="171" t="str">
        <f t="shared" si="9"/>
        <v/>
      </c>
      <c r="L18" s="29" t="str">
        <f t="array" aca="1" ref="L18" ca="1">IF(ROW()-ROW($F$2:$F$48)+1&gt;ROWS($E$2:$E$48)-COUNTBLANK($E$2:$E$48),"",INDIRECT(ADDRESS(SMALL((IF($E$2:$E$48&lt;&gt;"",ROW($E$2:$E$48),ROW()+ROWS($E$2:$E$48))),ROW()-ROW($F$2:$F$48)+1),COLUMN($E$2:$E$48),4)))</f>
        <v/>
      </c>
      <c r="M18" s="29" t="str">
        <f t="array" aca="1" ref="M18" ca="1">IF(ROW()-ROW($G$2:$G$48)+1&gt;ROWS($F$2:$F$48)-COUNTBLANK($F$2:$F$48),"",INDIRECT(ADDRESS(SMALL((IF($F$2:$F$48&lt;&gt;"",ROW($F$2:$F$48),ROW()+ROWS($F$2:$F$48))),ROW()-ROW($G$2:$G$48)+1),COLUMN($F$2:$F$48),4)))</f>
        <v/>
      </c>
      <c r="N18" s="29" t="str">
        <f t="array" aca="1" ref="N18" ca="1">IF(ROW()-ROW($H$2:$H$48)+1&gt;ROWS($G$2:$G$48)-COUNTBLANK($G$2:$G$48),"",INDIRECT(ADDRESS(SMALL((IF($G$2:$G$48&lt;&gt;"",ROW($G$2:$G$48),ROW()+ROWS($G$2:$G$48))),ROW()-ROW($H$2:$H$48)+1),COLUMN($G$2:$G$48),4)))</f>
        <v/>
      </c>
      <c r="O18" s="165" t="str">
        <f t="array" aca="1" ref="O18" ca="1">IF(ROW()-ROW($I$2:$I$48)+1&gt;ROWS($H$2:$H$48)-COUNTBLANK($H$2:$H$48),"",INDIRECT(ADDRESS(SMALL((IF($H$2:$H$48&lt;&gt;"",ROW($H$2:$H$48),ROW()+ROWS($H$2:$H$48))),ROW()-ROW($I$2:$I$48)+1),COLUMN($H$2:$H$48),4)))</f>
        <v/>
      </c>
      <c r="P18" s="165" t="str">
        <f t="array" aca="1" ref="P18" ca="1">IF(ROW()-ROW($J$2:$J$48)+1&gt;ROWS($I$2:$I$48)-COUNTBLANK($I$2:$I$48),"",INDIRECT(ADDRESS(SMALL((IF($I$2:$I$48&lt;&gt;"",ROW($I$2:$I$48),ROW()+ROWS($I$2:$I$48))),ROW()-ROW($J$2:$J$48)+1),COLUMN($I$2:$I$48),4)))</f>
        <v/>
      </c>
    </row>
    <row r="19" spans="1:16" ht="40.5" customHeight="1" thickBot="1" x14ac:dyDescent="0.3">
      <c r="A19" s="156"/>
      <c r="D19" s="141" t="s">
        <v>385</v>
      </c>
      <c r="E19" s="337" t="str">
        <f>IF(H19="","","2015-2017")</f>
        <v/>
      </c>
      <c r="F19" s="195" t="str">
        <f>IF(H19="","","d")</f>
        <v/>
      </c>
      <c r="G19" s="195" t="str">
        <f>IF(H19="","","5")</f>
        <v/>
      </c>
      <c r="H19" s="194" t="str">
        <f>IF(OR(Matrix!$R$31="-----",Matrix!$R$31=""),"",IF(Matrix!R31="",0,IF(AND(ROUND(Matrix!R31,4)&gt;=Berechnung2!G59,ROUND(Matrix!R31,4)&lt;Berechnung2!J59),Berechnung2!L59,"")))</f>
        <v/>
      </c>
      <c r="I19" s="146" t="str">
        <f t="array" ref="I19">IF(H19="","",VLOOKUP(F19,Berechnung2!$I$15:$J$24,2,FALSE))</f>
        <v/>
      </c>
      <c r="J19" s="174" t="str">
        <f t="shared" si="9"/>
        <v/>
      </c>
      <c r="L19" s="29" t="str">
        <f t="array" aca="1" ref="L19" ca="1">IF(ROW()-ROW($F$2:$F$48)+1&gt;ROWS($E$2:$E$48)-COUNTBLANK($E$2:$E$48),"",INDIRECT(ADDRESS(SMALL((IF($E$2:$E$48&lt;&gt;"",ROW($E$2:$E$48),ROW()+ROWS($E$2:$E$48))),ROW()-ROW($F$2:$F$48)+1),COLUMN($E$2:$E$48),4)))</f>
        <v/>
      </c>
      <c r="M19" s="29" t="str">
        <f t="array" aca="1" ref="M19" ca="1">IF(ROW()-ROW($G$2:$G$48)+1&gt;ROWS($F$2:$F$48)-COUNTBLANK($F$2:$F$48),"",INDIRECT(ADDRESS(SMALL((IF($F$2:$F$48&lt;&gt;"",ROW($F$2:$F$48),ROW()+ROWS($F$2:$F$48))),ROW()-ROW($G$2:$G$48)+1),COLUMN($F$2:$F$48),4)))</f>
        <v/>
      </c>
      <c r="N19" s="29" t="str">
        <f t="array" aca="1" ref="N19" ca="1">IF(ROW()-ROW($H$2:$H$48)+1&gt;ROWS($G$2:$G$48)-COUNTBLANK($G$2:$G$48),"",INDIRECT(ADDRESS(SMALL((IF($G$2:$G$48&lt;&gt;"",ROW($G$2:$G$48),ROW()+ROWS($G$2:$G$48))),ROW()-ROW($H$2:$H$48)+1),COLUMN($G$2:$G$48),4)))</f>
        <v/>
      </c>
      <c r="O19" s="165" t="str">
        <f t="array" aca="1" ref="O19" ca="1">IF(ROW()-ROW($I$2:$I$48)+1&gt;ROWS($H$2:$H$48)-COUNTBLANK($H$2:$H$48),"",INDIRECT(ADDRESS(SMALL((IF($H$2:$H$48&lt;&gt;"",ROW($H$2:$H$48),ROW()+ROWS($H$2:$H$48))),ROW()-ROW($I$2:$I$48)+1),COLUMN($H$2:$H$48),4)))</f>
        <v/>
      </c>
      <c r="P19" s="165" t="str">
        <f t="array" aca="1" ref="P19" ca="1">IF(ROW()-ROW($J$2:$J$48)+1&gt;ROWS($I$2:$I$48)-COUNTBLANK($I$2:$I$48),"",INDIRECT(ADDRESS(SMALL((IF($I$2:$I$48&lt;&gt;"",ROW($I$2:$I$48),ROW()+ROWS($I$2:$I$48))),ROW()-ROW($J$2:$J$48)+1),COLUMN($I$2:$I$48),4)))</f>
        <v/>
      </c>
    </row>
    <row r="20" spans="1:16" ht="15" customHeight="1" x14ac:dyDescent="0.25">
      <c r="A20" s="156"/>
      <c r="D20" s="153" t="s">
        <v>155</v>
      </c>
      <c r="E20" s="145" t="str">
        <f>IF(H20="","","2013")</f>
        <v/>
      </c>
      <c r="F20" s="145" t="str">
        <f t="shared" ref="F20:F24" si="13">IF(H20="","","e")</f>
        <v/>
      </c>
      <c r="G20" s="145" t="str">
        <f>IF(H20="","","6")</f>
        <v/>
      </c>
      <c r="H20" s="197" t="str">
        <f>IF(A2="relevant",IF(Matrix!C23="","",IF(Matrix!C23&lt;Berechnung2!$G$56,Berechnung2!$L$56,"")),"")</f>
        <v/>
      </c>
      <c r="I20" s="150" t="str">
        <f t="array" ref="I20">IF(H20="","",VLOOKUP(F20,Berechnung2!$I$15:$J$24,2,FALSE))</f>
        <v/>
      </c>
      <c r="J20" s="173" t="str">
        <f t="shared" si="9"/>
        <v/>
      </c>
      <c r="L20" s="29" t="str">
        <f t="array" aca="1" ref="L20" ca="1">IF(ROW()-ROW($F$2:$F$48)+1&gt;ROWS($E$2:$E$48)-COUNTBLANK($E$2:$E$48),"",INDIRECT(ADDRESS(SMALL((IF($E$2:$E$48&lt;&gt;"",ROW($E$2:$E$48),ROW()+ROWS($E$2:$E$48))),ROW()-ROW($F$2:$F$48)+1),COLUMN($E$2:$E$48),4)))</f>
        <v/>
      </c>
      <c r="M20" s="29" t="str">
        <f t="array" aca="1" ref="M20" ca="1">IF(ROW()-ROW($G$2:$G$48)+1&gt;ROWS($F$2:$F$48)-COUNTBLANK($F$2:$F$48),"",INDIRECT(ADDRESS(SMALL((IF($F$2:$F$48&lt;&gt;"",ROW($F$2:$F$48),ROW()+ROWS($F$2:$F$48))),ROW()-ROW($G$2:$G$48)+1),COLUMN($F$2:$F$48),4)))</f>
        <v/>
      </c>
      <c r="N20" s="29" t="str">
        <f t="array" aca="1" ref="N20" ca="1">IF(ROW()-ROW($H$2:$H$48)+1&gt;ROWS($G$2:$G$48)-COUNTBLANK($G$2:$G$48),"",INDIRECT(ADDRESS(SMALL((IF($G$2:$G$48&lt;&gt;"",ROW($G$2:$G$48),ROW()+ROWS($G$2:$G$48))),ROW()-ROW($H$2:$H$48)+1),COLUMN($G$2:$G$48),4)))</f>
        <v/>
      </c>
      <c r="O20" s="165" t="str">
        <f t="array" aca="1" ref="O20" ca="1">IF(ROW()-ROW($I$2:$I$48)+1&gt;ROWS($H$2:$H$48)-COUNTBLANK($H$2:$H$48),"",INDIRECT(ADDRESS(SMALL((IF($H$2:$H$48&lt;&gt;"",ROW($H$2:$H$48),ROW()+ROWS($H$2:$H$48))),ROW()-ROW($I$2:$I$48)+1),COLUMN($H$2:$H$48),4)))</f>
        <v/>
      </c>
      <c r="P20" s="165" t="str">
        <f t="array" aca="1" ref="P20" ca="1">IF(ROW()-ROW($J$2:$J$48)+1&gt;ROWS($I$2:$I$48)-COUNTBLANK($I$2:$I$48),"",INDIRECT(ADDRESS(SMALL((IF($I$2:$I$48&lt;&gt;"",ROW($I$2:$I$48),ROW()+ROWS($I$2:$I$48))),ROW()-ROW($J$2:$J$48)+1),COLUMN($I$2:$I$48),4)))</f>
        <v/>
      </c>
    </row>
    <row r="21" spans="1:16" ht="15" customHeight="1" x14ac:dyDescent="0.25">
      <c r="A21" s="156"/>
      <c r="D21" s="957" t="s">
        <v>207</v>
      </c>
      <c r="E21" s="29" t="str">
        <f>IF(H21="","","2014")</f>
        <v/>
      </c>
      <c r="F21" s="45" t="str">
        <f t="shared" si="13"/>
        <v/>
      </c>
      <c r="G21" s="45" t="str">
        <f t="shared" ref="G21:G24" si="14">IF(H21="","","6")</f>
        <v/>
      </c>
      <c r="H21" s="198" t="str">
        <f>IF(A3="relevant",IF(Matrix!C24="","",IF(Matrix!C24&lt;Berechnung2!$G$56,Berechnung2!$L$56,"")),"")</f>
        <v/>
      </c>
      <c r="I21" s="155" t="str">
        <f t="array" ref="I21">IF(H21="","",VLOOKUP(F21,Berechnung2!$I$15:$J$24,2,FALSE))</f>
        <v/>
      </c>
      <c r="J21" s="171" t="str">
        <f t="shared" si="9"/>
        <v/>
      </c>
      <c r="L21" s="29" t="str">
        <f t="array" aca="1" ref="L21" ca="1">IF(ROW()-ROW($F$2:$F$48)+1&gt;ROWS($E$2:$E$48)-COUNTBLANK($E$2:$E$48),"",INDIRECT(ADDRESS(SMALL((IF($E$2:$E$48&lt;&gt;"",ROW($E$2:$E$48),ROW()+ROWS($E$2:$E$48))),ROW()-ROW($F$2:$F$48)+1),COLUMN($E$2:$E$48),4)))</f>
        <v/>
      </c>
      <c r="M21" s="29" t="str">
        <f t="array" aca="1" ref="M21" ca="1">IF(ROW()-ROW($G$2:$G$48)+1&gt;ROWS($F$2:$F$48)-COUNTBLANK($F$2:$F$48),"",INDIRECT(ADDRESS(SMALL((IF($F$2:$F$48&lt;&gt;"",ROW($F$2:$F$48),ROW()+ROWS($F$2:$F$48))),ROW()-ROW($G$2:$G$48)+1),COLUMN($F$2:$F$48),4)))</f>
        <v/>
      </c>
      <c r="N21" s="29" t="str">
        <f t="array" aca="1" ref="N21" ca="1">IF(ROW()-ROW($H$2:$H$48)+1&gt;ROWS($G$2:$G$48)-COUNTBLANK($G$2:$G$48),"",INDIRECT(ADDRESS(SMALL((IF($G$2:$G$48&lt;&gt;"",ROW($G$2:$G$48),ROW()+ROWS($G$2:$G$48))),ROW()-ROW($H$2:$H$48)+1),COLUMN($G$2:$G$48),4)))</f>
        <v/>
      </c>
      <c r="O21" s="165" t="str">
        <f t="array" aca="1" ref="O21" ca="1">IF(ROW()-ROW($I$2:$I$48)+1&gt;ROWS($H$2:$H$48)-COUNTBLANK($H$2:$H$48),"",INDIRECT(ADDRESS(SMALL((IF($H$2:$H$48&lt;&gt;"",ROW($H$2:$H$48),ROW()+ROWS($H$2:$H$48))),ROW()-ROW($I$2:$I$48)+1),COLUMN($H$2:$H$48),4)))</f>
        <v/>
      </c>
      <c r="P21" s="165" t="str">
        <f t="array" aca="1" ref="P21" ca="1">IF(ROW()-ROW($J$2:$J$48)+1&gt;ROWS($I$2:$I$48)-COUNTBLANK($I$2:$I$48),"",INDIRECT(ADDRESS(SMALL((IF($I$2:$I$48&lt;&gt;"",ROW($I$2:$I$48),ROW()+ROWS($I$2:$I$48))),ROW()-ROW($J$2:$J$48)+1),COLUMN($I$2:$I$48),4)))</f>
        <v/>
      </c>
    </row>
    <row r="22" spans="1:16" ht="15" customHeight="1" x14ac:dyDescent="0.25">
      <c r="A22" s="156"/>
      <c r="D22" s="957"/>
      <c r="E22" s="29" t="str">
        <f>IF(H22="","","2015")</f>
        <v/>
      </c>
      <c r="F22" s="45" t="str">
        <f t="shared" si="13"/>
        <v/>
      </c>
      <c r="G22" s="45" t="str">
        <f t="shared" si="14"/>
        <v/>
      </c>
      <c r="H22" s="198" t="str">
        <f>IF(A4="relevant",IF(Matrix!C25="","",IF(Matrix!C25&lt;Berechnung2!$G$56,Berechnung2!$L$56,"")),"")</f>
        <v/>
      </c>
      <c r="I22" s="155" t="str">
        <f t="array" ref="I22">IF(H22="","",VLOOKUP(F22,Berechnung2!$I$15:$J$24,2,FALSE))</f>
        <v/>
      </c>
      <c r="J22" s="171" t="str">
        <f t="shared" si="9"/>
        <v/>
      </c>
      <c r="L22" s="29" t="str">
        <f t="array" aca="1" ref="L22" ca="1">IF(ROW()-ROW($F$2:$F$48)+1&gt;ROWS($E$2:$E$48)-COUNTBLANK($E$2:$E$48),"",INDIRECT(ADDRESS(SMALL((IF($E$2:$E$48&lt;&gt;"",ROW($E$2:$E$48),ROW()+ROWS($E$2:$E$48))),ROW()-ROW($F$2:$F$48)+1),COLUMN($E$2:$E$48),4)))</f>
        <v/>
      </c>
      <c r="M22" s="29" t="str">
        <f t="array" aca="1" ref="M22" ca="1">IF(ROW()-ROW($G$2:$G$48)+1&gt;ROWS($F$2:$F$48)-COUNTBLANK($F$2:$F$48),"",INDIRECT(ADDRESS(SMALL((IF($F$2:$F$48&lt;&gt;"",ROW($F$2:$F$48),ROW()+ROWS($F$2:$F$48))),ROW()-ROW($G$2:$G$48)+1),COLUMN($F$2:$F$48),4)))</f>
        <v/>
      </c>
      <c r="N22" s="29" t="str">
        <f t="array" aca="1" ref="N22" ca="1">IF(ROW()-ROW($H$2:$H$48)+1&gt;ROWS($G$2:$G$48)-COUNTBLANK($G$2:$G$48),"",INDIRECT(ADDRESS(SMALL((IF($G$2:$G$48&lt;&gt;"",ROW($G$2:$G$48),ROW()+ROWS($G$2:$G$48))),ROW()-ROW($H$2:$H$48)+1),COLUMN($G$2:$G$48),4)))</f>
        <v/>
      </c>
      <c r="O22" s="165" t="str">
        <f t="array" aca="1" ref="O22" ca="1">IF(ROW()-ROW($I$2:$I$48)+1&gt;ROWS($H$2:$H$48)-COUNTBLANK($H$2:$H$48),"",INDIRECT(ADDRESS(SMALL((IF($H$2:$H$48&lt;&gt;"",ROW($H$2:$H$48),ROW()+ROWS($H$2:$H$48))),ROW()-ROW($I$2:$I$48)+1),COLUMN($H$2:$H$48),4)))</f>
        <v/>
      </c>
      <c r="P22" s="165" t="str">
        <f t="array" aca="1" ref="P22" ca="1">IF(ROW()-ROW($J$2:$J$48)+1&gt;ROWS($I$2:$I$48)-COUNTBLANK($I$2:$I$48),"",INDIRECT(ADDRESS(SMALL((IF($I$2:$I$48&lt;&gt;"",ROW($I$2:$I$48),ROW()+ROWS($I$2:$I$48))),ROW()-ROW($J$2:$J$48)+1),COLUMN($I$2:$I$48),4)))</f>
        <v/>
      </c>
    </row>
    <row r="23" spans="1:16" ht="40.5" customHeight="1" x14ac:dyDescent="0.25">
      <c r="D23" s="957"/>
      <c r="E23" s="29" t="str">
        <f>IF(H23="","","2016")</f>
        <v/>
      </c>
      <c r="F23" s="45" t="str">
        <f t="shared" si="13"/>
        <v/>
      </c>
      <c r="G23" s="45" t="str">
        <f t="shared" si="14"/>
        <v/>
      </c>
      <c r="H23" s="198" t="str">
        <f>IF(A5="relevant",IF(Matrix!C26="","",IF(Matrix!C26&lt;Berechnung2!$G$56,Berechnung2!$L$56,"")),"")</f>
        <v/>
      </c>
      <c r="I23" s="155" t="str">
        <f t="array" ref="I23">IF(H23="","",VLOOKUP(F23,Berechnung2!$I$15:$J$24,2,FALSE))</f>
        <v/>
      </c>
      <c r="J23" s="171" t="str">
        <f t="shared" si="9"/>
        <v/>
      </c>
      <c r="L23" s="29" t="str">
        <f t="array" aca="1" ref="L23" ca="1">IF(ROW()-ROW($F$2:$F$48)+1&gt;ROWS($E$2:$E$48)-COUNTBLANK($E$2:$E$48),"",INDIRECT(ADDRESS(SMALL((IF($E$2:$E$48&lt;&gt;"",ROW($E$2:$E$48),ROW()+ROWS($E$2:$E$48))),ROW()-ROW($F$2:$F$48)+1),COLUMN($E$2:$E$48),4)))</f>
        <v/>
      </c>
      <c r="M23" s="29" t="str">
        <f t="array" aca="1" ref="M23" ca="1">IF(ROW()-ROW($G$2:$G$48)+1&gt;ROWS($F$2:$F$48)-COUNTBLANK($F$2:$F$48),"",INDIRECT(ADDRESS(SMALL((IF($F$2:$F$48&lt;&gt;"",ROW($F$2:$F$48),ROW()+ROWS($F$2:$F$48))),ROW()-ROW($G$2:$G$48)+1),COLUMN($F$2:$F$48),4)))</f>
        <v/>
      </c>
      <c r="N23" s="29" t="str">
        <f t="array" aca="1" ref="N23" ca="1">IF(ROW()-ROW($H$2:$H$48)+1&gt;ROWS($G$2:$G$48)-COUNTBLANK($G$2:$G$48),"",INDIRECT(ADDRESS(SMALL((IF($G$2:$G$48&lt;&gt;"",ROW($G$2:$G$48),ROW()+ROWS($G$2:$G$48))),ROW()-ROW($H$2:$H$48)+1),COLUMN($G$2:$G$48),4)))</f>
        <v/>
      </c>
      <c r="O23" s="165" t="str">
        <f t="array" aca="1" ref="O23" ca="1">IF(ROW()-ROW($I$2:$I$48)+1&gt;ROWS($H$2:$H$48)-COUNTBLANK($H$2:$H$48),"",INDIRECT(ADDRESS(SMALL((IF($H$2:$H$48&lt;&gt;"",ROW($H$2:$H$48),ROW()+ROWS($H$2:$H$48))),ROW()-ROW($I$2:$I$48)+1),COLUMN($H$2:$H$48),4)))</f>
        <v/>
      </c>
      <c r="P23" s="165" t="str">
        <f t="array" aca="1" ref="P23" ca="1">IF(ROW()-ROW($J$2:$J$48)+1&gt;ROWS($I$2:$I$48)-COUNTBLANK($I$2:$I$48),"",INDIRECT(ADDRESS(SMALL((IF($I$2:$I$48&lt;&gt;"",ROW($I$2:$I$48),ROW()+ROWS($I$2:$I$48))),ROW()-ROW($J$2:$J$48)+1),COLUMN($I$2:$I$48),4)))</f>
        <v/>
      </c>
    </row>
    <row r="24" spans="1:16" ht="15" customHeight="1" x14ac:dyDescent="0.25">
      <c r="D24" s="957"/>
      <c r="E24" s="29" t="str">
        <f>IF(H24="","","2017")</f>
        <v/>
      </c>
      <c r="F24" s="45" t="str">
        <f t="shared" si="13"/>
        <v/>
      </c>
      <c r="G24" s="45" t="str">
        <f t="shared" si="14"/>
        <v/>
      </c>
      <c r="H24" s="198" t="str">
        <f>IF(A6="relevant",IF(Matrix!C27="","",IF(Matrix!C27&lt;Berechnung2!$G$56,Berechnung2!$L$56,"")),"")</f>
        <v/>
      </c>
      <c r="I24" s="155" t="str">
        <f t="array" ref="I24">IF(H24="","",VLOOKUP(F24,Berechnung2!$I$15:$J$24,2,FALSE))</f>
        <v/>
      </c>
      <c r="J24" s="171" t="str">
        <f t="shared" si="9"/>
        <v/>
      </c>
      <c r="L24" s="29" t="str">
        <f t="array" aca="1" ref="L24" ca="1">IF(ROW()-ROW($F$2:$F$48)+1&gt;ROWS($E$2:$E$48)-COUNTBLANK($E$2:$E$48),"",INDIRECT(ADDRESS(SMALL((IF($E$2:$E$48&lt;&gt;"",ROW($E$2:$E$48),ROW()+ROWS($E$2:$E$48))),ROW()-ROW($F$2:$F$48)+1),COLUMN($E$2:$E$48),4)))</f>
        <v/>
      </c>
      <c r="M24" s="29" t="str">
        <f t="array" aca="1" ref="M24" ca="1">IF(ROW()-ROW($G$2:$G$48)+1&gt;ROWS($F$2:$F$48)-COUNTBLANK($F$2:$F$48),"",INDIRECT(ADDRESS(SMALL((IF($F$2:$F$48&lt;&gt;"",ROW($F$2:$F$48),ROW()+ROWS($F$2:$F$48))),ROW()-ROW($G$2:$G$48)+1),COLUMN($F$2:$F$48),4)))</f>
        <v/>
      </c>
      <c r="N24" s="29" t="str">
        <f t="array" aca="1" ref="N24" ca="1">IF(ROW()-ROW($H$2:$H$48)+1&gt;ROWS($G$2:$G$48)-COUNTBLANK($G$2:$G$48),"",INDIRECT(ADDRESS(SMALL((IF($G$2:$G$48&lt;&gt;"",ROW($G$2:$G$48),ROW()+ROWS($G$2:$G$48))),ROW()-ROW($H$2:$H$48)+1),COLUMN($G$2:$G$48),4)))</f>
        <v/>
      </c>
      <c r="O24" s="165" t="str">
        <f t="array" aca="1" ref="O24" ca="1">IF(ROW()-ROW($I$2:$I$48)+1&gt;ROWS($H$2:$H$48)-COUNTBLANK($H$2:$H$48),"",INDIRECT(ADDRESS(SMALL((IF($H$2:$H$48&lt;&gt;"",ROW($H$2:$H$48),ROW()+ROWS($H$2:$H$48))),ROW()-ROW($I$2:$I$48)+1),COLUMN($H$2:$H$48),4)))</f>
        <v/>
      </c>
      <c r="P24" s="165" t="str">
        <f t="array" aca="1" ref="P24" ca="1">IF(ROW()-ROW($J$2:$J$48)+1&gt;ROWS($I$2:$I$48)-COUNTBLANK($I$2:$I$48),"",INDIRECT(ADDRESS(SMALL((IF($I$2:$I$48&lt;&gt;"",ROW($I$2:$I$48),ROW()+ROWS($I$2:$I$48))),ROW()-ROW($J$2:$J$48)+1),COLUMN($I$2:$I$48),4)))</f>
        <v/>
      </c>
    </row>
    <row r="25" spans="1:16" ht="15" customHeight="1" x14ac:dyDescent="0.25">
      <c r="D25" s="358" t="s">
        <v>351</v>
      </c>
      <c r="E25" s="29" t="str">
        <f>IF(H25="","","2018")</f>
        <v/>
      </c>
      <c r="F25" s="45" t="str">
        <f t="shared" ref="F25" si="15">IF(H25="","","e")</f>
        <v/>
      </c>
      <c r="G25" s="45" t="str">
        <f t="shared" ref="G25" si="16">IF(H25="","","6")</f>
        <v/>
      </c>
      <c r="H25" s="198" t="str">
        <f>IF(A7="relevant",IF(Matrix!C28="","",IF(Matrix!C28&lt;Berechnung2!$G$56,Berechnung2!$L$56,"")),"")</f>
        <v/>
      </c>
      <c r="I25" s="155" t="str">
        <f t="array" ref="I25">IF(H25="","",VLOOKUP(F25,Berechnung2!$I$15:$J$24,2,FALSE))</f>
        <v/>
      </c>
      <c r="J25" s="171" t="str">
        <f t="shared" si="9"/>
        <v/>
      </c>
      <c r="L25" s="29" t="str">
        <f t="array" aca="1" ref="L25" ca="1">IF(ROW()-ROW($F$2:$F$48)+1&gt;ROWS($E$2:$E$48)-COUNTBLANK($E$2:$E$48),"",INDIRECT(ADDRESS(SMALL((IF($E$2:$E$48&lt;&gt;"",ROW($E$2:$E$48),ROW()+ROWS($E$2:$E$48))),ROW()-ROW($F$2:$F$48)+1),COLUMN($E$2:$E$48),4)))</f>
        <v/>
      </c>
      <c r="M25" s="29" t="str">
        <f t="array" aca="1" ref="M25" ca="1">IF(ROW()-ROW($G$2:$G$48)+1&gt;ROWS($F$2:$F$48)-COUNTBLANK($F$2:$F$48),"",INDIRECT(ADDRESS(SMALL((IF($F$2:$F$48&lt;&gt;"",ROW($F$2:$F$48),ROW()+ROWS($F$2:$F$48))),ROW()-ROW($G$2:$G$48)+1),COLUMN($F$2:$F$48),4)))</f>
        <v/>
      </c>
      <c r="N25" s="29" t="str">
        <f t="array" aca="1" ref="N25" ca="1">IF(ROW()-ROW($H$2:$H$48)+1&gt;ROWS($G$2:$G$48)-COUNTBLANK($G$2:$G$48),"",INDIRECT(ADDRESS(SMALL((IF($G$2:$G$48&lt;&gt;"",ROW($G$2:$G$48),ROW()+ROWS($G$2:$G$48))),ROW()-ROW($H$2:$H$48)+1),COLUMN($G$2:$G$48),4)))</f>
        <v/>
      </c>
      <c r="O25" s="165" t="str">
        <f t="array" aca="1" ref="O25" ca="1">IF(ROW()-ROW($I$2:$I$48)+1&gt;ROWS($H$2:$H$48)-COUNTBLANK($H$2:$H$48),"",INDIRECT(ADDRESS(SMALL((IF($H$2:$H$48&lt;&gt;"",ROW($H$2:$H$48),ROW()+ROWS($H$2:$H$48))),ROW()-ROW($I$2:$I$48)+1),COLUMN($H$2:$H$48),4)))</f>
        <v/>
      </c>
      <c r="P25" s="165" t="str">
        <f t="array" aca="1" ref="P25" ca="1">IF(ROW()-ROW($J$2:$J$48)+1&gt;ROWS($I$2:$I$48)-COUNTBLANK($I$2:$I$48),"",INDIRECT(ADDRESS(SMALL((IF($I$2:$I$48&lt;&gt;"",ROW($I$2:$I$48),ROW()+ROWS($I$2:$I$48))),ROW()-ROW($J$2:$J$48)+1),COLUMN($I$2:$I$48),4)))</f>
        <v/>
      </c>
    </row>
    <row r="26" spans="1:16" ht="15" customHeight="1" thickBot="1" x14ac:dyDescent="0.3">
      <c r="D26" s="363"/>
      <c r="E26" s="29" t="str">
        <f>IF(H26="","","2019")</f>
        <v/>
      </c>
      <c r="F26" s="45" t="str">
        <f t="shared" ref="F26" si="17">IF(H26="","","e")</f>
        <v/>
      </c>
      <c r="G26" s="45" t="str">
        <f t="shared" ref="G26" si="18">IF(H26="","","6")</f>
        <v/>
      </c>
      <c r="H26" s="198" t="str">
        <f>IF(A8="relevant",IF(Matrix!C29="","",IF(Matrix!C29&lt;Berechnung2!$G$56,Berechnung2!$L$56,"")),"")</f>
        <v/>
      </c>
      <c r="I26" s="155" t="str">
        <f t="array" ref="I26">IF(H26="","",VLOOKUP(F26,Berechnung2!$I$15:$J$24,2,FALSE))</f>
        <v/>
      </c>
      <c r="J26" s="171" t="str">
        <f t="shared" ref="J26" si="19">IF(H26&lt;&gt;"",1,"")</f>
        <v/>
      </c>
      <c r="L26" s="29"/>
      <c r="M26" s="29"/>
      <c r="N26" s="29"/>
      <c r="O26" s="165"/>
      <c r="P26" s="165"/>
    </row>
    <row r="27" spans="1:16" ht="32.25" customHeight="1" thickBot="1" x14ac:dyDescent="0.3">
      <c r="D27" s="151" t="s">
        <v>347</v>
      </c>
      <c r="E27" s="337" t="str">
        <f>IF(H27="","","2015-2017")</f>
        <v/>
      </c>
      <c r="F27" s="195" t="str">
        <f>IF(H27="","","f")</f>
        <v/>
      </c>
      <c r="G27" s="195" t="str">
        <f t="shared" ref="G27" si="20">IF(H27="","","6")</f>
        <v/>
      </c>
      <c r="H27" s="194" t="str">
        <f>IF(OR(Matrix!R31="-----",Matrix!R31=""),"",IF(Matrix!R31="",0,IF(ROUND(Matrix!R31,4)&gt;Berechnung2!J60,Berechnung2!L60,"")))</f>
        <v/>
      </c>
      <c r="I27" s="146" t="str">
        <f t="array" ref="I27">IF(H27="","",VLOOKUP(F27,Berechnung2!$I$15:$J$24,2,FALSE))</f>
        <v/>
      </c>
      <c r="J27" s="174" t="str">
        <f t="shared" ref="J27" si="21">IF(H27&lt;&gt;"",1,"")</f>
        <v/>
      </c>
      <c r="L27" s="29" t="str">
        <f t="array" aca="1" ref="L27" ca="1">IF(ROW()-ROW($F$2:$F$48)+1&gt;ROWS($E$2:$E$48)-COUNTBLANK($E$2:$E$48),"",INDIRECT(ADDRESS(SMALL((IF($E$2:$E$48&lt;&gt;"",ROW($E$2:$E$48),ROW()+ROWS($E$2:$E$48))),ROW()-ROW($F$2:$F$48)+1),COLUMN($E$2:$E$48),4)))</f>
        <v/>
      </c>
      <c r="M27" s="29" t="str">
        <f t="array" aca="1" ref="M27" ca="1">IF(ROW()-ROW($G$2:$G$48)+1&gt;ROWS($F$2:$F$48)-COUNTBLANK($F$2:$F$48),"",INDIRECT(ADDRESS(SMALL((IF($F$2:$F$48&lt;&gt;"",ROW($F$2:$F$48),ROW()+ROWS($F$2:$F$48))),ROW()-ROW($G$2:$G$48)+1),COLUMN($F$2:$F$48),4)))</f>
        <v/>
      </c>
      <c r="N27" s="29" t="str">
        <f t="array" aca="1" ref="N27" ca="1">IF(ROW()-ROW($H$2:$H$48)+1&gt;ROWS($G$2:$G$48)-COUNTBLANK($G$2:$G$48),"",INDIRECT(ADDRESS(SMALL((IF($G$2:$G$48&lt;&gt;"",ROW($G$2:$G$48),ROW()+ROWS($G$2:$G$48))),ROW()-ROW($H$2:$H$48)+1),COLUMN($G$2:$G$48),4)))</f>
        <v/>
      </c>
      <c r="O27" s="165" t="str">
        <f t="array" aca="1" ref="O27" ca="1">IF(ROW()-ROW($I$2:$I$48)+1&gt;ROWS($H$2:$H$48)-COUNTBLANK($H$2:$H$48),"",INDIRECT(ADDRESS(SMALL((IF($H$2:$H$48&lt;&gt;"",ROW($H$2:$H$48),ROW()+ROWS($H$2:$H$48))),ROW()-ROW($I$2:$I$48)+1),COLUMN($H$2:$H$48),4)))</f>
        <v/>
      </c>
      <c r="P27" s="165" t="str">
        <f t="array" aca="1" ref="P27" ca="1">IF(ROW()-ROW($J$2:$J$48)+1&gt;ROWS($I$2:$I$48)-COUNTBLANK($I$2:$I$48),"",INDIRECT(ADDRESS(SMALL((IF($I$2:$I$48&lt;&gt;"",ROW($I$2:$I$48),ROW()+ROWS($I$2:$I$48))),ROW()-ROW($J$2:$J$48)+1),COLUMN($I$2:$I$48),4)))</f>
        <v/>
      </c>
    </row>
    <row r="28" spans="1:16" ht="15" customHeight="1" x14ac:dyDescent="0.25">
      <c r="D28" s="153" t="s">
        <v>155</v>
      </c>
      <c r="E28" s="367"/>
      <c r="F28" s="368"/>
      <c r="G28" s="368"/>
      <c r="H28" s="369"/>
      <c r="I28" s="293"/>
      <c r="J28" s="370"/>
      <c r="L28" s="29" t="str">
        <f t="array" aca="1" ref="L28" ca="1">IF(ROW()-ROW($F$2:$F$48)+1&gt;ROWS($E$2:$E$48)-COUNTBLANK($E$2:$E$48),"",INDIRECT(ADDRESS(SMALL((IF($E$2:$E$48&lt;&gt;"",ROW($E$2:$E$48),ROW()+ROWS($E$2:$E$48))),ROW()-ROW($F$2:$F$48)+1),COLUMN($E$2:$E$48),4)))</f>
        <v/>
      </c>
      <c r="M28" s="29" t="str">
        <f t="array" aca="1" ref="M28" ca="1">IF(ROW()-ROW($G$2:$G$48)+1&gt;ROWS($F$2:$F$48)-COUNTBLANK($F$2:$F$48),"",INDIRECT(ADDRESS(SMALL((IF($F$2:$F$48&lt;&gt;"",ROW($F$2:$F$48),ROW()+ROWS($F$2:$F$48))),ROW()-ROW($G$2:$G$48)+1),COLUMN($F$2:$F$48),4)))</f>
        <v/>
      </c>
      <c r="N28" s="29" t="str">
        <f t="array" aca="1" ref="N28" ca="1">IF(ROW()-ROW($H$2:$H$48)+1&gt;ROWS($G$2:$G$48)-COUNTBLANK($G$2:$G$48),"",INDIRECT(ADDRESS(SMALL((IF($G$2:$G$48&lt;&gt;"",ROW($G$2:$G$48),ROW()+ROWS($G$2:$G$48))),ROW()-ROW($H$2:$H$48)+1),COLUMN($G$2:$G$48),4)))</f>
        <v/>
      </c>
      <c r="O28" s="165" t="str">
        <f t="array" aca="1" ref="O28" ca="1">IF(ROW()-ROW($I$2:$I$48)+1&gt;ROWS($H$2:$H$48)-COUNTBLANK($H$2:$H$48),"",INDIRECT(ADDRESS(SMALL((IF($H$2:$H$48&lt;&gt;"",ROW($H$2:$H$48),ROW()+ROWS($H$2:$H$48))),ROW()-ROW($I$2:$I$48)+1),COLUMN($H$2:$H$48),4)))</f>
        <v/>
      </c>
      <c r="P28" s="165" t="str">
        <f t="array" aca="1" ref="P28" ca="1">IF(ROW()-ROW($J$2:$J$48)+1&gt;ROWS($I$2:$I$48)-COUNTBLANK($I$2:$I$48),"",INDIRECT(ADDRESS(SMALL((IF($I$2:$I$48&lt;&gt;"",ROW($I$2:$I$48),ROW()+ROWS($I$2:$I$48))),ROW()-ROW($J$2:$J$48)+1),COLUMN($I$2:$I$48),4)))</f>
        <v/>
      </c>
    </row>
    <row r="29" spans="1:16" ht="15" customHeight="1" x14ac:dyDescent="0.25">
      <c r="D29" s="957" t="s">
        <v>287</v>
      </c>
      <c r="E29" s="367"/>
      <c r="F29" s="368"/>
      <c r="G29" s="368"/>
      <c r="H29" s="369"/>
      <c r="I29" s="293"/>
      <c r="J29" s="370"/>
      <c r="L29" s="29" t="str">
        <f t="array" aca="1" ref="L29" ca="1">IF(ROW()-ROW($F$2:$F$48)+1&gt;ROWS($E$2:$E$48)-COUNTBLANK($E$2:$E$48),"",INDIRECT(ADDRESS(SMALL((IF($E$2:$E$48&lt;&gt;"",ROW($E$2:$E$48),ROW()+ROWS($E$2:$E$48))),ROW()-ROW($F$2:$F$48)+1),COLUMN($E$2:$E$48),4)))</f>
        <v/>
      </c>
      <c r="M29" s="29" t="str">
        <f t="array" aca="1" ref="M29" ca="1">IF(ROW()-ROW($G$2:$G$48)+1&gt;ROWS($F$2:$F$48)-COUNTBLANK($F$2:$F$48),"",INDIRECT(ADDRESS(SMALL((IF($F$2:$F$48&lt;&gt;"",ROW($F$2:$F$48),ROW()+ROWS($F$2:$F$48))),ROW()-ROW($G$2:$G$48)+1),COLUMN($F$2:$F$48),4)))</f>
        <v/>
      </c>
      <c r="N29" s="29" t="str">
        <f t="array" aca="1" ref="N29" ca="1">IF(ROW()-ROW($H$2:$H$48)+1&gt;ROWS($G$2:$G$48)-COUNTBLANK($G$2:$G$48),"",INDIRECT(ADDRESS(SMALL((IF($G$2:$G$48&lt;&gt;"",ROW($G$2:$G$48),ROW()+ROWS($G$2:$G$48))),ROW()-ROW($H$2:$H$48)+1),COLUMN($G$2:$G$48),4)))</f>
        <v/>
      </c>
      <c r="O29" s="165" t="str">
        <f t="array" aca="1" ref="O29" ca="1">IF(ROW()-ROW($I$2:$I$48)+1&gt;ROWS($H$2:$H$48)-COUNTBLANK($H$2:$H$48),"",INDIRECT(ADDRESS(SMALL((IF($H$2:$H$48&lt;&gt;"",ROW($H$2:$H$48),ROW()+ROWS($H$2:$H$48))),ROW()-ROW($I$2:$I$48)+1),COLUMN($H$2:$H$48),4)))</f>
        <v/>
      </c>
      <c r="P29" s="165" t="str">
        <f t="array" aca="1" ref="P29" ca="1">IF(ROW()-ROW($J$2:$J$48)+1&gt;ROWS($I$2:$I$48)-COUNTBLANK($I$2:$I$48),"",INDIRECT(ADDRESS(SMALL((IF($I$2:$I$48&lt;&gt;"",ROW($I$2:$I$48),ROW()+ROWS($I$2:$I$48))),ROW()-ROW($J$2:$J$48)+1),COLUMN($I$2:$I$48),4)))</f>
        <v/>
      </c>
    </row>
    <row r="30" spans="1:16" ht="15" customHeight="1" x14ac:dyDescent="0.25">
      <c r="D30" s="957"/>
      <c r="E30" s="29" t="str">
        <f>IF(H30="","","2015")</f>
        <v/>
      </c>
      <c r="F30" s="45" t="str">
        <f>IF(H30="","","g")</f>
        <v/>
      </c>
      <c r="G30" s="45" t="str">
        <f t="shared" ref="G30:G37" si="22">IF(H30="","","6")</f>
        <v/>
      </c>
      <c r="H30" s="198" t="str">
        <f>IF(A4="relevant",IF(Matrix!R25="","",IF(ROUND(Matrix!R25,4)&lt;Berechnung2!$J$58,Berechnung2!$L$58,"")),"")</f>
        <v/>
      </c>
      <c r="I30" s="155" t="str">
        <f t="array" ref="I30">IF(H30="","",VLOOKUP(F30,Berechnung2!$I$15:$J$24,2,FALSE))</f>
        <v/>
      </c>
      <c r="J30" s="171" t="str">
        <f t="shared" ref="J30:J37" si="23">IF(H30&lt;&gt;"",1,"")</f>
        <v/>
      </c>
      <c r="L30" s="29" t="str">
        <f t="array" aca="1" ref="L30" ca="1">IF(ROW()-ROW($F$2:$F$48)+1&gt;ROWS($E$2:$E$48)-COUNTBLANK($E$2:$E$48),"",INDIRECT(ADDRESS(SMALL((IF($E$2:$E$48&lt;&gt;"",ROW($E$2:$E$48),ROW()+ROWS($E$2:$E$48))),ROW()-ROW($F$2:$F$48)+1),COLUMN($E$2:$E$48),4)))</f>
        <v/>
      </c>
      <c r="M30" s="29" t="str">
        <f t="array" aca="1" ref="M30" ca="1">IF(ROW()-ROW($G$2:$G$48)+1&gt;ROWS($F$2:$F$48)-COUNTBLANK($F$2:$F$48),"",INDIRECT(ADDRESS(SMALL((IF($F$2:$F$48&lt;&gt;"",ROW($F$2:$F$48),ROW()+ROWS($F$2:$F$48))),ROW()-ROW($G$2:$G$48)+1),COLUMN($F$2:$F$48),4)))</f>
        <v/>
      </c>
      <c r="N30" s="29" t="str">
        <f t="array" aca="1" ref="N30" ca="1">IF(ROW()-ROW($H$2:$H$48)+1&gt;ROWS($G$2:$G$48)-COUNTBLANK($G$2:$G$48),"",INDIRECT(ADDRESS(SMALL((IF($G$2:$G$48&lt;&gt;"",ROW($G$2:$G$48),ROW()+ROWS($G$2:$G$48))),ROW()-ROW($H$2:$H$48)+1),COLUMN($G$2:$G$48),4)))</f>
        <v/>
      </c>
      <c r="O30" s="165" t="str">
        <f t="array" aca="1" ref="O30" ca="1">IF(ROW()-ROW($I$2:$I$48)+1&gt;ROWS($H$2:$H$48)-COUNTBLANK($H$2:$H$48),"",INDIRECT(ADDRESS(SMALL((IF($H$2:$H$48&lt;&gt;"",ROW($H$2:$H$48),ROW()+ROWS($H$2:$H$48))),ROW()-ROW($I$2:$I$48)+1),COLUMN($H$2:$H$48),4)))</f>
        <v/>
      </c>
      <c r="P30" s="165" t="str">
        <f t="array" aca="1" ref="P30" ca="1">IF(ROW()-ROW($J$2:$J$48)+1&gt;ROWS($I$2:$I$48)-COUNTBLANK($I$2:$I$48),"",INDIRECT(ADDRESS(SMALL((IF($I$2:$I$48&lt;&gt;"",ROW($I$2:$I$48),ROW()+ROWS($I$2:$I$48))),ROW()-ROW($J$2:$J$48)+1),COLUMN($I$2:$I$48),4)))</f>
        <v/>
      </c>
    </row>
    <row r="31" spans="1:16" ht="15" customHeight="1" x14ac:dyDescent="0.25">
      <c r="D31" s="957"/>
      <c r="E31" s="29" t="str">
        <f>IF(H31="","","2016")</f>
        <v/>
      </c>
      <c r="F31" s="45" t="str">
        <f>IF(H31="","","g")</f>
        <v/>
      </c>
      <c r="G31" s="45" t="str">
        <f t="shared" si="22"/>
        <v/>
      </c>
      <c r="H31" s="198" t="str">
        <f>IF(A5="relevant",IF(Matrix!R26="","",IF(ROUND(Matrix!R26,4)&lt;Berechnung2!$J$58,Berechnung2!$L$58,"")),"")</f>
        <v/>
      </c>
      <c r="I31" s="155" t="str">
        <f t="array" ref="I31">IF(H31="","",VLOOKUP(F31,Berechnung2!$I$15:$J$24,2,FALSE))</f>
        <v/>
      </c>
      <c r="J31" s="171" t="str">
        <f t="shared" si="23"/>
        <v/>
      </c>
      <c r="L31" s="29" t="str">
        <f t="array" aca="1" ref="L31" ca="1">IF(ROW()-ROW($F$2:$F$48)+1&gt;ROWS($E$2:$E$48)-COUNTBLANK($E$2:$E$48),"",INDIRECT(ADDRESS(SMALL((IF($E$2:$E$48&lt;&gt;"",ROW($E$2:$E$48),ROW()+ROWS($E$2:$E$48))),ROW()-ROW($F$2:$F$48)+1),COLUMN($E$2:$E$48),4)))</f>
        <v/>
      </c>
      <c r="M31" s="29" t="str">
        <f t="array" aca="1" ref="M31" ca="1">IF(ROW()-ROW($G$2:$G$48)+1&gt;ROWS($F$2:$F$48)-COUNTBLANK($F$2:$F$48),"",INDIRECT(ADDRESS(SMALL((IF($F$2:$F$48&lt;&gt;"",ROW($F$2:$F$48),ROW()+ROWS($F$2:$F$48))),ROW()-ROW($G$2:$G$48)+1),COLUMN($F$2:$F$48),4)))</f>
        <v/>
      </c>
      <c r="N31" s="29" t="str">
        <f t="array" aca="1" ref="N31" ca="1">IF(ROW()-ROW($H$2:$H$48)+1&gt;ROWS($G$2:$G$48)-COUNTBLANK($G$2:$G$48),"",INDIRECT(ADDRESS(SMALL((IF($G$2:$G$48&lt;&gt;"",ROW($G$2:$G$48),ROW()+ROWS($G$2:$G$48))),ROW()-ROW($H$2:$H$48)+1),COLUMN($G$2:$G$48),4)))</f>
        <v/>
      </c>
      <c r="O31" s="165" t="str">
        <f t="array" aca="1" ref="O31" ca="1">IF(ROW()-ROW($I$2:$I$48)+1&gt;ROWS($H$2:$H$48)-COUNTBLANK($H$2:$H$48),"",INDIRECT(ADDRESS(SMALL((IF($H$2:$H$48&lt;&gt;"",ROW($H$2:$H$48),ROW()+ROWS($H$2:$H$48))),ROW()-ROW($I$2:$I$48)+1),COLUMN($H$2:$H$48),4)))</f>
        <v/>
      </c>
      <c r="P31" s="165" t="str">
        <f t="array" aca="1" ref="P31" ca="1">IF(ROW()-ROW($J$2:$J$48)+1&gt;ROWS($I$2:$I$48)-COUNTBLANK($I$2:$I$48),"",INDIRECT(ADDRESS(SMALL((IF($I$2:$I$48&lt;&gt;"",ROW($I$2:$I$48),ROW()+ROWS($I$2:$I$48))),ROW()-ROW($J$2:$J$48)+1),COLUMN($I$2:$I$48),4)))</f>
        <v/>
      </c>
    </row>
    <row r="32" spans="1:16" ht="15" customHeight="1" thickBot="1" x14ac:dyDescent="0.3">
      <c r="D32" s="357" t="s">
        <v>343</v>
      </c>
      <c r="E32" s="29" t="str">
        <f>IF(H32="","","2017")</f>
        <v/>
      </c>
      <c r="F32" s="45" t="str">
        <f>IF(H32="","","g")</f>
        <v/>
      </c>
      <c r="G32" s="45" t="str">
        <f t="shared" si="22"/>
        <v/>
      </c>
      <c r="H32" s="198" t="str">
        <f>IF(A6="relevant",IF(Matrix!R27="","",IF(ROUND(Matrix!R27,4)&lt;Berechnung2!$J$58,Berechnung2!$L$58,"")),"")</f>
        <v/>
      </c>
      <c r="I32" s="155" t="str">
        <f t="array" ref="I32">IF(H32="","",VLOOKUP(F32,Berechnung2!$I$15:$J$24,2,FALSE))</f>
        <v/>
      </c>
      <c r="J32" s="171" t="str">
        <f t="shared" si="23"/>
        <v/>
      </c>
      <c r="L32" s="29" t="str">
        <f t="array" aca="1" ref="L32" ca="1">IF(ROW()-ROW($F$2:$F$48)+1&gt;ROWS($E$2:$E$48)-COUNTBLANK($E$2:$E$48),"",INDIRECT(ADDRESS(SMALL((IF($E$2:$E$48&lt;&gt;"",ROW($E$2:$E$48),ROW()+ROWS($E$2:$E$48))),ROW()-ROW($F$2:$F$48)+1),COLUMN($E$2:$E$48),4)))</f>
        <v/>
      </c>
      <c r="M32" s="29" t="str">
        <f t="array" aca="1" ref="M32" ca="1">IF(ROW()-ROW($G$2:$G$48)+1&gt;ROWS($F$2:$F$48)-COUNTBLANK($F$2:$F$48),"",INDIRECT(ADDRESS(SMALL((IF($F$2:$F$48&lt;&gt;"",ROW($F$2:$F$48),ROW()+ROWS($F$2:$F$48))),ROW()-ROW($G$2:$G$48)+1),COLUMN($F$2:$F$48),4)))</f>
        <v/>
      </c>
      <c r="N32" s="29" t="str">
        <f t="array" aca="1" ref="N32" ca="1">IF(ROW()-ROW($H$2:$H$48)+1&gt;ROWS($G$2:$G$48)-COUNTBLANK($G$2:$G$48),"",INDIRECT(ADDRESS(SMALL((IF($G$2:$G$48&lt;&gt;"",ROW($G$2:$G$48),ROW()+ROWS($G$2:$G$48))),ROW()-ROW($H$2:$H$48)+1),COLUMN($G$2:$G$48),4)))</f>
        <v/>
      </c>
      <c r="O32" s="165" t="str">
        <f t="array" aca="1" ref="O32" ca="1">IF(ROW()-ROW($I$2:$I$48)+1&gt;ROWS($H$2:$H$48)-COUNTBLANK($H$2:$H$48),"",INDIRECT(ADDRESS(SMALL((IF($H$2:$H$48&lt;&gt;"",ROW($H$2:$H$48),ROW()+ROWS($H$2:$H$48))),ROW()-ROW($I$2:$I$48)+1),COLUMN($H$2:$H$48),4)))</f>
        <v/>
      </c>
      <c r="P32" s="165" t="str">
        <f t="array" aca="1" ref="P32" ca="1">IF(ROW()-ROW($J$2:$J$48)+1&gt;ROWS($I$2:$I$48)-COUNTBLANK($I$2:$I$48),"",INDIRECT(ADDRESS(SMALL((IF($I$2:$I$48&lt;&gt;"",ROW($I$2:$I$48),ROW()+ROWS($I$2:$I$48))),ROW()-ROW($J$2:$J$48)+1),COLUMN($I$2:$I$48),4)))</f>
        <v/>
      </c>
    </row>
    <row r="33" spans="4:16" ht="15" customHeight="1" x14ac:dyDescent="0.25">
      <c r="D33" s="153" t="s">
        <v>155</v>
      </c>
      <c r="E33" s="145" t="str">
        <f>IF(H33="","","2013")</f>
        <v/>
      </c>
      <c r="F33" s="145" t="str">
        <f>IF(H33="","","h")</f>
        <v/>
      </c>
      <c r="G33" s="145" t="str">
        <f t="shared" si="22"/>
        <v/>
      </c>
      <c r="H33" s="197" t="str">
        <f>IF(A2="relevant",IF(Matrix!U23="","",IF(AND(ROUND(Matrix!U23,4)&lt;Berechnung2!$J$54,(ROUND(Matrix!U23,4))&gt;=0),Berechnung2!$L$54,"")),"")</f>
        <v/>
      </c>
      <c r="I33" s="150" t="str">
        <f t="array" ref="I33">IF(H33="","",VLOOKUP(F33,Berechnung2!$I$15:$J$24,2,FALSE))</f>
        <v/>
      </c>
      <c r="J33" s="173" t="str">
        <f t="shared" si="23"/>
        <v/>
      </c>
      <c r="L33" s="29" t="str">
        <f t="array" aca="1" ref="L33" ca="1">IF(ROW()-ROW($F$2:$F$48)+1&gt;ROWS($E$2:$E$48)-COUNTBLANK($E$2:$E$48),"",INDIRECT(ADDRESS(SMALL((IF($E$2:$E$48&lt;&gt;"",ROW($E$2:$E$48),ROW()+ROWS($E$2:$E$48))),ROW()-ROW($F$2:$F$48)+1),COLUMN($E$2:$E$48),4)))</f>
        <v/>
      </c>
      <c r="M33" s="29" t="str">
        <f t="array" aca="1" ref="M33" ca="1">IF(ROW()-ROW($G$2:$G$48)+1&gt;ROWS($F$2:$F$48)-COUNTBLANK($F$2:$F$48),"",INDIRECT(ADDRESS(SMALL((IF($F$2:$F$48&lt;&gt;"",ROW($F$2:$F$48),ROW()+ROWS($F$2:$F$48))),ROW()-ROW($G$2:$G$48)+1),COLUMN($F$2:$F$48),4)))</f>
        <v/>
      </c>
      <c r="N33" s="29" t="str">
        <f t="array" aca="1" ref="N33" ca="1">IF(ROW()-ROW($H$2:$H$48)+1&gt;ROWS($G$2:$G$48)-COUNTBLANK($G$2:$G$48),"",INDIRECT(ADDRESS(SMALL((IF($G$2:$G$48&lt;&gt;"",ROW($G$2:$G$48),ROW()+ROWS($G$2:$G$48))),ROW()-ROW($H$2:$H$48)+1),COLUMN($G$2:$G$48),4)))</f>
        <v/>
      </c>
      <c r="O33" s="165" t="str">
        <f t="array" aca="1" ref="O33" ca="1">IF(ROW()-ROW($I$2:$I$48)+1&gt;ROWS($H$2:$H$48)-COUNTBLANK($H$2:$H$48),"",INDIRECT(ADDRESS(SMALL((IF($H$2:$H$48&lt;&gt;"",ROW($H$2:$H$48),ROW()+ROWS($H$2:$H$48))),ROW()-ROW($I$2:$I$48)+1),COLUMN($H$2:$H$48),4)))</f>
        <v/>
      </c>
      <c r="P33" s="165" t="str">
        <f t="array" aca="1" ref="P33" ca="1">IF(ROW()-ROW($J$2:$J$48)+1&gt;ROWS($I$2:$I$48)-COUNTBLANK($I$2:$I$48),"",INDIRECT(ADDRESS(SMALL((IF($I$2:$I$48&lt;&gt;"",ROW($I$2:$I$48),ROW()+ROWS($I$2:$I$48))),ROW()-ROW($J$2:$J$48)+1),COLUMN($I$2:$I$48),4)))</f>
        <v/>
      </c>
    </row>
    <row r="34" spans="4:16" ht="15" customHeight="1" x14ac:dyDescent="0.25">
      <c r="D34" s="957" t="s">
        <v>206</v>
      </c>
      <c r="E34" s="29" t="str">
        <f>IF(H34="","","2014")</f>
        <v/>
      </c>
      <c r="F34" s="45" t="str">
        <f>IF(H34="","","h")</f>
        <v/>
      </c>
      <c r="G34" s="45" t="str">
        <f t="shared" si="22"/>
        <v/>
      </c>
      <c r="H34" s="198" t="str">
        <f>IF(A3="relevant",IF(Matrix!U24="","",IF(AND(ROUND(Matrix!U24,4)&lt;Berechnung2!$J$54,(ROUND(Matrix!U24,4))&gt;=0),Berechnung2!$L$54,"")),"")</f>
        <v/>
      </c>
      <c r="I34" s="155" t="str">
        <f t="array" ref="I34">IF(H34="","",VLOOKUP(F34,Berechnung2!$I$15:$J$24,2,FALSE))</f>
        <v/>
      </c>
      <c r="J34" s="171" t="str">
        <f t="shared" si="23"/>
        <v/>
      </c>
      <c r="L34" s="29" t="str">
        <f t="array" aca="1" ref="L34" ca="1">IF(ROW()-ROW($F$2:$F$48)+1&gt;ROWS($E$2:$E$48)-COUNTBLANK($E$2:$E$48),"",INDIRECT(ADDRESS(SMALL((IF($E$2:$E$48&lt;&gt;"",ROW($E$2:$E$48),ROW()+ROWS($E$2:$E$48))),ROW()-ROW($F$2:$F$48)+1),COLUMN($E$2:$E$48),4)))</f>
        <v/>
      </c>
      <c r="M34" s="29" t="str">
        <f t="array" aca="1" ref="M34" ca="1">IF(ROW()-ROW($G$2:$G$48)+1&gt;ROWS($F$2:$F$48)-COUNTBLANK($F$2:$F$48),"",INDIRECT(ADDRESS(SMALL((IF($F$2:$F$48&lt;&gt;"",ROW($F$2:$F$48),ROW()+ROWS($F$2:$F$48))),ROW()-ROW($G$2:$G$48)+1),COLUMN($F$2:$F$48),4)))</f>
        <v/>
      </c>
      <c r="N34" s="29" t="str">
        <f t="array" aca="1" ref="N34" ca="1">IF(ROW()-ROW($H$2:$H$48)+1&gt;ROWS($G$2:$G$48)-COUNTBLANK($G$2:$G$48),"",INDIRECT(ADDRESS(SMALL((IF($G$2:$G$48&lt;&gt;"",ROW($G$2:$G$48),ROW()+ROWS($G$2:$G$48))),ROW()-ROW($H$2:$H$48)+1),COLUMN($G$2:$G$48),4)))</f>
        <v/>
      </c>
      <c r="O34" s="165" t="str">
        <f t="array" aca="1" ref="O34" ca="1">IF(ROW()-ROW($I$2:$I$48)+1&gt;ROWS($H$2:$H$48)-COUNTBLANK($H$2:$H$48),"",INDIRECT(ADDRESS(SMALL((IF($H$2:$H$48&lt;&gt;"",ROW($H$2:$H$48),ROW()+ROWS($H$2:$H$48))),ROW()-ROW($I$2:$I$48)+1),COLUMN($H$2:$H$48),4)))</f>
        <v/>
      </c>
      <c r="P34" s="165" t="str">
        <f t="array" aca="1" ref="P34" ca="1">IF(ROW()-ROW($J$2:$J$48)+1&gt;ROWS($I$2:$I$48)-COUNTBLANK($I$2:$I$48),"",INDIRECT(ADDRESS(SMALL((IF($I$2:$I$48&lt;&gt;"",ROW($I$2:$I$48),ROW()+ROWS($I$2:$I$48))),ROW()-ROW($J$2:$J$48)+1),COLUMN($I$2:$I$48),4)))</f>
        <v/>
      </c>
    </row>
    <row r="35" spans="4:16" ht="15" customHeight="1" x14ac:dyDescent="0.25">
      <c r="D35" s="957"/>
      <c r="E35" s="29" t="str">
        <f>IF(H35="","","2015")</f>
        <v/>
      </c>
      <c r="F35" s="45" t="str">
        <f>IF(H35="","","h")</f>
        <v/>
      </c>
      <c r="G35" s="45" t="str">
        <f t="shared" si="22"/>
        <v/>
      </c>
      <c r="H35" s="198" t="str">
        <f>IF(A4="relevant",IF(Matrix!U25="","",IF(AND(ROUND(Matrix!U25,4)&lt;Berechnung2!$J$54,(ROUND(Matrix!U25,4))&gt;=0),Berechnung2!$L$54,"")),"")</f>
        <v/>
      </c>
      <c r="I35" s="155" t="str">
        <f t="array" ref="I35">IF(H35="","",VLOOKUP(F35,Berechnung2!$I$15:$J$24,2,FALSE))</f>
        <v/>
      </c>
      <c r="J35" s="171" t="str">
        <f t="shared" si="23"/>
        <v/>
      </c>
      <c r="L35" s="29" t="str">
        <f t="array" aca="1" ref="L35" ca="1">IF(ROW()-ROW($F$2:$F$48)+1&gt;ROWS($E$2:$E$48)-COUNTBLANK($E$2:$E$48),"",INDIRECT(ADDRESS(SMALL((IF($E$2:$E$48&lt;&gt;"",ROW($E$2:$E$48),ROW()+ROWS($E$2:$E$48))),ROW()-ROW($F$2:$F$48)+1),COLUMN($E$2:$E$48),4)))</f>
        <v/>
      </c>
      <c r="M35" s="29" t="str">
        <f t="array" aca="1" ref="M35" ca="1">IF(ROW()-ROW($G$2:$G$48)+1&gt;ROWS($F$2:$F$48)-COUNTBLANK($F$2:$F$48),"",INDIRECT(ADDRESS(SMALL((IF($F$2:$F$48&lt;&gt;"",ROW($F$2:$F$48),ROW()+ROWS($F$2:$F$48))),ROW()-ROW($G$2:$G$48)+1),COLUMN($F$2:$F$48),4)))</f>
        <v/>
      </c>
      <c r="N35" s="29" t="str">
        <f t="array" aca="1" ref="N35" ca="1">IF(ROW()-ROW($H$2:$H$48)+1&gt;ROWS($G$2:$G$48)-COUNTBLANK($G$2:$G$48),"",INDIRECT(ADDRESS(SMALL((IF($G$2:$G$48&lt;&gt;"",ROW($G$2:$G$48),ROW()+ROWS($G$2:$G$48))),ROW()-ROW($H$2:$H$48)+1),COLUMN($G$2:$G$48),4)))</f>
        <v/>
      </c>
      <c r="O35" s="165" t="str">
        <f t="array" aca="1" ref="O35" ca="1">IF(ROW()-ROW($I$2:$I$48)+1&gt;ROWS($H$2:$H$48)-COUNTBLANK($H$2:$H$48),"",INDIRECT(ADDRESS(SMALL((IF($H$2:$H$48&lt;&gt;"",ROW($H$2:$H$48),ROW()+ROWS($H$2:$H$48))),ROW()-ROW($I$2:$I$48)+1),COLUMN($H$2:$H$48),4)))</f>
        <v/>
      </c>
      <c r="P35" s="165" t="str">
        <f t="array" aca="1" ref="P35" ca="1">IF(ROW()-ROW($J$2:$J$48)+1&gt;ROWS($I$2:$I$48)-COUNTBLANK($I$2:$I$48),"",INDIRECT(ADDRESS(SMALL((IF($I$2:$I$48&lt;&gt;"",ROW($I$2:$I$48),ROW()+ROWS($I$2:$I$48))),ROW()-ROW($J$2:$J$48)+1),COLUMN($I$2:$I$48),4)))</f>
        <v/>
      </c>
    </row>
    <row r="36" spans="4:16" ht="15" customHeight="1" x14ac:dyDescent="0.25">
      <c r="D36" s="957"/>
      <c r="E36" s="29" t="str">
        <f>IF(H36="","","2016")</f>
        <v/>
      </c>
      <c r="F36" s="45" t="str">
        <f>IF(H36="","","h")</f>
        <v/>
      </c>
      <c r="G36" s="45" t="str">
        <f t="shared" si="22"/>
        <v/>
      </c>
      <c r="H36" s="198" t="str">
        <f>IF(A5="relevant",IF(Matrix!U26="","",IF(AND(ROUND(Matrix!U26,4)&lt;Berechnung2!$J$54,(ROUND(Matrix!U26,4))&gt;=0),Berechnung2!$L$54,"")),"")</f>
        <v/>
      </c>
      <c r="I36" s="155" t="str">
        <f t="array" ref="I36">IF(H36="","",VLOOKUP(F36,Berechnung2!$I$15:$J$24,2,FALSE))</f>
        <v/>
      </c>
      <c r="J36" s="171" t="str">
        <f t="shared" si="23"/>
        <v/>
      </c>
      <c r="L36" s="29" t="str">
        <f t="array" aca="1" ref="L36" ca="1">IF(ROW()-ROW($F$2:$F$48)+1&gt;ROWS($E$2:$E$48)-COUNTBLANK($E$2:$E$48),"",INDIRECT(ADDRESS(SMALL((IF($E$2:$E$48&lt;&gt;"",ROW($E$2:$E$48),ROW()+ROWS($E$2:$E$48))),ROW()-ROW($F$2:$F$48)+1),COLUMN($E$2:$E$48),4)))</f>
        <v/>
      </c>
      <c r="M36" s="29" t="str">
        <f t="array" aca="1" ref="M36" ca="1">IF(ROW()-ROW($G$2:$G$48)+1&gt;ROWS($F$2:$F$48)-COUNTBLANK($F$2:$F$48),"",INDIRECT(ADDRESS(SMALL((IF($F$2:$F$48&lt;&gt;"",ROW($F$2:$F$48),ROW()+ROWS($F$2:$F$48))),ROW()-ROW($G$2:$G$48)+1),COLUMN($F$2:$F$48),4)))</f>
        <v/>
      </c>
      <c r="N36" s="29" t="str">
        <f t="array" aca="1" ref="N36" ca="1">IF(ROW()-ROW($H$2:$H$48)+1&gt;ROWS($G$2:$G$48)-COUNTBLANK($G$2:$G$48),"",INDIRECT(ADDRESS(SMALL((IF($G$2:$G$48&lt;&gt;"",ROW($G$2:$G$48),ROW()+ROWS($G$2:$G$48))),ROW()-ROW($H$2:$H$48)+1),COLUMN($G$2:$G$48),4)))</f>
        <v/>
      </c>
      <c r="O36" s="165" t="str">
        <f t="array" aca="1" ref="O36" ca="1">IF(ROW()-ROW($I$2:$I$48)+1&gt;ROWS($H$2:$H$48)-COUNTBLANK($H$2:$H$48),"",INDIRECT(ADDRESS(SMALL((IF($H$2:$H$48&lt;&gt;"",ROW($H$2:$H$48),ROW()+ROWS($H$2:$H$48))),ROW()-ROW($I$2:$I$48)+1),COLUMN($H$2:$H$48),4)))</f>
        <v/>
      </c>
      <c r="P36" s="165" t="str">
        <f t="array" aca="1" ref="P36" ca="1">IF(ROW()-ROW($J$2:$J$48)+1&gt;ROWS($I$2:$I$48)-COUNTBLANK($I$2:$I$48),"",INDIRECT(ADDRESS(SMALL((IF($I$2:$I$48&lt;&gt;"",ROW($I$2:$I$48),ROW()+ROWS($I$2:$I$48))),ROW()-ROW($J$2:$J$48)+1),COLUMN($I$2:$I$48),4)))</f>
        <v/>
      </c>
    </row>
    <row r="37" spans="4:16" ht="15" customHeight="1" thickBot="1" x14ac:dyDescent="0.3">
      <c r="D37" s="152" t="s">
        <v>344</v>
      </c>
      <c r="E37" s="200" t="str">
        <f>IF(H37="","","2017")</f>
        <v/>
      </c>
      <c r="F37" s="144" t="str">
        <f>IF(H37="","","h")</f>
        <v/>
      </c>
      <c r="G37" s="144" t="str">
        <f t="shared" si="22"/>
        <v/>
      </c>
      <c r="H37" s="196" t="str">
        <f>IF(A6="relevant",IF(Matrix!U27="","",IF(AND(ROUND(Matrix!U27,4)&lt;Berechnung2!$J$54,(ROUND(Matrix!U27,4))&gt;=0),Berechnung2!$L$54,"")),"")</f>
        <v/>
      </c>
      <c r="I37" s="149" t="str">
        <f t="array" ref="I37">IF(H37="","",VLOOKUP(F37,Berechnung2!$I$15:$J$24,2,FALSE))</f>
        <v/>
      </c>
      <c r="J37" s="172" t="str">
        <f t="shared" si="23"/>
        <v/>
      </c>
      <c r="L37" s="29" t="str">
        <f t="array" aca="1" ref="L37" ca="1">IF(ROW()-ROW($F$2:$F$48)+1&gt;ROWS($E$2:$E$48)-COUNTBLANK($E$2:$E$48),"",INDIRECT(ADDRESS(SMALL((IF($E$2:$E$48&lt;&gt;"",ROW($E$2:$E$48),ROW()+ROWS($E$2:$E$48))),ROW()-ROW($F$2:$F$48)+1),COLUMN($E$2:$E$48),4)))</f>
        <v/>
      </c>
      <c r="M37" s="29" t="str">
        <f t="array" aca="1" ref="M37" ca="1">IF(ROW()-ROW($G$2:$G$48)+1&gt;ROWS($F$2:$F$48)-COUNTBLANK($F$2:$F$48),"",INDIRECT(ADDRESS(SMALL((IF($F$2:$F$48&lt;&gt;"",ROW($F$2:$F$48),ROW()+ROWS($F$2:$F$48))),ROW()-ROW($G$2:$G$48)+1),COLUMN($F$2:$F$48),4)))</f>
        <v/>
      </c>
      <c r="N37" s="29" t="str">
        <f t="array" aca="1" ref="N37" ca="1">IF(ROW()-ROW($H$2:$H$48)+1&gt;ROWS($G$2:$G$48)-COUNTBLANK($G$2:$G$48),"",INDIRECT(ADDRESS(SMALL((IF($G$2:$G$48&lt;&gt;"",ROW($G$2:$G$48),ROW()+ROWS($G$2:$G$48))),ROW()-ROW($H$2:$H$48)+1),COLUMN($G$2:$G$48),4)))</f>
        <v/>
      </c>
      <c r="O37" s="165" t="str">
        <f t="array" aca="1" ref="O37" ca="1">IF(ROW()-ROW($I$2:$I$48)+1&gt;ROWS($H$2:$H$48)-COUNTBLANK($H$2:$H$48),"",INDIRECT(ADDRESS(SMALL((IF($H$2:$H$48&lt;&gt;"",ROW($H$2:$H$48),ROW()+ROWS($H$2:$H$48))),ROW()-ROW($I$2:$I$48)+1),COLUMN($H$2:$H$48),4)))</f>
        <v/>
      </c>
      <c r="P37" s="165" t="str">
        <f t="array" aca="1" ref="P37" ca="1">IF(ROW()-ROW($J$2:$J$48)+1&gt;ROWS($I$2:$I$48)-COUNTBLANK($I$2:$I$48),"",INDIRECT(ADDRESS(SMALL((IF($I$2:$I$48&lt;&gt;"",ROW($I$2:$I$48),ROW()+ROWS($I$2:$I$48))),ROW()-ROW($J$2:$J$48)+1),COLUMN($I$2:$I$48),4)))</f>
        <v/>
      </c>
    </row>
    <row r="38" spans="4:16" ht="15" customHeight="1" x14ac:dyDescent="0.25">
      <c r="D38" s="153" t="s">
        <v>155</v>
      </c>
      <c r="E38" s="371"/>
      <c r="F38" s="371"/>
      <c r="G38" s="371"/>
      <c r="H38" s="372"/>
      <c r="I38" s="373"/>
      <c r="J38" s="374"/>
      <c r="L38" s="29" t="str">
        <f t="array" aca="1" ref="L38" ca="1">IF(ROW()-ROW($F$2:$F$48)+1&gt;ROWS($E$2:$E$48)-COUNTBLANK($E$2:$E$48),"",INDIRECT(ADDRESS(SMALL((IF($E$2:$E$48&lt;&gt;"",ROW($E$2:$E$48),ROW()+ROWS($E$2:$E$48))),ROW()-ROW($F$2:$F$48)+1),COLUMN($E$2:$E$48),4)))</f>
        <v/>
      </c>
      <c r="M38" s="29" t="str">
        <f t="array" aca="1" ref="M38" ca="1">IF(ROW()-ROW($G$2:$G$48)+1&gt;ROWS($F$2:$F$48)-COUNTBLANK($F$2:$F$48),"",INDIRECT(ADDRESS(SMALL((IF($F$2:$F$48&lt;&gt;"",ROW($F$2:$F$48),ROW()+ROWS($F$2:$F$48))),ROW()-ROW($G$2:$G$48)+1),COLUMN($F$2:$F$48),4)))</f>
        <v/>
      </c>
      <c r="N38" s="29" t="str">
        <f t="array" aca="1" ref="N38" ca="1">IF(ROW()-ROW($H$2:$H$48)+1&gt;ROWS($G$2:$G$48)-COUNTBLANK($G$2:$G$48),"",INDIRECT(ADDRESS(SMALL((IF($G$2:$G$48&lt;&gt;"",ROW($G$2:$G$48),ROW()+ROWS($G$2:$G$48))),ROW()-ROW($H$2:$H$48)+1),COLUMN($G$2:$G$48),4)))</f>
        <v/>
      </c>
      <c r="O38" s="165" t="str">
        <f t="array" aca="1" ref="O38" ca="1">IF(ROW()-ROW($I$2:$I$48)+1&gt;ROWS($H$2:$H$48)-COUNTBLANK($H$2:$H$48),"",INDIRECT(ADDRESS(SMALL((IF($H$2:$H$48&lt;&gt;"",ROW($H$2:$H$48),ROW()+ROWS($H$2:$H$48))),ROW()-ROW($I$2:$I$48)+1),COLUMN($H$2:$H$48),4)))</f>
        <v/>
      </c>
      <c r="P38" s="165" t="str">
        <f t="array" aca="1" ref="P38" ca="1">IF(ROW()-ROW($J$2:$J$48)+1&gt;ROWS($I$2:$I$48)-COUNTBLANK($I$2:$I$48),"",INDIRECT(ADDRESS(SMALL((IF($I$2:$I$48&lt;&gt;"",ROW($I$2:$I$48),ROW()+ROWS($I$2:$I$48))),ROW()-ROW($J$2:$J$48)+1),COLUMN($I$2:$I$48),4)))</f>
        <v/>
      </c>
    </row>
    <row r="39" spans="4:16" ht="15" customHeight="1" x14ac:dyDescent="0.25">
      <c r="D39" s="957" t="s">
        <v>211</v>
      </c>
      <c r="E39" s="367"/>
      <c r="F39" s="368"/>
      <c r="G39" s="368"/>
      <c r="H39" s="369"/>
      <c r="I39" s="293"/>
      <c r="J39" s="370"/>
      <c r="L39" s="29" t="str">
        <f t="array" aca="1" ref="L39" ca="1">IF(ROW()-ROW($F$2:$F$48)+1&gt;ROWS($E$2:$E$48)-COUNTBLANK($E$2:$E$48),"",INDIRECT(ADDRESS(SMALL((IF($E$2:$E$48&lt;&gt;"",ROW($E$2:$E$48),ROW()+ROWS($E$2:$E$48))),ROW()-ROW($F$2:$F$48)+1),COLUMN($E$2:$E$48),4)))</f>
        <v/>
      </c>
      <c r="M39" s="29" t="str">
        <f t="array" aca="1" ref="M39" ca="1">IF(ROW()-ROW($G$2:$G$48)+1&gt;ROWS($F$2:$F$48)-COUNTBLANK($F$2:$F$48),"",INDIRECT(ADDRESS(SMALL((IF($F$2:$F$48&lt;&gt;"",ROW($F$2:$F$48),ROW()+ROWS($F$2:$F$48))),ROW()-ROW($G$2:$G$48)+1),COLUMN($F$2:$F$48),4)))</f>
        <v/>
      </c>
      <c r="N39" s="29" t="str">
        <f t="array" aca="1" ref="N39" ca="1">IF(ROW()-ROW($H$2:$H$48)+1&gt;ROWS($G$2:$G$48)-COUNTBLANK($G$2:$G$48),"",INDIRECT(ADDRESS(SMALL((IF($G$2:$G$48&lt;&gt;"",ROW($G$2:$G$48),ROW()+ROWS($G$2:$G$48))),ROW()-ROW($H$2:$H$48)+1),COLUMN($G$2:$G$48),4)))</f>
        <v/>
      </c>
      <c r="O39" s="165" t="str">
        <f t="array" aca="1" ref="O39" ca="1">IF(ROW()-ROW($I$2:$I$48)+1&gt;ROWS($H$2:$H$48)-COUNTBLANK($H$2:$H$48),"",INDIRECT(ADDRESS(SMALL((IF($H$2:$H$48&lt;&gt;"",ROW($H$2:$H$48),ROW()+ROWS($H$2:$H$48))),ROW()-ROW($I$2:$I$48)+1),COLUMN($H$2:$H$48),4)))</f>
        <v/>
      </c>
      <c r="P39" s="165" t="str">
        <f t="array" aca="1" ref="P39" ca="1">IF(ROW()-ROW($J$2:$J$48)+1&gt;ROWS($I$2:$I$48)-COUNTBLANK($I$2:$I$48),"",INDIRECT(ADDRESS(SMALL((IF($I$2:$I$48&lt;&gt;"",ROW($I$2:$I$48),ROW()+ROWS($I$2:$I$48))),ROW()-ROW($J$2:$J$48)+1),COLUMN($I$2:$I$48),4)))</f>
        <v/>
      </c>
    </row>
    <row r="40" spans="4:16" ht="15" customHeight="1" x14ac:dyDescent="0.25">
      <c r="D40" s="957"/>
      <c r="E40" s="367"/>
      <c r="F40" s="368"/>
      <c r="G40" s="368"/>
      <c r="H40" s="369"/>
      <c r="I40" s="293"/>
      <c r="J40" s="370"/>
      <c r="L40" s="29" t="str">
        <f t="array" aca="1" ref="L40" ca="1">IF(ROW()-ROW($F$2:$F$48)+1&gt;ROWS($E$2:$E$48)-COUNTBLANK($E$2:$E$48),"",INDIRECT(ADDRESS(SMALL((IF($E$2:$E$48&lt;&gt;"",ROW($E$2:$E$48),ROW()+ROWS($E$2:$E$48))),ROW()-ROW($F$2:$F$48)+1),COLUMN($E$2:$E$48),4)))</f>
        <v/>
      </c>
      <c r="M40" s="29" t="str">
        <f t="array" aca="1" ref="M40" ca="1">IF(ROW()-ROW($G$2:$G$48)+1&gt;ROWS($F$2:$F$48)-COUNTBLANK($F$2:$F$48),"",INDIRECT(ADDRESS(SMALL((IF($F$2:$F$48&lt;&gt;"",ROW($F$2:$F$48),ROW()+ROWS($F$2:$F$48))),ROW()-ROW($G$2:$G$48)+1),COLUMN($F$2:$F$48),4)))</f>
        <v/>
      </c>
      <c r="N40" s="29" t="str">
        <f t="array" aca="1" ref="N40" ca="1">IF(ROW()-ROW($H$2:$H$48)+1&gt;ROWS($G$2:$G$48)-COUNTBLANK($G$2:$G$48),"",INDIRECT(ADDRESS(SMALL((IF($G$2:$G$48&lt;&gt;"",ROW($G$2:$G$48),ROW()+ROWS($G$2:$G$48))),ROW()-ROW($H$2:$H$48)+1),COLUMN($G$2:$G$48),4)))</f>
        <v/>
      </c>
      <c r="O40" s="165" t="str">
        <f t="array" aca="1" ref="O40" ca="1">IF(ROW()-ROW($I$2:$I$48)+1&gt;ROWS($H$2:$H$48)-COUNTBLANK($H$2:$H$48),"",INDIRECT(ADDRESS(SMALL((IF($H$2:$H$48&lt;&gt;"",ROW($H$2:$H$48),ROW()+ROWS($H$2:$H$48))),ROW()-ROW($I$2:$I$48)+1),COLUMN($H$2:$H$48),4)))</f>
        <v/>
      </c>
      <c r="P40" s="165" t="str">
        <f t="array" aca="1" ref="P40" ca="1">IF(ROW()-ROW($J$2:$J$48)+1&gt;ROWS($I$2:$I$48)-COUNTBLANK($I$2:$I$48),"",INDIRECT(ADDRESS(SMALL((IF($I$2:$I$48&lt;&gt;"",ROW($I$2:$I$48),ROW()+ROWS($I$2:$I$48))),ROW()-ROW($J$2:$J$48)+1),COLUMN($I$2:$I$48),4)))</f>
        <v/>
      </c>
    </row>
    <row r="41" spans="4:16" ht="15" customHeight="1" x14ac:dyDescent="0.25">
      <c r="D41" s="957"/>
      <c r="E41" s="367"/>
      <c r="F41" s="368"/>
      <c r="G41" s="368"/>
      <c r="H41" s="369"/>
      <c r="I41" s="293"/>
      <c r="J41" s="370"/>
      <c r="L41" s="29" t="str">
        <f t="array" aca="1" ref="L41" ca="1">IF(ROW()-ROW($F$2:$F$48)+1&gt;ROWS($E$2:$E$48)-COUNTBLANK($E$2:$E$48),"",INDIRECT(ADDRESS(SMALL((IF($E$2:$E$48&lt;&gt;"",ROW($E$2:$E$48),ROW()+ROWS($E$2:$E$48))),ROW()-ROW($F$2:$F$48)+1),COLUMN($E$2:$E$48),4)))</f>
        <v/>
      </c>
      <c r="M41" s="29" t="str">
        <f t="array" aca="1" ref="M41" ca="1">IF(ROW()-ROW($G$2:$G$48)+1&gt;ROWS($F$2:$F$48)-COUNTBLANK($F$2:$F$48),"",INDIRECT(ADDRESS(SMALL((IF($F$2:$F$48&lt;&gt;"",ROW($F$2:$F$48),ROW()+ROWS($F$2:$F$48))),ROW()-ROW($G$2:$G$48)+1),COLUMN($F$2:$F$48),4)))</f>
        <v/>
      </c>
      <c r="N41" s="29" t="str">
        <f t="array" aca="1" ref="N41" ca="1">IF(ROW()-ROW($H$2:$H$48)+1&gt;ROWS($G$2:$G$48)-COUNTBLANK($G$2:$G$48),"",INDIRECT(ADDRESS(SMALL((IF($G$2:$G$48&lt;&gt;"",ROW($G$2:$G$48),ROW()+ROWS($G$2:$G$48))),ROW()-ROW($H$2:$H$48)+1),COLUMN($G$2:$G$48),4)))</f>
        <v/>
      </c>
      <c r="O41" s="165" t="str">
        <f t="array" aca="1" ref="O41" ca="1">IF(ROW()-ROW($I$2:$I$48)+1&gt;ROWS($H$2:$H$48)-COUNTBLANK($H$2:$H$48),"",INDIRECT(ADDRESS(SMALL((IF($H$2:$H$48&lt;&gt;"",ROW($H$2:$H$48),ROW()+ROWS($H$2:$H$48))),ROW()-ROW($I$2:$I$48)+1),COLUMN($H$2:$H$48),4)))</f>
        <v/>
      </c>
      <c r="P41" s="165" t="str">
        <f t="array" aca="1" ref="P41" ca="1">IF(ROW()-ROW($J$2:$J$48)+1&gt;ROWS($I$2:$I$48)-COUNTBLANK($I$2:$I$48),"",INDIRECT(ADDRESS(SMALL((IF($I$2:$I$48&lt;&gt;"",ROW($I$2:$I$48),ROW()+ROWS($I$2:$I$48))),ROW()-ROW($J$2:$J$48)+1),COLUMN($I$2:$I$48),4)))</f>
        <v/>
      </c>
    </row>
    <row r="42" spans="4:16" ht="15" customHeight="1" thickBot="1" x14ac:dyDescent="0.3">
      <c r="D42" s="357" t="s">
        <v>345</v>
      </c>
      <c r="E42" s="29" t="str">
        <f>IF(H42="","","2017")</f>
        <v/>
      </c>
      <c r="F42" s="45" t="str">
        <f>IF(H42="","","i")</f>
        <v/>
      </c>
      <c r="G42" s="45" t="str">
        <f t="shared" ref="G42" si="24">IF(H42="","","6")</f>
        <v/>
      </c>
      <c r="H42" s="198" t="str">
        <f>IF(A6="relevant",IF(Matrix!AB27="","",IF(AND(ROUND(Matrix!AB27,4)&gt;=Berechnung2!E71,ROUND(Matrix!AB27,4)&lt;Berechnung2!G71),Berechnung2!L71,IF(ROUND(Matrix!AB27,4)&gt;Berechnung2!J71,Berechnung2!M71,""))),"")</f>
        <v/>
      </c>
      <c r="I42" s="155" t="str">
        <f t="array" ref="I42">IF(H42="","",VLOOKUP(F42,Berechnung2!$I$15:$J$24,2,FALSE))</f>
        <v/>
      </c>
      <c r="J42" s="171" t="str">
        <f t="shared" ref="J42" si="25">IF(H42&lt;&gt;"",1,"")</f>
        <v/>
      </c>
      <c r="L42" s="29" t="str">
        <f t="array" aca="1" ref="L42" ca="1">IF(ROW()-ROW($F$2:$F$48)+1&gt;ROWS($E$2:$E$48)-COUNTBLANK($E$2:$E$48),"",INDIRECT(ADDRESS(SMALL((IF($E$2:$E$48&lt;&gt;"",ROW($E$2:$E$48),ROW()+ROWS($E$2:$E$48))),ROW()-ROW($F$2:$F$48)+1),COLUMN($E$2:$E$48),4)))</f>
        <v/>
      </c>
      <c r="M42" s="29" t="str">
        <f t="array" aca="1" ref="M42" ca="1">IF(ROW()-ROW($G$2:$G$48)+1&gt;ROWS($F$2:$F$48)-COUNTBLANK($F$2:$F$48),"",INDIRECT(ADDRESS(SMALL((IF($F$2:$F$48&lt;&gt;"",ROW($F$2:$F$48),ROW()+ROWS($F$2:$F$48))),ROW()-ROW($G$2:$G$48)+1),COLUMN($F$2:$F$48),4)))</f>
        <v/>
      </c>
      <c r="N42" s="29" t="str">
        <f t="array" aca="1" ref="N42" ca="1">IF(ROW()-ROW($H$2:$H$48)+1&gt;ROWS($G$2:$G$48)-COUNTBLANK($G$2:$G$48),"",INDIRECT(ADDRESS(SMALL((IF($G$2:$G$48&lt;&gt;"",ROW($G$2:$G$48),ROW()+ROWS($G$2:$G$48))),ROW()-ROW($H$2:$H$48)+1),COLUMN($G$2:$G$48),4)))</f>
        <v/>
      </c>
      <c r="O42" s="165" t="str">
        <f t="array" aca="1" ref="O42" ca="1">IF(ROW()-ROW($I$2:$I$48)+1&gt;ROWS($H$2:$H$48)-COUNTBLANK($H$2:$H$48),"",INDIRECT(ADDRESS(SMALL((IF($H$2:$H$48&lt;&gt;"",ROW($H$2:$H$48),ROW()+ROWS($H$2:$H$48))),ROW()-ROW($I$2:$I$48)+1),COLUMN($H$2:$H$48),4)))</f>
        <v/>
      </c>
      <c r="P42" s="165" t="str">
        <f t="array" aca="1" ref="P42" ca="1">IF(ROW()-ROW($J$2:$J$48)+1&gt;ROWS($I$2:$I$48)-COUNTBLANK($I$2:$I$48),"",INDIRECT(ADDRESS(SMALL((IF($I$2:$I$48&lt;&gt;"",ROW($I$2:$I$48),ROW()+ROWS($I$2:$I$48))),ROW()-ROW($J$2:$J$48)+1),COLUMN($I$2:$I$48),4)))</f>
        <v/>
      </c>
    </row>
    <row r="43" spans="4:16" ht="15" customHeight="1" x14ac:dyDescent="0.25">
      <c r="D43" s="153" t="s">
        <v>155</v>
      </c>
      <c r="E43" s="371"/>
      <c r="F43" s="371"/>
      <c r="G43" s="371"/>
      <c r="H43" s="372"/>
      <c r="I43" s="373"/>
      <c r="J43" s="374"/>
      <c r="L43" s="29" t="str">
        <f t="array" aca="1" ref="L43" ca="1">IF(ROW()-ROW($F$2:$F$48)+1&gt;ROWS($E$2:$E$48)-COUNTBLANK($E$2:$E$48),"",INDIRECT(ADDRESS(SMALL((IF($E$2:$E$48&lt;&gt;"",ROW($E$2:$E$48),ROW()+ROWS($E$2:$E$48))),ROW()-ROW($F$2:$F$48)+1),COLUMN($E$2:$E$48),4)))</f>
        <v/>
      </c>
      <c r="M43" s="29" t="str">
        <f t="array" aca="1" ref="M43" ca="1">IF(ROW()-ROW($G$2:$G$48)+1&gt;ROWS($F$2:$F$48)-COUNTBLANK($F$2:$F$48),"",INDIRECT(ADDRESS(SMALL((IF($F$2:$F$48&lt;&gt;"",ROW($F$2:$F$48),ROW()+ROWS($F$2:$F$48))),ROW()-ROW($G$2:$G$48)+1),COLUMN($F$2:$F$48),4)))</f>
        <v/>
      </c>
      <c r="N43" s="29" t="str">
        <f t="array" aca="1" ref="N43" ca="1">IF(ROW()-ROW($H$2:$H$48)+1&gt;ROWS($G$2:$G$48)-COUNTBLANK($G$2:$G$48),"",INDIRECT(ADDRESS(SMALL((IF($G$2:$G$48&lt;&gt;"",ROW($G$2:$G$48),ROW()+ROWS($G$2:$G$48))),ROW()-ROW($H$2:$H$48)+1),COLUMN($G$2:$G$48),4)))</f>
        <v/>
      </c>
      <c r="O43" s="165" t="str">
        <f t="array" aca="1" ref="O43" ca="1">IF(ROW()-ROW($I$2:$I$48)+1&gt;ROWS($H$2:$H$48)-COUNTBLANK($H$2:$H$48),"",INDIRECT(ADDRESS(SMALL((IF($H$2:$H$48&lt;&gt;"",ROW($H$2:$H$48),ROW()+ROWS($H$2:$H$48))),ROW()-ROW($I$2:$I$48)+1),COLUMN($H$2:$H$48),4)))</f>
        <v/>
      </c>
      <c r="P43" s="165" t="str">
        <f t="array" aca="1" ref="P43" ca="1">IF(ROW()-ROW($J$2:$J$48)+1&gt;ROWS($I$2:$I$48)-COUNTBLANK($I$2:$I$48),"",INDIRECT(ADDRESS(SMALL((IF($I$2:$I$48&lt;&gt;"",ROW($I$2:$I$48),ROW()+ROWS($I$2:$I$48))),ROW()-ROW($J$2:$J$48)+1),COLUMN($I$2:$I$48),4)))</f>
        <v/>
      </c>
    </row>
    <row r="44" spans="4:16" ht="15" customHeight="1" x14ac:dyDescent="0.25">
      <c r="D44" s="957" t="s">
        <v>212</v>
      </c>
      <c r="E44" s="367"/>
      <c r="F44" s="368"/>
      <c r="G44" s="368"/>
      <c r="H44" s="369"/>
      <c r="I44" s="293"/>
      <c r="J44" s="370"/>
      <c r="L44" s="29" t="str">
        <f t="array" aca="1" ref="L44" ca="1">IF(ROW()-ROW($F$2:$F$48)+1&gt;ROWS($E$2:$E$48)-COUNTBLANK($E$2:$E$48),"",INDIRECT(ADDRESS(SMALL((IF($E$2:$E$48&lt;&gt;"",ROW($E$2:$E$48),ROW()+ROWS($E$2:$E$48))),ROW()-ROW($F$2:$F$48)+1),COLUMN($E$2:$E$48),4)))</f>
        <v/>
      </c>
      <c r="M44" s="29" t="str">
        <f t="array" aca="1" ref="M44" ca="1">IF(ROW()-ROW($G$2:$G$48)+1&gt;ROWS($F$2:$F$48)-COUNTBLANK($F$2:$F$48),"",INDIRECT(ADDRESS(SMALL((IF($F$2:$F$48&lt;&gt;"",ROW($F$2:$F$48),ROW()+ROWS($F$2:$F$48))),ROW()-ROW($G$2:$G$48)+1),COLUMN($F$2:$F$48),4)))</f>
        <v/>
      </c>
      <c r="N44" s="29" t="str">
        <f t="array" aca="1" ref="N44" ca="1">IF(ROW()-ROW($H$2:$H$48)+1&gt;ROWS($G$2:$G$48)-COUNTBLANK($G$2:$G$48),"",INDIRECT(ADDRESS(SMALL((IF($G$2:$G$48&lt;&gt;"",ROW($G$2:$G$48),ROW()+ROWS($G$2:$G$48))),ROW()-ROW($H$2:$H$48)+1),COLUMN($G$2:$G$48),4)))</f>
        <v/>
      </c>
      <c r="O44" s="165" t="str">
        <f t="array" aca="1" ref="O44" ca="1">IF(ROW()-ROW($I$2:$I$48)+1&gt;ROWS($H$2:$H$48)-COUNTBLANK($H$2:$H$48),"",INDIRECT(ADDRESS(SMALL((IF($H$2:$H$48&lt;&gt;"",ROW($H$2:$H$48),ROW()+ROWS($H$2:$H$48))),ROW()-ROW($I$2:$I$48)+1),COLUMN($H$2:$H$48),4)))</f>
        <v/>
      </c>
      <c r="P44" s="165" t="str">
        <f t="array" aca="1" ref="P44" ca="1">IF(ROW()-ROW($J$2:$J$48)+1&gt;ROWS($I$2:$I$48)-COUNTBLANK($I$2:$I$48),"",INDIRECT(ADDRESS(SMALL((IF($I$2:$I$48&lt;&gt;"",ROW($I$2:$I$48),ROW()+ROWS($I$2:$I$48))),ROW()-ROW($J$2:$J$48)+1),COLUMN($I$2:$I$48),4)))</f>
        <v/>
      </c>
    </row>
    <row r="45" spans="4:16" ht="51.75" customHeight="1" x14ac:dyDescent="0.25">
      <c r="D45" s="957"/>
      <c r="E45" s="367"/>
      <c r="F45" s="368"/>
      <c r="G45" s="368"/>
      <c r="H45" s="369"/>
      <c r="I45" s="293"/>
      <c r="J45" s="370"/>
      <c r="L45" s="29" t="str">
        <f t="array" aca="1" ref="L45" ca="1">IF(ROW()-ROW($F$2:$F$48)+1&gt;ROWS($E$2:$E$48)-COUNTBLANK($E$2:$E$48),"",INDIRECT(ADDRESS(SMALL((IF($E$2:$E$48&lt;&gt;"",ROW($E$2:$E$48),ROW()+ROWS($E$2:$E$48))),ROW()-ROW($F$2:$F$48)+1),COLUMN($E$2:$E$48),4)))</f>
        <v/>
      </c>
      <c r="M45" s="29" t="str">
        <f t="array" aca="1" ref="M45" ca="1">IF(ROW()-ROW($G$2:$G$48)+1&gt;ROWS($F$2:$F$48)-COUNTBLANK($F$2:$F$48),"",INDIRECT(ADDRESS(SMALL((IF($F$2:$F$48&lt;&gt;"",ROW($F$2:$F$48),ROW()+ROWS($F$2:$F$48))),ROW()-ROW($G$2:$G$48)+1),COLUMN($F$2:$F$48),4)))</f>
        <v/>
      </c>
      <c r="N45" s="29" t="str">
        <f t="array" aca="1" ref="N45" ca="1">IF(ROW()-ROW($H$2:$H$48)+1&gt;ROWS($G$2:$G$48)-COUNTBLANK($G$2:$G$48),"",INDIRECT(ADDRESS(SMALL((IF($G$2:$G$48&lt;&gt;"",ROW($G$2:$G$48),ROW()+ROWS($G$2:$G$48))),ROW()-ROW($H$2:$H$48)+1),COLUMN($G$2:$G$48),4)))</f>
        <v/>
      </c>
      <c r="O45" s="165" t="str">
        <f t="array" aca="1" ref="O45" ca="1">IF(ROW()-ROW($I$2:$I$48)+1&gt;ROWS($H$2:$H$48)-COUNTBLANK($H$2:$H$48),"",INDIRECT(ADDRESS(SMALL((IF($H$2:$H$48&lt;&gt;"",ROW($H$2:$H$48),ROW()+ROWS($H$2:$H$48))),ROW()-ROW($I$2:$I$48)+1),COLUMN($H$2:$H$48),4)))</f>
        <v/>
      </c>
      <c r="P45" s="165" t="str">
        <f t="array" aca="1" ref="P45" ca="1">IF(ROW()-ROW($J$2:$J$48)+1&gt;ROWS($I$2:$I$48)-COUNTBLANK($I$2:$I$48),"",INDIRECT(ADDRESS(SMALL((IF($I$2:$I$48&lt;&gt;"",ROW($I$2:$I$48),ROW()+ROWS($I$2:$I$48))),ROW()-ROW($J$2:$J$48)+1),COLUMN($I$2:$I$48),4)))</f>
        <v/>
      </c>
    </row>
    <row r="46" spans="4:16" x14ac:dyDescent="0.25">
      <c r="D46" s="957"/>
      <c r="E46" s="29" t="str">
        <f>IF(H46="","","2016")</f>
        <v/>
      </c>
      <c r="F46" s="45" t="str">
        <f>IF(H46="","","j")</f>
        <v/>
      </c>
      <c r="G46" s="45" t="str">
        <f t="shared" ref="G46:G47" si="26">IF(H46="","","6")</f>
        <v/>
      </c>
      <c r="H46" s="198" t="str">
        <f>IF(A5="relevant",IF(Matrix!AC26="","",IF(AND(ROUND(Matrix!AC26,4)&gt;=Berechnung2!E79,ROUND(Matrix!AC26,4)&lt;Berechnung2!G79),Berechnung2!L79,IF(ROUND(Matrix!AC26,4)&gt;Berechnung2!J79,Berechnung2!M79,""))),"")</f>
        <v/>
      </c>
      <c r="I46" s="155" t="str">
        <f t="array" ref="I46">IF(H46="","",VLOOKUP(F46,Berechnung2!$I$15:$J$24,2,FALSE))</f>
        <v/>
      </c>
      <c r="J46" s="171" t="str">
        <f t="shared" ref="J46:J47" si="27">IF(H46&lt;&gt;"",1,"")</f>
        <v/>
      </c>
      <c r="L46" s="29" t="str">
        <f t="array" aca="1" ref="L46" ca="1">IF(ROW()-ROW($F$2:$F$48)+1&gt;ROWS($E$2:$E$48)-COUNTBLANK($E$2:$E$48),"",INDIRECT(ADDRESS(SMALL((IF($E$2:$E$48&lt;&gt;"",ROW($E$2:$E$48),ROW()+ROWS($E$2:$E$48))),ROW()-ROW($F$2:$F$48)+1),COLUMN($E$2:$E$48),4)))</f>
        <v/>
      </c>
      <c r="M46" s="29" t="str">
        <f t="array" aca="1" ref="M46" ca="1">IF(ROW()-ROW($G$2:$G$48)+1&gt;ROWS($F$2:$F$48)-COUNTBLANK($F$2:$F$48),"",INDIRECT(ADDRESS(SMALL((IF($F$2:$F$48&lt;&gt;"",ROW($F$2:$F$48),ROW()+ROWS($F$2:$F$48))),ROW()-ROW($G$2:$G$48)+1),COLUMN($F$2:$F$48),4)))</f>
        <v/>
      </c>
      <c r="N46" s="29" t="str">
        <f t="array" aca="1" ref="N46" ca="1">IF(ROW()-ROW($H$2:$H$48)+1&gt;ROWS($G$2:$G$48)-COUNTBLANK($G$2:$G$48),"",INDIRECT(ADDRESS(SMALL((IF($G$2:$G$48&lt;&gt;"",ROW($G$2:$G$48),ROW()+ROWS($G$2:$G$48))),ROW()-ROW($H$2:$H$48)+1),COLUMN($G$2:$G$48),4)))</f>
        <v/>
      </c>
      <c r="O46" s="165" t="str">
        <f t="array" aca="1" ref="O46" ca="1">IF(ROW()-ROW($I$2:$I$48)+1&gt;ROWS($H$2:$H$48)-COUNTBLANK($H$2:$H$48),"",INDIRECT(ADDRESS(SMALL((IF($H$2:$H$48&lt;&gt;"",ROW($H$2:$H$48),ROW()+ROWS($H$2:$H$48))),ROW()-ROW($I$2:$I$48)+1),COLUMN($H$2:$H$48),4)))</f>
        <v/>
      </c>
      <c r="P46" s="165" t="str">
        <f t="array" aca="1" ref="P46" ca="1">IF(ROW()-ROW($J$2:$J$48)+1&gt;ROWS($I$2:$I$48)-COUNTBLANK($I$2:$I$48),"",INDIRECT(ADDRESS(SMALL((IF($I$2:$I$48&lt;&gt;"",ROW($I$2:$I$48),ROW()+ROWS($I$2:$I$48))),ROW()-ROW($J$2:$J$48)+1),COLUMN($I$2:$I$48),4)))</f>
        <v/>
      </c>
    </row>
    <row r="47" spans="4:16" ht="12" thickBot="1" x14ac:dyDescent="0.3">
      <c r="D47" s="357" t="s">
        <v>346</v>
      </c>
      <c r="E47" s="29" t="str">
        <f>IF(H47="","","2017")</f>
        <v/>
      </c>
      <c r="F47" s="45" t="str">
        <f>IF(H47="","","j")</f>
        <v/>
      </c>
      <c r="G47" s="45" t="str">
        <f t="shared" si="26"/>
        <v/>
      </c>
      <c r="H47" s="198" t="str">
        <f>IF(A6="relevant",IF(Matrix!AC27="","",IF(AND(ROUND(Matrix!AC27,4)&gt;=Berechnung2!E80,ROUND(Matrix!AC27,4)&lt;Berechnung2!G80),Berechnung2!L80,IF(ROUND(Matrix!AC27,4)&gt;Berechnung2!J80,Berechnung2!M80,""))),"")</f>
        <v/>
      </c>
      <c r="I47" s="155" t="str">
        <f t="array" ref="I47">IF(H47="","",VLOOKUP(F47,Berechnung2!$I$15:$J$24,2,FALSE))</f>
        <v/>
      </c>
      <c r="J47" s="171" t="str">
        <f t="shared" si="27"/>
        <v/>
      </c>
      <c r="L47" s="29" t="str">
        <f t="array" aca="1" ref="L47" ca="1">IF(ROW()-ROW($F$2:$F$48)+1&gt;ROWS($E$2:$E$48)-COUNTBLANK($E$2:$E$48),"",INDIRECT(ADDRESS(SMALL((IF($E$2:$E$48&lt;&gt;"",ROW($E$2:$E$48),ROW()+ROWS($E$2:$E$48))),ROW()-ROW($F$2:$F$48)+1),COLUMN($E$2:$E$48),4)))</f>
        <v/>
      </c>
      <c r="M47" s="29" t="str">
        <f t="array" aca="1" ref="M47" ca="1">IF(ROW()-ROW($G$2:$G$48)+1&gt;ROWS($F$2:$F$48)-COUNTBLANK($F$2:$F$48),"",INDIRECT(ADDRESS(SMALL((IF($F$2:$F$48&lt;&gt;"",ROW($F$2:$F$48),ROW()+ROWS($F$2:$F$48))),ROW()-ROW($G$2:$G$48)+1),COLUMN($F$2:$F$48),4)))</f>
        <v/>
      </c>
      <c r="N47" s="29" t="str">
        <f t="array" aca="1" ref="N47" ca="1">IF(ROW()-ROW($H$2:$H$48)+1&gt;ROWS($G$2:$G$48)-COUNTBLANK($G$2:$G$48),"",INDIRECT(ADDRESS(SMALL((IF($G$2:$G$48&lt;&gt;"",ROW($G$2:$G$48),ROW()+ROWS($G$2:$G$48))),ROW()-ROW($H$2:$H$48)+1),COLUMN($G$2:$G$48),4)))</f>
        <v/>
      </c>
      <c r="O47" s="165" t="str">
        <f t="array" aca="1" ref="O47" ca="1">IF(ROW()-ROW($I$2:$I$48)+1&gt;ROWS($H$2:$H$48)-COUNTBLANK($H$2:$H$48),"",INDIRECT(ADDRESS(SMALL((IF($H$2:$H$48&lt;&gt;"",ROW($H$2:$H$48),ROW()+ROWS($H$2:$H$48))),ROW()-ROW($I$2:$I$48)+1),COLUMN($H$2:$H$48),4)))</f>
        <v/>
      </c>
      <c r="P47" s="165" t="str">
        <f t="array" aca="1" ref="P47" ca="1">IF(ROW()-ROW($J$2:$J$48)+1&gt;ROWS($I$2:$I$48)-COUNTBLANK($I$2:$I$48),"",INDIRECT(ADDRESS(SMALL((IF($I$2:$I$48&lt;&gt;"",ROW($I$2:$I$48),ROW()+ROWS($I$2:$I$48))),ROW()-ROW($J$2:$J$48)+1),COLUMN($I$2:$I$48),4)))</f>
        <v/>
      </c>
    </row>
    <row r="48" spans="4:16" ht="45.75" thickBot="1" x14ac:dyDescent="0.3">
      <c r="D48" s="330" t="s">
        <v>352</v>
      </c>
      <c r="E48" s="331"/>
      <c r="F48" s="332"/>
      <c r="G48" s="332"/>
      <c r="H48" s="333"/>
      <c r="I48" s="334"/>
      <c r="J48" s="335"/>
      <c r="L48" s="29" t="str">
        <f t="array" aca="1" ref="L48" ca="1">IF(ROW()-ROW($F$2:$F$48)+1&gt;ROWS($E$2:$E$48)-COUNTBLANK($E$2:$E$48),"",INDIRECT(ADDRESS(SMALL((IF($E$2:$E$48&lt;&gt;"",ROW($E$2:$E$48),ROW()+ROWS($E$2:$E$48))),ROW()-ROW($F$2:$F$48)+1),COLUMN($E$2:$E$48),4)))</f>
        <v/>
      </c>
      <c r="M48" s="29" t="str">
        <f t="array" aca="1" ref="M48" ca="1">IF(ROW()-ROW($G$2:$G$48)+1&gt;ROWS($F$2:$F$48)-COUNTBLANK($F$2:$F$48),"",INDIRECT(ADDRESS(SMALL((IF($F$2:$F$48&lt;&gt;"",ROW($F$2:$F$48),ROW()+ROWS($F$2:$F$48))),ROW()-ROW($G$2:$G$48)+1),COLUMN($F$2:$F$48),4)))</f>
        <v/>
      </c>
      <c r="N48" s="29" t="str">
        <f t="array" aca="1" ref="N48" ca="1">IF(ROW()-ROW($H$2:$H$48)+1&gt;ROWS($G$2:$G$48)-COUNTBLANK($G$2:$G$48),"",INDIRECT(ADDRESS(SMALL((IF($G$2:$G$48&lt;&gt;"",ROW($G$2:$G$48),ROW()+ROWS($G$2:$G$48))),ROW()-ROW($H$2:$H$48)+1),COLUMN($G$2:$G$48),4)))</f>
        <v/>
      </c>
      <c r="O48" s="165" t="str">
        <f t="array" aca="1" ref="O48" ca="1">IF(ROW()-ROW($I$2:$I$48)+1&gt;ROWS($H$2:$H$48)-COUNTBLANK($H$2:$H$48),"",INDIRECT(ADDRESS(SMALL((IF($H$2:$H$48&lt;&gt;"",ROW($H$2:$H$48),ROW()+ROWS($H$2:$H$48))),ROW()-ROW($I$2:$I$48)+1),COLUMN($H$2:$H$48),4)))</f>
        <v/>
      </c>
      <c r="P48" s="165" t="str">
        <f t="array" aca="1" ref="P48" ca="1">IF(ROW()-ROW($J$2:$J$48)+1&gt;ROWS($I$2:$I$48)-COUNTBLANK($I$2:$I$48),"",INDIRECT(ADDRESS(SMALL((IF($I$2:$I$48&lt;&gt;"",ROW($I$2:$I$48),ROW()+ROWS($I$2:$I$48))),ROW()-ROW($J$2:$J$48)+1),COLUMN($I$2:$I$48),4)))</f>
        <v/>
      </c>
    </row>
    <row r="51" spans="9:10" ht="12.75" x14ac:dyDescent="0.2">
      <c r="I51" s="193" t="s">
        <v>348</v>
      </c>
      <c r="J51" s="192">
        <f>IF(SUM(J2:J8)=0,0,SUM(J2:J8))</f>
        <v>0</v>
      </c>
    </row>
    <row r="52" spans="9:10" ht="12.75" x14ac:dyDescent="0.25">
      <c r="I52" s="191" t="s">
        <v>164</v>
      </c>
      <c r="J52" s="190">
        <f>IF(SUM(J9:J18)=0,0,SUM(J9:J18))</f>
        <v>0</v>
      </c>
    </row>
    <row r="53" spans="9:10" ht="12.75" x14ac:dyDescent="0.25">
      <c r="I53" s="189" t="s">
        <v>155</v>
      </c>
      <c r="J53" s="188">
        <f>IF(SUM(J20:J48)=0,0,SUM(J20:J48))</f>
        <v>0</v>
      </c>
    </row>
    <row r="54" spans="9:10" ht="12.75" x14ac:dyDescent="0.25">
      <c r="I54" s="187" t="s">
        <v>20</v>
      </c>
      <c r="J54" s="186">
        <f>IF(J19="",0,J19)</f>
        <v>0</v>
      </c>
    </row>
  </sheetData>
  <mergeCells count="8">
    <mergeCell ref="D34:D36"/>
    <mergeCell ref="D39:D41"/>
    <mergeCell ref="D44:D46"/>
    <mergeCell ref="D3:D6"/>
    <mergeCell ref="D10:D12"/>
    <mergeCell ref="D15:D17"/>
    <mergeCell ref="D21:D24"/>
    <mergeCell ref="D29:D31"/>
  </mergeCells>
  <phoneticPr fontId="36" type="noConversion"/>
  <pageMargins left="0.31496062992125984" right="0.11811023622047245" top="0.39370078740157483" bottom="0.39370078740157483"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8"/>
  <dimension ref="A1:N26"/>
  <sheetViews>
    <sheetView showGridLines="0" zoomScaleNormal="100" zoomScaleSheetLayoutView="100" workbookViewId="0">
      <selection activeCell="B2" sqref="B2"/>
    </sheetView>
  </sheetViews>
  <sheetFormatPr defaultColWidth="9" defaultRowHeight="14.25" x14ac:dyDescent="0.2"/>
  <cols>
    <col min="1" max="1" width="15.7109375" style="3" customWidth="1"/>
    <col min="2" max="2" width="22.140625" style="3" customWidth="1"/>
    <col min="3" max="4" width="21.7109375" style="3" customWidth="1"/>
    <col min="5" max="5" width="20.42578125" style="3" customWidth="1"/>
    <col min="6" max="6" width="22.7109375" style="3" customWidth="1"/>
    <col min="7" max="182" width="11.42578125" style="3" customWidth="1"/>
    <col min="183" max="16384" width="9" style="3"/>
  </cols>
  <sheetData>
    <row r="1" spans="1:14" ht="9.9499999999999993" customHeight="1" x14ac:dyDescent="0.2">
      <c r="B1" s="27"/>
      <c r="E1" s="15"/>
    </row>
    <row r="2" spans="1:14" ht="12.95" customHeight="1" x14ac:dyDescent="0.2">
      <c r="A2" s="22" t="s">
        <v>481</v>
      </c>
      <c r="E2" s="15"/>
    </row>
    <row r="3" spans="1:14" ht="16.5" x14ac:dyDescent="0.25">
      <c r="A3" s="18" t="s">
        <v>296</v>
      </c>
      <c r="E3" s="15"/>
      <c r="F3" s="16"/>
    </row>
    <row r="4" spans="1:14" ht="6.75" customHeight="1" x14ac:dyDescent="0.25">
      <c r="A4" s="18"/>
      <c r="J4" s="19"/>
    </row>
    <row r="5" spans="1:14" ht="9.75" customHeight="1" x14ac:dyDescent="0.2">
      <c r="D5" s="10"/>
      <c r="E5" s="10"/>
      <c r="F5" s="10"/>
      <c r="G5" s="10"/>
      <c r="H5" s="10"/>
      <c r="I5" s="10"/>
      <c r="J5" s="19"/>
    </row>
    <row r="6" spans="1:14" s="22" customFormat="1" ht="15" customHeight="1" x14ac:dyDescent="0.25">
      <c r="B6" s="25" t="s">
        <v>213</v>
      </c>
      <c r="C6" s="613" t="str">
        <f>IF('Basic Data'!B9=0,"",'Basic Data'!B9)</f>
        <v/>
      </c>
      <c r="D6" s="855"/>
      <c r="E6" s="855"/>
      <c r="F6" s="856"/>
      <c r="G6" s="10"/>
      <c r="H6" s="10"/>
      <c r="J6" s="19"/>
      <c r="K6" s="19"/>
      <c r="L6" s="17"/>
      <c r="M6" s="19"/>
      <c r="N6" s="19"/>
    </row>
    <row r="7" spans="1:14" s="22" customFormat="1" ht="6.95" customHeight="1" x14ac:dyDescent="0.2">
      <c r="B7" s="6"/>
      <c r="C7" s="10"/>
      <c r="D7" s="10"/>
      <c r="E7" s="10"/>
      <c r="F7" s="10"/>
      <c r="G7" s="10"/>
      <c r="H7" s="10"/>
      <c r="J7" s="19"/>
      <c r="K7" s="19"/>
      <c r="L7" s="17"/>
      <c r="M7" s="19"/>
      <c r="N7" s="19"/>
    </row>
    <row r="8" spans="1:14" s="22" customFormat="1" ht="15" customHeight="1" x14ac:dyDescent="0.2">
      <c r="B8" s="25" t="s">
        <v>156</v>
      </c>
      <c r="C8" s="36" t="str">
        <f>IF('Basic Data'!B7=0,"",'Basic Data'!B7)</f>
        <v/>
      </c>
      <c r="D8" s="19"/>
      <c r="E8" s="4" t="s">
        <v>154</v>
      </c>
      <c r="F8" s="35" t="str">
        <f>IF('Basic Data'!I13=0,"",'Basic Data'!I13)</f>
        <v/>
      </c>
      <c r="H8" s="3"/>
      <c r="J8" s="19"/>
      <c r="K8" s="19"/>
      <c r="L8" s="17"/>
      <c r="M8" s="19"/>
      <c r="N8" s="19"/>
    </row>
    <row r="9" spans="1:14" s="22" customFormat="1" ht="6" customHeight="1" x14ac:dyDescent="0.2">
      <c r="B9" s="24"/>
      <c r="C9" s="3"/>
      <c r="E9" s="3"/>
      <c r="I9" s="13"/>
      <c r="J9" s="20"/>
      <c r="K9" s="20"/>
      <c r="L9" s="20"/>
      <c r="M9" s="20"/>
      <c r="N9" s="20"/>
    </row>
    <row r="10" spans="1:14" ht="5.25" customHeight="1" x14ac:dyDescent="0.2">
      <c r="I10" s="14"/>
      <c r="J10" s="28"/>
      <c r="K10" s="28"/>
      <c r="L10" s="28"/>
      <c r="M10" s="28"/>
      <c r="N10" s="28"/>
    </row>
    <row r="11" spans="1:14" ht="15" x14ac:dyDescent="0.25">
      <c r="A11" s="9" t="s">
        <v>293</v>
      </c>
      <c r="B11" s="4"/>
    </row>
    <row r="12" spans="1:14" ht="13.5" customHeight="1" x14ac:dyDescent="0.2">
      <c r="B12" s="70" t="str">
        <f>IF(OR(B13="",B13="Matrix kann eingereicht werden"),"In Ordnung",IF(B13="die inkorrekten und unvollständigen Einträge beheben","Nicht in Ordnung"))</f>
        <v>In Ordnung</v>
      </c>
      <c r="C12" s="54" t="s">
        <v>155</v>
      </c>
      <c r="D12" s="37" t="s">
        <v>20</v>
      </c>
      <c r="E12" s="43" t="s">
        <v>164</v>
      </c>
      <c r="F12" s="44" t="s">
        <v>368</v>
      </c>
    </row>
    <row r="13" spans="1:14" ht="18.75" customHeight="1" x14ac:dyDescent="0.2">
      <c r="B13" s="110" t="str">
        <f>Berechnung2!B6</f>
        <v/>
      </c>
      <c r="C13" s="59">
        <f>Berechnung2!C6</f>
        <v>0</v>
      </c>
      <c r="D13" s="60">
        <f>Berechnung2!D6</f>
        <v>0</v>
      </c>
      <c r="E13" s="108">
        <f>Berechnung2!E6</f>
        <v>0</v>
      </c>
      <c r="F13" s="109">
        <f>Berechnung2!F6</f>
        <v>0</v>
      </c>
    </row>
    <row r="14" spans="1:14" s="22" customFormat="1" ht="6" customHeight="1" x14ac:dyDescent="0.2">
      <c r="B14" s="11"/>
      <c r="C14" s="11"/>
    </row>
    <row r="15" spans="1:14" s="22" customFormat="1" ht="4.5" customHeight="1" x14ac:dyDescent="0.2">
      <c r="A15" s="58" t="str">
        <f>IF(SUM(C13:F13)&gt;0,IF(A19&gt;"","","FEHLER - Bearbeitungshinweise müssen beachtet werden!!! Siehe Tabellenblatt Matrix ab Zeile 45"),"")</f>
        <v/>
      </c>
      <c r="C15" s="11"/>
    </row>
    <row r="16" spans="1:14" s="22" customFormat="1" ht="5.25" customHeight="1" x14ac:dyDescent="0.2">
      <c r="B16" s="11"/>
      <c r="C16" s="11"/>
    </row>
    <row r="17" spans="1:7" ht="15.75" customHeight="1" x14ac:dyDescent="0.2">
      <c r="A17" s="964" t="s">
        <v>195</v>
      </c>
      <c r="B17" s="966" t="s">
        <v>103</v>
      </c>
      <c r="C17" s="967" t="s">
        <v>309</v>
      </c>
      <c r="D17" s="968"/>
      <c r="E17" s="968"/>
      <c r="F17" s="968"/>
      <c r="G17" s="863"/>
    </row>
    <row r="18" spans="1:7" ht="9" customHeight="1" x14ac:dyDescent="0.2">
      <c r="A18" s="965"/>
      <c r="B18" s="965"/>
      <c r="C18" s="968"/>
      <c r="D18" s="968"/>
      <c r="E18" s="968"/>
      <c r="F18" s="968"/>
      <c r="G18" s="863"/>
    </row>
    <row r="19" spans="1:7" ht="66" customHeight="1" x14ac:dyDescent="0.25">
      <c r="A19" s="29" t="str">
        <f>IF(ISERROR(Berechnung2!G15),"",Berechnung2!G15)</f>
        <v/>
      </c>
      <c r="B19" s="29" t="str">
        <f>IF(ISERROR(Berechnung2!H15),"",Berechnung2!H15)</f>
        <v/>
      </c>
      <c r="C19" s="961"/>
      <c r="D19" s="962"/>
      <c r="E19" s="962"/>
      <c r="F19" s="962"/>
      <c r="G19" s="963"/>
    </row>
    <row r="20" spans="1:7" ht="66" customHeight="1" x14ac:dyDescent="0.25">
      <c r="A20" s="29" t="str">
        <f>IF(ISERROR(Berechnung2!G16),"",Berechnung2!G16)</f>
        <v/>
      </c>
      <c r="B20" s="29" t="str">
        <f>IF(ISERROR(Berechnung2!H16),"",Berechnung2!H16)</f>
        <v/>
      </c>
      <c r="C20" s="961"/>
      <c r="D20" s="962"/>
      <c r="E20" s="962"/>
      <c r="F20" s="962"/>
      <c r="G20" s="963"/>
    </row>
    <row r="21" spans="1:7" ht="66" customHeight="1" x14ac:dyDescent="0.25">
      <c r="A21" s="29" t="str">
        <f>IF(ISERROR(Berechnung2!G17),"",Berechnung2!G17)</f>
        <v/>
      </c>
      <c r="B21" s="29" t="str">
        <f>IF(ISERROR(Berechnung2!H17),"",Berechnung2!H17)</f>
        <v/>
      </c>
      <c r="C21" s="961"/>
      <c r="D21" s="962"/>
      <c r="E21" s="962"/>
      <c r="F21" s="962"/>
      <c r="G21" s="963"/>
    </row>
    <row r="22" spans="1:7" ht="66" customHeight="1" x14ac:dyDescent="0.25">
      <c r="A22" s="29" t="str">
        <f>IF(ISERROR(Berechnung2!G18),"",Berechnung2!G18)</f>
        <v/>
      </c>
      <c r="B22" s="29" t="str">
        <f>IF(ISERROR(Berechnung2!H18),"",Berechnung2!H18)</f>
        <v/>
      </c>
      <c r="C22" s="961"/>
      <c r="D22" s="962"/>
      <c r="E22" s="962"/>
      <c r="F22" s="962"/>
      <c r="G22" s="963"/>
    </row>
    <row r="23" spans="1:7" ht="66" customHeight="1" x14ac:dyDescent="0.25">
      <c r="A23" s="29" t="str">
        <f>IF(ISERROR(Berechnung2!G19),"",Berechnung2!G19)</f>
        <v/>
      </c>
      <c r="B23" s="29" t="str">
        <f>IF(ISERROR(Berechnung2!H19),"",Berechnung2!H19)</f>
        <v/>
      </c>
      <c r="C23" s="961"/>
      <c r="D23" s="962"/>
      <c r="E23" s="962"/>
      <c r="F23" s="962"/>
      <c r="G23" s="963"/>
    </row>
    <row r="24" spans="1:7" ht="66" customHeight="1" x14ac:dyDescent="0.25">
      <c r="A24" s="45" t="str">
        <f>IF(ISERROR(Berechnung2!G20),"",Berechnung2!G20)</f>
        <v/>
      </c>
      <c r="B24" s="29" t="str">
        <f>IF(ISERROR(Berechnung2!H20),"",Berechnung2!H20)</f>
        <v/>
      </c>
      <c r="C24" s="961"/>
      <c r="D24" s="962"/>
      <c r="E24" s="962"/>
      <c r="F24" s="962"/>
      <c r="G24" s="963"/>
    </row>
    <row r="25" spans="1:7" ht="66" customHeight="1" x14ac:dyDescent="0.25">
      <c r="A25" s="45" t="str">
        <f>IF(ISERROR(Berechnung2!G21),"",Berechnung2!G21)</f>
        <v/>
      </c>
      <c r="B25" s="29" t="str">
        <f>IF(ISERROR(Berechnung2!H21),"",Berechnung2!H21)</f>
        <v/>
      </c>
      <c r="C25" s="961"/>
      <c r="D25" s="962"/>
      <c r="E25" s="962"/>
      <c r="F25" s="962"/>
      <c r="G25" s="963"/>
    </row>
    <row r="26" spans="1:7" ht="66" customHeight="1" x14ac:dyDescent="0.25">
      <c r="A26" s="29" t="str">
        <f>IF(ISERROR(Berechnung2!G22),"",Berechnung2!G22)</f>
        <v/>
      </c>
      <c r="B26" s="29" t="str">
        <f>IF(ISERROR(Berechnung2!H22),"",Berechnung2!H22)</f>
        <v/>
      </c>
      <c r="C26" s="961"/>
      <c r="D26" s="962"/>
      <c r="E26" s="962"/>
      <c r="F26" s="962"/>
      <c r="G26" s="963"/>
    </row>
  </sheetData>
  <sheetProtection selectLockedCells="1" sort="0"/>
  <mergeCells count="12">
    <mergeCell ref="C26:G26"/>
    <mergeCell ref="C6:F6"/>
    <mergeCell ref="A17:A18"/>
    <mergeCell ref="B17:B18"/>
    <mergeCell ref="C17:G18"/>
    <mergeCell ref="C19:G19"/>
    <mergeCell ref="C20:G20"/>
    <mergeCell ref="C21:G21"/>
    <mergeCell ref="C22:G22"/>
    <mergeCell ref="C23:G23"/>
    <mergeCell ref="C24:G24"/>
    <mergeCell ref="C25:G25"/>
  </mergeCells>
  <phoneticPr fontId="36" type="noConversion"/>
  <conditionalFormatting sqref="B12">
    <cfRule type="expression" dxfId="7" priority="1" stopIfTrue="1">
      <formula>$B$12="Nicht in Ordnung"</formula>
    </cfRule>
  </conditionalFormatting>
  <conditionalFormatting sqref="B13">
    <cfRule type="expression" dxfId="6" priority="2" stopIfTrue="1">
      <formula>$B$13="die inkorrekten und unvollständigen Einträge beheben"</formula>
    </cfRule>
  </conditionalFormatting>
  <conditionalFormatting sqref="B19:B26">
    <cfRule type="expression" dxfId="5" priority="25" stopIfTrue="1">
      <formula>SEARCH("Unvollständig",$B19,1)</formula>
    </cfRule>
    <cfRule type="expression" dxfId="4" priority="26" stopIfTrue="1">
      <formula>SEARCH($D$12,$B19,1)</formula>
    </cfRule>
    <cfRule type="expression" dxfId="3" priority="27" stopIfTrue="1">
      <formula>SEARCH($C$12,$B19,1)</formula>
    </cfRule>
    <cfRule type="expression" dxfId="2" priority="28" stopIfTrue="1">
      <formula>SEARCH($E$12,$B19,1)</formula>
    </cfRule>
  </conditionalFormatting>
  <conditionalFormatting sqref="C19:C26">
    <cfRule type="notContainsBlanks" dxfId="1" priority="9" stopIfTrue="1">
      <formula>LEN(TRIM(C19))&gt;0</formula>
    </cfRule>
    <cfRule type="expression" dxfId="0" priority="10" stopIfTrue="1">
      <formula>A19&lt;&gt;""</formula>
    </cfRule>
  </conditionalFormatting>
  <dataValidations count="1">
    <dataValidation type="textLength" allowBlank="1" showErrorMessage="1" errorTitle="Zeichenlänge" error="Minimal 30 Zeichen und max. 450 Zeichen." sqref="C19:G26" xr:uid="{00000000-0002-0000-1400-000000000000}">
      <formula1>30</formula1>
      <formula2>450</formula2>
    </dataValidation>
  </dataValidations>
  <pageMargins left="0.39370078740157483" right="0.19685039370078741" top="0.59055118110236227" bottom="0.39370078740157483" header="0.11811023622047245" footer="0.11811023622047245"/>
  <pageSetup paperSize="9" orientation="landscape" r:id="rId1"/>
  <headerFooter>
    <oddFooter>&amp;L&amp;"Arial,Standard"&amp;7&amp;F&amp;C&amp;"Arial,Standard"&amp;7 © DKG  Alle Rechte vorbehalten&amp;R&amp;"Arial,Standard"&amp;7&amp;P</oddFooter>
  </headerFooter>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0"/>
  <dimension ref="A1:D46"/>
  <sheetViews>
    <sheetView workbookViewId="0">
      <selection activeCell="D2" sqref="D2"/>
    </sheetView>
  </sheetViews>
  <sheetFormatPr defaultColWidth="11.42578125" defaultRowHeight="15" x14ac:dyDescent="0.25"/>
  <cols>
    <col min="1" max="1" width="14.7109375" style="204" customWidth="1"/>
    <col min="2" max="2" width="18.7109375" style="204" customWidth="1"/>
    <col min="3" max="3" width="56.28515625" style="185" customWidth="1"/>
    <col min="4" max="4" width="68.5703125" style="185" customWidth="1"/>
  </cols>
  <sheetData>
    <row r="1" spans="1:4" ht="24" x14ac:dyDescent="0.25">
      <c r="A1" s="201" t="s">
        <v>195</v>
      </c>
      <c r="B1" s="203" t="s">
        <v>353</v>
      </c>
      <c r="C1" s="203" t="s">
        <v>103</v>
      </c>
      <c r="D1" s="201" t="s">
        <v>309</v>
      </c>
    </row>
    <row r="2" spans="1:4" x14ac:dyDescent="0.25">
      <c r="A2" s="204" t="str">
        <f ca="1">Berechnung3!L2</f>
        <v/>
      </c>
      <c r="B2" s="204" t="str">
        <f ca="1">Berechnung3!N2</f>
        <v/>
      </c>
      <c r="C2" s="185" t="str">
        <f ca="1">Berechnung3!O2</f>
        <v/>
      </c>
      <c r="D2" s="185" t="str">
        <f ca="1">Berechnung3!P2</f>
        <v/>
      </c>
    </row>
    <row r="3" spans="1:4" x14ac:dyDescent="0.25">
      <c r="A3" s="204" t="str">
        <f ca="1">Berechnung3!L3</f>
        <v/>
      </c>
      <c r="B3" s="204" t="str">
        <f ca="1">Berechnung3!N3</f>
        <v/>
      </c>
      <c r="C3" s="185" t="str">
        <f ca="1">Berechnung3!O3</f>
        <v/>
      </c>
      <c r="D3" s="185" t="str">
        <f ca="1">Berechnung3!P3</f>
        <v/>
      </c>
    </row>
    <row r="4" spans="1:4" x14ac:dyDescent="0.25">
      <c r="A4" s="204" t="str">
        <f ca="1">Berechnung3!L4</f>
        <v/>
      </c>
      <c r="B4" s="204" t="str">
        <f ca="1">Berechnung3!N4</f>
        <v/>
      </c>
      <c r="C4" s="185" t="str">
        <f ca="1">Berechnung3!O4</f>
        <v/>
      </c>
      <c r="D4" s="185" t="str">
        <f ca="1">Berechnung3!P4</f>
        <v/>
      </c>
    </row>
    <row r="5" spans="1:4" x14ac:dyDescent="0.25">
      <c r="A5" s="204" t="str">
        <f ca="1">Berechnung3!L5</f>
        <v/>
      </c>
      <c r="B5" s="204" t="str">
        <f ca="1">Berechnung3!N5</f>
        <v/>
      </c>
      <c r="C5" s="185" t="str">
        <f ca="1">Berechnung3!O5</f>
        <v/>
      </c>
      <c r="D5" s="185" t="str">
        <f ca="1">Berechnung3!P5</f>
        <v/>
      </c>
    </row>
    <row r="6" spans="1:4" x14ac:dyDescent="0.25">
      <c r="A6" s="204" t="str">
        <f ca="1">Berechnung3!L6</f>
        <v/>
      </c>
      <c r="B6" s="204" t="str">
        <f ca="1">Berechnung3!N6</f>
        <v/>
      </c>
      <c r="C6" s="185" t="str">
        <f ca="1">Berechnung3!O6</f>
        <v/>
      </c>
      <c r="D6" s="185" t="str">
        <f ca="1">Berechnung3!P6</f>
        <v/>
      </c>
    </row>
    <row r="7" spans="1:4" x14ac:dyDescent="0.25">
      <c r="A7" s="204" t="str">
        <f ca="1">Berechnung3!L7</f>
        <v/>
      </c>
      <c r="B7" s="204" t="str">
        <f ca="1">Berechnung3!N7</f>
        <v/>
      </c>
      <c r="C7" s="185" t="str">
        <f ca="1">Berechnung3!O7</f>
        <v/>
      </c>
      <c r="D7" s="185" t="str">
        <f ca="1">Berechnung3!P7</f>
        <v/>
      </c>
    </row>
    <row r="8" spans="1:4" x14ac:dyDescent="0.25">
      <c r="A8" s="204" t="str">
        <f ca="1">Berechnung3!L9</f>
        <v/>
      </c>
      <c r="B8" s="204" t="str">
        <f ca="1">Berechnung3!N9</f>
        <v/>
      </c>
      <c r="C8" s="185" t="str">
        <f ca="1">Berechnung3!O9</f>
        <v/>
      </c>
      <c r="D8" s="185" t="str">
        <f ca="1">Berechnung3!P9</f>
        <v/>
      </c>
    </row>
    <row r="9" spans="1:4" x14ac:dyDescent="0.25">
      <c r="A9" s="204" t="str">
        <f ca="1">Berechnung3!L10</f>
        <v/>
      </c>
      <c r="B9" s="204" t="str">
        <f ca="1">Berechnung3!N10</f>
        <v/>
      </c>
      <c r="C9" s="185" t="str">
        <f ca="1">Berechnung3!O10</f>
        <v/>
      </c>
      <c r="D9" s="185" t="str">
        <f ca="1">Berechnung3!P10</f>
        <v/>
      </c>
    </row>
    <row r="10" spans="1:4" x14ac:dyDescent="0.25">
      <c r="A10" s="204" t="str">
        <f ca="1">Berechnung3!L11</f>
        <v/>
      </c>
      <c r="B10" s="204" t="str">
        <f ca="1">Berechnung3!N11</f>
        <v/>
      </c>
      <c r="C10" s="185" t="str">
        <f ca="1">Berechnung3!O11</f>
        <v/>
      </c>
      <c r="D10" s="185" t="str">
        <f ca="1">Berechnung3!P11</f>
        <v/>
      </c>
    </row>
    <row r="11" spans="1:4" x14ac:dyDescent="0.25">
      <c r="A11" s="204" t="str">
        <f ca="1">Berechnung3!L12</f>
        <v/>
      </c>
      <c r="B11" s="204" t="str">
        <f ca="1">Berechnung3!N12</f>
        <v/>
      </c>
      <c r="C11" s="185" t="str">
        <f ca="1">Berechnung3!O12</f>
        <v/>
      </c>
      <c r="D11" s="185" t="str">
        <f ca="1">Berechnung3!P12</f>
        <v/>
      </c>
    </row>
    <row r="12" spans="1:4" x14ac:dyDescent="0.25">
      <c r="A12" s="204" t="str">
        <f ca="1">Berechnung3!L13</f>
        <v/>
      </c>
      <c r="B12" s="204" t="str">
        <f ca="1">Berechnung3!N13</f>
        <v/>
      </c>
      <c r="C12" s="185" t="str">
        <f ca="1">Berechnung3!O13</f>
        <v/>
      </c>
      <c r="D12" s="185" t="str">
        <f ca="1">Berechnung3!P13</f>
        <v/>
      </c>
    </row>
    <row r="13" spans="1:4" x14ac:dyDescent="0.25">
      <c r="A13" s="204" t="str">
        <f ca="1">Berechnung3!L14</f>
        <v/>
      </c>
      <c r="B13" s="204" t="str">
        <f ca="1">Berechnung3!N14</f>
        <v/>
      </c>
      <c r="C13" s="185" t="str">
        <f ca="1">Berechnung3!O14</f>
        <v/>
      </c>
      <c r="D13" s="185" t="str">
        <f ca="1">Berechnung3!P14</f>
        <v/>
      </c>
    </row>
    <row r="14" spans="1:4" x14ac:dyDescent="0.25">
      <c r="A14" s="204" t="str">
        <f ca="1">Berechnung3!L15</f>
        <v/>
      </c>
      <c r="B14" s="204" t="str">
        <f ca="1">Berechnung3!N15</f>
        <v/>
      </c>
      <c r="C14" s="185" t="str">
        <f ca="1">Berechnung3!O15</f>
        <v/>
      </c>
      <c r="D14" s="185" t="str">
        <f ca="1">Berechnung3!P15</f>
        <v/>
      </c>
    </row>
    <row r="15" spans="1:4" x14ac:dyDescent="0.25">
      <c r="A15" s="204" t="str">
        <f ca="1">Berechnung3!L16</f>
        <v/>
      </c>
      <c r="B15" s="204" t="str">
        <f ca="1">Berechnung3!N16</f>
        <v/>
      </c>
      <c r="C15" s="185" t="str">
        <f ca="1">Berechnung3!O16</f>
        <v/>
      </c>
      <c r="D15" s="185" t="str">
        <f ca="1">Berechnung3!P16</f>
        <v/>
      </c>
    </row>
    <row r="16" spans="1:4" x14ac:dyDescent="0.25">
      <c r="A16" s="204" t="str">
        <f ca="1">Berechnung3!L17</f>
        <v/>
      </c>
      <c r="B16" s="204" t="str">
        <f ca="1">Berechnung3!N17</f>
        <v/>
      </c>
      <c r="C16" s="185" t="str">
        <f ca="1">Berechnung3!O17</f>
        <v/>
      </c>
      <c r="D16" s="185" t="str">
        <f ca="1">Berechnung3!P17</f>
        <v/>
      </c>
    </row>
    <row r="17" spans="1:4" x14ac:dyDescent="0.25">
      <c r="A17" s="204" t="str">
        <f ca="1">Berechnung3!L18</f>
        <v/>
      </c>
      <c r="B17" s="204" t="str">
        <f ca="1">Berechnung3!N18</f>
        <v/>
      </c>
      <c r="C17" s="185" t="str">
        <f ca="1">Berechnung3!O18</f>
        <v/>
      </c>
      <c r="D17" s="185" t="str">
        <f ca="1">Berechnung3!P18</f>
        <v/>
      </c>
    </row>
    <row r="18" spans="1:4" x14ac:dyDescent="0.25">
      <c r="A18" s="204" t="str">
        <f ca="1">Berechnung3!L19</f>
        <v/>
      </c>
      <c r="B18" s="204" t="str">
        <f ca="1">Berechnung3!N19</f>
        <v/>
      </c>
      <c r="C18" s="185" t="str">
        <f ca="1">Berechnung3!O19</f>
        <v/>
      </c>
      <c r="D18" s="185" t="str">
        <f ca="1">Berechnung3!P19</f>
        <v/>
      </c>
    </row>
    <row r="19" spans="1:4" x14ac:dyDescent="0.25">
      <c r="A19" s="204" t="str">
        <f ca="1">Berechnung3!L20</f>
        <v/>
      </c>
      <c r="B19" s="204" t="str">
        <f ca="1">Berechnung3!N20</f>
        <v/>
      </c>
      <c r="C19" s="185" t="str">
        <f ca="1">Berechnung3!O20</f>
        <v/>
      </c>
      <c r="D19" s="185" t="str">
        <f ca="1">Berechnung3!P20</f>
        <v/>
      </c>
    </row>
    <row r="20" spans="1:4" x14ac:dyDescent="0.25">
      <c r="A20" s="204" t="str">
        <f ca="1">Berechnung3!L21</f>
        <v/>
      </c>
      <c r="B20" s="204" t="str">
        <f ca="1">Berechnung3!N21</f>
        <v/>
      </c>
      <c r="C20" s="185" t="str">
        <f ca="1">Berechnung3!O21</f>
        <v/>
      </c>
      <c r="D20" s="185" t="str">
        <f ca="1">Berechnung3!P21</f>
        <v/>
      </c>
    </row>
    <row r="21" spans="1:4" x14ac:dyDescent="0.25">
      <c r="A21" s="204" t="str">
        <f ca="1">Berechnung3!L22</f>
        <v/>
      </c>
      <c r="B21" s="204" t="str">
        <f ca="1">Berechnung3!N22</f>
        <v/>
      </c>
      <c r="C21" s="185" t="str">
        <f ca="1">Berechnung3!O22</f>
        <v/>
      </c>
      <c r="D21" s="185" t="str">
        <f ca="1">Berechnung3!P22</f>
        <v/>
      </c>
    </row>
    <row r="22" spans="1:4" x14ac:dyDescent="0.25">
      <c r="A22" s="204" t="str">
        <f ca="1">Berechnung3!L23</f>
        <v/>
      </c>
      <c r="B22" s="204" t="str">
        <f ca="1">Berechnung3!N23</f>
        <v/>
      </c>
      <c r="C22" s="185" t="str">
        <f ca="1">Berechnung3!O23</f>
        <v/>
      </c>
      <c r="D22" s="185" t="str">
        <f ca="1">Berechnung3!P23</f>
        <v/>
      </c>
    </row>
    <row r="23" spans="1:4" x14ac:dyDescent="0.25">
      <c r="A23" s="204" t="str">
        <f ca="1">Berechnung3!L24</f>
        <v/>
      </c>
      <c r="B23" s="204" t="str">
        <f ca="1">Berechnung3!N24</f>
        <v/>
      </c>
      <c r="C23" s="185" t="str">
        <f ca="1">Berechnung3!O24</f>
        <v/>
      </c>
      <c r="D23" s="185" t="str">
        <f ca="1">Berechnung3!P24</f>
        <v/>
      </c>
    </row>
    <row r="24" spans="1:4" x14ac:dyDescent="0.25">
      <c r="A24" s="204" t="str">
        <f ca="1">Berechnung3!L25</f>
        <v/>
      </c>
      <c r="B24" s="204" t="str">
        <f ca="1">Berechnung3!N25</f>
        <v/>
      </c>
      <c r="C24" s="185" t="str">
        <f ca="1">Berechnung3!O25</f>
        <v/>
      </c>
      <c r="D24" s="185" t="str">
        <f ca="1">Berechnung3!P25</f>
        <v/>
      </c>
    </row>
    <row r="25" spans="1:4" x14ac:dyDescent="0.25">
      <c r="A25" s="204" t="str">
        <f ca="1">Berechnung3!L27</f>
        <v/>
      </c>
      <c r="B25" s="204" t="str">
        <f ca="1">Berechnung3!N27</f>
        <v/>
      </c>
      <c r="C25" s="185" t="str">
        <f ca="1">Berechnung3!O27</f>
        <v/>
      </c>
      <c r="D25" s="185" t="str">
        <f ca="1">Berechnung3!P27</f>
        <v/>
      </c>
    </row>
    <row r="26" spans="1:4" x14ac:dyDescent="0.25">
      <c r="A26" s="204" t="str">
        <f ca="1">Berechnung3!L28</f>
        <v/>
      </c>
      <c r="B26" s="204" t="str">
        <f ca="1">Berechnung3!N28</f>
        <v/>
      </c>
      <c r="C26" s="185" t="str">
        <f ca="1">Berechnung3!O28</f>
        <v/>
      </c>
      <c r="D26" s="185" t="str">
        <f ca="1">Berechnung3!P28</f>
        <v/>
      </c>
    </row>
    <row r="27" spans="1:4" x14ac:dyDescent="0.25">
      <c r="A27" s="204" t="str">
        <f ca="1">Berechnung3!L29</f>
        <v/>
      </c>
      <c r="B27" s="204" t="str">
        <f ca="1">Berechnung3!N29</f>
        <v/>
      </c>
      <c r="C27" s="185" t="str">
        <f ca="1">Berechnung3!O29</f>
        <v/>
      </c>
      <c r="D27" s="185" t="str">
        <f ca="1">Berechnung3!P29</f>
        <v/>
      </c>
    </row>
    <row r="28" spans="1:4" x14ac:dyDescent="0.25">
      <c r="A28" s="204" t="str">
        <f ca="1">Berechnung3!L30</f>
        <v/>
      </c>
      <c r="B28" s="204" t="str">
        <f ca="1">Berechnung3!N30</f>
        <v/>
      </c>
      <c r="C28" s="185" t="str">
        <f ca="1">Berechnung3!O30</f>
        <v/>
      </c>
      <c r="D28" s="185" t="str">
        <f ca="1">Berechnung3!P30</f>
        <v/>
      </c>
    </row>
    <row r="29" spans="1:4" x14ac:dyDescent="0.25">
      <c r="A29" s="204" t="str">
        <f ca="1">Berechnung3!L31</f>
        <v/>
      </c>
      <c r="B29" s="204" t="str">
        <f ca="1">Berechnung3!N31</f>
        <v/>
      </c>
      <c r="C29" s="185" t="str">
        <f ca="1">Berechnung3!O31</f>
        <v/>
      </c>
      <c r="D29" s="185" t="str">
        <f ca="1">Berechnung3!P31</f>
        <v/>
      </c>
    </row>
    <row r="30" spans="1:4" x14ac:dyDescent="0.25">
      <c r="A30" s="204" t="str">
        <f ca="1">Berechnung3!L32</f>
        <v/>
      </c>
      <c r="B30" s="204" t="str">
        <f ca="1">Berechnung3!N32</f>
        <v/>
      </c>
      <c r="C30" s="185" t="str">
        <f ca="1">Berechnung3!O32</f>
        <v/>
      </c>
      <c r="D30" s="185" t="str">
        <f ca="1">Berechnung3!P32</f>
        <v/>
      </c>
    </row>
    <row r="31" spans="1:4" x14ac:dyDescent="0.25">
      <c r="A31" s="204" t="str">
        <f ca="1">Berechnung3!L33</f>
        <v/>
      </c>
      <c r="B31" s="204" t="str">
        <f ca="1">Berechnung3!N33</f>
        <v/>
      </c>
      <c r="C31" s="185" t="str">
        <f ca="1">Berechnung3!O33</f>
        <v/>
      </c>
      <c r="D31" s="185" t="str">
        <f ca="1">Berechnung3!P33</f>
        <v/>
      </c>
    </row>
    <row r="32" spans="1:4" x14ac:dyDescent="0.25">
      <c r="A32" s="204" t="str">
        <f ca="1">Berechnung3!L34</f>
        <v/>
      </c>
      <c r="B32" s="204" t="str">
        <f ca="1">Berechnung3!N34</f>
        <v/>
      </c>
      <c r="C32" s="185" t="str">
        <f ca="1">Berechnung3!O34</f>
        <v/>
      </c>
      <c r="D32" s="185" t="str">
        <f ca="1">Berechnung3!P34</f>
        <v/>
      </c>
    </row>
    <row r="33" spans="1:4" x14ac:dyDescent="0.25">
      <c r="A33" s="204" t="str">
        <f ca="1">Berechnung3!L35</f>
        <v/>
      </c>
      <c r="B33" s="204" t="str">
        <f ca="1">Berechnung3!N35</f>
        <v/>
      </c>
      <c r="C33" s="185" t="str">
        <f ca="1">Berechnung3!O35</f>
        <v/>
      </c>
      <c r="D33" s="185" t="str">
        <f ca="1">Berechnung3!P35</f>
        <v/>
      </c>
    </row>
    <row r="34" spans="1:4" x14ac:dyDescent="0.25">
      <c r="A34" s="204" t="str">
        <f ca="1">Berechnung3!L36</f>
        <v/>
      </c>
      <c r="B34" s="204" t="str">
        <f ca="1">Berechnung3!N36</f>
        <v/>
      </c>
      <c r="C34" s="185" t="str">
        <f ca="1">Berechnung3!O36</f>
        <v/>
      </c>
      <c r="D34" s="185" t="str">
        <f ca="1">Berechnung3!P36</f>
        <v/>
      </c>
    </row>
    <row r="35" spans="1:4" x14ac:dyDescent="0.25">
      <c r="A35" s="204" t="str">
        <f ca="1">Berechnung3!L37</f>
        <v/>
      </c>
      <c r="B35" s="204" t="str">
        <f ca="1">Berechnung3!N37</f>
        <v/>
      </c>
      <c r="C35" s="185" t="str">
        <f ca="1">Berechnung3!O37</f>
        <v/>
      </c>
      <c r="D35" s="185" t="str">
        <f ca="1">Berechnung3!P37</f>
        <v/>
      </c>
    </row>
    <row r="36" spans="1:4" x14ac:dyDescent="0.25">
      <c r="A36" s="204" t="str">
        <f ca="1">Berechnung3!L38</f>
        <v/>
      </c>
      <c r="B36" s="204" t="str">
        <f ca="1">Berechnung3!N38</f>
        <v/>
      </c>
      <c r="C36" s="185" t="str">
        <f ca="1">Berechnung3!O38</f>
        <v/>
      </c>
      <c r="D36" s="185" t="str">
        <f ca="1">Berechnung3!P38</f>
        <v/>
      </c>
    </row>
    <row r="37" spans="1:4" x14ac:dyDescent="0.25">
      <c r="A37" s="204" t="str">
        <f ca="1">Berechnung3!L39</f>
        <v/>
      </c>
      <c r="B37" s="204" t="str">
        <f ca="1">Berechnung3!N39</f>
        <v/>
      </c>
      <c r="C37" s="185" t="str">
        <f ca="1">Berechnung3!O39</f>
        <v/>
      </c>
      <c r="D37" s="185" t="str">
        <f ca="1">Berechnung3!P39</f>
        <v/>
      </c>
    </row>
    <row r="38" spans="1:4" x14ac:dyDescent="0.25">
      <c r="A38" s="204" t="str">
        <f ca="1">Berechnung3!L40</f>
        <v/>
      </c>
      <c r="B38" s="204" t="str">
        <f ca="1">Berechnung3!N40</f>
        <v/>
      </c>
      <c r="C38" s="185" t="str">
        <f ca="1">Berechnung3!O40</f>
        <v/>
      </c>
      <c r="D38" s="185" t="str">
        <f ca="1">Berechnung3!P40</f>
        <v/>
      </c>
    </row>
    <row r="39" spans="1:4" x14ac:dyDescent="0.25">
      <c r="A39" s="204" t="str">
        <f ca="1">Berechnung3!L41</f>
        <v/>
      </c>
      <c r="B39" s="204" t="str">
        <f ca="1">Berechnung3!N41</f>
        <v/>
      </c>
      <c r="C39" s="185" t="str">
        <f ca="1">Berechnung3!O41</f>
        <v/>
      </c>
      <c r="D39" s="185" t="str">
        <f ca="1">Berechnung3!P41</f>
        <v/>
      </c>
    </row>
    <row r="40" spans="1:4" x14ac:dyDescent="0.25">
      <c r="A40" s="204" t="str">
        <f ca="1">Berechnung3!L42</f>
        <v/>
      </c>
      <c r="B40" s="204" t="str">
        <f ca="1">Berechnung3!N42</f>
        <v/>
      </c>
      <c r="C40" s="185" t="str">
        <f ca="1">Berechnung3!O42</f>
        <v/>
      </c>
      <c r="D40" s="185" t="str">
        <f ca="1">Berechnung3!P42</f>
        <v/>
      </c>
    </row>
    <row r="41" spans="1:4" x14ac:dyDescent="0.25">
      <c r="A41" s="204" t="str">
        <f ca="1">Berechnung3!L43</f>
        <v/>
      </c>
      <c r="B41" s="204" t="str">
        <f ca="1">Berechnung3!N43</f>
        <v/>
      </c>
      <c r="C41" s="185" t="str">
        <f ca="1">Berechnung3!O43</f>
        <v/>
      </c>
      <c r="D41" s="185" t="str">
        <f ca="1">Berechnung3!P43</f>
        <v/>
      </c>
    </row>
    <row r="42" spans="1:4" x14ac:dyDescent="0.25">
      <c r="A42" s="204" t="str">
        <f ca="1">Berechnung3!L44</f>
        <v/>
      </c>
      <c r="B42" s="204" t="str">
        <f ca="1">Berechnung3!N44</f>
        <v/>
      </c>
      <c r="C42" s="185" t="str">
        <f ca="1">Berechnung3!O44</f>
        <v/>
      </c>
      <c r="D42" s="185" t="str">
        <f ca="1">Berechnung3!P44</f>
        <v/>
      </c>
    </row>
    <row r="43" spans="1:4" x14ac:dyDescent="0.25">
      <c r="A43" s="204" t="str">
        <f ca="1">Berechnung3!L45</f>
        <v/>
      </c>
      <c r="B43" s="204" t="str">
        <f ca="1">Berechnung3!N45</f>
        <v/>
      </c>
      <c r="C43" s="185" t="str">
        <f ca="1">Berechnung3!O45</f>
        <v/>
      </c>
      <c r="D43" s="185" t="str">
        <f ca="1">Berechnung3!P45</f>
        <v/>
      </c>
    </row>
    <row r="44" spans="1:4" x14ac:dyDescent="0.25">
      <c r="A44" s="204" t="str">
        <f ca="1">Berechnung3!L46</f>
        <v/>
      </c>
      <c r="B44" s="204" t="str">
        <f ca="1">Berechnung3!N46</f>
        <v/>
      </c>
      <c r="C44" s="185" t="str">
        <f ca="1">Berechnung3!O46</f>
        <v/>
      </c>
      <c r="D44" s="185" t="str">
        <f ca="1">Berechnung3!P46</f>
        <v/>
      </c>
    </row>
    <row r="45" spans="1:4" x14ac:dyDescent="0.25">
      <c r="A45" s="204" t="str">
        <f ca="1">Berechnung3!L47</f>
        <v/>
      </c>
      <c r="B45" s="204" t="str">
        <f ca="1">Berechnung3!N47</f>
        <v/>
      </c>
      <c r="C45" s="185" t="str">
        <f ca="1">Berechnung3!O47</f>
        <v/>
      </c>
      <c r="D45" s="185" t="str">
        <f ca="1">Berechnung3!P47</f>
        <v/>
      </c>
    </row>
    <row r="46" spans="1:4" x14ac:dyDescent="0.25">
      <c r="A46" s="204" t="str">
        <f ca="1">Berechnung3!L48</f>
        <v/>
      </c>
      <c r="B46" s="204" t="str">
        <f ca="1">Berechnung3!N48</f>
        <v/>
      </c>
      <c r="C46" s="185" t="str">
        <f ca="1">Berechnung3!O48</f>
        <v/>
      </c>
      <c r="D46" s="185" t="str">
        <f ca="1">Berechnung3!P48</f>
        <v/>
      </c>
    </row>
  </sheetData>
  <phoneticPr fontId="36"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6"/>
  <dimension ref="A1:F6"/>
  <sheetViews>
    <sheetView workbookViewId="0">
      <selection activeCell="A10" sqref="A10"/>
    </sheetView>
  </sheetViews>
  <sheetFormatPr defaultColWidth="11.42578125" defaultRowHeight="15" x14ac:dyDescent="0.25"/>
  <cols>
    <col min="1" max="1" width="24" customWidth="1"/>
    <col min="2" max="2" width="40.85546875" customWidth="1"/>
    <col min="3" max="3" width="38.7109375" customWidth="1"/>
    <col min="4" max="4" width="12.5703125" customWidth="1"/>
    <col min="5" max="5" width="33.140625" customWidth="1"/>
    <col min="6" max="6" width="31" customWidth="1"/>
    <col min="7" max="7" width="38.28515625" customWidth="1"/>
    <col min="8" max="8" width="42.85546875" customWidth="1"/>
    <col min="9" max="9" width="43.7109375" customWidth="1"/>
    <col min="10" max="10" width="36" customWidth="1"/>
    <col min="11" max="11" width="16.5703125" customWidth="1"/>
    <col min="12" max="12" width="24.140625" customWidth="1"/>
    <col min="13" max="13" width="35" customWidth="1"/>
    <col min="14" max="14" width="28.140625" customWidth="1"/>
    <col min="15" max="15" width="27.7109375" customWidth="1"/>
    <col min="16" max="16" width="30.140625" customWidth="1"/>
    <col min="17" max="17" width="28.140625" customWidth="1"/>
    <col min="18" max="18" width="29.7109375" customWidth="1"/>
    <col min="19" max="19" width="15.28515625" customWidth="1"/>
    <col min="20" max="20" width="17.28515625" customWidth="1"/>
  </cols>
  <sheetData>
    <row r="1" spans="1:6" x14ac:dyDescent="0.25">
      <c r="A1" s="311" t="s">
        <v>311</v>
      </c>
      <c r="B1" s="121" t="str">
        <f>IF('Basic Data'!B17=0,"",'Basic Data'!B17)</f>
        <v/>
      </c>
    </row>
    <row r="2" spans="1:6" x14ac:dyDescent="0.25">
      <c r="A2" s="311" t="s">
        <v>154</v>
      </c>
      <c r="B2" s="122" t="str">
        <f>IF('Basic Data'!I13=0,"",'Basic Data'!I13)</f>
        <v/>
      </c>
    </row>
    <row r="3" spans="1:6" x14ac:dyDescent="0.25">
      <c r="A3" s="311" t="s">
        <v>202</v>
      </c>
      <c r="B3" s="122" t="str">
        <f>IF('Basic Data'!I15=0,"",'Basic Data'!I15)</f>
        <v/>
      </c>
    </row>
    <row r="5" spans="1:6" s="181" customFormat="1" ht="12.75" x14ac:dyDescent="0.2">
      <c r="A5" s="312" t="s">
        <v>38</v>
      </c>
      <c r="B5" s="312" t="s">
        <v>303</v>
      </c>
      <c r="C5" s="312" t="s">
        <v>398</v>
      </c>
      <c r="D5" s="312" t="s">
        <v>362</v>
      </c>
      <c r="E5" s="312" t="s">
        <v>1020</v>
      </c>
      <c r="F5" s="312" t="s">
        <v>1021</v>
      </c>
    </row>
    <row r="6" spans="1:6" s="181" customFormat="1" ht="31.5" customHeight="1" x14ac:dyDescent="0.2">
      <c r="A6" s="126" t="str">
        <f>IF('Basic Data'!A25=0,"",'Basic Data'!A25)</f>
        <v/>
      </c>
      <c r="B6" s="126" t="str">
        <f>IF('Basic Data'!A28=0,"",'Basic Data'!A28)</f>
        <v/>
      </c>
      <c r="C6" s="126" t="str">
        <f>IF('Basic Data'!F25=0,"",'Basic Data'!F25)</f>
        <v/>
      </c>
      <c r="D6" s="126" t="str">
        <f>IF('Basic Data'!F28=0,"",'Basic Data'!F28)</f>
        <v>No</v>
      </c>
      <c r="E6" s="126" t="str">
        <f>IF('Basic Data'!B13=0,"",'Basic Data'!B13)</f>
        <v/>
      </c>
      <c r="F6" s="126" t="str">
        <f>IF('Basic Data'!B15=0,"",'Basic Data'!B15)</f>
        <v/>
      </c>
    </row>
  </sheetData>
  <phoneticPr fontId="36"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5"/>
  <dimension ref="A1:K6"/>
  <sheetViews>
    <sheetView workbookViewId="0">
      <selection activeCell="K6" sqref="K6"/>
    </sheetView>
  </sheetViews>
  <sheetFormatPr defaultColWidth="11.42578125" defaultRowHeight="15" x14ac:dyDescent="0.25"/>
  <cols>
    <col min="1" max="1" width="22.140625" customWidth="1"/>
    <col min="2" max="9" width="11.7109375" customWidth="1"/>
  </cols>
  <sheetData>
    <row r="1" spans="1:11" ht="30" customHeight="1" x14ac:dyDescent="0.25">
      <c r="A1" s="183" t="s">
        <v>394</v>
      </c>
      <c r="B1" s="182" t="str">
        <f>'Basic Data'!B31</f>
        <v>IA</v>
      </c>
      <c r="C1" s="182" t="str">
        <f>'Basic Data'!C31</f>
        <v>IB</v>
      </c>
      <c r="D1" s="182" t="str">
        <f>'Basic Data'!D31</f>
        <v>IIA</v>
      </c>
      <c r="E1" s="182" t="str">
        <f>'Basic Data'!E31</f>
        <v>IIB</v>
      </c>
      <c r="F1" s="182" t="str">
        <f>'Basic Data'!F31</f>
        <v>IIIA</v>
      </c>
      <c r="G1" s="182" t="str">
        <f>'Basic Data'!G31</f>
        <v>IIIB</v>
      </c>
      <c r="H1" s="182" t="str">
        <f>'Basic Data'!H31</f>
        <v>IIIC</v>
      </c>
      <c r="I1" s="182" t="str">
        <f>'Basic Data'!I31</f>
        <v>IVA</v>
      </c>
      <c r="J1" s="182" t="str">
        <f>'Basic Data'!J31</f>
        <v>IVB</v>
      </c>
      <c r="K1" s="182" t="str">
        <f>'Basic Data'!K31</f>
        <v>Total</v>
      </c>
    </row>
    <row r="2" spans="1:11" ht="45.75" customHeight="1" x14ac:dyDescent="0.25">
      <c r="A2" s="66" t="s">
        <v>426</v>
      </c>
      <c r="B2" s="61" t="str">
        <f>IF('Basic Data'!B33="","",'Basic Data'!B33)</f>
        <v/>
      </c>
      <c r="C2" s="61" t="str">
        <f>IF('Basic Data'!C33="","",'Basic Data'!C33)</f>
        <v/>
      </c>
      <c r="D2" s="61" t="str">
        <f>IF('Basic Data'!D33="","",'Basic Data'!D33)</f>
        <v/>
      </c>
      <c r="E2" s="61" t="str">
        <f>IF('Basic Data'!E33="","",'Basic Data'!E33)</f>
        <v/>
      </c>
      <c r="F2" s="61" t="str">
        <f>IF('Basic Data'!F33="","",'Basic Data'!F33)</f>
        <v/>
      </c>
      <c r="G2" s="61" t="str">
        <f>IF('Basic Data'!G33="","",'Basic Data'!G33)</f>
        <v/>
      </c>
      <c r="H2" s="61" t="str">
        <f>IF('Basic Data'!H33="","",'Basic Data'!H33)</f>
        <v/>
      </c>
      <c r="I2" s="61" t="str">
        <f>IF('Basic Data'!I33="","",'Basic Data'!I33)</f>
        <v/>
      </c>
      <c r="J2" s="61" t="str">
        <f>IF('Basic Data'!J33="","",'Basic Data'!J33)</f>
        <v/>
      </c>
      <c r="K2" s="61" t="str">
        <f>IF('Basic Data'!K33="","",'Basic Data'!K33)</f>
        <v/>
      </c>
    </row>
    <row r="3" spans="1:11" ht="45.75" customHeight="1" x14ac:dyDescent="0.25">
      <c r="A3" s="66" t="s">
        <v>396</v>
      </c>
      <c r="B3" s="61" t="str">
        <f>IF('Basic Data'!B34="","",'Basic Data'!B34)</f>
        <v/>
      </c>
      <c r="C3" s="61" t="str">
        <f>IF('Basic Data'!C34="","",'Basic Data'!C34)</f>
        <v/>
      </c>
      <c r="D3" s="61" t="str">
        <f>IF('Basic Data'!D34="","",'Basic Data'!D34)</f>
        <v/>
      </c>
      <c r="E3" s="61" t="str">
        <f>IF('Basic Data'!E34="","",'Basic Data'!E34)</f>
        <v/>
      </c>
      <c r="F3" s="61" t="str">
        <f>IF('Basic Data'!F34="","",'Basic Data'!F34)</f>
        <v/>
      </c>
      <c r="G3" s="61" t="str">
        <f>IF('Basic Data'!G34="","",'Basic Data'!G34)</f>
        <v/>
      </c>
      <c r="H3" s="61" t="str">
        <f>IF('Basic Data'!H34="","",'Basic Data'!H34)</f>
        <v/>
      </c>
      <c r="I3" s="61" t="str">
        <f>IF('Basic Data'!I34="","",'Basic Data'!I34)</f>
        <v/>
      </c>
      <c r="J3" s="61" t="str">
        <f>IF('Basic Data'!J34="","",'Basic Data'!J34)</f>
        <v/>
      </c>
      <c r="K3" s="61" t="str">
        <f>IF('Basic Data'!K34="","",'Basic Data'!K34)</f>
        <v/>
      </c>
    </row>
    <row r="4" spans="1:11" ht="45.75" customHeight="1" x14ac:dyDescent="0.25">
      <c r="A4" s="66" t="s">
        <v>397</v>
      </c>
      <c r="B4" s="61" t="str">
        <f>IF('Basic Data'!B35="","",'Basic Data'!B35)</f>
        <v/>
      </c>
      <c r="C4" s="61" t="str">
        <f>IF('Basic Data'!C35="","",'Basic Data'!C35)</f>
        <v/>
      </c>
      <c r="D4" s="61" t="str">
        <f>IF('Basic Data'!D35="","",'Basic Data'!D35)</f>
        <v/>
      </c>
      <c r="E4" s="61" t="str">
        <f>IF('Basic Data'!E35="","",'Basic Data'!E35)</f>
        <v/>
      </c>
      <c r="F4" s="61" t="str">
        <f>IF('Basic Data'!F35="","",'Basic Data'!F35)</f>
        <v/>
      </c>
      <c r="G4" s="61" t="str">
        <f>IF('Basic Data'!G35="","",'Basic Data'!G35)</f>
        <v/>
      </c>
      <c r="H4" s="61" t="str">
        <f>IF('Basic Data'!H35="","",'Basic Data'!H35)</f>
        <v/>
      </c>
      <c r="I4" s="61" t="str">
        <f>IF('Basic Data'!I35="","",'Basic Data'!I35)</f>
        <v/>
      </c>
      <c r="J4" s="61" t="str">
        <f>IF('Basic Data'!J35="","",'Basic Data'!J35)</f>
        <v/>
      </c>
      <c r="K4" s="61" t="str">
        <f>IF('Basic Data'!K35="","",'Basic Data'!K35)</f>
        <v/>
      </c>
    </row>
    <row r="5" spans="1:11" ht="45.75" customHeight="1" x14ac:dyDescent="0.25">
      <c r="A5" s="66" t="s">
        <v>861</v>
      </c>
      <c r="B5" s="61" t="str">
        <f>IF('Basic Data'!B37="","",'Basic Data'!B37)</f>
        <v/>
      </c>
      <c r="C5" s="61" t="str">
        <f>IF('Basic Data'!C37="","",'Basic Data'!C37)</f>
        <v/>
      </c>
      <c r="D5" s="61" t="str">
        <f>IF('Basic Data'!D37="","",'Basic Data'!D37)</f>
        <v/>
      </c>
      <c r="E5" s="61" t="str">
        <f>IF('Basic Data'!E37="","",'Basic Data'!E37)</f>
        <v/>
      </c>
      <c r="F5" s="61" t="str">
        <f>IF('Basic Data'!F37="","",'Basic Data'!F37)</f>
        <v/>
      </c>
      <c r="G5" s="61" t="str">
        <f>IF('Basic Data'!G37="","",'Basic Data'!G37)</f>
        <v/>
      </c>
      <c r="H5" s="61" t="str">
        <f>IF('Basic Data'!H37="","",'Basic Data'!H37)</f>
        <v/>
      </c>
      <c r="I5" s="61" t="str">
        <f>IF('Basic Data'!I37="","",'Basic Data'!I37)</f>
        <v/>
      </c>
      <c r="J5" s="61" t="str">
        <f>IF('Basic Data'!J37="","",'Basic Data'!J37)</f>
        <v/>
      </c>
      <c r="K5" s="61" t="str">
        <f>IF('Basic Data'!K37="","",'Basic Data'!K37)</f>
        <v/>
      </c>
    </row>
    <row r="6" spans="1:11" ht="74.25" customHeight="1" x14ac:dyDescent="0.25">
      <c r="A6" s="66" t="s">
        <v>395</v>
      </c>
      <c r="B6" s="310" t="str">
        <f>IF('Basic Data'!B39="","",'Basic Data'!B39)</f>
        <v/>
      </c>
      <c r="C6" s="310" t="str">
        <f>IF('Basic Data'!C39="","",'Basic Data'!C39)</f>
        <v/>
      </c>
      <c r="D6" s="310" t="str">
        <f>IF('Basic Data'!D39="","",'Basic Data'!D39)</f>
        <v/>
      </c>
      <c r="E6" s="310" t="str">
        <f>IF('Basic Data'!E39="","",'Basic Data'!E39)</f>
        <v/>
      </c>
      <c r="F6" s="310" t="str">
        <f>IF('Basic Data'!F39="","",'Basic Data'!F39)</f>
        <v/>
      </c>
      <c r="G6" s="310" t="str">
        <f>IF('Basic Data'!G39="","",'Basic Data'!G39)</f>
        <v/>
      </c>
      <c r="H6" s="310" t="str">
        <f>IF('Basic Data'!I39="","",'Basic Data'!I39)</f>
        <v/>
      </c>
      <c r="I6" s="310"/>
      <c r="J6" s="310"/>
      <c r="K6" s="313" t="str">
        <f>IF('Basic Data'!K39="","",'Basic Data'!K39)</f>
        <v/>
      </c>
    </row>
  </sheetData>
  <phoneticPr fontId="36"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1"/>
  <dimension ref="A1:IF321"/>
  <sheetViews>
    <sheetView zoomScaleNormal="100" workbookViewId="0">
      <selection activeCell="A2" sqref="A2"/>
    </sheetView>
  </sheetViews>
  <sheetFormatPr defaultColWidth="11.42578125" defaultRowHeight="11.25" x14ac:dyDescent="0.25"/>
  <cols>
    <col min="1" max="1" width="36.7109375" style="130" customWidth="1"/>
    <col min="2" max="2" width="54" style="130" customWidth="1"/>
    <col min="3" max="3" width="52.7109375" style="130" customWidth="1"/>
    <col min="4" max="4" width="35" style="130" customWidth="1"/>
    <col min="5" max="6" width="32.7109375" style="130" customWidth="1"/>
    <col min="7" max="7" width="32.7109375" style="130" bestFit="1" customWidth="1"/>
    <col min="8" max="8" width="33.85546875" style="130" bestFit="1" customWidth="1"/>
    <col min="9" max="9" width="34.85546875" style="130" customWidth="1"/>
    <col min="10" max="10" width="32.7109375" style="130" customWidth="1"/>
    <col min="11" max="12" width="32.7109375" style="130" bestFit="1" customWidth="1"/>
    <col min="13" max="14" width="33.85546875" style="130" bestFit="1" customWidth="1"/>
    <col min="15" max="15" width="37.28515625" style="130" bestFit="1" customWidth="1"/>
    <col min="16" max="16" width="33.85546875" style="130" bestFit="1" customWidth="1"/>
    <col min="17" max="17" width="9.7109375" style="130" customWidth="1"/>
    <col min="18" max="18" width="23" style="130" customWidth="1"/>
    <col min="19" max="19" width="19.140625" style="130" customWidth="1"/>
    <col min="20" max="20" width="9.140625" style="130" customWidth="1"/>
    <col min="21" max="21" width="37.7109375" style="130" customWidth="1"/>
    <col min="22" max="22" width="34.5703125" style="130" customWidth="1"/>
    <col min="23" max="23" width="9.140625" style="130" customWidth="1"/>
    <col min="24" max="24" width="49.140625" style="130" customWidth="1"/>
    <col min="25" max="32" width="9.140625" style="130" customWidth="1"/>
    <col min="33" max="33" width="13.5703125" style="130" customWidth="1"/>
    <col min="34" max="93" width="9.140625" style="130" customWidth="1"/>
    <col min="94" max="94" width="19" style="130" customWidth="1"/>
    <col min="95" max="256" width="9.140625" style="130" customWidth="1"/>
    <col min="257" max="16384" width="11.42578125" style="130"/>
  </cols>
  <sheetData>
    <row r="1" spans="1:240" ht="15" customHeight="1" x14ac:dyDescent="0.25">
      <c r="A1" s="285" t="s">
        <v>227</v>
      </c>
      <c r="B1" s="296" t="s">
        <v>814</v>
      </c>
      <c r="C1" s="148"/>
      <c r="D1" s="489" t="s">
        <v>101</v>
      </c>
      <c r="E1" s="31"/>
      <c r="G1" s="235"/>
      <c r="H1" s="226"/>
      <c r="J1" s="234"/>
      <c r="K1" s="234"/>
      <c r="M1" s="234"/>
      <c r="N1" s="234"/>
      <c r="P1" s="234"/>
      <c r="Q1" s="234"/>
      <c r="S1" s="234"/>
      <c r="T1" s="234"/>
      <c r="V1" s="234"/>
      <c r="W1" s="234"/>
      <c r="Y1" s="234"/>
      <c r="Z1" s="234"/>
      <c r="AB1" s="234"/>
      <c r="AC1" s="234"/>
      <c r="AE1" s="234"/>
      <c r="AF1" s="234"/>
      <c r="AG1" s="234"/>
      <c r="AI1" s="234"/>
      <c r="AJ1" s="234"/>
      <c r="AL1" s="234"/>
      <c r="AM1" s="234"/>
      <c r="AO1" s="234"/>
      <c r="AP1" s="234"/>
      <c r="AR1" s="234"/>
      <c r="AS1" s="234"/>
      <c r="AU1" s="234"/>
      <c r="AV1" s="234"/>
      <c r="AX1" s="234"/>
      <c r="AY1" s="234"/>
      <c r="BA1" s="234"/>
      <c r="BB1" s="234"/>
      <c r="BD1" s="234"/>
      <c r="BE1" s="234"/>
      <c r="BG1" s="234"/>
      <c r="BH1" s="234"/>
      <c r="BJ1" s="234"/>
      <c r="BK1" s="234"/>
      <c r="BM1" s="234"/>
      <c r="BN1" s="234"/>
      <c r="BP1" s="234"/>
      <c r="BQ1" s="234"/>
      <c r="BS1" s="234"/>
      <c r="BT1" s="234"/>
      <c r="BV1" s="234"/>
      <c r="BW1" s="234"/>
      <c r="BY1" s="234"/>
      <c r="BZ1" s="234"/>
      <c r="CB1" s="234"/>
      <c r="CC1" s="234"/>
      <c r="CE1" s="234"/>
      <c r="CF1" s="234"/>
      <c r="CH1" s="234"/>
      <c r="CI1" s="234"/>
      <c r="CK1" s="234"/>
      <c r="CL1" s="234"/>
      <c r="CN1" s="234"/>
      <c r="CO1" s="234"/>
      <c r="CQ1" s="234"/>
      <c r="CR1" s="234"/>
      <c r="CT1" s="234"/>
      <c r="CU1" s="234"/>
      <c r="CW1" s="234"/>
      <c r="CX1" s="234"/>
      <c r="CZ1" s="234"/>
      <c r="DA1" s="234"/>
      <c r="DC1" s="234"/>
      <c r="DD1" s="234"/>
      <c r="DF1" s="234"/>
      <c r="DG1" s="234"/>
      <c r="DI1" s="234"/>
      <c r="DJ1" s="234"/>
      <c r="DL1" s="234"/>
      <c r="DM1" s="234"/>
      <c r="DO1" s="234"/>
      <c r="DP1" s="234"/>
      <c r="DR1" s="234"/>
      <c r="DS1" s="234"/>
      <c r="DU1" s="234"/>
      <c r="DV1" s="234"/>
      <c r="DX1" s="234"/>
      <c r="DY1" s="234"/>
      <c r="EA1" s="234"/>
      <c r="EB1" s="223"/>
      <c r="ED1" s="234"/>
      <c r="EE1" s="234"/>
      <c r="EG1" s="234"/>
      <c r="EH1" s="234"/>
      <c r="EJ1" s="234"/>
      <c r="EK1" s="234"/>
      <c r="EM1" s="234"/>
      <c r="EN1" s="234"/>
      <c r="EP1" s="234"/>
      <c r="EQ1" s="234"/>
      <c r="ES1" s="234"/>
      <c r="ET1" s="234"/>
      <c r="EV1" s="234"/>
      <c r="EW1" s="234"/>
      <c r="EY1" s="234"/>
      <c r="EZ1" s="234"/>
      <c r="FB1" s="234"/>
      <c r="FC1" s="234"/>
      <c r="FE1" s="234"/>
      <c r="FF1" s="234"/>
      <c r="FH1" s="234"/>
      <c r="FI1" s="234"/>
      <c r="FK1" s="234"/>
      <c r="FL1" s="234"/>
      <c r="FN1" s="234"/>
      <c r="FO1" s="234"/>
      <c r="FQ1" s="234"/>
      <c r="FR1" s="234"/>
      <c r="FT1" s="234"/>
      <c r="FU1" s="234"/>
      <c r="FW1" s="234"/>
      <c r="FX1" s="234"/>
      <c r="FZ1" s="234"/>
      <c r="GA1" s="234"/>
      <c r="GC1" s="234"/>
      <c r="GD1" s="234"/>
      <c r="GF1" s="234"/>
      <c r="GG1" s="234"/>
      <c r="GI1" s="234"/>
      <c r="GJ1" s="234"/>
      <c r="GL1" s="234"/>
      <c r="GM1" s="234"/>
      <c r="GO1" s="234"/>
      <c r="GP1" s="234"/>
      <c r="GR1" s="234"/>
      <c r="GS1" s="234"/>
      <c r="GU1" s="234"/>
      <c r="GV1" s="234"/>
      <c r="GX1" s="234"/>
      <c r="GY1" s="234"/>
      <c r="HA1" s="234"/>
      <c r="HB1" s="234"/>
      <c r="HD1" s="234"/>
      <c r="HE1" s="234"/>
      <c r="HG1" s="234"/>
      <c r="HH1" s="234"/>
      <c r="HJ1" s="234"/>
      <c r="HK1" s="234"/>
      <c r="HM1" s="234"/>
      <c r="HN1" s="234"/>
      <c r="HP1" s="234"/>
      <c r="HQ1" s="234"/>
      <c r="HS1" s="234"/>
      <c r="HT1" s="234"/>
      <c r="HV1" s="234"/>
      <c r="HW1" s="234"/>
      <c r="HY1" s="234"/>
      <c r="HZ1" s="234"/>
      <c r="IB1" s="234"/>
      <c r="IC1" s="234"/>
      <c r="IE1" s="234"/>
      <c r="IF1" s="234"/>
    </row>
    <row r="2" spans="1:240" ht="12" x14ac:dyDescent="0.25">
      <c r="A2" s="525" t="s">
        <v>1053</v>
      </c>
      <c r="B2" s="296" t="s">
        <v>314</v>
      </c>
      <c r="C2" s="148"/>
      <c r="D2" s="490" t="str">
        <f>'Basic Data'!I15</f>
        <v/>
      </c>
      <c r="E2" s="232">
        <f>IF(D2&gt;D3,0,DATEDIF(D2,D3,"y"))</f>
        <v>0</v>
      </c>
      <c r="G2" s="235"/>
      <c r="H2" s="226"/>
      <c r="J2" s="234"/>
      <c r="K2" s="234"/>
      <c r="M2" s="234"/>
      <c r="N2" s="234"/>
      <c r="P2" s="234"/>
      <c r="Q2" s="234"/>
      <c r="S2" s="234"/>
      <c r="T2" s="234"/>
      <c r="V2" s="234"/>
      <c r="W2" s="234"/>
      <c r="Y2" s="234"/>
      <c r="Z2" s="234"/>
      <c r="AB2" s="234"/>
      <c r="AC2" s="234"/>
      <c r="AE2" s="234"/>
      <c r="AF2" s="234"/>
      <c r="AG2" s="234"/>
      <c r="AI2" s="234"/>
      <c r="AJ2" s="234"/>
      <c r="AL2" s="234"/>
      <c r="AM2" s="234"/>
      <c r="AO2" s="234"/>
      <c r="AP2" s="234"/>
      <c r="AR2" s="234"/>
      <c r="AS2" s="234"/>
      <c r="AU2" s="234"/>
      <c r="AV2" s="234"/>
      <c r="AX2" s="234"/>
      <c r="AY2" s="234"/>
      <c r="BA2" s="234"/>
      <c r="BB2" s="234"/>
      <c r="BD2" s="234"/>
      <c r="BE2" s="234"/>
      <c r="BG2" s="234"/>
      <c r="BH2" s="234"/>
      <c r="BJ2" s="234"/>
      <c r="BK2" s="234"/>
      <c r="BM2" s="234"/>
      <c r="BN2" s="234"/>
      <c r="BP2" s="234"/>
      <c r="BQ2" s="234"/>
      <c r="BS2" s="234"/>
      <c r="BT2" s="234"/>
      <c r="BV2" s="234"/>
      <c r="BW2" s="234"/>
      <c r="BY2" s="234"/>
      <c r="BZ2" s="234"/>
      <c r="CB2" s="234"/>
      <c r="CC2" s="234"/>
      <c r="CE2" s="234"/>
      <c r="CF2" s="234"/>
      <c r="CH2" s="234"/>
      <c r="CI2" s="234"/>
      <c r="CK2" s="234"/>
      <c r="CL2" s="234"/>
      <c r="CN2" s="234"/>
      <c r="CO2" s="234"/>
      <c r="CQ2" s="234"/>
      <c r="CR2" s="234"/>
      <c r="CT2" s="234"/>
      <c r="CU2" s="234"/>
      <c r="CW2" s="234"/>
      <c r="CX2" s="234"/>
      <c r="CZ2" s="234"/>
      <c r="DA2" s="234"/>
      <c r="DC2" s="234"/>
      <c r="DD2" s="234"/>
      <c r="DF2" s="234"/>
      <c r="DG2" s="234"/>
      <c r="DI2" s="234"/>
      <c r="DJ2" s="234"/>
      <c r="DL2" s="234"/>
      <c r="DM2" s="234"/>
      <c r="DO2" s="234"/>
      <c r="DP2" s="234"/>
      <c r="DR2" s="234"/>
      <c r="DS2" s="234"/>
      <c r="DU2" s="234"/>
      <c r="DV2" s="234"/>
      <c r="DX2" s="234"/>
      <c r="DY2" s="234"/>
      <c r="EA2" s="234"/>
      <c r="EB2" s="223"/>
      <c r="ED2" s="234"/>
      <c r="EE2" s="234"/>
      <c r="EG2" s="234"/>
      <c r="EH2" s="234"/>
      <c r="EJ2" s="234"/>
      <c r="EK2" s="234"/>
      <c r="EM2" s="234"/>
      <c r="EN2" s="234"/>
      <c r="EP2" s="234"/>
      <c r="EQ2" s="234"/>
      <c r="ES2" s="234"/>
      <c r="ET2" s="234"/>
      <c r="EV2" s="234"/>
      <c r="EW2" s="234"/>
      <c r="EY2" s="234"/>
      <c r="EZ2" s="234"/>
      <c r="FB2" s="234"/>
      <c r="FC2" s="234"/>
      <c r="FE2" s="234"/>
      <c r="FF2" s="234"/>
      <c r="FH2" s="234"/>
      <c r="FI2" s="234"/>
      <c r="FK2" s="234"/>
      <c r="FL2" s="234"/>
      <c r="FN2" s="234"/>
      <c r="FO2" s="234"/>
      <c r="FQ2" s="234"/>
      <c r="FR2" s="234"/>
      <c r="FT2" s="234"/>
      <c r="FU2" s="234"/>
      <c r="FW2" s="234"/>
      <c r="FX2" s="234"/>
      <c r="FZ2" s="234"/>
      <c r="GA2" s="234"/>
      <c r="GC2" s="234"/>
      <c r="GD2" s="234"/>
      <c r="GF2" s="234"/>
      <c r="GG2" s="234"/>
      <c r="GI2" s="234"/>
      <c r="GJ2" s="234"/>
      <c r="GL2" s="234"/>
      <c r="GM2" s="234"/>
      <c r="GO2" s="234"/>
      <c r="GP2" s="234"/>
      <c r="GR2" s="234"/>
      <c r="GS2" s="234"/>
      <c r="GU2" s="234"/>
      <c r="GV2" s="234"/>
      <c r="GX2" s="234"/>
      <c r="GY2" s="234"/>
      <c r="HA2" s="234"/>
      <c r="HB2" s="234"/>
      <c r="HD2" s="234"/>
      <c r="HE2" s="234"/>
      <c r="HG2" s="234"/>
      <c r="HH2" s="234"/>
      <c r="HJ2" s="234"/>
      <c r="HK2" s="234"/>
      <c r="HM2" s="234"/>
      <c r="HN2" s="234"/>
      <c r="HP2" s="234"/>
      <c r="HQ2" s="234"/>
      <c r="HS2" s="234"/>
      <c r="HT2" s="234"/>
      <c r="HV2" s="234"/>
      <c r="HW2" s="234"/>
      <c r="HY2" s="234"/>
      <c r="HZ2" s="234"/>
      <c r="IB2" s="234"/>
      <c r="IC2" s="234"/>
      <c r="IE2" s="234"/>
      <c r="IF2" s="234"/>
    </row>
    <row r="3" spans="1:240" ht="12" x14ac:dyDescent="0.25">
      <c r="A3" s="233"/>
      <c r="B3" s="296" t="s">
        <v>315</v>
      </c>
      <c r="C3" s="148"/>
      <c r="D3" s="491">
        <v>46022</v>
      </c>
      <c r="E3" s="156"/>
      <c r="G3" s="235"/>
      <c r="H3" s="226"/>
      <c r="J3" s="234"/>
      <c r="K3" s="234"/>
      <c r="M3" s="234"/>
      <c r="N3" s="234"/>
      <c r="P3" s="234"/>
      <c r="Q3" s="234"/>
      <c r="S3" s="234"/>
      <c r="T3" s="234"/>
      <c r="V3" s="234"/>
      <c r="W3" s="234"/>
      <c r="Y3" s="234"/>
      <c r="Z3" s="234"/>
      <c r="AB3" s="234"/>
      <c r="AC3" s="234"/>
      <c r="AE3" s="234"/>
      <c r="AF3" s="234"/>
      <c r="AG3" s="234"/>
      <c r="AI3" s="234"/>
      <c r="AJ3" s="234"/>
      <c r="AL3" s="234"/>
      <c r="AM3" s="234"/>
      <c r="AO3" s="234"/>
      <c r="AP3" s="234"/>
      <c r="AR3" s="234"/>
      <c r="AS3" s="234"/>
      <c r="AU3" s="234"/>
      <c r="AV3" s="234"/>
      <c r="AX3" s="234"/>
      <c r="AY3" s="234"/>
      <c r="BA3" s="234"/>
      <c r="BB3" s="234"/>
      <c r="BD3" s="234"/>
      <c r="BE3" s="234"/>
      <c r="BG3" s="234"/>
      <c r="BH3" s="234"/>
      <c r="BJ3" s="234"/>
      <c r="BK3" s="234"/>
      <c r="BM3" s="234"/>
      <c r="BN3" s="234"/>
      <c r="BP3" s="234"/>
      <c r="BQ3" s="234"/>
      <c r="BS3" s="234"/>
      <c r="BT3" s="234"/>
      <c r="BV3" s="234"/>
      <c r="BW3" s="234"/>
      <c r="BY3" s="234"/>
      <c r="BZ3" s="234"/>
      <c r="CB3" s="234"/>
      <c r="CC3" s="234"/>
      <c r="CE3" s="234"/>
      <c r="CF3" s="234"/>
      <c r="CH3" s="234"/>
      <c r="CI3" s="234"/>
      <c r="CK3" s="234"/>
      <c r="CL3" s="234"/>
      <c r="CN3" s="234"/>
      <c r="CO3" s="234"/>
      <c r="CQ3" s="234"/>
      <c r="CR3" s="234"/>
      <c r="CT3" s="234"/>
      <c r="CU3" s="234"/>
      <c r="CW3" s="234"/>
      <c r="CX3" s="234"/>
      <c r="CZ3" s="234"/>
      <c r="DA3" s="234"/>
      <c r="DC3" s="234"/>
      <c r="DD3" s="234"/>
      <c r="DF3" s="234"/>
      <c r="DG3" s="234"/>
      <c r="DI3" s="234"/>
      <c r="DJ3" s="234"/>
      <c r="DL3" s="234"/>
      <c r="DM3" s="234"/>
      <c r="DO3" s="234"/>
      <c r="DP3" s="234"/>
      <c r="DR3" s="234"/>
      <c r="DS3" s="234"/>
      <c r="DU3" s="234"/>
      <c r="DV3" s="234"/>
      <c r="DX3" s="234"/>
      <c r="DY3" s="234"/>
      <c r="EA3" s="234"/>
      <c r="EB3" s="223"/>
      <c r="ED3" s="234"/>
      <c r="EE3" s="234"/>
      <c r="EG3" s="234"/>
      <c r="EH3" s="234"/>
      <c r="EJ3" s="234"/>
      <c r="EK3" s="234"/>
      <c r="EM3" s="234"/>
      <c r="EN3" s="234"/>
      <c r="EP3" s="234"/>
      <c r="EQ3" s="234"/>
      <c r="ES3" s="234"/>
      <c r="ET3" s="234"/>
      <c r="EV3" s="234"/>
      <c r="EW3" s="234"/>
      <c r="EY3" s="234"/>
      <c r="EZ3" s="234"/>
      <c r="FB3" s="234"/>
      <c r="FC3" s="234"/>
      <c r="FE3" s="234"/>
      <c r="FF3" s="234"/>
      <c r="FH3" s="234"/>
      <c r="FI3" s="234"/>
      <c r="FK3" s="234"/>
      <c r="FL3" s="234"/>
      <c r="FN3" s="234"/>
      <c r="FO3" s="234"/>
      <c r="FQ3" s="234"/>
      <c r="FR3" s="234"/>
      <c r="FT3" s="234"/>
      <c r="FU3" s="234"/>
      <c r="FW3" s="234"/>
      <c r="FX3" s="234"/>
      <c r="FZ3" s="234"/>
      <c r="GA3" s="234"/>
      <c r="GC3" s="234"/>
      <c r="GD3" s="234"/>
      <c r="GF3" s="234"/>
      <c r="GG3" s="234"/>
      <c r="GI3" s="234"/>
      <c r="GJ3" s="234"/>
      <c r="GL3" s="234"/>
      <c r="GM3" s="234"/>
      <c r="GO3" s="234"/>
      <c r="GP3" s="234"/>
      <c r="GR3" s="234"/>
      <c r="GS3" s="234"/>
      <c r="GU3" s="234"/>
      <c r="GV3" s="234"/>
      <c r="GX3" s="234"/>
      <c r="GY3" s="234"/>
      <c r="HA3" s="234"/>
      <c r="HB3" s="234"/>
      <c r="HD3" s="234"/>
      <c r="HE3" s="234"/>
      <c r="HG3" s="234"/>
      <c r="HH3" s="234"/>
      <c r="HJ3" s="234"/>
      <c r="HK3" s="234"/>
      <c r="HM3" s="234"/>
      <c r="HN3" s="234"/>
      <c r="HP3" s="234"/>
      <c r="HQ3" s="234"/>
      <c r="HS3" s="234"/>
      <c r="HT3" s="234"/>
      <c r="HV3" s="234"/>
      <c r="HW3" s="234"/>
      <c r="HY3" s="234"/>
      <c r="HZ3" s="234"/>
      <c r="IB3" s="234"/>
      <c r="IC3" s="234"/>
      <c r="IE3" s="234"/>
      <c r="IF3" s="234"/>
    </row>
    <row r="4" spans="1:240" ht="12" x14ac:dyDescent="0.25">
      <c r="A4" s="233"/>
      <c r="B4" s="296" t="s">
        <v>432</v>
      </c>
      <c r="C4" s="148"/>
      <c r="D4" s="231"/>
      <c r="E4" s="234"/>
      <c r="G4" s="235"/>
      <c r="H4" s="226"/>
      <c r="J4" s="234"/>
      <c r="K4" s="234"/>
      <c r="M4" s="234"/>
      <c r="N4" s="234"/>
      <c r="P4" s="234"/>
      <c r="Q4" s="234"/>
      <c r="S4" s="234"/>
      <c r="T4" s="234"/>
      <c r="V4" s="234"/>
      <c r="W4" s="234"/>
      <c r="Y4" s="234"/>
      <c r="Z4" s="234"/>
      <c r="AB4" s="234"/>
      <c r="AC4" s="234"/>
      <c r="AE4" s="234"/>
      <c r="AF4" s="234"/>
      <c r="AG4" s="234"/>
      <c r="AI4" s="234"/>
      <c r="AJ4" s="234"/>
      <c r="AL4" s="234"/>
      <c r="AM4" s="234"/>
      <c r="AO4" s="234"/>
      <c r="AP4" s="234"/>
      <c r="AR4" s="234"/>
      <c r="AS4" s="234"/>
      <c r="AU4" s="234"/>
      <c r="AV4" s="234"/>
      <c r="AX4" s="234"/>
      <c r="AY4" s="234"/>
      <c r="BA4" s="234"/>
      <c r="BB4" s="234"/>
      <c r="BD4" s="234"/>
      <c r="BE4" s="234"/>
      <c r="BG4" s="234"/>
      <c r="BH4" s="234"/>
      <c r="BJ4" s="234"/>
      <c r="BK4" s="234"/>
      <c r="BM4" s="234"/>
      <c r="BN4" s="234"/>
      <c r="BP4" s="234"/>
      <c r="BQ4" s="234"/>
      <c r="BS4" s="234"/>
      <c r="BT4" s="234"/>
      <c r="BV4" s="234"/>
      <c r="BW4" s="234"/>
      <c r="BY4" s="234"/>
      <c r="BZ4" s="234"/>
      <c r="CB4" s="234"/>
      <c r="CC4" s="234"/>
      <c r="CE4" s="234"/>
      <c r="CF4" s="234"/>
      <c r="CH4" s="234"/>
      <c r="CI4" s="234"/>
      <c r="CK4" s="234"/>
      <c r="CL4" s="234"/>
      <c r="CN4" s="234"/>
      <c r="CO4" s="234"/>
      <c r="CQ4" s="234"/>
      <c r="CR4" s="234"/>
      <c r="CT4" s="234"/>
      <c r="CU4" s="234"/>
      <c r="CW4" s="234"/>
      <c r="CX4" s="234"/>
      <c r="CZ4" s="234"/>
      <c r="DA4" s="234"/>
      <c r="DC4" s="234"/>
      <c r="DD4" s="234"/>
      <c r="DF4" s="234"/>
      <c r="DG4" s="234"/>
      <c r="DI4" s="234"/>
      <c r="DJ4" s="234"/>
      <c r="DL4" s="234"/>
      <c r="DM4" s="234"/>
      <c r="DO4" s="234"/>
      <c r="DP4" s="234"/>
      <c r="DR4" s="234"/>
      <c r="DS4" s="234"/>
      <c r="DU4" s="234"/>
      <c r="DV4" s="234"/>
      <c r="DX4" s="234"/>
      <c r="DY4" s="234"/>
      <c r="EA4" s="234"/>
      <c r="EB4" s="223"/>
      <c r="ED4" s="234"/>
      <c r="EE4" s="234"/>
      <c r="EG4" s="234"/>
      <c r="EH4" s="234"/>
      <c r="EJ4" s="234"/>
      <c r="EK4" s="234"/>
      <c r="EM4" s="234"/>
      <c r="EN4" s="234"/>
      <c r="EP4" s="234"/>
      <c r="EQ4" s="234"/>
      <c r="ES4" s="234"/>
      <c r="ET4" s="234"/>
      <c r="EV4" s="234"/>
      <c r="EW4" s="234"/>
      <c r="EY4" s="234"/>
      <c r="EZ4" s="234"/>
      <c r="FB4" s="234"/>
      <c r="FC4" s="234"/>
      <c r="FE4" s="234"/>
      <c r="FF4" s="234"/>
      <c r="FH4" s="234"/>
      <c r="FI4" s="234"/>
      <c r="FK4" s="234"/>
      <c r="FL4" s="234"/>
      <c r="FN4" s="234"/>
      <c r="FO4" s="234"/>
      <c r="FQ4" s="234"/>
      <c r="FR4" s="234"/>
      <c r="FT4" s="234"/>
      <c r="FU4" s="234"/>
      <c r="FW4" s="234"/>
      <c r="FX4" s="234"/>
      <c r="FZ4" s="234"/>
      <c r="GA4" s="234"/>
      <c r="GC4" s="234"/>
      <c r="GD4" s="234"/>
      <c r="GF4" s="234"/>
      <c r="GG4" s="234"/>
      <c r="GI4" s="234"/>
      <c r="GJ4" s="234"/>
      <c r="GL4" s="234"/>
      <c r="GM4" s="234"/>
      <c r="GO4" s="234"/>
      <c r="GP4" s="234"/>
      <c r="GR4" s="234"/>
      <c r="GS4" s="234"/>
      <c r="GU4" s="234"/>
      <c r="GV4" s="234"/>
      <c r="GX4" s="234"/>
      <c r="GY4" s="234"/>
      <c r="HA4" s="234"/>
      <c r="HB4" s="234"/>
      <c r="HD4" s="234"/>
      <c r="HE4" s="234"/>
      <c r="HG4" s="234"/>
      <c r="HH4" s="234"/>
      <c r="HJ4" s="234"/>
      <c r="HK4" s="234"/>
      <c r="HM4" s="234"/>
      <c r="HN4" s="234"/>
      <c r="HP4" s="234"/>
      <c r="HQ4" s="234"/>
      <c r="HS4" s="234"/>
      <c r="HT4" s="234"/>
      <c r="HV4" s="234"/>
      <c r="HW4" s="234"/>
      <c r="HY4" s="234"/>
      <c r="HZ4" s="234"/>
      <c r="IB4" s="234"/>
      <c r="IC4" s="234"/>
      <c r="IE4" s="234"/>
      <c r="IF4" s="234"/>
    </row>
    <row r="5" spans="1:240" ht="12" x14ac:dyDescent="0.25">
      <c r="A5" s="234"/>
      <c r="B5" s="296" t="s">
        <v>371</v>
      </c>
      <c r="C5" s="148"/>
      <c r="D5" s="231"/>
      <c r="E5" s="234"/>
      <c r="G5" s="235"/>
      <c r="H5" s="230"/>
      <c r="J5" s="234"/>
      <c r="K5" s="234"/>
      <c r="M5" s="234"/>
      <c r="N5" s="234"/>
      <c r="P5" s="234"/>
      <c r="Q5" s="234"/>
      <c r="S5" s="234"/>
      <c r="T5" s="234"/>
      <c r="V5" s="234"/>
      <c r="W5" s="234"/>
      <c r="Y5" s="234"/>
      <c r="Z5" s="234"/>
      <c r="AB5" s="234"/>
      <c r="AC5" s="234"/>
      <c r="AE5" s="234"/>
      <c r="AF5" s="234"/>
      <c r="AG5" s="234"/>
      <c r="AI5" s="234"/>
      <c r="AJ5" s="234"/>
      <c r="AL5" s="234"/>
      <c r="AM5" s="234"/>
      <c r="AO5" s="234"/>
      <c r="AP5" s="234"/>
      <c r="AR5" s="234"/>
      <c r="AS5" s="234"/>
      <c r="AU5" s="234"/>
      <c r="AV5" s="234"/>
      <c r="AX5" s="234"/>
      <c r="AY5" s="234"/>
      <c r="BA5" s="234"/>
      <c r="BB5" s="234"/>
      <c r="BD5" s="234"/>
      <c r="BE5" s="234"/>
      <c r="BG5" s="234"/>
      <c r="BH5" s="234"/>
      <c r="BJ5" s="234"/>
      <c r="BK5" s="234"/>
      <c r="BM5" s="234"/>
      <c r="BN5" s="234"/>
      <c r="BP5" s="234"/>
      <c r="BQ5" s="234"/>
      <c r="BS5" s="234"/>
      <c r="BT5" s="234"/>
      <c r="BV5" s="234"/>
      <c r="BW5" s="234"/>
      <c r="BY5" s="234"/>
      <c r="BZ5" s="234"/>
      <c r="CB5" s="234"/>
      <c r="CC5" s="234"/>
      <c r="CE5" s="234"/>
      <c r="CF5" s="234"/>
      <c r="CH5" s="234"/>
      <c r="CI5" s="234"/>
      <c r="CK5" s="234"/>
      <c r="CL5" s="234"/>
      <c r="CN5" s="234"/>
      <c r="CO5" s="234"/>
      <c r="CQ5" s="234"/>
      <c r="CR5" s="234"/>
      <c r="CT5" s="234"/>
      <c r="CU5" s="234"/>
      <c r="CW5" s="234"/>
      <c r="CX5" s="234"/>
      <c r="CZ5" s="234"/>
      <c r="DA5" s="234"/>
      <c r="DC5" s="234"/>
      <c r="DD5" s="234"/>
      <c r="DF5" s="234"/>
      <c r="DG5" s="234"/>
      <c r="DI5" s="234"/>
      <c r="DJ5" s="234"/>
      <c r="DL5" s="234"/>
      <c r="DM5" s="234"/>
      <c r="DO5" s="234"/>
      <c r="DP5" s="234"/>
      <c r="DR5" s="234"/>
      <c r="DS5" s="234"/>
      <c r="DU5" s="234"/>
      <c r="DV5" s="234"/>
      <c r="DX5" s="234"/>
      <c r="DY5" s="234"/>
      <c r="EA5" s="234"/>
      <c r="EB5" s="223"/>
      <c r="ED5" s="234"/>
      <c r="EE5" s="234"/>
      <c r="EG5" s="234"/>
      <c r="EH5" s="234"/>
      <c r="EJ5" s="234"/>
      <c r="EK5" s="234"/>
      <c r="EM5" s="234"/>
      <c r="EN5" s="234"/>
      <c r="EP5" s="234"/>
      <c r="EQ5" s="234"/>
      <c r="ES5" s="234"/>
      <c r="ET5" s="234"/>
      <c r="EV5" s="234"/>
      <c r="EW5" s="234"/>
      <c r="EY5" s="234"/>
      <c r="EZ5" s="234"/>
      <c r="FB5" s="234"/>
      <c r="FC5" s="234"/>
      <c r="FE5" s="234"/>
      <c r="FF5" s="234"/>
      <c r="FH5" s="234"/>
      <c r="FI5" s="234"/>
      <c r="FK5" s="234"/>
      <c r="FL5" s="234"/>
      <c r="FN5" s="234"/>
      <c r="FO5" s="234"/>
      <c r="FQ5" s="234"/>
      <c r="FR5" s="234"/>
      <c r="FT5" s="234"/>
      <c r="FU5" s="234"/>
      <c r="FW5" s="234"/>
      <c r="FX5" s="234"/>
      <c r="FZ5" s="234"/>
      <c r="GA5" s="234"/>
      <c r="GC5" s="234"/>
      <c r="GD5" s="234"/>
      <c r="GF5" s="234"/>
      <c r="GG5" s="234"/>
      <c r="GI5" s="234"/>
      <c r="GJ5" s="234"/>
      <c r="GL5" s="234"/>
      <c r="GM5" s="234"/>
      <c r="GO5" s="234"/>
      <c r="GP5" s="234"/>
      <c r="GR5" s="234"/>
      <c r="GS5" s="234"/>
      <c r="GU5" s="234"/>
      <c r="GV5" s="234"/>
      <c r="GX5" s="234"/>
      <c r="GY5" s="234"/>
      <c r="HA5" s="234"/>
      <c r="HB5" s="234"/>
      <c r="HD5" s="234"/>
      <c r="HE5" s="234"/>
      <c r="HG5" s="234"/>
      <c r="HH5" s="234"/>
      <c r="HJ5" s="234"/>
      <c r="HK5" s="234"/>
      <c r="HM5" s="234"/>
      <c r="HN5" s="234"/>
      <c r="HP5" s="234"/>
      <c r="HQ5" s="234"/>
      <c r="HS5" s="234"/>
      <c r="HT5" s="234"/>
      <c r="HV5" s="234"/>
      <c r="HW5" s="234"/>
      <c r="HY5" s="234"/>
      <c r="HZ5" s="234"/>
      <c r="IB5" s="234"/>
      <c r="IC5" s="234"/>
      <c r="IE5" s="234"/>
      <c r="IF5" s="234"/>
    </row>
    <row r="6" spans="1:240" ht="12" x14ac:dyDescent="0.25">
      <c r="A6" s="234"/>
      <c r="B6" s="296" t="s">
        <v>316</v>
      </c>
      <c r="C6" s="148"/>
      <c r="D6" s="231"/>
      <c r="E6" s="234"/>
      <c r="G6" s="235"/>
      <c r="J6" s="234"/>
      <c r="K6" s="234"/>
      <c r="M6" s="234"/>
      <c r="N6" s="234"/>
      <c r="P6" s="234"/>
      <c r="Q6" s="234"/>
      <c r="S6" s="234"/>
      <c r="T6" s="234"/>
      <c r="V6" s="234"/>
      <c r="W6" s="234"/>
      <c r="Y6" s="234"/>
      <c r="Z6" s="234"/>
      <c r="AB6" s="234"/>
      <c r="AC6" s="234"/>
      <c r="AE6" s="234"/>
      <c r="AF6" s="234"/>
      <c r="AG6" s="234"/>
      <c r="AI6" s="234"/>
      <c r="AJ6" s="234"/>
      <c r="AL6" s="234"/>
      <c r="AM6" s="234"/>
      <c r="AO6" s="234"/>
      <c r="AP6" s="234"/>
      <c r="AR6" s="234"/>
      <c r="AS6" s="234"/>
      <c r="AU6" s="234"/>
      <c r="AV6" s="234"/>
      <c r="AX6" s="234"/>
      <c r="AY6" s="234"/>
      <c r="BA6" s="234"/>
      <c r="BB6" s="234"/>
      <c r="BD6" s="234"/>
      <c r="BE6" s="234"/>
      <c r="BG6" s="234"/>
      <c r="BH6" s="234"/>
      <c r="BJ6" s="234"/>
      <c r="BK6" s="234"/>
      <c r="BM6" s="234"/>
      <c r="BN6" s="234"/>
      <c r="BP6" s="234"/>
      <c r="BQ6" s="234"/>
      <c r="BS6" s="234"/>
      <c r="BT6" s="234"/>
      <c r="BV6" s="234"/>
      <c r="BW6" s="234"/>
      <c r="BY6" s="234"/>
      <c r="BZ6" s="234"/>
      <c r="CB6" s="234"/>
      <c r="CC6" s="234"/>
      <c r="CE6" s="234"/>
      <c r="CF6" s="234"/>
      <c r="CH6" s="234"/>
      <c r="CI6" s="234"/>
      <c r="CK6" s="234"/>
      <c r="CL6" s="234"/>
      <c r="CN6" s="234"/>
      <c r="CO6" s="234"/>
      <c r="CQ6" s="234"/>
      <c r="CR6" s="234"/>
      <c r="CT6" s="234"/>
      <c r="CU6" s="234"/>
      <c r="CW6" s="234"/>
      <c r="CX6" s="234"/>
      <c r="CZ6" s="234"/>
      <c r="DA6" s="234"/>
      <c r="DC6" s="234"/>
      <c r="DD6" s="234"/>
      <c r="DF6" s="234"/>
      <c r="DG6" s="234"/>
      <c r="DI6" s="234"/>
      <c r="DJ6" s="234"/>
      <c r="DL6" s="234"/>
      <c r="DM6" s="234"/>
      <c r="DO6" s="234"/>
      <c r="DP6" s="234"/>
      <c r="DR6" s="234"/>
      <c r="DS6" s="234"/>
      <c r="DU6" s="234"/>
      <c r="DV6" s="234"/>
      <c r="DX6" s="234"/>
      <c r="DY6" s="234"/>
      <c r="EA6" s="234"/>
      <c r="EB6" s="223"/>
      <c r="ED6" s="234"/>
      <c r="EE6" s="234"/>
      <c r="EG6" s="234"/>
      <c r="EH6" s="234"/>
      <c r="EJ6" s="234"/>
      <c r="EK6" s="234"/>
      <c r="EM6" s="234"/>
      <c r="EN6" s="234"/>
      <c r="EP6" s="234"/>
      <c r="EQ6" s="234"/>
      <c r="ES6" s="234"/>
      <c r="ET6" s="234"/>
      <c r="EV6" s="234"/>
      <c r="EW6" s="234"/>
      <c r="EY6" s="234"/>
      <c r="EZ6" s="234"/>
      <c r="FB6" s="234"/>
      <c r="FC6" s="234"/>
      <c r="FE6" s="234"/>
      <c r="FF6" s="234"/>
      <c r="FH6" s="234"/>
      <c r="FI6" s="234"/>
      <c r="FK6" s="234"/>
      <c r="FL6" s="234"/>
      <c r="FN6" s="234"/>
      <c r="FO6" s="234"/>
      <c r="FQ6" s="234"/>
      <c r="FR6" s="234"/>
      <c r="FT6" s="234"/>
      <c r="FU6" s="234"/>
      <c r="FW6" s="234"/>
      <c r="FX6" s="234"/>
      <c r="FZ6" s="234"/>
      <c r="GA6" s="234"/>
      <c r="GC6" s="234"/>
      <c r="GD6" s="234"/>
      <c r="GF6" s="234"/>
      <c r="GG6" s="234"/>
      <c r="GI6" s="234"/>
      <c r="GJ6" s="234"/>
      <c r="GL6" s="234"/>
      <c r="GM6" s="234"/>
      <c r="GO6" s="234"/>
      <c r="GP6" s="234"/>
      <c r="GR6" s="234"/>
      <c r="GS6" s="234"/>
      <c r="GU6" s="234"/>
      <c r="GV6" s="234"/>
      <c r="GX6" s="234"/>
      <c r="GY6" s="234"/>
      <c r="HA6" s="234"/>
      <c r="HB6" s="234"/>
      <c r="HD6" s="234"/>
      <c r="HE6" s="234"/>
      <c r="HG6" s="234"/>
      <c r="HH6" s="234"/>
      <c r="HJ6" s="234"/>
      <c r="HK6" s="234"/>
      <c r="HM6" s="234"/>
      <c r="HN6" s="234"/>
      <c r="HP6" s="234"/>
      <c r="HQ6" s="234"/>
      <c r="HS6" s="234"/>
      <c r="HT6" s="234"/>
      <c r="HV6" s="234"/>
      <c r="HW6" s="234"/>
      <c r="HY6" s="234"/>
      <c r="HZ6" s="234"/>
      <c r="IB6" s="234"/>
      <c r="IC6" s="234"/>
      <c r="IE6" s="234"/>
      <c r="IF6" s="234"/>
    </row>
    <row r="7" spans="1:240" ht="12" x14ac:dyDescent="0.25">
      <c r="A7" s="234"/>
      <c r="B7" s="296" t="s">
        <v>433</v>
      </c>
      <c r="C7" s="148"/>
      <c r="D7" s="231"/>
      <c r="E7" s="234"/>
      <c r="G7" s="235"/>
      <c r="J7" s="234"/>
      <c r="K7" s="234"/>
      <c r="M7" s="234"/>
      <c r="N7" s="234"/>
      <c r="P7" s="234"/>
      <c r="Q7" s="234"/>
      <c r="S7" s="234"/>
      <c r="T7" s="234"/>
      <c r="V7" s="234"/>
      <c r="W7" s="234"/>
      <c r="Y7" s="234"/>
      <c r="Z7" s="234"/>
      <c r="AB7" s="234"/>
      <c r="AC7" s="234"/>
      <c r="AE7" s="234"/>
      <c r="AF7" s="234"/>
      <c r="AG7" s="234"/>
      <c r="AI7" s="234"/>
      <c r="AJ7" s="234"/>
      <c r="AL7" s="234"/>
      <c r="AM7" s="234"/>
      <c r="AO7" s="234"/>
      <c r="AP7" s="234"/>
      <c r="AR7" s="234"/>
      <c r="AS7" s="234"/>
      <c r="AU7" s="234"/>
      <c r="AV7" s="234"/>
      <c r="AX7" s="234"/>
      <c r="AY7" s="234"/>
      <c r="BA7" s="234"/>
      <c r="BB7" s="234"/>
      <c r="BD7" s="234"/>
      <c r="BE7" s="234"/>
      <c r="BG7" s="234"/>
      <c r="BH7" s="234"/>
      <c r="BJ7" s="234"/>
      <c r="BK7" s="234"/>
      <c r="BM7" s="234"/>
      <c r="BN7" s="234"/>
      <c r="BP7" s="234"/>
      <c r="BQ7" s="234"/>
      <c r="BS7" s="234"/>
      <c r="BT7" s="234"/>
      <c r="BV7" s="234"/>
      <c r="BW7" s="234"/>
      <c r="BY7" s="234"/>
      <c r="BZ7" s="234"/>
      <c r="CB7" s="234"/>
      <c r="CC7" s="234"/>
      <c r="CE7" s="234"/>
      <c r="CF7" s="234"/>
      <c r="CH7" s="234"/>
      <c r="CI7" s="234"/>
      <c r="CK7" s="234"/>
      <c r="CL7" s="234"/>
      <c r="CN7" s="234"/>
      <c r="CO7" s="234"/>
      <c r="CQ7" s="234"/>
      <c r="CR7" s="234"/>
      <c r="CT7" s="234"/>
      <c r="CU7" s="234"/>
      <c r="CW7" s="234"/>
      <c r="CX7" s="234"/>
      <c r="CZ7" s="234"/>
      <c r="DA7" s="234"/>
      <c r="DC7" s="234"/>
      <c r="DD7" s="234"/>
      <c r="DF7" s="234"/>
      <c r="DG7" s="234"/>
      <c r="DI7" s="234"/>
      <c r="DJ7" s="234"/>
      <c r="DL7" s="234"/>
      <c r="DM7" s="234"/>
      <c r="DO7" s="234"/>
      <c r="DP7" s="234"/>
      <c r="DR7" s="234"/>
      <c r="DS7" s="234"/>
      <c r="DU7" s="234"/>
      <c r="DV7" s="234"/>
      <c r="DX7" s="234"/>
      <c r="DY7" s="234"/>
      <c r="EA7" s="234"/>
      <c r="EB7" s="223"/>
      <c r="ED7" s="234"/>
      <c r="EE7" s="234"/>
      <c r="EG7" s="234"/>
      <c r="EH7" s="234"/>
      <c r="EJ7" s="234"/>
      <c r="EK7" s="234"/>
      <c r="EM7" s="234"/>
      <c r="EN7" s="234"/>
      <c r="EP7" s="234"/>
      <c r="EQ7" s="234"/>
      <c r="ES7" s="234"/>
      <c r="ET7" s="234"/>
      <c r="EV7" s="234"/>
      <c r="EW7" s="234"/>
      <c r="EY7" s="234"/>
      <c r="EZ7" s="234"/>
      <c r="FB7" s="234"/>
      <c r="FC7" s="234"/>
      <c r="FE7" s="234"/>
      <c r="FF7" s="234"/>
      <c r="FH7" s="234"/>
      <c r="FI7" s="234"/>
      <c r="FK7" s="234"/>
      <c r="FL7" s="234"/>
      <c r="FN7" s="234"/>
      <c r="FO7" s="234"/>
      <c r="FQ7" s="234"/>
      <c r="FR7" s="234"/>
      <c r="FT7" s="234"/>
      <c r="FU7" s="234"/>
      <c r="FW7" s="234"/>
      <c r="FX7" s="234"/>
      <c r="FZ7" s="234"/>
      <c r="GA7" s="234"/>
      <c r="GC7" s="234"/>
      <c r="GD7" s="234"/>
      <c r="GF7" s="234"/>
      <c r="GG7" s="234"/>
      <c r="GI7" s="234"/>
      <c r="GJ7" s="234"/>
      <c r="GL7" s="234"/>
      <c r="GM7" s="234"/>
      <c r="GO7" s="234"/>
      <c r="GP7" s="234"/>
      <c r="GR7" s="234"/>
      <c r="GS7" s="234"/>
      <c r="GU7" s="234"/>
      <c r="GV7" s="234"/>
      <c r="GX7" s="234"/>
      <c r="GY7" s="234"/>
      <c r="HA7" s="234"/>
      <c r="HB7" s="234"/>
      <c r="HD7" s="234"/>
      <c r="HE7" s="234"/>
      <c r="HG7" s="234"/>
      <c r="HH7" s="234"/>
      <c r="HJ7" s="234"/>
      <c r="HK7" s="234"/>
      <c r="HM7" s="234"/>
      <c r="HN7" s="234"/>
      <c r="HP7" s="234"/>
      <c r="HQ7" s="234"/>
      <c r="HS7" s="234"/>
      <c r="HT7" s="234"/>
      <c r="HV7" s="234"/>
      <c r="HW7" s="234"/>
      <c r="HY7" s="234"/>
      <c r="HZ7" s="234"/>
      <c r="IB7" s="234"/>
      <c r="IC7" s="234"/>
      <c r="IE7" s="234"/>
      <c r="IF7" s="234"/>
    </row>
    <row r="8" spans="1:240" ht="12" x14ac:dyDescent="0.25">
      <c r="A8" s="234"/>
      <c r="B8" s="296" t="s">
        <v>249</v>
      </c>
      <c r="C8" s="148"/>
      <c r="D8" s="231"/>
      <c r="E8" s="234"/>
      <c r="G8" s="235"/>
      <c r="J8" s="234"/>
      <c r="K8" s="234"/>
      <c r="M8" s="234"/>
      <c r="N8" s="234"/>
      <c r="P8" s="234"/>
      <c r="Q8" s="234"/>
      <c r="S8" s="234"/>
      <c r="T8" s="234"/>
      <c r="V8" s="234"/>
      <c r="W8" s="234"/>
      <c r="Y8" s="234"/>
      <c r="Z8" s="234"/>
      <c r="AB8" s="234"/>
      <c r="AC8" s="234"/>
      <c r="AE8" s="234"/>
      <c r="AF8" s="234"/>
      <c r="AG8" s="234"/>
      <c r="AI8" s="234"/>
      <c r="AJ8" s="234"/>
      <c r="AL8" s="234"/>
      <c r="AM8" s="234"/>
      <c r="AO8" s="234"/>
      <c r="AP8" s="234"/>
      <c r="AR8" s="234"/>
      <c r="AS8" s="234"/>
      <c r="AU8" s="234"/>
      <c r="AV8" s="234"/>
      <c r="AX8" s="234"/>
      <c r="AY8" s="234"/>
      <c r="BA8" s="234"/>
      <c r="BB8" s="234"/>
      <c r="BD8" s="234"/>
      <c r="BE8" s="234"/>
      <c r="BG8" s="234"/>
      <c r="BH8" s="234"/>
      <c r="BJ8" s="234"/>
      <c r="BK8" s="234"/>
      <c r="BM8" s="234"/>
      <c r="BN8" s="234"/>
      <c r="BP8" s="234"/>
      <c r="BQ8" s="234"/>
      <c r="BS8" s="234"/>
      <c r="BT8" s="234"/>
      <c r="BV8" s="234"/>
      <c r="BW8" s="234"/>
      <c r="BY8" s="234"/>
      <c r="BZ8" s="234"/>
      <c r="CB8" s="234"/>
      <c r="CC8" s="234"/>
      <c r="CE8" s="234"/>
      <c r="CF8" s="234"/>
      <c r="CH8" s="234"/>
      <c r="CI8" s="234"/>
      <c r="CK8" s="234"/>
      <c r="CL8" s="234"/>
      <c r="CN8" s="234"/>
      <c r="CO8" s="234"/>
      <c r="CQ8" s="234"/>
      <c r="CR8" s="234"/>
      <c r="CT8" s="234"/>
      <c r="CU8" s="234"/>
      <c r="CW8" s="234"/>
      <c r="CX8" s="234"/>
      <c r="CZ8" s="234"/>
      <c r="DA8" s="234"/>
      <c r="DC8" s="234"/>
      <c r="DD8" s="234"/>
      <c r="DF8" s="234"/>
      <c r="DG8" s="234"/>
      <c r="DI8" s="234"/>
      <c r="DJ8" s="234"/>
      <c r="DL8" s="234"/>
      <c r="DM8" s="234"/>
      <c r="DO8" s="234"/>
      <c r="DP8" s="234"/>
      <c r="DR8" s="234"/>
      <c r="DS8" s="234"/>
      <c r="DU8" s="234"/>
      <c r="DV8" s="234"/>
      <c r="DX8" s="234"/>
      <c r="DY8" s="234"/>
      <c r="EA8" s="234"/>
      <c r="EB8" s="223"/>
      <c r="ED8" s="234"/>
      <c r="EE8" s="234"/>
      <c r="EG8" s="234"/>
      <c r="EH8" s="234"/>
      <c r="EJ8" s="234"/>
      <c r="EK8" s="234"/>
      <c r="EM8" s="234"/>
      <c r="EN8" s="234"/>
      <c r="EP8" s="234"/>
      <c r="EQ8" s="234"/>
      <c r="ES8" s="234"/>
      <c r="ET8" s="234"/>
      <c r="EV8" s="234"/>
      <c r="EW8" s="234"/>
      <c r="EY8" s="234"/>
      <c r="EZ8" s="234"/>
      <c r="FB8" s="234"/>
      <c r="FC8" s="234"/>
      <c r="FE8" s="234"/>
      <c r="FF8" s="234"/>
      <c r="FH8" s="234"/>
      <c r="FI8" s="234"/>
      <c r="FK8" s="234"/>
      <c r="FL8" s="234"/>
      <c r="FN8" s="234"/>
      <c r="FO8" s="234"/>
      <c r="FQ8" s="234"/>
      <c r="FR8" s="234"/>
      <c r="FT8" s="234"/>
      <c r="FU8" s="234"/>
      <c r="FW8" s="234"/>
      <c r="FX8" s="234"/>
      <c r="FZ8" s="234"/>
      <c r="GA8" s="234"/>
      <c r="GC8" s="234"/>
      <c r="GD8" s="234"/>
      <c r="GF8" s="234"/>
      <c r="GG8" s="234"/>
      <c r="GI8" s="234"/>
      <c r="GJ8" s="234"/>
      <c r="GL8" s="234"/>
      <c r="GM8" s="234"/>
      <c r="GO8" s="234"/>
      <c r="GP8" s="234"/>
      <c r="GR8" s="234"/>
      <c r="GS8" s="234"/>
      <c r="GU8" s="234"/>
      <c r="GV8" s="234"/>
      <c r="GX8" s="234"/>
      <c r="GY8" s="234"/>
      <c r="HA8" s="234"/>
      <c r="HB8" s="234"/>
      <c r="HD8" s="234"/>
      <c r="HE8" s="234"/>
      <c r="HG8" s="234"/>
      <c r="HH8" s="234"/>
      <c r="HJ8" s="234"/>
      <c r="HK8" s="234"/>
      <c r="HM8" s="234"/>
      <c r="HN8" s="234"/>
      <c r="HP8" s="234"/>
      <c r="HQ8" s="234"/>
      <c r="HS8" s="234"/>
      <c r="HT8" s="234"/>
      <c r="HV8" s="234"/>
      <c r="HW8" s="234"/>
      <c r="HY8" s="234"/>
      <c r="HZ8" s="234"/>
      <c r="IB8" s="234"/>
      <c r="IC8" s="234"/>
      <c r="IE8" s="234"/>
      <c r="IF8" s="234"/>
    </row>
    <row r="9" spans="1:240" ht="12" x14ac:dyDescent="0.25">
      <c r="A9" s="234"/>
      <c r="B9" s="296" t="s">
        <v>434</v>
      </c>
      <c r="C9" s="148"/>
      <c r="D9" s="231"/>
      <c r="E9" s="234"/>
      <c r="G9" s="235"/>
      <c r="J9" s="234"/>
      <c r="K9" s="234"/>
      <c r="M9" s="234"/>
      <c r="N9" s="234"/>
      <c r="P9" s="234"/>
      <c r="Q9" s="234"/>
      <c r="S9" s="234"/>
      <c r="T9" s="234"/>
      <c r="V9" s="234"/>
      <c r="W9" s="234"/>
      <c r="Y9" s="234"/>
      <c r="Z9" s="234"/>
      <c r="AB9" s="234"/>
      <c r="AC9" s="234"/>
      <c r="AE9" s="234"/>
      <c r="AF9" s="234"/>
      <c r="AG9" s="234"/>
      <c r="AI9" s="234"/>
      <c r="AJ9" s="234"/>
      <c r="AL9" s="234"/>
      <c r="AM9" s="234"/>
      <c r="AO9" s="234"/>
      <c r="AP9" s="234"/>
      <c r="AR9" s="234"/>
      <c r="AS9" s="234"/>
      <c r="AU9" s="234"/>
      <c r="AV9" s="234"/>
      <c r="AX9" s="234"/>
      <c r="AY9" s="234"/>
      <c r="BA9" s="234"/>
      <c r="BB9" s="234"/>
      <c r="BD9" s="234"/>
      <c r="BE9" s="234"/>
      <c r="BG9" s="234"/>
      <c r="BH9" s="234"/>
      <c r="BJ9" s="234"/>
      <c r="BK9" s="234"/>
      <c r="BM9" s="234"/>
      <c r="BN9" s="234"/>
      <c r="BP9" s="234"/>
      <c r="BQ9" s="234"/>
      <c r="BS9" s="234"/>
      <c r="BT9" s="234"/>
      <c r="BV9" s="234"/>
      <c r="BW9" s="234"/>
      <c r="BY9" s="234"/>
      <c r="BZ9" s="234"/>
      <c r="CB9" s="234"/>
      <c r="CC9" s="234"/>
      <c r="CE9" s="234"/>
      <c r="CF9" s="234"/>
      <c r="CH9" s="234"/>
      <c r="CI9" s="234"/>
      <c r="CK9" s="234"/>
      <c r="CL9" s="234"/>
      <c r="CN9" s="234"/>
      <c r="CO9" s="234"/>
      <c r="CQ9" s="234"/>
      <c r="CR9" s="234"/>
      <c r="CT9" s="234"/>
      <c r="CU9" s="234"/>
      <c r="CW9" s="234"/>
      <c r="CX9" s="234"/>
      <c r="CZ9" s="234"/>
      <c r="DA9" s="234"/>
      <c r="DC9" s="234"/>
      <c r="DD9" s="234"/>
      <c r="DF9" s="234"/>
      <c r="DG9" s="234"/>
      <c r="DI9" s="234"/>
      <c r="DJ9" s="234"/>
      <c r="DL9" s="234"/>
      <c r="DM9" s="234"/>
      <c r="DO9" s="234"/>
      <c r="DP9" s="234"/>
      <c r="DR9" s="234"/>
      <c r="DS9" s="234"/>
      <c r="DU9" s="234"/>
      <c r="DV9" s="234"/>
      <c r="DX9" s="234"/>
      <c r="DY9" s="234"/>
      <c r="EA9" s="234"/>
      <c r="EB9" s="223"/>
      <c r="ED9" s="234"/>
      <c r="EE9" s="234"/>
      <c r="EG9" s="234"/>
      <c r="EH9" s="234"/>
      <c r="EJ9" s="234"/>
      <c r="EK9" s="234"/>
      <c r="EM9" s="234"/>
      <c r="EN9" s="234"/>
      <c r="EP9" s="234"/>
      <c r="EQ9" s="234"/>
      <c r="ES9" s="234"/>
      <c r="ET9" s="234"/>
      <c r="EV9" s="234"/>
      <c r="EW9" s="234"/>
      <c r="EY9" s="234"/>
      <c r="EZ9" s="234"/>
      <c r="FB9" s="234"/>
      <c r="FC9" s="234"/>
      <c r="FE9" s="234"/>
      <c r="FF9" s="234"/>
      <c r="FH9" s="234"/>
      <c r="FI9" s="234"/>
      <c r="FK9" s="234"/>
      <c r="FL9" s="234"/>
      <c r="FN9" s="234"/>
      <c r="FO9" s="234"/>
      <c r="FQ9" s="234"/>
      <c r="FR9" s="234"/>
      <c r="FT9" s="234"/>
      <c r="FU9" s="234"/>
      <c r="FW9" s="234"/>
      <c r="FX9" s="234"/>
      <c r="FZ9" s="234"/>
      <c r="GA9" s="234"/>
      <c r="GC9" s="234"/>
      <c r="GD9" s="234"/>
      <c r="GF9" s="234"/>
      <c r="GG9" s="234"/>
      <c r="GI9" s="234"/>
      <c r="GJ9" s="234"/>
      <c r="GL9" s="234"/>
      <c r="GM9" s="234"/>
      <c r="GO9" s="234"/>
      <c r="GP9" s="234"/>
      <c r="GR9" s="234"/>
      <c r="GS9" s="234"/>
      <c r="GU9" s="234"/>
      <c r="GV9" s="234"/>
      <c r="GX9" s="234"/>
      <c r="GY9" s="234"/>
      <c r="HA9" s="234"/>
      <c r="HB9" s="234"/>
      <c r="HD9" s="234"/>
      <c r="HE9" s="234"/>
      <c r="HG9" s="234"/>
      <c r="HH9" s="234"/>
      <c r="HJ9" s="234"/>
      <c r="HK9" s="234"/>
      <c r="HM9" s="234"/>
      <c r="HN9" s="234"/>
      <c r="HP9" s="234"/>
      <c r="HQ9" s="234"/>
      <c r="HS9" s="234"/>
      <c r="HT9" s="234"/>
      <c r="HV9" s="234"/>
      <c r="HW9" s="234"/>
      <c r="HY9" s="234"/>
      <c r="HZ9" s="234"/>
      <c r="IB9" s="234"/>
      <c r="IC9" s="234"/>
      <c r="IE9" s="234"/>
      <c r="IF9" s="234"/>
    </row>
    <row r="10" spans="1:240" ht="12" x14ac:dyDescent="0.25">
      <c r="A10" s="234"/>
      <c r="B10" s="296" t="s">
        <v>519</v>
      </c>
      <c r="C10" s="148"/>
      <c r="D10" s="231"/>
      <c r="E10" s="234"/>
      <c r="G10" s="235"/>
      <c r="J10" s="234"/>
      <c r="K10" s="234"/>
      <c r="M10" s="234"/>
      <c r="N10" s="234"/>
      <c r="P10" s="234"/>
      <c r="Q10" s="234"/>
      <c r="S10" s="234"/>
      <c r="T10" s="234"/>
      <c r="V10" s="234"/>
      <c r="W10" s="234"/>
      <c r="Y10" s="234"/>
      <c r="Z10" s="234"/>
      <c r="AB10" s="234"/>
      <c r="AC10" s="234"/>
      <c r="AE10" s="234"/>
      <c r="AF10" s="234"/>
      <c r="AG10" s="234"/>
      <c r="AI10" s="234"/>
      <c r="AJ10" s="234"/>
      <c r="AL10" s="234"/>
      <c r="AM10" s="234"/>
      <c r="AO10" s="234"/>
      <c r="AP10" s="234"/>
      <c r="AR10" s="234"/>
      <c r="AS10" s="234"/>
      <c r="AU10" s="234"/>
      <c r="AV10" s="234"/>
      <c r="AX10" s="234"/>
      <c r="AY10" s="234"/>
      <c r="BA10" s="234"/>
      <c r="BB10" s="234"/>
      <c r="BD10" s="234"/>
      <c r="BE10" s="234"/>
      <c r="BG10" s="234"/>
      <c r="BH10" s="234"/>
      <c r="BJ10" s="234"/>
      <c r="BK10" s="234"/>
      <c r="BM10" s="234"/>
      <c r="BN10" s="234"/>
      <c r="BP10" s="234"/>
      <c r="BQ10" s="234"/>
      <c r="BS10" s="234"/>
      <c r="BT10" s="234"/>
      <c r="BV10" s="234"/>
      <c r="BW10" s="234"/>
      <c r="BY10" s="234"/>
      <c r="BZ10" s="234"/>
      <c r="CB10" s="234"/>
      <c r="CC10" s="234"/>
      <c r="CE10" s="234"/>
      <c r="CF10" s="234"/>
      <c r="CH10" s="234"/>
      <c r="CI10" s="234"/>
      <c r="CK10" s="234"/>
      <c r="CL10" s="234"/>
      <c r="CN10" s="234"/>
      <c r="CO10" s="234"/>
      <c r="CQ10" s="234"/>
      <c r="CR10" s="234"/>
      <c r="CT10" s="234"/>
      <c r="CU10" s="234"/>
      <c r="CW10" s="234"/>
      <c r="CX10" s="234"/>
      <c r="CZ10" s="234"/>
      <c r="DA10" s="234"/>
      <c r="DC10" s="234"/>
      <c r="DD10" s="234"/>
      <c r="DF10" s="234"/>
      <c r="DG10" s="234"/>
      <c r="DI10" s="234"/>
      <c r="DJ10" s="234"/>
      <c r="DL10" s="234"/>
      <c r="DM10" s="234"/>
      <c r="DO10" s="234"/>
      <c r="DP10" s="234"/>
      <c r="DR10" s="234"/>
      <c r="DS10" s="234"/>
      <c r="DU10" s="234"/>
      <c r="DV10" s="234"/>
      <c r="DX10" s="234"/>
      <c r="DY10" s="234"/>
      <c r="EA10" s="234"/>
      <c r="EB10" s="223"/>
      <c r="ED10" s="234"/>
      <c r="EE10" s="234"/>
      <c r="EG10" s="234"/>
      <c r="EH10" s="234"/>
      <c r="EJ10" s="234"/>
      <c r="EK10" s="234"/>
      <c r="EM10" s="234"/>
      <c r="EN10" s="234"/>
      <c r="EP10" s="234"/>
      <c r="EQ10" s="234"/>
      <c r="ES10" s="234"/>
      <c r="ET10" s="234"/>
      <c r="EV10" s="234"/>
      <c r="EW10" s="234"/>
      <c r="EY10" s="234"/>
      <c r="EZ10" s="234"/>
      <c r="FB10" s="234"/>
      <c r="FC10" s="234"/>
      <c r="FE10" s="234"/>
      <c r="FF10" s="234"/>
      <c r="FH10" s="234"/>
      <c r="FI10" s="234"/>
      <c r="FK10" s="234"/>
      <c r="FL10" s="234"/>
      <c r="FN10" s="234"/>
      <c r="FO10" s="234"/>
      <c r="FQ10" s="234"/>
      <c r="FR10" s="234"/>
      <c r="FT10" s="234"/>
      <c r="FU10" s="234"/>
      <c r="FW10" s="234"/>
      <c r="FX10" s="234"/>
      <c r="FZ10" s="234"/>
      <c r="GA10" s="234"/>
      <c r="GC10" s="234"/>
      <c r="GD10" s="234"/>
      <c r="GF10" s="234"/>
      <c r="GG10" s="234"/>
      <c r="GI10" s="234"/>
      <c r="GJ10" s="234"/>
      <c r="GL10" s="234"/>
      <c r="GM10" s="234"/>
      <c r="GO10" s="234"/>
      <c r="GP10" s="234"/>
      <c r="GR10" s="234"/>
      <c r="GS10" s="234"/>
      <c r="GU10" s="234"/>
      <c r="GV10" s="234"/>
      <c r="GX10" s="234"/>
      <c r="GY10" s="234"/>
      <c r="HA10" s="234"/>
      <c r="HB10" s="234"/>
      <c r="HD10" s="234"/>
      <c r="HE10" s="234"/>
      <c r="HG10" s="234"/>
      <c r="HH10" s="234"/>
      <c r="HJ10" s="234"/>
      <c r="HK10" s="234"/>
      <c r="HM10" s="234"/>
      <c r="HN10" s="234"/>
      <c r="HP10" s="234"/>
      <c r="HQ10" s="234"/>
      <c r="HS10" s="234"/>
      <c r="HT10" s="234"/>
      <c r="HV10" s="234"/>
      <c r="HW10" s="234"/>
      <c r="HY10" s="234"/>
      <c r="HZ10" s="234"/>
      <c r="IB10" s="234"/>
      <c r="IC10" s="234"/>
      <c r="IE10" s="234"/>
      <c r="IF10" s="234"/>
    </row>
    <row r="11" spans="1:240" ht="12" x14ac:dyDescent="0.25">
      <c r="A11" s="234"/>
      <c r="B11" s="296" t="s">
        <v>250</v>
      </c>
      <c r="C11" s="148"/>
      <c r="D11" s="300"/>
      <c r="E11" s="234"/>
      <c r="G11" s="235"/>
      <c r="J11" s="234"/>
      <c r="K11" s="234"/>
      <c r="M11" s="234"/>
      <c r="N11" s="234"/>
      <c r="P11" s="234"/>
      <c r="Q11" s="234"/>
      <c r="S11" s="234"/>
      <c r="T11" s="234"/>
      <c r="V11" s="234"/>
      <c r="W11" s="234"/>
      <c r="Y11" s="234"/>
      <c r="Z11" s="234"/>
      <c r="AB11" s="234"/>
      <c r="AC11" s="234"/>
      <c r="AE11" s="234"/>
      <c r="AF11" s="234"/>
      <c r="AG11" s="234"/>
      <c r="AI11" s="234"/>
      <c r="AJ11" s="234"/>
      <c r="AL11" s="234"/>
      <c r="AM11" s="234"/>
      <c r="AO11" s="234"/>
      <c r="AP11" s="234"/>
      <c r="AR11" s="234"/>
      <c r="AS11" s="234"/>
      <c r="AU11" s="234"/>
      <c r="AV11" s="234"/>
      <c r="AX11" s="234"/>
      <c r="AY11" s="234"/>
      <c r="BA11" s="234"/>
      <c r="BB11" s="234"/>
      <c r="BD11" s="234"/>
      <c r="BE11" s="234"/>
      <c r="BG11" s="234"/>
      <c r="BH11" s="234"/>
      <c r="BJ11" s="234"/>
      <c r="BK11" s="234"/>
      <c r="BM11" s="234"/>
      <c r="BN11" s="234"/>
      <c r="BP11" s="234"/>
      <c r="BQ11" s="234"/>
      <c r="BS11" s="234"/>
      <c r="BT11" s="234"/>
      <c r="BV11" s="234"/>
      <c r="BW11" s="234"/>
      <c r="BY11" s="234"/>
      <c r="BZ11" s="234"/>
      <c r="CB11" s="234"/>
      <c r="CC11" s="234"/>
      <c r="CE11" s="234"/>
      <c r="CF11" s="234"/>
      <c r="CH11" s="234"/>
      <c r="CI11" s="234"/>
      <c r="CK11" s="234"/>
      <c r="CL11" s="234"/>
      <c r="CN11" s="234"/>
      <c r="CO11" s="234"/>
      <c r="CQ11" s="234"/>
      <c r="CR11" s="234"/>
      <c r="CT11" s="234"/>
      <c r="CU11" s="234"/>
      <c r="CW11" s="234"/>
      <c r="CX11" s="234"/>
      <c r="CZ11" s="234"/>
      <c r="DA11" s="234"/>
      <c r="DC11" s="234"/>
      <c r="DD11" s="234"/>
      <c r="DF11" s="234"/>
      <c r="DG11" s="234"/>
      <c r="DI11" s="234"/>
      <c r="DJ11" s="234"/>
      <c r="DL11" s="234"/>
      <c r="DM11" s="234"/>
      <c r="DO11" s="234"/>
      <c r="DP11" s="234"/>
      <c r="DR11" s="234"/>
      <c r="DS11" s="234"/>
      <c r="DU11" s="234"/>
      <c r="DV11" s="234"/>
      <c r="DX11" s="234"/>
      <c r="DY11" s="234"/>
      <c r="EA11" s="234"/>
      <c r="EB11" s="223"/>
      <c r="ED11" s="234"/>
      <c r="EE11" s="234"/>
      <c r="EG11" s="234"/>
      <c r="EH11" s="234"/>
      <c r="EJ11" s="234"/>
      <c r="EK11" s="234"/>
      <c r="EM11" s="234"/>
      <c r="EN11" s="234"/>
      <c r="EP11" s="234"/>
      <c r="EQ11" s="234"/>
      <c r="ES11" s="234"/>
      <c r="ET11" s="234"/>
      <c r="EV11" s="234"/>
      <c r="EW11" s="234"/>
      <c r="EY11" s="234"/>
      <c r="EZ11" s="234"/>
      <c r="FB11" s="234"/>
      <c r="FC11" s="234"/>
      <c r="FE11" s="234"/>
      <c r="FF11" s="234"/>
      <c r="FH11" s="234"/>
      <c r="FI11" s="234"/>
      <c r="FK11" s="234"/>
      <c r="FL11" s="234"/>
      <c r="FN11" s="234"/>
      <c r="FO11" s="234"/>
      <c r="FQ11" s="234"/>
      <c r="FR11" s="234"/>
      <c r="FT11" s="234"/>
      <c r="FU11" s="234"/>
      <c r="FW11" s="234"/>
      <c r="FX11" s="234"/>
      <c r="FZ11" s="234"/>
      <c r="GA11" s="234"/>
      <c r="GC11" s="234"/>
      <c r="GD11" s="234"/>
      <c r="GF11" s="234"/>
      <c r="GG11" s="234"/>
      <c r="GI11" s="234"/>
      <c r="GJ11" s="234"/>
      <c r="GL11" s="234"/>
      <c r="GM11" s="234"/>
      <c r="GO11" s="234"/>
      <c r="GP11" s="234"/>
      <c r="GR11" s="234"/>
      <c r="GS11" s="234"/>
      <c r="GU11" s="234"/>
      <c r="GV11" s="234"/>
      <c r="GX11" s="234"/>
      <c r="GY11" s="234"/>
      <c r="HA11" s="234"/>
      <c r="HB11" s="234"/>
      <c r="HD11" s="234"/>
      <c r="HE11" s="234"/>
      <c r="HG11" s="234"/>
      <c r="HH11" s="234"/>
      <c r="HJ11" s="234"/>
      <c r="HK11" s="234"/>
      <c r="HM11" s="234"/>
      <c r="HN11" s="234"/>
      <c r="HP11" s="234"/>
      <c r="HQ11" s="234"/>
      <c r="HS11" s="234"/>
      <c r="HT11" s="234"/>
      <c r="HV11" s="234"/>
      <c r="HW11" s="234"/>
      <c r="HY11" s="234"/>
      <c r="HZ11" s="234"/>
      <c r="IB11" s="234"/>
      <c r="IC11" s="234"/>
      <c r="IE11" s="234"/>
      <c r="IF11" s="234"/>
    </row>
    <row r="12" spans="1:240" ht="12" x14ac:dyDescent="0.25">
      <c r="A12" s="234"/>
      <c r="B12" s="296" t="s">
        <v>1052</v>
      </c>
      <c r="C12" s="148"/>
      <c r="D12" s="231"/>
      <c r="E12" s="234"/>
      <c r="G12" s="235"/>
      <c r="J12" s="234"/>
      <c r="K12" s="234"/>
      <c r="M12" s="234"/>
      <c r="N12" s="234"/>
      <c r="P12" s="234"/>
      <c r="Q12" s="234"/>
      <c r="S12" s="234"/>
      <c r="T12" s="234"/>
      <c r="V12" s="234"/>
      <c r="W12" s="234"/>
      <c r="Y12" s="234"/>
      <c r="Z12" s="234"/>
      <c r="AB12" s="234"/>
      <c r="AC12" s="234"/>
      <c r="AE12" s="234"/>
      <c r="AF12" s="234"/>
      <c r="AG12" s="234"/>
      <c r="AI12" s="234"/>
      <c r="AJ12" s="234"/>
      <c r="AL12" s="234"/>
      <c r="AM12" s="234"/>
      <c r="AO12" s="234"/>
      <c r="AP12" s="234"/>
      <c r="AR12" s="234"/>
      <c r="AS12" s="234"/>
      <c r="AU12" s="234"/>
      <c r="AV12" s="234"/>
      <c r="AX12" s="234"/>
      <c r="AY12" s="234"/>
      <c r="BA12" s="234"/>
      <c r="BB12" s="234"/>
      <c r="BD12" s="234"/>
      <c r="BE12" s="234"/>
      <c r="BG12" s="234"/>
      <c r="BH12" s="234"/>
      <c r="BJ12" s="234"/>
      <c r="BK12" s="234"/>
      <c r="BM12" s="234"/>
      <c r="BN12" s="234"/>
      <c r="BP12" s="234"/>
      <c r="BQ12" s="234"/>
      <c r="BS12" s="234"/>
      <c r="BT12" s="234"/>
      <c r="BV12" s="234"/>
      <c r="BW12" s="234"/>
      <c r="BY12" s="234"/>
      <c r="BZ12" s="234"/>
      <c r="CB12" s="234"/>
      <c r="CC12" s="234"/>
      <c r="CE12" s="234"/>
      <c r="CF12" s="234"/>
      <c r="CH12" s="234"/>
      <c r="CI12" s="234"/>
      <c r="CK12" s="234"/>
      <c r="CL12" s="234"/>
      <c r="CN12" s="234"/>
      <c r="CO12" s="234"/>
      <c r="CQ12" s="234"/>
      <c r="CR12" s="234"/>
      <c r="CT12" s="234"/>
      <c r="CU12" s="234"/>
      <c r="CW12" s="234"/>
      <c r="CX12" s="234"/>
      <c r="CZ12" s="234"/>
      <c r="DA12" s="234"/>
      <c r="DC12" s="234"/>
      <c r="DD12" s="234"/>
      <c r="DF12" s="234"/>
      <c r="DG12" s="234"/>
      <c r="DI12" s="234"/>
      <c r="DJ12" s="234"/>
      <c r="DL12" s="234"/>
      <c r="DM12" s="234"/>
      <c r="DO12" s="234"/>
      <c r="DP12" s="234"/>
      <c r="DR12" s="234"/>
      <c r="DS12" s="234"/>
      <c r="DU12" s="234"/>
      <c r="DV12" s="234"/>
      <c r="DX12" s="234"/>
      <c r="DY12" s="234"/>
      <c r="EA12" s="234"/>
      <c r="EB12" s="223"/>
      <c r="ED12" s="234"/>
      <c r="EE12" s="234"/>
      <c r="EG12" s="234"/>
      <c r="EH12" s="234"/>
      <c r="EJ12" s="234"/>
      <c r="EK12" s="234"/>
      <c r="EM12" s="234"/>
      <c r="EN12" s="234"/>
      <c r="EP12" s="234"/>
      <c r="EQ12" s="234"/>
      <c r="ES12" s="234"/>
      <c r="ET12" s="234"/>
      <c r="EV12" s="234"/>
      <c r="EW12" s="234"/>
      <c r="EY12" s="234"/>
      <c r="EZ12" s="234"/>
      <c r="FB12" s="234"/>
      <c r="FC12" s="234"/>
      <c r="FE12" s="234"/>
      <c r="FF12" s="234"/>
      <c r="FH12" s="234"/>
      <c r="FI12" s="234"/>
      <c r="FK12" s="234"/>
      <c r="FL12" s="234"/>
      <c r="FN12" s="234"/>
      <c r="FO12" s="234"/>
      <c r="FQ12" s="234"/>
      <c r="FR12" s="234"/>
      <c r="FT12" s="234"/>
      <c r="FU12" s="234"/>
      <c r="FW12" s="234"/>
      <c r="FX12" s="234"/>
      <c r="FZ12" s="234"/>
      <c r="GA12" s="234"/>
      <c r="GC12" s="234"/>
      <c r="GD12" s="234"/>
      <c r="GF12" s="234"/>
      <c r="GG12" s="234"/>
      <c r="GI12" s="234"/>
      <c r="GJ12" s="234"/>
      <c r="GL12" s="234"/>
      <c r="GM12" s="234"/>
      <c r="GO12" s="234"/>
      <c r="GP12" s="234"/>
      <c r="GR12" s="234"/>
      <c r="GS12" s="234"/>
      <c r="GU12" s="234"/>
      <c r="GV12" s="234"/>
      <c r="GX12" s="234"/>
      <c r="GY12" s="234"/>
      <c r="HA12" s="234"/>
      <c r="HB12" s="234"/>
      <c r="HD12" s="234"/>
      <c r="HE12" s="234"/>
      <c r="HG12" s="234"/>
      <c r="HH12" s="234"/>
      <c r="HJ12" s="234"/>
      <c r="HK12" s="234"/>
      <c r="HM12" s="234"/>
      <c r="HN12" s="234"/>
      <c r="HP12" s="234"/>
      <c r="HQ12" s="234"/>
      <c r="HS12" s="234"/>
      <c r="HT12" s="234"/>
      <c r="HV12" s="234"/>
      <c r="HW12" s="234"/>
      <c r="HY12" s="234"/>
      <c r="HZ12" s="234"/>
      <c r="IB12" s="234"/>
      <c r="IC12" s="234"/>
      <c r="IE12" s="234"/>
      <c r="IF12" s="234"/>
    </row>
    <row r="13" spans="1:240" ht="12" x14ac:dyDescent="0.25">
      <c r="A13" s="234"/>
      <c r="B13" s="296" t="s">
        <v>372</v>
      </c>
      <c r="C13" s="148"/>
      <c r="D13" s="231"/>
      <c r="E13" s="234"/>
      <c r="G13" s="235"/>
      <c r="J13" s="234"/>
      <c r="K13" s="234"/>
      <c r="M13" s="234"/>
      <c r="N13" s="234"/>
      <c r="P13" s="234"/>
      <c r="Q13" s="234"/>
      <c r="S13" s="234"/>
      <c r="T13" s="234"/>
      <c r="V13" s="234"/>
      <c r="W13" s="234"/>
      <c r="Y13" s="234"/>
      <c r="Z13" s="234"/>
      <c r="AB13" s="234"/>
      <c r="AC13" s="234"/>
      <c r="AE13" s="234"/>
      <c r="AF13" s="234"/>
      <c r="AG13" s="234"/>
      <c r="AI13" s="234"/>
      <c r="AJ13" s="234"/>
      <c r="AL13" s="234"/>
      <c r="AM13" s="234"/>
      <c r="AO13" s="234"/>
      <c r="AP13" s="234"/>
      <c r="AR13" s="234"/>
      <c r="AS13" s="234"/>
      <c r="AU13" s="234"/>
      <c r="AV13" s="234"/>
      <c r="AX13" s="234"/>
      <c r="AY13" s="234"/>
      <c r="BA13" s="234"/>
      <c r="BB13" s="234"/>
      <c r="BD13" s="234"/>
      <c r="BE13" s="234"/>
      <c r="BG13" s="234"/>
      <c r="BH13" s="234"/>
      <c r="BJ13" s="234"/>
      <c r="BK13" s="234"/>
      <c r="BM13" s="234"/>
      <c r="BN13" s="234"/>
      <c r="BP13" s="234"/>
      <c r="BQ13" s="234"/>
      <c r="BS13" s="234"/>
      <c r="BT13" s="234"/>
      <c r="BV13" s="234"/>
      <c r="BW13" s="234"/>
      <c r="BY13" s="234"/>
      <c r="BZ13" s="234"/>
      <c r="CB13" s="234"/>
      <c r="CC13" s="234"/>
      <c r="CE13" s="234"/>
      <c r="CF13" s="234"/>
      <c r="CH13" s="234"/>
      <c r="CI13" s="234"/>
      <c r="CK13" s="234"/>
      <c r="CL13" s="234"/>
      <c r="CN13" s="234"/>
      <c r="CO13" s="234"/>
      <c r="CQ13" s="234"/>
      <c r="CR13" s="234"/>
      <c r="CT13" s="234"/>
      <c r="CU13" s="234"/>
      <c r="CW13" s="234"/>
      <c r="CX13" s="234"/>
      <c r="CZ13" s="234"/>
      <c r="DA13" s="234"/>
      <c r="DC13" s="234"/>
      <c r="DD13" s="234"/>
      <c r="DF13" s="234"/>
      <c r="DG13" s="234"/>
      <c r="DI13" s="234"/>
      <c r="DJ13" s="234"/>
      <c r="DL13" s="234"/>
      <c r="DM13" s="234"/>
      <c r="DO13" s="234"/>
      <c r="DP13" s="234"/>
      <c r="DR13" s="234"/>
      <c r="DS13" s="234"/>
      <c r="DU13" s="234"/>
      <c r="DV13" s="234"/>
      <c r="DX13" s="234"/>
      <c r="DY13" s="234"/>
      <c r="EA13" s="234"/>
      <c r="EB13" s="223"/>
      <c r="ED13" s="234"/>
      <c r="EE13" s="234"/>
      <c r="EG13" s="234"/>
      <c r="EH13" s="234"/>
      <c r="EJ13" s="234"/>
      <c r="EK13" s="234"/>
      <c r="EM13" s="234"/>
      <c r="EN13" s="234"/>
      <c r="EP13" s="234"/>
      <c r="EQ13" s="234"/>
      <c r="ES13" s="234"/>
      <c r="ET13" s="234"/>
      <c r="EV13" s="234"/>
      <c r="EW13" s="234"/>
      <c r="EY13" s="234"/>
      <c r="EZ13" s="234"/>
      <c r="FB13" s="234"/>
      <c r="FC13" s="234"/>
      <c r="FE13" s="234"/>
      <c r="FF13" s="234"/>
      <c r="FH13" s="234"/>
      <c r="FI13" s="234"/>
      <c r="FK13" s="234"/>
      <c r="FL13" s="234"/>
      <c r="FN13" s="234"/>
      <c r="FO13" s="234"/>
      <c r="FQ13" s="234"/>
      <c r="FR13" s="234"/>
      <c r="FT13" s="234"/>
      <c r="FU13" s="234"/>
      <c r="FW13" s="234"/>
      <c r="FX13" s="234"/>
      <c r="FZ13" s="234"/>
      <c r="GA13" s="234"/>
      <c r="GC13" s="234"/>
      <c r="GD13" s="234"/>
      <c r="GF13" s="234"/>
      <c r="GG13" s="234"/>
      <c r="GI13" s="234"/>
      <c r="GJ13" s="234"/>
      <c r="GL13" s="234"/>
      <c r="GM13" s="234"/>
      <c r="GO13" s="234"/>
      <c r="GP13" s="234"/>
      <c r="GR13" s="234"/>
      <c r="GS13" s="234"/>
      <c r="GU13" s="234"/>
      <c r="GV13" s="234"/>
      <c r="GX13" s="234"/>
      <c r="GY13" s="234"/>
      <c r="HA13" s="234"/>
      <c r="HB13" s="234"/>
      <c r="HD13" s="234"/>
      <c r="HE13" s="234"/>
      <c r="HG13" s="234"/>
      <c r="HH13" s="234"/>
      <c r="HJ13" s="234"/>
      <c r="HK13" s="234"/>
      <c r="HM13" s="234"/>
      <c r="HN13" s="234"/>
      <c r="HP13" s="234"/>
      <c r="HQ13" s="234"/>
      <c r="HS13" s="234"/>
      <c r="HT13" s="234"/>
      <c r="HV13" s="234"/>
      <c r="HW13" s="234"/>
      <c r="HY13" s="234"/>
      <c r="HZ13" s="234"/>
      <c r="IB13" s="234"/>
      <c r="IC13" s="234"/>
      <c r="IE13" s="234"/>
      <c r="IF13" s="234"/>
    </row>
    <row r="14" spans="1:240" ht="12" x14ac:dyDescent="0.25">
      <c r="A14" s="234"/>
      <c r="B14" s="296" t="s">
        <v>373</v>
      </c>
      <c r="C14" s="148"/>
      <c r="D14" s="300"/>
      <c r="E14" s="234"/>
      <c r="G14" s="235"/>
      <c r="J14" s="234"/>
      <c r="K14" s="234"/>
      <c r="M14" s="234"/>
      <c r="N14" s="234"/>
      <c r="P14" s="234"/>
      <c r="Q14" s="234"/>
      <c r="S14" s="234"/>
      <c r="T14" s="234"/>
      <c r="V14" s="234"/>
      <c r="W14" s="234"/>
      <c r="Y14" s="234"/>
      <c r="Z14" s="234"/>
      <c r="AB14" s="234"/>
      <c r="AC14" s="234"/>
      <c r="AE14" s="234"/>
      <c r="AF14" s="234"/>
      <c r="AG14" s="234"/>
      <c r="AI14" s="234"/>
      <c r="AJ14" s="234"/>
      <c r="AL14" s="234"/>
      <c r="AM14" s="234"/>
      <c r="AO14" s="234"/>
      <c r="AP14" s="234"/>
      <c r="AR14" s="234"/>
      <c r="AS14" s="234"/>
      <c r="AU14" s="234"/>
      <c r="AV14" s="234"/>
      <c r="AX14" s="234"/>
      <c r="AY14" s="234"/>
      <c r="BA14" s="234"/>
      <c r="BB14" s="234"/>
      <c r="BD14" s="234"/>
      <c r="BE14" s="234"/>
      <c r="BG14" s="234"/>
      <c r="BH14" s="234"/>
      <c r="BJ14" s="234"/>
      <c r="BK14" s="234"/>
      <c r="BM14" s="234"/>
      <c r="BN14" s="234"/>
      <c r="BP14" s="234"/>
      <c r="BQ14" s="234"/>
      <c r="BS14" s="234"/>
      <c r="BT14" s="234"/>
      <c r="BV14" s="234"/>
      <c r="BW14" s="234"/>
      <c r="BY14" s="234"/>
      <c r="BZ14" s="234"/>
      <c r="CB14" s="234"/>
      <c r="CC14" s="234"/>
      <c r="CE14" s="234"/>
      <c r="CF14" s="234"/>
      <c r="CH14" s="234"/>
      <c r="CI14" s="234"/>
      <c r="CK14" s="234"/>
      <c r="CL14" s="234"/>
      <c r="CN14" s="234"/>
      <c r="CO14" s="234"/>
      <c r="CQ14" s="234"/>
      <c r="CR14" s="234"/>
      <c r="CT14" s="234"/>
      <c r="CU14" s="234"/>
      <c r="CW14" s="234"/>
      <c r="CX14" s="234"/>
      <c r="CZ14" s="234"/>
      <c r="DA14" s="234"/>
      <c r="DC14" s="234"/>
      <c r="DD14" s="234"/>
      <c r="DF14" s="234"/>
      <c r="DG14" s="234"/>
      <c r="DI14" s="234"/>
      <c r="DJ14" s="234"/>
      <c r="DL14" s="234"/>
      <c r="DM14" s="234"/>
      <c r="DO14" s="234"/>
      <c r="DP14" s="234"/>
      <c r="DR14" s="234"/>
      <c r="DS14" s="234"/>
      <c r="DU14" s="234"/>
      <c r="DV14" s="234"/>
      <c r="DX14" s="234"/>
      <c r="DY14" s="234"/>
      <c r="EA14" s="234"/>
      <c r="EB14" s="223"/>
      <c r="ED14" s="234"/>
      <c r="EE14" s="234"/>
      <c r="EG14" s="234"/>
      <c r="EH14" s="234"/>
      <c r="EJ14" s="234"/>
      <c r="EK14" s="234"/>
      <c r="EM14" s="234"/>
      <c r="EN14" s="234"/>
      <c r="EP14" s="234"/>
      <c r="EQ14" s="234"/>
      <c r="ES14" s="234"/>
      <c r="ET14" s="234"/>
      <c r="EV14" s="234"/>
      <c r="EW14" s="234"/>
      <c r="EY14" s="234"/>
      <c r="EZ14" s="234"/>
      <c r="FB14" s="234"/>
      <c r="FC14" s="234"/>
      <c r="FE14" s="234"/>
      <c r="FF14" s="234"/>
      <c r="FH14" s="234"/>
      <c r="FI14" s="234"/>
      <c r="FK14" s="234"/>
      <c r="FL14" s="234"/>
      <c r="FN14" s="234"/>
      <c r="FO14" s="234"/>
      <c r="FQ14" s="234"/>
      <c r="FR14" s="234"/>
      <c r="FT14" s="234"/>
      <c r="FU14" s="234"/>
      <c r="FW14" s="234"/>
      <c r="FX14" s="234"/>
      <c r="FZ14" s="234"/>
      <c r="GA14" s="234"/>
      <c r="GC14" s="234"/>
      <c r="GD14" s="234"/>
      <c r="GF14" s="234"/>
      <c r="GG14" s="234"/>
      <c r="GI14" s="234"/>
      <c r="GJ14" s="234"/>
      <c r="GL14" s="234"/>
      <c r="GM14" s="234"/>
      <c r="GO14" s="234"/>
      <c r="GP14" s="234"/>
      <c r="GR14" s="234"/>
      <c r="GS14" s="234"/>
      <c r="GU14" s="234"/>
      <c r="GV14" s="234"/>
      <c r="GX14" s="234"/>
      <c r="GY14" s="234"/>
      <c r="HA14" s="234"/>
      <c r="HB14" s="234"/>
      <c r="HD14" s="234"/>
      <c r="HE14" s="234"/>
      <c r="HG14" s="234"/>
      <c r="HH14" s="234"/>
      <c r="HJ14" s="234"/>
      <c r="HK14" s="234"/>
      <c r="HM14" s="234"/>
      <c r="HN14" s="234"/>
      <c r="HP14" s="234"/>
      <c r="HQ14" s="234"/>
      <c r="HS14" s="234"/>
      <c r="HT14" s="234"/>
      <c r="HV14" s="234"/>
      <c r="HW14" s="234"/>
      <c r="HY14" s="234"/>
      <c r="HZ14" s="234"/>
      <c r="IB14" s="234"/>
      <c r="IC14" s="234"/>
      <c r="IE14" s="234"/>
      <c r="IF14" s="234"/>
    </row>
    <row r="15" spans="1:240" ht="12" x14ac:dyDescent="0.25">
      <c r="A15" s="234"/>
      <c r="B15" s="296" t="s">
        <v>251</v>
      </c>
      <c r="C15" s="148"/>
      <c r="D15" s="231"/>
      <c r="E15" s="234"/>
      <c r="G15" s="235"/>
      <c r="J15" s="234"/>
      <c r="K15" s="234"/>
      <c r="M15" s="234"/>
      <c r="N15" s="234"/>
      <c r="P15" s="234"/>
      <c r="Q15" s="234"/>
      <c r="S15" s="234"/>
      <c r="T15" s="234"/>
      <c r="V15" s="234"/>
      <c r="W15" s="234"/>
      <c r="Y15" s="234"/>
      <c r="Z15" s="234"/>
      <c r="AB15" s="234"/>
      <c r="AC15" s="234"/>
      <c r="AE15" s="234"/>
      <c r="AF15" s="234"/>
      <c r="AG15" s="234"/>
      <c r="AI15" s="234"/>
      <c r="AJ15" s="234"/>
      <c r="AL15" s="234"/>
      <c r="AM15" s="234"/>
      <c r="AO15" s="234"/>
      <c r="AP15" s="234"/>
      <c r="AR15" s="234"/>
      <c r="AS15" s="234"/>
      <c r="AU15" s="234"/>
      <c r="AV15" s="234"/>
      <c r="AX15" s="234"/>
      <c r="AY15" s="234"/>
      <c r="BA15" s="234"/>
      <c r="BB15" s="234"/>
      <c r="BD15" s="234"/>
      <c r="BE15" s="234"/>
      <c r="BG15" s="234"/>
      <c r="BH15" s="234"/>
      <c r="BJ15" s="234"/>
      <c r="BK15" s="234"/>
      <c r="BM15" s="234"/>
      <c r="BN15" s="234"/>
      <c r="BP15" s="234"/>
      <c r="BQ15" s="234"/>
      <c r="BS15" s="234"/>
      <c r="BT15" s="234"/>
      <c r="BV15" s="234"/>
      <c r="BW15" s="234"/>
      <c r="BY15" s="234"/>
      <c r="BZ15" s="234"/>
      <c r="CB15" s="234"/>
      <c r="CC15" s="234"/>
      <c r="CE15" s="234"/>
      <c r="CF15" s="234"/>
      <c r="CH15" s="234"/>
      <c r="CI15" s="234"/>
      <c r="CK15" s="234"/>
      <c r="CL15" s="234"/>
      <c r="CN15" s="234"/>
      <c r="CO15" s="234"/>
      <c r="CQ15" s="234"/>
      <c r="CR15" s="234"/>
      <c r="CT15" s="234"/>
      <c r="CU15" s="234"/>
      <c r="CW15" s="234"/>
      <c r="CX15" s="234"/>
      <c r="CZ15" s="234"/>
      <c r="DA15" s="234"/>
      <c r="DC15" s="234"/>
      <c r="DD15" s="234"/>
      <c r="DF15" s="234"/>
      <c r="DG15" s="234"/>
      <c r="DI15" s="234"/>
      <c r="DJ15" s="234"/>
      <c r="DL15" s="234"/>
      <c r="DM15" s="234"/>
      <c r="DO15" s="234"/>
      <c r="DP15" s="234"/>
      <c r="DR15" s="234"/>
      <c r="DS15" s="234"/>
      <c r="DU15" s="234"/>
      <c r="DV15" s="234"/>
      <c r="DX15" s="234"/>
      <c r="DY15" s="234"/>
      <c r="EA15" s="234"/>
      <c r="EB15" s="223"/>
      <c r="ED15" s="234"/>
      <c r="EE15" s="234"/>
      <c r="EG15" s="234"/>
      <c r="EH15" s="234"/>
      <c r="EJ15" s="234"/>
      <c r="EK15" s="234"/>
      <c r="EM15" s="234"/>
      <c r="EN15" s="234"/>
      <c r="EP15" s="234"/>
      <c r="EQ15" s="234"/>
      <c r="ES15" s="234"/>
      <c r="ET15" s="234"/>
      <c r="EV15" s="234"/>
      <c r="EW15" s="234"/>
      <c r="EY15" s="234"/>
      <c r="EZ15" s="234"/>
      <c r="FB15" s="234"/>
      <c r="FC15" s="234"/>
      <c r="FE15" s="234"/>
      <c r="FF15" s="234"/>
      <c r="FH15" s="234"/>
      <c r="FI15" s="234"/>
      <c r="FK15" s="234"/>
      <c r="FL15" s="234"/>
      <c r="FN15" s="234"/>
      <c r="FO15" s="234"/>
      <c r="FQ15" s="234"/>
      <c r="FR15" s="234"/>
      <c r="FT15" s="234"/>
      <c r="FU15" s="234"/>
      <c r="FW15" s="234"/>
      <c r="FX15" s="234"/>
      <c r="FZ15" s="234"/>
      <c r="GA15" s="234"/>
      <c r="GC15" s="234"/>
      <c r="GD15" s="234"/>
      <c r="GF15" s="234"/>
      <c r="GG15" s="234"/>
      <c r="GI15" s="234"/>
      <c r="GJ15" s="234"/>
      <c r="GL15" s="234"/>
      <c r="GM15" s="234"/>
      <c r="GO15" s="234"/>
      <c r="GP15" s="234"/>
      <c r="GR15" s="234"/>
      <c r="GS15" s="234"/>
      <c r="GU15" s="234"/>
      <c r="GV15" s="234"/>
      <c r="GX15" s="234"/>
      <c r="GY15" s="234"/>
      <c r="HA15" s="234"/>
      <c r="HB15" s="234"/>
      <c r="HD15" s="234"/>
      <c r="HE15" s="234"/>
      <c r="HG15" s="234"/>
      <c r="HH15" s="234"/>
      <c r="HJ15" s="234"/>
      <c r="HK15" s="234"/>
      <c r="HM15" s="234"/>
      <c r="HN15" s="234"/>
      <c r="HP15" s="234"/>
      <c r="HQ15" s="234"/>
      <c r="HS15" s="234"/>
      <c r="HT15" s="234"/>
      <c r="HV15" s="234"/>
      <c r="HW15" s="234"/>
      <c r="HY15" s="234"/>
      <c r="HZ15" s="234"/>
      <c r="IB15" s="234"/>
      <c r="IC15" s="234"/>
      <c r="IE15" s="234"/>
      <c r="IF15" s="234"/>
    </row>
    <row r="16" spans="1:240" ht="12" x14ac:dyDescent="0.25">
      <c r="A16" s="234"/>
      <c r="B16" s="296" t="s">
        <v>317</v>
      </c>
      <c r="C16" s="148"/>
      <c r="D16" s="231"/>
      <c r="E16" s="234"/>
      <c r="G16" s="235"/>
      <c r="J16" s="234"/>
      <c r="K16" s="234"/>
      <c r="M16" s="234"/>
      <c r="N16" s="234"/>
      <c r="P16" s="234"/>
      <c r="Q16" s="234"/>
      <c r="S16" s="234"/>
      <c r="T16" s="234"/>
      <c r="V16" s="234"/>
      <c r="W16" s="234"/>
      <c r="Y16" s="234"/>
      <c r="Z16" s="234"/>
      <c r="AB16" s="234"/>
      <c r="AC16" s="234"/>
      <c r="AE16" s="234"/>
      <c r="AF16" s="234"/>
      <c r="AG16" s="234"/>
      <c r="AI16" s="234"/>
      <c r="AJ16" s="234"/>
      <c r="AL16" s="234"/>
      <c r="AM16" s="234"/>
      <c r="AO16" s="234"/>
      <c r="AP16" s="234"/>
      <c r="AR16" s="234"/>
      <c r="AS16" s="234"/>
      <c r="AU16" s="234"/>
      <c r="AV16" s="234"/>
      <c r="AX16" s="234"/>
      <c r="AY16" s="234"/>
      <c r="BA16" s="234"/>
      <c r="BB16" s="234"/>
      <c r="BD16" s="234"/>
      <c r="BE16" s="234"/>
      <c r="BG16" s="234"/>
      <c r="BH16" s="234"/>
      <c r="BJ16" s="234"/>
      <c r="BK16" s="234"/>
      <c r="BM16" s="234"/>
      <c r="BN16" s="234"/>
      <c r="BP16" s="234"/>
      <c r="BQ16" s="234"/>
      <c r="BS16" s="234"/>
      <c r="BT16" s="234"/>
      <c r="BV16" s="234"/>
      <c r="BW16" s="234"/>
      <c r="BY16" s="234"/>
      <c r="BZ16" s="234"/>
      <c r="CB16" s="234"/>
      <c r="CC16" s="234"/>
      <c r="CE16" s="234"/>
      <c r="CF16" s="234"/>
      <c r="CH16" s="234"/>
      <c r="CI16" s="234"/>
      <c r="CK16" s="234"/>
      <c r="CL16" s="234"/>
      <c r="CN16" s="234"/>
      <c r="CO16" s="234"/>
      <c r="CQ16" s="234"/>
      <c r="CR16" s="234"/>
      <c r="CT16" s="234"/>
      <c r="CU16" s="234"/>
      <c r="CW16" s="234"/>
      <c r="CX16" s="234"/>
      <c r="CZ16" s="234"/>
      <c r="DA16" s="234"/>
      <c r="DC16" s="234"/>
      <c r="DD16" s="234"/>
      <c r="DF16" s="234"/>
      <c r="DG16" s="234"/>
      <c r="DI16" s="234"/>
      <c r="DJ16" s="234"/>
      <c r="DL16" s="234"/>
      <c r="DM16" s="234"/>
      <c r="DO16" s="234"/>
      <c r="DP16" s="234"/>
      <c r="DR16" s="234"/>
      <c r="DS16" s="234"/>
      <c r="DU16" s="234"/>
      <c r="DV16" s="234"/>
      <c r="DX16" s="234"/>
      <c r="DY16" s="234"/>
      <c r="EA16" s="234"/>
      <c r="EB16" s="223"/>
      <c r="ED16" s="234"/>
      <c r="EE16" s="234"/>
      <c r="EG16" s="234"/>
      <c r="EH16" s="234"/>
      <c r="EJ16" s="234"/>
      <c r="EK16" s="234"/>
      <c r="EM16" s="234"/>
      <c r="EN16" s="234"/>
      <c r="EP16" s="234"/>
      <c r="EQ16" s="234"/>
      <c r="ES16" s="234"/>
      <c r="ET16" s="234"/>
      <c r="EV16" s="234"/>
      <c r="EW16" s="234"/>
      <c r="EY16" s="234"/>
      <c r="EZ16" s="234"/>
      <c r="FB16" s="234"/>
      <c r="FC16" s="234"/>
      <c r="FE16" s="234"/>
      <c r="FF16" s="234"/>
      <c r="FH16" s="234"/>
      <c r="FI16" s="234"/>
      <c r="FK16" s="234"/>
      <c r="FL16" s="234"/>
      <c r="FN16" s="234"/>
      <c r="FO16" s="234"/>
      <c r="FQ16" s="234"/>
      <c r="FR16" s="234"/>
      <c r="FT16" s="234"/>
      <c r="FU16" s="234"/>
      <c r="FW16" s="234"/>
      <c r="FX16" s="234"/>
      <c r="FZ16" s="234"/>
      <c r="GA16" s="234"/>
      <c r="GC16" s="234"/>
      <c r="GD16" s="234"/>
      <c r="GF16" s="234"/>
      <c r="GG16" s="234"/>
      <c r="GI16" s="234"/>
      <c r="GJ16" s="234"/>
      <c r="GL16" s="234"/>
      <c r="GM16" s="234"/>
      <c r="GO16" s="234"/>
      <c r="GP16" s="234"/>
      <c r="GR16" s="234"/>
      <c r="GS16" s="234"/>
      <c r="GU16" s="234"/>
      <c r="GV16" s="234"/>
      <c r="GX16" s="234"/>
      <c r="GY16" s="234"/>
      <c r="HA16" s="234"/>
      <c r="HB16" s="234"/>
      <c r="HD16" s="234"/>
      <c r="HE16" s="234"/>
      <c r="HG16" s="234"/>
      <c r="HH16" s="234"/>
      <c r="HJ16" s="234"/>
      <c r="HK16" s="234"/>
      <c r="HM16" s="234"/>
      <c r="HN16" s="234"/>
      <c r="HP16" s="234"/>
      <c r="HQ16" s="234"/>
      <c r="HS16" s="234"/>
      <c r="HT16" s="234"/>
      <c r="HV16" s="234"/>
      <c r="HW16" s="234"/>
      <c r="HY16" s="234"/>
      <c r="HZ16" s="234"/>
      <c r="IB16" s="234"/>
      <c r="IC16" s="234"/>
      <c r="IE16" s="234"/>
      <c r="IF16" s="234"/>
    </row>
    <row r="17" spans="1:240" ht="12" x14ac:dyDescent="0.25">
      <c r="A17" s="234"/>
      <c r="B17" s="296" t="s">
        <v>367</v>
      </c>
      <c r="C17" s="148"/>
      <c r="D17" s="231"/>
      <c r="E17" s="234"/>
      <c r="G17" s="235"/>
      <c r="J17" s="234"/>
      <c r="K17" s="234"/>
      <c r="M17" s="234"/>
      <c r="N17" s="234"/>
      <c r="P17" s="234"/>
      <c r="Q17" s="234"/>
      <c r="S17" s="234"/>
      <c r="T17" s="234"/>
      <c r="V17" s="234"/>
      <c r="W17" s="234"/>
      <c r="Y17" s="234"/>
      <c r="Z17" s="234"/>
      <c r="AB17" s="234"/>
      <c r="AC17" s="234"/>
      <c r="AE17" s="234"/>
      <c r="AF17" s="234"/>
      <c r="AG17" s="234"/>
      <c r="AI17" s="234"/>
      <c r="AJ17" s="234"/>
      <c r="AL17" s="234"/>
      <c r="AM17" s="234"/>
      <c r="AO17" s="234"/>
      <c r="AP17" s="234"/>
      <c r="AR17" s="234"/>
      <c r="AS17" s="234"/>
      <c r="AU17" s="234"/>
      <c r="AV17" s="234"/>
      <c r="AX17" s="234"/>
      <c r="AY17" s="234"/>
      <c r="BA17" s="234"/>
      <c r="BB17" s="234"/>
      <c r="BD17" s="234"/>
      <c r="BE17" s="234"/>
      <c r="BG17" s="234"/>
      <c r="BH17" s="234"/>
      <c r="BJ17" s="234"/>
      <c r="BK17" s="234"/>
      <c r="BM17" s="234"/>
      <c r="BN17" s="234"/>
      <c r="BP17" s="234"/>
      <c r="BQ17" s="234"/>
      <c r="BS17" s="234"/>
      <c r="BT17" s="234"/>
      <c r="BV17" s="234"/>
      <c r="BW17" s="234"/>
      <c r="BY17" s="234"/>
      <c r="BZ17" s="234"/>
      <c r="CB17" s="234"/>
      <c r="CC17" s="234"/>
      <c r="CE17" s="234"/>
      <c r="CF17" s="234"/>
      <c r="CH17" s="234"/>
      <c r="CI17" s="234"/>
      <c r="CK17" s="234"/>
      <c r="CL17" s="234"/>
      <c r="CN17" s="234"/>
      <c r="CO17" s="234"/>
      <c r="CQ17" s="234"/>
      <c r="CR17" s="234"/>
      <c r="CT17" s="234"/>
      <c r="CU17" s="234"/>
      <c r="CW17" s="234"/>
      <c r="CX17" s="234"/>
      <c r="CZ17" s="234"/>
      <c r="DA17" s="234"/>
      <c r="DC17" s="234"/>
      <c r="DD17" s="234"/>
      <c r="DF17" s="234"/>
      <c r="DG17" s="234"/>
      <c r="DI17" s="234"/>
      <c r="DJ17" s="234"/>
      <c r="DL17" s="234"/>
      <c r="DM17" s="234"/>
      <c r="DO17" s="234"/>
      <c r="DP17" s="234"/>
      <c r="DR17" s="234"/>
      <c r="DS17" s="234"/>
      <c r="DU17" s="234"/>
      <c r="DV17" s="234"/>
      <c r="DX17" s="234"/>
      <c r="DY17" s="234"/>
      <c r="EA17" s="234"/>
      <c r="EB17" s="223"/>
      <c r="ED17" s="234"/>
      <c r="EE17" s="234"/>
      <c r="EG17" s="234"/>
      <c r="EH17" s="234"/>
      <c r="EJ17" s="234"/>
      <c r="EK17" s="234"/>
      <c r="EM17" s="234"/>
      <c r="EN17" s="234"/>
      <c r="EP17" s="234"/>
      <c r="EQ17" s="234"/>
      <c r="ES17" s="234"/>
      <c r="ET17" s="234"/>
      <c r="EV17" s="234"/>
      <c r="EW17" s="234"/>
      <c r="EY17" s="234"/>
      <c r="EZ17" s="234"/>
      <c r="FB17" s="234"/>
      <c r="FC17" s="234"/>
      <c r="FE17" s="234"/>
      <c r="FF17" s="234"/>
      <c r="FH17" s="234"/>
      <c r="FI17" s="234"/>
      <c r="FK17" s="234"/>
      <c r="FL17" s="234"/>
      <c r="FN17" s="234"/>
      <c r="FO17" s="234"/>
      <c r="FQ17" s="234"/>
      <c r="FR17" s="234"/>
      <c r="FT17" s="234"/>
      <c r="FU17" s="234"/>
      <c r="FW17" s="234"/>
      <c r="FX17" s="234"/>
      <c r="FZ17" s="234"/>
      <c r="GA17" s="234"/>
      <c r="GC17" s="234"/>
      <c r="GD17" s="234"/>
      <c r="GF17" s="234"/>
      <c r="GG17" s="234"/>
      <c r="GI17" s="234"/>
      <c r="GJ17" s="234"/>
      <c r="GL17" s="234"/>
      <c r="GM17" s="234"/>
      <c r="GO17" s="234"/>
      <c r="GP17" s="234"/>
      <c r="GR17" s="234"/>
      <c r="GS17" s="234"/>
      <c r="GU17" s="234"/>
      <c r="GV17" s="234"/>
      <c r="GX17" s="234"/>
      <c r="GY17" s="234"/>
      <c r="HA17" s="234"/>
      <c r="HB17" s="234"/>
      <c r="HD17" s="234"/>
      <c r="HE17" s="234"/>
      <c r="HG17" s="234"/>
      <c r="HH17" s="234"/>
      <c r="HJ17" s="234"/>
      <c r="HK17" s="234"/>
      <c r="HM17" s="234"/>
      <c r="HN17" s="234"/>
      <c r="HP17" s="234"/>
      <c r="HQ17" s="234"/>
      <c r="HS17" s="234"/>
      <c r="HT17" s="234"/>
      <c r="HV17" s="234"/>
      <c r="HW17" s="234"/>
      <c r="HY17" s="234"/>
      <c r="HZ17" s="234"/>
      <c r="IB17" s="234"/>
      <c r="IC17" s="234"/>
      <c r="IE17" s="234"/>
      <c r="IF17" s="234"/>
    </row>
    <row r="18" spans="1:240" ht="12" x14ac:dyDescent="0.25">
      <c r="A18" s="234"/>
      <c r="B18" s="296" t="s">
        <v>318</v>
      </c>
      <c r="C18" s="148"/>
      <c r="D18" s="231"/>
      <c r="E18" s="234"/>
      <c r="G18" s="235"/>
      <c r="J18" s="234"/>
      <c r="K18" s="234"/>
      <c r="M18" s="234"/>
      <c r="N18" s="234"/>
      <c r="P18" s="234"/>
      <c r="Q18" s="234"/>
      <c r="S18" s="234"/>
      <c r="T18" s="234"/>
      <c r="V18" s="234"/>
      <c r="W18" s="234"/>
      <c r="Y18" s="234"/>
      <c r="Z18" s="234"/>
      <c r="AB18" s="234"/>
      <c r="AC18" s="234"/>
      <c r="AE18" s="234"/>
      <c r="AF18" s="234"/>
      <c r="AG18" s="234"/>
      <c r="AI18" s="234"/>
      <c r="AJ18" s="234"/>
      <c r="AL18" s="234"/>
      <c r="AM18" s="234"/>
      <c r="AO18" s="234"/>
      <c r="AP18" s="234"/>
      <c r="AR18" s="234"/>
      <c r="AS18" s="234"/>
      <c r="AU18" s="234"/>
      <c r="AV18" s="234"/>
      <c r="AX18" s="234"/>
      <c r="AY18" s="234"/>
      <c r="BA18" s="234"/>
      <c r="BB18" s="234"/>
      <c r="BD18" s="234"/>
      <c r="BE18" s="234"/>
      <c r="BG18" s="234"/>
      <c r="BH18" s="234"/>
      <c r="BJ18" s="234"/>
      <c r="BK18" s="234"/>
      <c r="BM18" s="234"/>
      <c r="BN18" s="234"/>
      <c r="BP18" s="234"/>
      <c r="BQ18" s="234"/>
      <c r="BS18" s="234"/>
      <c r="BT18" s="234"/>
      <c r="BV18" s="234"/>
      <c r="BW18" s="234"/>
      <c r="BY18" s="234"/>
      <c r="BZ18" s="234"/>
      <c r="CB18" s="234"/>
      <c r="CC18" s="234"/>
      <c r="CE18" s="234"/>
      <c r="CF18" s="234"/>
      <c r="CH18" s="234"/>
      <c r="CI18" s="234"/>
      <c r="CK18" s="234"/>
      <c r="CL18" s="234"/>
      <c r="CN18" s="234"/>
      <c r="CO18" s="234"/>
      <c r="CQ18" s="234"/>
      <c r="CR18" s="234"/>
      <c r="CT18" s="234"/>
      <c r="CU18" s="234"/>
      <c r="CW18" s="234"/>
      <c r="CX18" s="234"/>
      <c r="CZ18" s="234"/>
      <c r="DA18" s="234"/>
      <c r="DC18" s="234"/>
      <c r="DD18" s="234"/>
      <c r="DF18" s="234"/>
      <c r="DG18" s="234"/>
      <c r="DI18" s="234"/>
      <c r="DJ18" s="234"/>
      <c r="DL18" s="234"/>
      <c r="DM18" s="234"/>
      <c r="DO18" s="234"/>
      <c r="DP18" s="234"/>
      <c r="DR18" s="234"/>
      <c r="DS18" s="234"/>
      <c r="DU18" s="234"/>
      <c r="DV18" s="234"/>
      <c r="DX18" s="234"/>
      <c r="DY18" s="234"/>
      <c r="EA18" s="234"/>
      <c r="EB18" s="223"/>
      <c r="ED18" s="234"/>
      <c r="EE18" s="234"/>
      <c r="EG18" s="234"/>
      <c r="EH18" s="234"/>
      <c r="EJ18" s="234"/>
      <c r="EK18" s="234"/>
      <c r="EM18" s="234"/>
      <c r="EN18" s="234"/>
      <c r="EP18" s="234"/>
      <c r="EQ18" s="234"/>
      <c r="ES18" s="234"/>
      <c r="ET18" s="234"/>
      <c r="EV18" s="234"/>
      <c r="EW18" s="234"/>
      <c r="EY18" s="234"/>
      <c r="EZ18" s="234"/>
      <c r="FB18" s="234"/>
      <c r="FC18" s="234"/>
      <c r="FE18" s="234"/>
      <c r="FF18" s="234"/>
      <c r="FH18" s="234"/>
      <c r="FI18" s="234"/>
      <c r="FK18" s="234"/>
      <c r="FL18" s="234"/>
      <c r="FN18" s="234"/>
      <c r="FO18" s="234"/>
      <c r="FQ18" s="234"/>
      <c r="FR18" s="234"/>
      <c r="FT18" s="234"/>
      <c r="FU18" s="234"/>
      <c r="FW18" s="234"/>
      <c r="FX18" s="234"/>
      <c r="FZ18" s="234"/>
      <c r="GA18" s="234"/>
      <c r="GC18" s="234"/>
      <c r="GD18" s="234"/>
      <c r="GF18" s="234"/>
      <c r="GG18" s="234"/>
      <c r="GI18" s="234"/>
      <c r="GJ18" s="234"/>
      <c r="GL18" s="234"/>
      <c r="GM18" s="234"/>
      <c r="GO18" s="234"/>
      <c r="GP18" s="234"/>
      <c r="GR18" s="234"/>
      <c r="GS18" s="234"/>
      <c r="GU18" s="234"/>
      <c r="GV18" s="234"/>
      <c r="GX18" s="234"/>
      <c r="GY18" s="234"/>
      <c r="HA18" s="234"/>
      <c r="HB18" s="234"/>
      <c r="HD18" s="234"/>
      <c r="HE18" s="234"/>
      <c r="HG18" s="234"/>
      <c r="HH18" s="234"/>
      <c r="HJ18" s="234"/>
      <c r="HK18" s="234"/>
      <c r="HM18" s="234"/>
      <c r="HN18" s="234"/>
      <c r="HP18" s="234"/>
      <c r="HQ18" s="234"/>
      <c r="HS18" s="234"/>
      <c r="HT18" s="234"/>
      <c r="HV18" s="234"/>
      <c r="HW18" s="234"/>
      <c r="HY18" s="234"/>
      <c r="HZ18" s="234"/>
      <c r="IB18" s="234"/>
      <c r="IC18" s="234"/>
      <c r="IE18" s="234"/>
      <c r="IF18" s="234"/>
    </row>
    <row r="19" spans="1:240" ht="12" x14ac:dyDescent="0.25">
      <c r="A19" s="234"/>
      <c r="B19" s="296" t="s">
        <v>366</v>
      </c>
      <c r="C19" s="148"/>
      <c r="D19" s="300"/>
      <c r="E19" s="234"/>
      <c r="G19" s="235"/>
      <c r="J19" s="234"/>
      <c r="K19" s="234"/>
      <c r="M19" s="234"/>
      <c r="N19" s="234"/>
      <c r="P19" s="234"/>
      <c r="Q19" s="234"/>
      <c r="S19" s="234"/>
      <c r="T19" s="234"/>
      <c r="V19" s="234"/>
      <c r="W19" s="234"/>
      <c r="Y19" s="234"/>
      <c r="Z19" s="234"/>
      <c r="AB19" s="234"/>
      <c r="AC19" s="234"/>
      <c r="AE19" s="234"/>
      <c r="AF19" s="234"/>
      <c r="AG19" s="234"/>
      <c r="AI19" s="234"/>
      <c r="AJ19" s="234"/>
      <c r="AL19" s="234"/>
      <c r="AM19" s="234"/>
      <c r="AO19" s="234"/>
      <c r="AP19" s="234"/>
      <c r="AR19" s="234"/>
      <c r="AS19" s="234"/>
      <c r="AU19" s="234"/>
      <c r="AV19" s="234"/>
      <c r="AX19" s="234"/>
      <c r="AY19" s="234"/>
      <c r="BA19" s="234"/>
      <c r="BB19" s="234"/>
      <c r="BD19" s="234"/>
      <c r="BE19" s="234"/>
      <c r="BG19" s="234"/>
      <c r="BH19" s="234"/>
      <c r="BJ19" s="234"/>
      <c r="BK19" s="234"/>
      <c r="BM19" s="234"/>
      <c r="BN19" s="234"/>
      <c r="BP19" s="234"/>
      <c r="BQ19" s="234"/>
      <c r="BS19" s="234"/>
      <c r="BT19" s="234"/>
      <c r="BV19" s="234"/>
      <c r="BW19" s="234"/>
      <c r="BY19" s="234"/>
      <c r="BZ19" s="234"/>
      <c r="CB19" s="234"/>
      <c r="CC19" s="234"/>
      <c r="CE19" s="234"/>
      <c r="CF19" s="234"/>
      <c r="CH19" s="234"/>
      <c r="CI19" s="234"/>
      <c r="CK19" s="234"/>
      <c r="CL19" s="234"/>
      <c r="CN19" s="234"/>
      <c r="CO19" s="234"/>
      <c r="CQ19" s="234"/>
      <c r="CR19" s="234"/>
      <c r="CT19" s="234"/>
      <c r="CU19" s="234"/>
      <c r="CW19" s="234"/>
      <c r="CX19" s="234"/>
      <c r="CZ19" s="234"/>
      <c r="DA19" s="234"/>
      <c r="DC19" s="234"/>
      <c r="DD19" s="234"/>
      <c r="DF19" s="234"/>
      <c r="DG19" s="234"/>
      <c r="DI19" s="234"/>
      <c r="DJ19" s="234"/>
      <c r="DL19" s="234"/>
      <c r="DM19" s="234"/>
      <c r="DO19" s="234"/>
      <c r="DP19" s="234"/>
      <c r="DR19" s="234"/>
      <c r="DS19" s="234"/>
      <c r="DU19" s="234"/>
      <c r="DV19" s="234"/>
      <c r="DX19" s="234"/>
      <c r="DY19" s="234"/>
      <c r="EA19" s="234"/>
      <c r="EB19" s="223"/>
      <c r="ED19" s="234"/>
      <c r="EE19" s="234"/>
      <c r="EG19" s="234"/>
      <c r="EH19" s="234"/>
      <c r="EJ19" s="234"/>
      <c r="EK19" s="234"/>
      <c r="EM19" s="234"/>
      <c r="EN19" s="234"/>
      <c r="EP19" s="234"/>
      <c r="EQ19" s="234"/>
      <c r="ES19" s="234"/>
      <c r="ET19" s="234"/>
      <c r="EV19" s="234"/>
      <c r="EW19" s="234"/>
      <c r="EY19" s="234"/>
      <c r="EZ19" s="234"/>
      <c r="FB19" s="234"/>
      <c r="FC19" s="234"/>
      <c r="FE19" s="234"/>
      <c r="FF19" s="234"/>
      <c r="FH19" s="234"/>
      <c r="FI19" s="234"/>
      <c r="FK19" s="234"/>
      <c r="FL19" s="234"/>
      <c r="FN19" s="234"/>
      <c r="FO19" s="234"/>
      <c r="FQ19" s="234"/>
      <c r="FR19" s="234"/>
      <c r="FT19" s="234"/>
      <c r="FU19" s="234"/>
      <c r="FW19" s="234"/>
      <c r="FX19" s="234"/>
      <c r="FZ19" s="234"/>
      <c r="GA19" s="234"/>
      <c r="GC19" s="234"/>
      <c r="GD19" s="234"/>
      <c r="GF19" s="234"/>
      <c r="GG19" s="234"/>
      <c r="GI19" s="234"/>
      <c r="GJ19" s="234"/>
      <c r="GL19" s="234"/>
      <c r="GM19" s="234"/>
      <c r="GO19" s="234"/>
      <c r="GP19" s="234"/>
      <c r="GR19" s="234"/>
      <c r="GS19" s="234"/>
      <c r="GU19" s="234"/>
      <c r="GV19" s="234"/>
      <c r="GX19" s="234"/>
      <c r="GY19" s="234"/>
      <c r="HA19" s="234"/>
      <c r="HB19" s="234"/>
      <c r="HD19" s="234"/>
      <c r="HE19" s="234"/>
      <c r="HG19" s="234"/>
      <c r="HH19" s="234"/>
      <c r="HJ19" s="234"/>
      <c r="HK19" s="234"/>
      <c r="HM19" s="234"/>
      <c r="HN19" s="234"/>
      <c r="HP19" s="234"/>
      <c r="HQ19" s="234"/>
      <c r="HS19" s="234"/>
      <c r="HT19" s="234"/>
      <c r="HV19" s="234"/>
      <c r="HW19" s="234"/>
      <c r="HY19" s="234"/>
      <c r="HZ19" s="234"/>
      <c r="IB19" s="234"/>
      <c r="IC19" s="234"/>
      <c r="IE19" s="234"/>
      <c r="IF19" s="234"/>
    </row>
    <row r="20" spans="1:240" ht="12" x14ac:dyDescent="0.25">
      <c r="A20" s="234"/>
      <c r="B20" s="296" t="s">
        <v>252</v>
      </c>
      <c r="C20" s="148"/>
      <c r="D20" s="300"/>
      <c r="E20" s="234"/>
      <c r="G20" s="235"/>
      <c r="J20" s="234"/>
      <c r="K20" s="234"/>
      <c r="M20" s="234"/>
      <c r="N20" s="234"/>
      <c r="P20" s="234"/>
      <c r="Q20" s="234"/>
      <c r="S20" s="234"/>
      <c r="T20" s="234"/>
      <c r="V20" s="234"/>
      <c r="W20" s="234"/>
      <c r="Y20" s="234"/>
      <c r="Z20" s="234"/>
      <c r="AB20" s="234"/>
      <c r="AC20" s="234"/>
      <c r="AE20" s="234"/>
      <c r="AF20" s="234"/>
      <c r="AG20" s="234"/>
      <c r="AI20" s="234"/>
      <c r="AJ20" s="234"/>
      <c r="AL20" s="234"/>
      <c r="AM20" s="234"/>
      <c r="AO20" s="234"/>
      <c r="AP20" s="234"/>
      <c r="AR20" s="234"/>
      <c r="AS20" s="234"/>
      <c r="AU20" s="234"/>
      <c r="AV20" s="234"/>
      <c r="AX20" s="234"/>
      <c r="AY20" s="234"/>
      <c r="BA20" s="234"/>
      <c r="BB20" s="234"/>
      <c r="BD20" s="234"/>
      <c r="BE20" s="234"/>
      <c r="BG20" s="234"/>
      <c r="BH20" s="234"/>
      <c r="BJ20" s="234"/>
      <c r="BK20" s="234"/>
      <c r="BM20" s="234"/>
      <c r="BN20" s="234"/>
      <c r="BP20" s="234"/>
      <c r="BQ20" s="234"/>
      <c r="BS20" s="234"/>
      <c r="BT20" s="234"/>
      <c r="BV20" s="234"/>
      <c r="BW20" s="234"/>
      <c r="BY20" s="234"/>
      <c r="BZ20" s="234"/>
      <c r="CB20" s="234"/>
      <c r="CC20" s="234"/>
      <c r="CE20" s="234"/>
      <c r="CF20" s="234"/>
      <c r="CH20" s="234"/>
      <c r="CI20" s="234"/>
      <c r="CK20" s="234"/>
      <c r="CL20" s="234"/>
      <c r="CN20" s="234"/>
      <c r="CO20" s="234"/>
      <c r="CQ20" s="234"/>
      <c r="CR20" s="234"/>
      <c r="CT20" s="234"/>
      <c r="CU20" s="234"/>
      <c r="CW20" s="234"/>
      <c r="CX20" s="234"/>
      <c r="CZ20" s="234"/>
      <c r="DA20" s="234"/>
      <c r="DC20" s="234"/>
      <c r="DD20" s="234"/>
      <c r="DF20" s="234"/>
      <c r="DG20" s="234"/>
      <c r="DI20" s="234"/>
      <c r="DJ20" s="234"/>
      <c r="DL20" s="234"/>
      <c r="DM20" s="234"/>
      <c r="DO20" s="234"/>
      <c r="DP20" s="234"/>
      <c r="DR20" s="234"/>
      <c r="DS20" s="234"/>
      <c r="DU20" s="234"/>
      <c r="DV20" s="234"/>
      <c r="DX20" s="234"/>
      <c r="DY20" s="234"/>
      <c r="EA20" s="234"/>
      <c r="EB20" s="223"/>
      <c r="ED20" s="234"/>
      <c r="EE20" s="234"/>
      <c r="EG20" s="234"/>
      <c r="EH20" s="234"/>
      <c r="EJ20" s="234"/>
      <c r="EK20" s="234"/>
      <c r="EM20" s="234"/>
      <c r="EN20" s="234"/>
      <c r="EP20" s="234"/>
      <c r="EQ20" s="234"/>
      <c r="ES20" s="234"/>
      <c r="ET20" s="234"/>
      <c r="EV20" s="234"/>
      <c r="EW20" s="234"/>
      <c r="EY20" s="234"/>
      <c r="EZ20" s="234"/>
      <c r="FB20" s="234"/>
      <c r="FC20" s="234"/>
      <c r="FE20" s="234"/>
      <c r="FF20" s="234"/>
      <c r="FH20" s="234"/>
      <c r="FI20" s="234"/>
      <c r="FK20" s="234"/>
      <c r="FL20" s="234"/>
      <c r="FN20" s="234"/>
      <c r="FO20" s="234"/>
      <c r="FQ20" s="234"/>
      <c r="FR20" s="234"/>
      <c r="FT20" s="234"/>
      <c r="FU20" s="234"/>
      <c r="FW20" s="234"/>
      <c r="FX20" s="234"/>
      <c r="FZ20" s="234"/>
      <c r="GA20" s="234"/>
      <c r="GC20" s="234"/>
      <c r="GD20" s="234"/>
      <c r="GF20" s="234"/>
      <c r="GG20" s="234"/>
      <c r="GI20" s="234"/>
      <c r="GJ20" s="234"/>
      <c r="GL20" s="234"/>
      <c r="GM20" s="234"/>
      <c r="GO20" s="234"/>
      <c r="GP20" s="234"/>
      <c r="GR20" s="234"/>
      <c r="GS20" s="234"/>
      <c r="GU20" s="234"/>
      <c r="GV20" s="234"/>
      <c r="GX20" s="234"/>
      <c r="GY20" s="234"/>
      <c r="HA20" s="234"/>
      <c r="HB20" s="234"/>
      <c r="HD20" s="234"/>
      <c r="HE20" s="234"/>
      <c r="HG20" s="234"/>
      <c r="HH20" s="234"/>
      <c r="HJ20" s="234"/>
      <c r="HK20" s="234"/>
      <c r="HM20" s="234"/>
      <c r="HN20" s="234"/>
      <c r="HP20" s="234"/>
      <c r="HQ20" s="234"/>
      <c r="HS20" s="234"/>
      <c r="HT20" s="234"/>
      <c r="HV20" s="234"/>
      <c r="HW20" s="234"/>
      <c r="HY20" s="234"/>
      <c r="HZ20" s="234"/>
      <c r="IB20" s="234"/>
      <c r="IC20" s="234"/>
      <c r="IE20" s="234"/>
      <c r="IF20" s="234"/>
    </row>
    <row r="21" spans="1:240" ht="12" x14ac:dyDescent="0.25">
      <c r="A21" s="234"/>
      <c r="B21" s="296" t="s">
        <v>379</v>
      </c>
      <c r="C21" s="148"/>
      <c r="D21" s="231"/>
      <c r="E21" s="234"/>
      <c r="G21" s="235"/>
      <c r="J21" s="234"/>
      <c r="K21" s="234"/>
      <c r="M21" s="234"/>
      <c r="N21" s="234"/>
      <c r="P21" s="234"/>
      <c r="Q21" s="234"/>
      <c r="S21" s="234"/>
      <c r="T21" s="234"/>
      <c r="V21" s="234"/>
      <c r="W21" s="234"/>
      <c r="Y21" s="234"/>
      <c r="Z21" s="234"/>
      <c r="AB21" s="234"/>
      <c r="AC21" s="234"/>
      <c r="AE21" s="234"/>
      <c r="AF21" s="234"/>
      <c r="AG21" s="234"/>
      <c r="AI21" s="234"/>
      <c r="AJ21" s="234"/>
      <c r="AL21" s="234"/>
      <c r="AM21" s="234"/>
      <c r="AO21" s="234"/>
      <c r="AP21" s="234"/>
      <c r="AR21" s="234"/>
      <c r="AS21" s="234"/>
      <c r="AU21" s="234"/>
      <c r="AV21" s="234"/>
      <c r="AX21" s="234"/>
      <c r="AY21" s="234"/>
      <c r="BA21" s="234"/>
      <c r="BB21" s="234"/>
      <c r="BD21" s="234"/>
      <c r="BE21" s="234"/>
      <c r="BG21" s="234"/>
      <c r="BH21" s="234"/>
      <c r="BJ21" s="234"/>
      <c r="BK21" s="234"/>
      <c r="BM21" s="234"/>
      <c r="BN21" s="234"/>
      <c r="BP21" s="234"/>
      <c r="BQ21" s="234"/>
      <c r="BS21" s="234"/>
      <c r="BT21" s="234"/>
      <c r="BV21" s="234"/>
      <c r="BW21" s="234"/>
      <c r="BY21" s="234"/>
      <c r="BZ21" s="234"/>
      <c r="CB21" s="234"/>
      <c r="CC21" s="234"/>
      <c r="CE21" s="234"/>
      <c r="CF21" s="234"/>
      <c r="CH21" s="234"/>
      <c r="CI21" s="234"/>
      <c r="CK21" s="234"/>
      <c r="CL21" s="234"/>
      <c r="CN21" s="234"/>
      <c r="CO21" s="234"/>
      <c r="CQ21" s="234"/>
      <c r="CR21" s="234"/>
      <c r="CT21" s="234"/>
      <c r="CU21" s="234"/>
      <c r="CW21" s="234"/>
      <c r="CX21" s="234"/>
      <c r="CZ21" s="234"/>
      <c r="DA21" s="234"/>
      <c r="DC21" s="234"/>
      <c r="DD21" s="234"/>
      <c r="DF21" s="234"/>
      <c r="DG21" s="234"/>
      <c r="DI21" s="234"/>
      <c r="DJ21" s="234"/>
      <c r="DL21" s="234"/>
      <c r="DM21" s="234"/>
      <c r="DO21" s="234"/>
      <c r="DP21" s="234"/>
      <c r="DR21" s="234"/>
      <c r="DS21" s="234"/>
      <c r="DU21" s="234"/>
      <c r="DV21" s="234"/>
      <c r="DX21" s="234"/>
      <c r="DY21" s="234"/>
      <c r="EA21" s="234"/>
      <c r="EB21" s="223"/>
      <c r="ED21" s="234"/>
      <c r="EE21" s="234"/>
      <c r="EG21" s="234"/>
      <c r="EH21" s="234"/>
      <c r="EJ21" s="234"/>
      <c r="EK21" s="234"/>
      <c r="EM21" s="234"/>
      <c r="EN21" s="234"/>
      <c r="EP21" s="234"/>
      <c r="EQ21" s="234"/>
      <c r="ES21" s="234"/>
      <c r="ET21" s="234"/>
      <c r="EV21" s="234"/>
      <c r="EW21" s="234"/>
      <c r="EY21" s="234"/>
      <c r="EZ21" s="234"/>
      <c r="FB21" s="234"/>
      <c r="FC21" s="234"/>
      <c r="FE21" s="234"/>
      <c r="FF21" s="234"/>
      <c r="FH21" s="234"/>
      <c r="FI21" s="234"/>
      <c r="FK21" s="234"/>
      <c r="FL21" s="234"/>
      <c r="FN21" s="234"/>
      <c r="FO21" s="234"/>
      <c r="FQ21" s="234"/>
      <c r="FR21" s="234"/>
      <c r="FT21" s="234"/>
      <c r="FU21" s="234"/>
      <c r="FW21" s="234"/>
      <c r="FX21" s="234"/>
      <c r="FZ21" s="234"/>
      <c r="GA21" s="234"/>
      <c r="GC21" s="234"/>
      <c r="GD21" s="234"/>
      <c r="GF21" s="234"/>
      <c r="GG21" s="234"/>
      <c r="GI21" s="234"/>
      <c r="GJ21" s="234"/>
      <c r="GL21" s="234"/>
      <c r="GM21" s="234"/>
      <c r="GO21" s="234"/>
      <c r="GP21" s="234"/>
      <c r="GR21" s="234"/>
      <c r="GS21" s="234"/>
      <c r="GU21" s="234"/>
      <c r="GV21" s="234"/>
      <c r="GX21" s="234"/>
      <c r="GY21" s="234"/>
      <c r="HA21" s="234"/>
      <c r="HB21" s="234"/>
      <c r="HD21" s="234"/>
      <c r="HE21" s="234"/>
      <c r="HG21" s="234"/>
      <c r="HH21" s="234"/>
      <c r="HJ21" s="234"/>
      <c r="HK21" s="234"/>
      <c r="HM21" s="234"/>
      <c r="HN21" s="234"/>
      <c r="HP21" s="234"/>
      <c r="HQ21" s="234"/>
      <c r="HS21" s="234"/>
      <c r="HT21" s="234"/>
      <c r="HV21" s="234"/>
      <c r="HW21" s="234"/>
      <c r="HY21" s="234"/>
      <c r="HZ21" s="234"/>
      <c r="IB21" s="234"/>
      <c r="IC21" s="234"/>
      <c r="IE21" s="234"/>
      <c r="IF21" s="234"/>
    </row>
    <row r="22" spans="1:240" ht="12" x14ac:dyDescent="0.25">
      <c r="A22" s="234"/>
      <c r="B22" s="296" t="s">
        <v>319</v>
      </c>
      <c r="C22" s="148"/>
      <c r="D22" s="231"/>
      <c r="E22" s="234"/>
      <c r="G22" s="235"/>
      <c r="J22" s="234"/>
      <c r="K22" s="234"/>
      <c r="M22" s="234"/>
      <c r="N22" s="234"/>
      <c r="P22" s="234"/>
      <c r="Q22" s="234"/>
      <c r="S22" s="234"/>
      <c r="T22" s="234"/>
      <c r="V22" s="234"/>
      <c r="W22" s="234"/>
      <c r="Y22" s="234"/>
      <c r="Z22" s="234"/>
      <c r="AB22" s="234"/>
      <c r="AC22" s="234"/>
      <c r="AE22" s="234"/>
      <c r="AF22" s="234"/>
      <c r="AG22" s="234"/>
      <c r="AI22" s="234"/>
      <c r="AJ22" s="234"/>
      <c r="AL22" s="234"/>
      <c r="AM22" s="234"/>
      <c r="AO22" s="234"/>
      <c r="AP22" s="234"/>
      <c r="AR22" s="234"/>
      <c r="AS22" s="234"/>
      <c r="AU22" s="234"/>
      <c r="AV22" s="234"/>
      <c r="AX22" s="234"/>
      <c r="AY22" s="234"/>
      <c r="BA22" s="234"/>
      <c r="BB22" s="234"/>
      <c r="BD22" s="234"/>
      <c r="BE22" s="234"/>
      <c r="BG22" s="234"/>
      <c r="BH22" s="234"/>
      <c r="BJ22" s="234"/>
      <c r="BK22" s="234"/>
      <c r="BM22" s="234"/>
      <c r="BN22" s="234"/>
      <c r="BP22" s="234"/>
      <c r="BQ22" s="234"/>
      <c r="BS22" s="234"/>
      <c r="BT22" s="234"/>
      <c r="BV22" s="234"/>
      <c r="BW22" s="234"/>
      <c r="BY22" s="234"/>
      <c r="BZ22" s="234"/>
      <c r="CB22" s="234"/>
      <c r="CC22" s="234"/>
      <c r="CE22" s="234"/>
      <c r="CF22" s="234"/>
      <c r="CH22" s="234"/>
      <c r="CI22" s="234"/>
      <c r="CK22" s="234"/>
      <c r="CL22" s="234"/>
      <c r="CN22" s="234"/>
      <c r="CO22" s="234"/>
      <c r="CQ22" s="234"/>
      <c r="CR22" s="234"/>
      <c r="CT22" s="234"/>
      <c r="CU22" s="234"/>
      <c r="CW22" s="234"/>
      <c r="CX22" s="234"/>
      <c r="CZ22" s="234"/>
      <c r="DA22" s="234"/>
      <c r="DC22" s="234"/>
      <c r="DD22" s="234"/>
      <c r="DF22" s="234"/>
      <c r="DG22" s="234"/>
      <c r="DI22" s="234"/>
      <c r="DJ22" s="234"/>
      <c r="DL22" s="234"/>
      <c r="DM22" s="234"/>
      <c r="DO22" s="234"/>
      <c r="DP22" s="234"/>
      <c r="DR22" s="234"/>
      <c r="DS22" s="234"/>
      <c r="DU22" s="234"/>
      <c r="DV22" s="234"/>
      <c r="DX22" s="234"/>
      <c r="DY22" s="234"/>
      <c r="EA22" s="234"/>
      <c r="EB22" s="223"/>
      <c r="ED22" s="234"/>
      <c r="EE22" s="234"/>
      <c r="EG22" s="234"/>
      <c r="EH22" s="234"/>
      <c r="EJ22" s="234"/>
      <c r="EK22" s="234"/>
      <c r="EM22" s="234"/>
      <c r="EN22" s="234"/>
      <c r="EP22" s="234"/>
      <c r="EQ22" s="234"/>
      <c r="ES22" s="234"/>
      <c r="ET22" s="234"/>
      <c r="EV22" s="234"/>
      <c r="EW22" s="234"/>
      <c r="EY22" s="234"/>
      <c r="EZ22" s="234"/>
      <c r="FB22" s="234"/>
      <c r="FC22" s="234"/>
      <c r="FE22" s="234"/>
      <c r="FF22" s="234"/>
      <c r="FH22" s="234"/>
      <c r="FI22" s="234"/>
      <c r="FK22" s="234"/>
      <c r="FL22" s="234"/>
      <c r="FN22" s="234"/>
      <c r="FO22" s="234"/>
      <c r="FQ22" s="234"/>
      <c r="FR22" s="234"/>
      <c r="FT22" s="234"/>
      <c r="FU22" s="234"/>
      <c r="FW22" s="234"/>
      <c r="FX22" s="234"/>
      <c r="FZ22" s="234"/>
      <c r="GA22" s="234"/>
      <c r="GC22" s="234"/>
      <c r="GD22" s="234"/>
      <c r="GF22" s="234"/>
      <c r="GG22" s="234"/>
      <c r="GI22" s="234"/>
      <c r="GJ22" s="234"/>
      <c r="GL22" s="234"/>
      <c r="GM22" s="234"/>
      <c r="GO22" s="234"/>
      <c r="GP22" s="234"/>
      <c r="GR22" s="234"/>
      <c r="GS22" s="234"/>
      <c r="GU22" s="234"/>
      <c r="GV22" s="234"/>
      <c r="GX22" s="234"/>
      <c r="GY22" s="234"/>
      <c r="HA22" s="234"/>
      <c r="HB22" s="234"/>
      <c r="HD22" s="234"/>
      <c r="HE22" s="234"/>
      <c r="HG22" s="234"/>
      <c r="HH22" s="234"/>
      <c r="HJ22" s="234"/>
      <c r="HK22" s="234"/>
      <c r="HM22" s="234"/>
      <c r="HN22" s="234"/>
      <c r="HP22" s="234"/>
      <c r="HQ22" s="234"/>
      <c r="HS22" s="234"/>
      <c r="HT22" s="234"/>
      <c r="HV22" s="234"/>
      <c r="HW22" s="234"/>
      <c r="HY22" s="234"/>
      <c r="HZ22" s="234"/>
      <c r="IB22" s="234"/>
      <c r="IC22" s="234"/>
      <c r="IE22" s="234"/>
      <c r="IF22" s="234"/>
    </row>
    <row r="23" spans="1:240" ht="12" x14ac:dyDescent="0.25">
      <c r="B23" s="296" t="s">
        <v>425</v>
      </c>
      <c r="C23" s="148"/>
      <c r="D23" s="31"/>
      <c r="E23" s="234"/>
      <c r="G23" s="235"/>
      <c r="J23" s="234"/>
      <c r="K23" s="234"/>
      <c r="M23" s="234"/>
      <c r="N23" s="234"/>
      <c r="P23" s="234"/>
      <c r="Q23" s="234"/>
      <c r="S23" s="234"/>
      <c r="T23" s="234"/>
      <c r="V23" s="234"/>
      <c r="W23" s="234"/>
      <c r="Y23" s="234"/>
      <c r="Z23" s="234"/>
      <c r="AB23" s="234"/>
      <c r="AC23" s="234"/>
      <c r="AE23" s="234"/>
      <c r="AF23" s="234"/>
      <c r="AG23" s="234"/>
      <c r="AI23" s="234"/>
      <c r="AJ23" s="234"/>
      <c r="AL23" s="234"/>
      <c r="AM23" s="234"/>
      <c r="AO23" s="234"/>
      <c r="AP23" s="234"/>
      <c r="AR23" s="234"/>
      <c r="AS23" s="234"/>
      <c r="AU23" s="234"/>
      <c r="AV23" s="234"/>
      <c r="AX23" s="234"/>
      <c r="AY23" s="234"/>
      <c r="BA23" s="234"/>
      <c r="BB23" s="234"/>
      <c r="BD23" s="234"/>
      <c r="BE23" s="234"/>
      <c r="BG23" s="234"/>
      <c r="BH23" s="234"/>
      <c r="BJ23" s="234"/>
      <c r="BK23" s="234"/>
      <c r="BM23" s="234"/>
      <c r="BN23" s="234"/>
      <c r="BP23" s="234"/>
      <c r="BQ23" s="234"/>
      <c r="BS23" s="234"/>
      <c r="BT23" s="234"/>
      <c r="BV23" s="234"/>
      <c r="BW23" s="234"/>
      <c r="BY23" s="234"/>
      <c r="BZ23" s="234"/>
      <c r="CB23" s="234"/>
      <c r="CC23" s="234"/>
      <c r="CE23" s="234"/>
      <c r="CF23" s="234"/>
      <c r="CH23" s="234"/>
      <c r="CI23" s="234"/>
      <c r="CK23" s="234"/>
      <c r="CL23" s="234"/>
      <c r="CN23" s="234"/>
      <c r="CO23" s="234"/>
      <c r="CQ23" s="234"/>
      <c r="CR23" s="234"/>
      <c r="CT23" s="234"/>
      <c r="CU23" s="234"/>
      <c r="CW23" s="234"/>
      <c r="CX23" s="234"/>
      <c r="CZ23" s="234"/>
      <c r="DA23" s="234"/>
      <c r="DC23" s="234"/>
      <c r="DD23" s="234"/>
      <c r="DF23" s="234"/>
      <c r="DG23" s="234"/>
      <c r="DI23" s="234"/>
      <c r="DJ23" s="234"/>
      <c r="DL23" s="234"/>
      <c r="DM23" s="234"/>
      <c r="DO23" s="234"/>
      <c r="DP23" s="234"/>
      <c r="DR23" s="234"/>
      <c r="DS23" s="234"/>
      <c r="DU23" s="234"/>
      <c r="DV23" s="234"/>
      <c r="DX23" s="234"/>
      <c r="DY23" s="234"/>
      <c r="EA23" s="234"/>
      <c r="EB23" s="223"/>
      <c r="ED23" s="234"/>
      <c r="EE23" s="234"/>
      <c r="EG23" s="234"/>
      <c r="EH23" s="234"/>
      <c r="EJ23" s="234"/>
      <c r="EK23" s="234"/>
      <c r="EM23" s="234"/>
      <c r="EN23" s="234"/>
      <c r="EP23" s="234"/>
      <c r="EQ23" s="234"/>
      <c r="ES23" s="234"/>
      <c r="ET23" s="234"/>
      <c r="EV23" s="234"/>
      <c r="EW23" s="234"/>
      <c r="EY23" s="234"/>
      <c r="EZ23" s="234"/>
      <c r="FB23" s="234"/>
      <c r="FC23" s="234"/>
      <c r="FE23" s="234"/>
      <c r="FF23" s="234"/>
      <c r="FH23" s="234"/>
      <c r="FI23" s="234"/>
      <c r="FK23" s="234"/>
      <c r="FL23" s="234"/>
      <c r="FN23" s="234"/>
      <c r="FO23" s="234"/>
      <c r="FQ23" s="234"/>
      <c r="FR23" s="234"/>
      <c r="FT23" s="234"/>
      <c r="FU23" s="234"/>
      <c r="FW23" s="234"/>
      <c r="FX23" s="234"/>
      <c r="FZ23" s="234"/>
      <c r="GA23" s="234"/>
      <c r="GC23" s="234"/>
      <c r="GD23" s="234"/>
      <c r="GF23" s="234"/>
      <c r="GG23" s="234"/>
      <c r="GI23" s="234"/>
      <c r="GJ23" s="234"/>
      <c r="GL23" s="234"/>
      <c r="GM23" s="234"/>
      <c r="GO23" s="234"/>
      <c r="GP23" s="234"/>
      <c r="GR23" s="234"/>
      <c r="GS23" s="234"/>
      <c r="GU23" s="234"/>
      <c r="GV23" s="234"/>
      <c r="GX23" s="234"/>
      <c r="GY23" s="234"/>
      <c r="HA23" s="234"/>
      <c r="HB23" s="234"/>
      <c r="HD23" s="234"/>
      <c r="HE23" s="234"/>
      <c r="HG23" s="234"/>
      <c r="HH23" s="234"/>
      <c r="HJ23" s="234"/>
      <c r="HK23" s="234"/>
      <c r="HM23" s="234"/>
      <c r="HN23" s="234"/>
      <c r="HP23" s="234"/>
      <c r="HQ23" s="234"/>
      <c r="HS23" s="234"/>
      <c r="HT23" s="234"/>
      <c r="HV23" s="234"/>
      <c r="HW23" s="234"/>
      <c r="HY23" s="234"/>
      <c r="HZ23" s="234"/>
      <c r="IB23" s="234"/>
      <c r="IC23" s="234"/>
      <c r="IE23" s="234"/>
      <c r="IF23" s="234"/>
    </row>
    <row r="24" spans="1:240" ht="12" x14ac:dyDescent="0.25">
      <c r="A24" s="234"/>
      <c r="B24" s="296" t="s">
        <v>320</v>
      </c>
      <c r="C24" s="148"/>
      <c r="D24" s="300"/>
      <c r="E24" s="234"/>
      <c r="G24" s="235"/>
      <c r="J24" s="234"/>
      <c r="K24" s="234"/>
      <c r="M24" s="234"/>
      <c r="N24" s="234"/>
      <c r="P24" s="234"/>
      <c r="Q24" s="234"/>
      <c r="S24" s="234"/>
      <c r="T24" s="234"/>
      <c r="V24" s="234"/>
      <c r="W24" s="234"/>
      <c r="Y24" s="234"/>
      <c r="Z24" s="234"/>
      <c r="AB24" s="234"/>
      <c r="AC24" s="234"/>
      <c r="AE24" s="234"/>
      <c r="AF24" s="234"/>
      <c r="AG24" s="234"/>
      <c r="AI24" s="234"/>
      <c r="AJ24" s="234"/>
      <c r="AL24" s="234"/>
      <c r="AM24" s="234"/>
      <c r="AO24" s="234"/>
      <c r="AP24" s="234"/>
      <c r="AR24" s="234"/>
      <c r="AS24" s="234"/>
      <c r="AU24" s="234"/>
      <c r="AV24" s="234"/>
      <c r="AX24" s="234"/>
      <c r="AY24" s="234"/>
      <c r="BA24" s="234"/>
      <c r="BB24" s="234"/>
      <c r="BD24" s="234"/>
      <c r="BE24" s="234"/>
      <c r="BG24" s="234"/>
      <c r="BH24" s="234"/>
      <c r="BJ24" s="234"/>
      <c r="BK24" s="234"/>
      <c r="BM24" s="234"/>
      <c r="BN24" s="234"/>
      <c r="BP24" s="234"/>
      <c r="BQ24" s="234"/>
      <c r="BS24" s="234"/>
      <c r="BT24" s="234"/>
      <c r="BV24" s="234"/>
      <c r="BW24" s="234"/>
      <c r="BY24" s="234"/>
      <c r="BZ24" s="234"/>
      <c r="CB24" s="234"/>
      <c r="CC24" s="234"/>
      <c r="CE24" s="234"/>
      <c r="CF24" s="234"/>
      <c r="CH24" s="234"/>
      <c r="CI24" s="234"/>
      <c r="CK24" s="234"/>
      <c r="CL24" s="234"/>
      <c r="CN24" s="234"/>
      <c r="CO24" s="234"/>
      <c r="CQ24" s="234"/>
      <c r="CR24" s="234"/>
      <c r="CT24" s="234"/>
      <c r="CU24" s="234"/>
      <c r="CW24" s="234"/>
      <c r="CX24" s="234"/>
      <c r="CZ24" s="234"/>
      <c r="DA24" s="234"/>
      <c r="DC24" s="234"/>
      <c r="DD24" s="234"/>
      <c r="DF24" s="234"/>
      <c r="DG24" s="234"/>
      <c r="DI24" s="234"/>
      <c r="DJ24" s="234"/>
      <c r="DL24" s="234"/>
      <c r="DM24" s="234"/>
      <c r="DO24" s="234"/>
      <c r="DP24" s="234"/>
      <c r="DR24" s="234"/>
      <c r="DS24" s="234"/>
      <c r="DU24" s="234"/>
      <c r="DV24" s="234"/>
      <c r="DX24" s="234"/>
      <c r="DY24" s="234"/>
      <c r="EA24" s="234"/>
      <c r="EB24" s="223"/>
      <c r="ED24" s="234"/>
      <c r="EE24" s="234"/>
      <c r="EG24" s="234"/>
      <c r="EH24" s="234"/>
      <c r="EJ24" s="234"/>
      <c r="EK24" s="234"/>
      <c r="EM24" s="234"/>
      <c r="EN24" s="234"/>
      <c r="EP24" s="234"/>
      <c r="EQ24" s="234"/>
      <c r="ES24" s="234"/>
      <c r="ET24" s="234"/>
      <c r="EV24" s="234"/>
      <c r="EW24" s="234"/>
      <c r="EY24" s="234"/>
      <c r="EZ24" s="234"/>
      <c r="FB24" s="234"/>
      <c r="FC24" s="234"/>
      <c r="FE24" s="234"/>
      <c r="FF24" s="234"/>
      <c r="FH24" s="234"/>
      <c r="FI24" s="234"/>
      <c r="FK24" s="234"/>
      <c r="FL24" s="234"/>
      <c r="FN24" s="234"/>
      <c r="FO24" s="234"/>
      <c r="FQ24" s="234"/>
      <c r="FR24" s="234"/>
      <c r="FT24" s="234"/>
      <c r="FU24" s="234"/>
      <c r="FW24" s="234"/>
      <c r="FX24" s="234"/>
      <c r="FZ24" s="234"/>
      <c r="GA24" s="234"/>
      <c r="GC24" s="234"/>
      <c r="GD24" s="234"/>
      <c r="GF24" s="234"/>
      <c r="GG24" s="234"/>
      <c r="GI24" s="234"/>
      <c r="GJ24" s="234"/>
      <c r="GL24" s="234"/>
      <c r="GM24" s="234"/>
      <c r="GO24" s="234"/>
      <c r="GP24" s="234"/>
      <c r="GR24" s="234"/>
      <c r="GS24" s="234"/>
      <c r="GU24" s="234"/>
      <c r="GV24" s="234"/>
      <c r="GX24" s="234"/>
      <c r="GY24" s="234"/>
      <c r="HA24" s="234"/>
      <c r="HB24" s="234"/>
      <c r="HD24" s="234"/>
      <c r="HE24" s="234"/>
      <c r="HG24" s="234"/>
      <c r="HH24" s="234"/>
      <c r="HJ24" s="234"/>
      <c r="HK24" s="234"/>
      <c r="HM24" s="234"/>
      <c r="HN24" s="234"/>
      <c r="HP24" s="234"/>
      <c r="HQ24" s="234"/>
      <c r="HS24" s="234"/>
      <c r="HT24" s="234"/>
      <c r="HV24" s="234"/>
      <c r="HW24" s="234"/>
      <c r="HY24" s="234"/>
      <c r="HZ24" s="234"/>
      <c r="IB24" s="234"/>
      <c r="IC24" s="234"/>
      <c r="IE24" s="234"/>
      <c r="IF24" s="234"/>
    </row>
    <row r="25" spans="1:240" ht="12" x14ac:dyDescent="0.25">
      <c r="A25" s="234"/>
      <c r="B25" s="296" t="s">
        <v>321</v>
      </c>
      <c r="C25" s="148"/>
      <c r="D25" s="231"/>
      <c r="E25" s="234"/>
      <c r="G25" s="235"/>
      <c r="J25" s="234"/>
      <c r="K25" s="234"/>
      <c r="M25" s="234"/>
      <c r="N25" s="234"/>
      <c r="P25" s="234"/>
      <c r="Q25" s="234"/>
      <c r="S25" s="234"/>
      <c r="T25" s="234"/>
      <c r="V25" s="234"/>
      <c r="W25" s="234"/>
      <c r="Y25" s="234"/>
      <c r="Z25" s="234"/>
      <c r="AB25" s="234"/>
      <c r="AC25" s="234"/>
      <c r="AE25" s="234"/>
      <c r="AF25" s="234"/>
      <c r="AG25" s="234"/>
      <c r="AI25" s="234"/>
      <c r="AJ25" s="234"/>
      <c r="AL25" s="234"/>
      <c r="AM25" s="234"/>
      <c r="AO25" s="234"/>
      <c r="AP25" s="234"/>
      <c r="AR25" s="234"/>
      <c r="AS25" s="234"/>
      <c r="AU25" s="234"/>
      <c r="AV25" s="234"/>
      <c r="AX25" s="234"/>
      <c r="AY25" s="234"/>
      <c r="BA25" s="234"/>
      <c r="BB25" s="234"/>
      <c r="BD25" s="234"/>
      <c r="BE25" s="234"/>
      <c r="BG25" s="234"/>
      <c r="BH25" s="234"/>
      <c r="BJ25" s="234"/>
      <c r="BK25" s="234"/>
      <c r="BM25" s="234"/>
      <c r="BN25" s="234"/>
      <c r="BP25" s="234"/>
      <c r="BQ25" s="234"/>
      <c r="BS25" s="234"/>
      <c r="BT25" s="234"/>
      <c r="BV25" s="234"/>
      <c r="BW25" s="234"/>
      <c r="BY25" s="234"/>
      <c r="BZ25" s="234"/>
      <c r="CB25" s="234"/>
      <c r="CC25" s="234"/>
      <c r="CE25" s="234"/>
      <c r="CF25" s="234"/>
      <c r="CH25" s="234"/>
      <c r="CI25" s="234"/>
      <c r="CK25" s="234"/>
      <c r="CL25" s="234"/>
      <c r="CN25" s="234"/>
      <c r="CO25" s="234"/>
      <c r="CQ25" s="234"/>
      <c r="CR25" s="234"/>
      <c r="CT25" s="234"/>
      <c r="CU25" s="234"/>
      <c r="CW25" s="234"/>
      <c r="CX25" s="234"/>
      <c r="CZ25" s="234"/>
      <c r="DA25" s="234"/>
      <c r="DC25" s="234"/>
      <c r="DD25" s="234"/>
      <c r="DF25" s="234"/>
      <c r="DG25" s="234"/>
      <c r="DI25" s="234"/>
      <c r="DJ25" s="234"/>
      <c r="DL25" s="234"/>
      <c r="DM25" s="234"/>
      <c r="DO25" s="234"/>
      <c r="DP25" s="234"/>
      <c r="DR25" s="234"/>
      <c r="DS25" s="234"/>
      <c r="DU25" s="234"/>
      <c r="DV25" s="234"/>
      <c r="DX25" s="234"/>
      <c r="DY25" s="234"/>
      <c r="EA25" s="234"/>
      <c r="EB25" s="223"/>
      <c r="ED25" s="234"/>
      <c r="EE25" s="234"/>
      <c r="EG25" s="234"/>
      <c r="EH25" s="234"/>
      <c r="EJ25" s="234"/>
      <c r="EK25" s="234"/>
      <c r="EM25" s="234"/>
      <c r="EN25" s="234"/>
      <c r="EP25" s="234"/>
      <c r="EQ25" s="234"/>
      <c r="ES25" s="234"/>
      <c r="ET25" s="234"/>
      <c r="EV25" s="234"/>
      <c r="EW25" s="234"/>
      <c r="EY25" s="234"/>
      <c r="EZ25" s="234"/>
      <c r="FB25" s="234"/>
      <c r="FC25" s="234"/>
      <c r="FE25" s="234"/>
      <c r="FF25" s="234"/>
      <c r="FH25" s="234"/>
      <c r="FI25" s="234"/>
      <c r="FK25" s="234"/>
      <c r="FL25" s="234"/>
      <c r="FN25" s="234"/>
      <c r="FO25" s="234"/>
      <c r="FQ25" s="234"/>
      <c r="FR25" s="234"/>
      <c r="FT25" s="234"/>
      <c r="FU25" s="234"/>
      <c r="FW25" s="234"/>
      <c r="FX25" s="234"/>
      <c r="FZ25" s="234"/>
      <c r="GA25" s="234"/>
      <c r="GC25" s="234"/>
      <c r="GD25" s="234"/>
      <c r="GF25" s="234"/>
      <c r="GG25" s="234"/>
      <c r="GI25" s="234"/>
      <c r="GJ25" s="234"/>
      <c r="GL25" s="234"/>
      <c r="GM25" s="234"/>
      <c r="GO25" s="234"/>
      <c r="GP25" s="234"/>
      <c r="GR25" s="234"/>
      <c r="GS25" s="234"/>
      <c r="GU25" s="234"/>
      <c r="GV25" s="234"/>
      <c r="GX25" s="234"/>
      <c r="GY25" s="234"/>
      <c r="HA25" s="234"/>
      <c r="HB25" s="234"/>
      <c r="HD25" s="234"/>
      <c r="HE25" s="234"/>
      <c r="HG25" s="234"/>
      <c r="HH25" s="234"/>
      <c r="HJ25" s="234"/>
      <c r="HK25" s="234"/>
      <c r="HM25" s="234"/>
      <c r="HN25" s="234"/>
      <c r="HP25" s="234"/>
      <c r="HQ25" s="234"/>
      <c r="HS25" s="234"/>
      <c r="HT25" s="234"/>
      <c r="HV25" s="234"/>
      <c r="HW25" s="234"/>
      <c r="HY25" s="234"/>
      <c r="HZ25" s="234"/>
      <c r="IB25" s="234"/>
      <c r="IC25" s="234"/>
      <c r="IE25" s="234"/>
      <c r="IF25" s="234"/>
    </row>
    <row r="26" spans="1:240" ht="12" x14ac:dyDescent="0.25">
      <c r="A26" s="234"/>
      <c r="B26" s="296" t="s">
        <v>322</v>
      </c>
      <c r="C26" s="148"/>
      <c r="D26" s="231"/>
      <c r="E26" s="234"/>
      <c r="G26" s="235"/>
      <c r="J26" s="234"/>
      <c r="K26" s="234"/>
      <c r="M26" s="234"/>
      <c r="N26" s="234"/>
      <c r="P26" s="234"/>
      <c r="Q26" s="234"/>
      <c r="S26" s="234"/>
      <c r="T26" s="234"/>
      <c r="V26" s="234"/>
      <c r="W26" s="234"/>
      <c r="Y26" s="234"/>
      <c r="Z26" s="234"/>
      <c r="AB26" s="234"/>
      <c r="AC26" s="234"/>
      <c r="AE26" s="234"/>
      <c r="AF26" s="234"/>
      <c r="AG26" s="234"/>
      <c r="AI26" s="234"/>
      <c r="AJ26" s="234"/>
      <c r="AL26" s="234"/>
      <c r="AM26" s="234"/>
      <c r="AO26" s="234"/>
      <c r="AP26" s="234"/>
      <c r="AR26" s="234"/>
      <c r="AS26" s="234"/>
      <c r="AU26" s="234"/>
      <c r="AV26" s="234"/>
      <c r="AX26" s="234"/>
      <c r="AY26" s="234"/>
      <c r="BA26" s="234"/>
      <c r="BB26" s="234"/>
      <c r="BD26" s="234"/>
      <c r="BE26" s="234"/>
      <c r="BG26" s="234"/>
      <c r="BH26" s="234"/>
      <c r="BJ26" s="234"/>
      <c r="BK26" s="234"/>
      <c r="BM26" s="234"/>
      <c r="BN26" s="234"/>
      <c r="BP26" s="234"/>
      <c r="BQ26" s="234"/>
      <c r="BS26" s="234"/>
      <c r="BT26" s="234"/>
      <c r="BV26" s="234"/>
      <c r="BW26" s="234"/>
      <c r="BY26" s="234"/>
      <c r="BZ26" s="234"/>
      <c r="CB26" s="234"/>
      <c r="CC26" s="234"/>
      <c r="CE26" s="234"/>
      <c r="CF26" s="234"/>
      <c r="CH26" s="234"/>
      <c r="CI26" s="234"/>
      <c r="CK26" s="234"/>
      <c r="CL26" s="234"/>
      <c r="CN26" s="234"/>
      <c r="CO26" s="234"/>
      <c r="CQ26" s="234"/>
      <c r="CR26" s="234"/>
      <c r="CT26" s="234"/>
      <c r="CU26" s="234"/>
      <c r="CW26" s="234"/>
      <c r="CX26" s="234"/>
      <c r="CZ26" s="234"/>
      <c r="DA26" s="234"/>
      <c r="DC26" s="234"/>
      <c r="DD26" s="234"/>
      <c r="DF26" s="234"/>
      <c r="DG26" s="234"/>
      <c r="DI26" s="234"/>
      <c r="DJ26" s="234"/>
      <c r="DL26" s="234"/>
      <c r="DM26" s="234"/>
      <c r="DO26" s="234"/>
      <c r="DP26" s="234"/>
      <c r="DR26" s="234"/>
      <c r="DS26" s="234"/>
      <c r="DU26" s="234"/>
      <c r="DV26" s="234"/>
      <c r="DX26" s="234"/>
      <c r="DY26" s="234"/>
      <c r="EA26" s="234"/>
      <c r="EB26" s="223"/>
      <c r="ED26" s="234"/>
      <c r="EE26" s="234"/>
      <c r="EG26" s="234"/>
      <c r="EH26" s="234"/>
      <c r="EJ26" s="234"/>
      <c r="EK26" s="234"/>
      <c r="EM26" s="234"/>
      <c r="EN26" s="234"/>
      <c r="EP26" s="234"/>
      <c r="EQ26" s="234"/>
      <c r="ES26" s="234"/>
      <c r="ET26" s="234"/>
      <c r="EV26" s="234"/>
      <c r="EW26" s="234"/>
      <c r="EY26" s="234"/>
      <c r="EZ26" s="234"/>
      <c r="FB26" s="234"/>
      <c r="FC26" s="234"/>
      <c r="FE26" s="234"/>
      <c r="FF26" s="234"/>
      <c r="FH26" s="234"/>
      <c r="FI26" s="234"/>
      <c r="FK26" s="234"/>
      <c r="FL26" s="234"/>
      <c r="FN26" s="234"/>
      <c r="FO26" s="234"/>
      <c r="FQ26" s="234"/>
      <c r="FR26" s="234"/>
      <c r="FT26" s="234"/>
      <c r="FU26" s="234"/>
      <c r="FW26" s="234"/>
      <c r="FX26" s="234"/>
      <c r="FZ26" s="234"/>
      <c r="GA26" s="234"/>
      <c r="GC26" s="234"/>
      <c r="GD26" s="234"/>
      <c r="GF26" s="234"/>
      <c r="GG26" s="234"/>
      <c r="GI26" s="234"/>
      <c r="GJ26" s="234"/>
      <c r="GL26" s="234"/>
      <c r="GM26" s="234"/>
      <c r="GO26" s="234"/>
      <c r="GP26" s="234"/>
      <c r="GR26" s="234"/>
      <c r="GS26" s="234"/>
      <c r="GU26" s="234"/>
      <c r="GV26" s="234"/>
      <c r="GX26" s="234"/>
      <c r="GY26" s="234"/>
      <c r="HA26" s="234"/>
      <c r="HB26" s="234"/>
      <c r="HD26" s="234"/>
      <c r="HE26" s="234"/>
      <c r="HG26" s="234"/>
      <c r="HH26" s="234"/>
      <c r="HJ26" s="234"/>
      <c r="HK26" s="234"/>
      <c r="HM26" s="234"/>
      <c r="HN26" s="234"/>
      <c r="HP26" s="234"/>
      <c r="HQ26" s="234"/>
      <c r="HS26" s="234"/>
      <c r="HT26" s="234"/>
      <c r="HV26" s="234"/>
      <c r="HW26" s="234"/>
      <c r="HY26" s="234"/>
      <c r="HZ26" s="234"/>
      <c r="IB26" s="234"/>
      <c r="IC26" s="234"/>
      <c r="IE26" s="234"/>
      <c r="IF26" s="234"/>
    </row>
    <row r="27" spans="1:240" ht="12" x14ac:dyDescent="0.25">
      <c r="A27" s="234"/>
      <c r="B27" s="296" t="s">
        <v>435</v>
      </c>
      <c r="C27" s="148"/>
      <c r="D27" s="300"/>
      <c r="E27" s="234"/>
      <c r="G27" s="235"/>
      <c r="J27" s="234"/>
      <c r="K27" s="234"/>
      <c r="M27" s="234"/>
      <c r="N27" s="234"/>
      <c r="P27" s="234"/>
      <c r="Q27" s="234"/>
      <c r="S27" s="234"/>
      <c r="T27" s="234"/>
      <c r="V27" s="234"/>
      <c r="W27" s="234"/>
      <c r="Y27" s="234"/>
      <c r="Z27" s="234"/>
      <c r="AB27" s="234"/>
      <c r="AC27" s="234"/>
      <c r="AE27" s="234"/>
      <c r="AF27" s="234"/>
      <c r="AG27" s="234"/>
      <c r="AI27" s="234"/>
      <c r="AJ27" s="234"/>
      <c r="AL27" s="234"/>
      <c r="AM27" s="234"/>
      <c r="AO27" s="234"/>
      <c r="AP27" s="234"/>
      <c r="AR27" s="234"/>
      <c r="AS27" s="234"/>
      <c r="AU27" s="234"/>
      <c r="AV27" s="234"/>
      <c r="AX27" s="234"/>
      <c r="AY27" s="234"/>
      <c r="BA27" s="234"/>
      <c r="BB27" s="234"/>
      <c r="BD27" s="234"/>
      <c r="BE27" s="234"/>
      <c r="BG27" s="234"/>
      <c r="BH27" s="234"/>
      <c r="BJ27" s="234"/>
      <c r="BK27" s="234"/>
      <c r="BM27" s="234"/>
      <c r="BN27" s="234"/>
      <c r="BP27" s="234"/>
      <c r="BQ27" s="234"/>
      <c r="BS27" s="234"/>
      <c r="BT27" s="234"/>
      <c r="BV27" s="234"/>
      <c r="BW27" s="234"/>
      <c r="BY27" s="234"/>
      <c r="BZ27" s="234"/>
      <c r="CB27" s="234"/>
      <c r="CC27" s="234"/>
      <c r="CE27" s="234"/>
      <c r="CF27" s="234"/>
      <c r="CH27" s="234"/>
      <c r="CI27" s="234"/>
      <c r="CK27" s="234"/>
      <c r="CL27" s="234"/>
      <c r="CN27" s="234"/>
      <c r="CO27" s="234"/>
      <c r="CQ27" s="234"/>
      <c r="CR27" s="234"/>
      <c r="CT27" s="234"/>
      <c r="CU27" s="234"/>
      <c r="CW27" s="234"/>
      <c r="CX27" s="234"/>
      <c r="CZ27" s="234"/>
      <c r="DA27" s="234"/>
      <c r="DC27" s="234"/>
      <c r="DD27" s="234"/>
      <c r="DF27" s="234"/>
      <c r="DG27" s="234"/>
      <c r="DI27" s="234"/>
      <c r="DJ27" s="234"/>
      <c r="DL27" s="234"/>
      <c r="DM27" s="234"/>
      <c r="DO27" s="234"/>
      <c r="DP27" s="234"/>
      <c r="DR27" s="234"/>
      <c r="DS27" s="234"/>
      <c r="DU27" s="234"/>
      <c r="DV27" s="234"/>
      <c r="DX27" s="234"/>
      <c r="DY27" s="234"/>
      <c r="EA27" s="234"/>
      <c r="EB27" s="223"/>
      <c r="ED27" s="234"/>
      <c r="EE27" s="234"/>
      <c r="EG27" s="234"/>
      <c r="EH27" s="234"/>
      <c r="EJ27" s="234"/>
      <c r="EK27" s="234"/>
      <c r="EM27" s="234"/>
      <c r="EN27" s="234"/>
      <c r="EP27" s="234"/>
      <c r="EQ27" s="234"/>
      <c r="ES27" s="234"/>
      <c r="ET27" s="234"/>
      <c r="EV27" s="234"/>
      <c r="EW27" s="234"/>
      <c r="EY27" s="234"/>
      <c r="EZ27" s="234"/>
      <c r="FB27" s="234"/>
      <c r="FC27" s="234"/>
      <c r="FE27" s="234"/>
      <c r="FF27" s="234"/>
      <c r="FH27" s="234"/>
      <c r="FI27" s="234"/>
      <c r="FK27" s="234"/>
      <c r="FL27" s="234"/>
      <c r="FN27" s="234"/>
      <c r="FO27" s="234"/>
      <c r="FQ27" s="234"/>
      <c r="FR27" s="234"/>
      <c r="FT27" s="234"/>
      <c r="FU27" s="234"/>
      <c r="FW27" s="234"/>
      <c r="FX27" s="234"/>
      <c r="FZ27" s="234"/>
      <c r="GA27" s="234"/>
      <c r="GC27" s="234"/>
      <c r="GD27" s="234"/>
      <c r="GF27" s="234"/>
      <c r="GG27" s="234"/>
      <c r="GI27" s="234"/>
      <c r="GJ27" s="234"/>
      <c r="GL27" s="234"/>
      <c r="GM27" s="234"/>
      <c r="GO27" s="234"/>
      <c r="GP27" s="234"/>
      <c r="GR27" s="234"/>
      <c r="GS27" s="234"/>
      <c r="GU27" s="234"/>
      <c r="GV27" s="234"/>
      <c r="GX27" s="234"/>
      <c r="GY27" s="234"/>
      <c r="HA27" s="234"/>
      <c r="HB27" s="234"/>
      <c r="HD27" s="234"/>
      <c r="HE27" s="234"/>
      <c r="HG27" s="234"/>
      <c r="HH27" s="234"/>
      <c r="HJ27" s="234"/>
      <c r="HK27" s="234"/>
      <c r="HM27" s="234"/>
      <c r="HN27" s="234"/>
      <c r="HP27" s="234"/>
      <c r="HQ27" s="234"/>
      <c r="HS27" s="234"/>
      <c r="HT27" s="234"/>
      <c r="HV27" s="234"/>
      <c r="HW27" s="234"/>
      <c r="HY27" s="234"/>
      <c r="HZ27" s="234"/>
      <c r="IB27" s="234"/>
      <c r="IC27" s="234"/>
      <c r="IE27" s="234"/>
      <c r="IF27" s="234"/>
    </row>
    <row r="28" spans="1:240" ht="12" x14ac:dyDescent="0.25">
      <c r="A28" s="234"/>
      <c r="B28" s="296" t="s">
        <v>323</v>
      </c>
      <c r="C28" s="148"/>
      <c r="D28" s="231"/>
      <c r="E28" s="234"/>
      <c r="G28" s="235"/>
      <c r="J28" s="234"/>
      <c r="K28" s="234"/>
      <c r="M28" s="234"/>
      <c r="N28" s="234"/>
      <c r="P28" s="234"/>
      <c r="Q28" s="234"/>
      <c r="S28" s="234"/>
      <c r="T28" s="234"/>
      <c r="V28" s="234"/>
      <c r="W28" s="234"/>
      <c r="Y28" s="234"/>
      <c r="Z28" s="234"/>
      <c r="AB28" s="234"/>
      <c r="AC28" s="234"/>
      <c r="AE28" s="234"/>
      <c r="AF28" s="234"/>
      <c r="AG28" s="234"/>
      <c r="AI28" s="234"/>
      <c r="AJ28" s="234"/>
      <c r="AL28" s="234"/>
      <c r="AM28" s="234"/>
      <c r="AO28" s="234"/>
      <c r="AP28" s="234"/>
      <c r="AR28" s="234"/>
      <c r="AS28" s="234"/>
      <c r="AU28" s="234"/>
      <c r="AV28" s="234"/>
      <c r="AX28" s="234"/>
      <c r="AY28" s="234"/>
      <c r="BA28" s="234"/>
      <c r="BB28" s="234"/>
      <c r="BD28" s="234"/>
      <c r="BE28" s="234"/>
      <c r="BG28" s="234"/>
      <c r="BH28" s="234"/>
      <c r="BJ28" s="234"/>
      <c r="BK28" s="234"/>
      <c r="BM28" s="234"/>
      <c r="BN28" s="234"/>
      <c r="BP28" s="234"/>
      <c r="BQ28" s="234"/>
      <c r="BS28" s="234"/>
      <c r="BT28" s="234"/>
      <c r="BV28" s="234"/>
      <c r="BW28" s="234"/>
      <c r="BY28" s="234"/>
      <c r="BZ28" s="234"/>
      <c r="CB28" s="234"/>
      <c r="CC28" s="234"/>
      <c r="CE28" s="234"/>
      <c r="CF28" s="234"/>
      <c r="CH28" s="234"/>
      <c r="CI28" s="234"/>
      <c r="CK28" s="234"/>
      <c r="CL28" s="234"/>
      <c r="CN28" s="234"/>
      <c r="CO28" s="234"/>
      <c r="CQ28" s="234"/>
      <c r="CR28" s="234"/>
      <c r="CT28" s="234"/>
      <c r="CU28" s="234"/>
      <c r="CW28" s="234"/>
      <c r="CX28" s="234"/>
      <c r="CZ28" s="234"/>
      <c r="DA28" s="234"/>
      <c r="DC28" s="234"/>
      <c r="DD28" s="234"/>
      <c r="DF28" s="234"/>
      <c r="DG28" s="234"/>
      <c r="DI28" s="234"/>
      <c r="DJ28" s="234"/>
      <c r="DL28" s="234"/>
      <c r="DM28" s="234"/>
      <c r="DO28" s="234"/>
      <c r="DP28" s="234"/>
      <c r="DR28" s="234"/>
      <c r="DS28" s="234"/>
      <c r="DU28" s="234"/>
      <c r="DV28" s="234"/>
      <c r="DX28" s="234"/>
      <c r="DY28" s="234"/>
      <c r="EA28" s="234"/>
      <c r="EB28" s="223"/>
      <c r="ED28" s="234"/>
      <c r="EE28" s="234"/>
      <c r="EG28" s="234"/>
      <c r="EH28" s="234"/>
      <c r="EJ28" s="234"/>
      <c r="EK28" s="234"/>
      <c r="EM28" s="234"/>
      <c r="EN28" s="234"/>
      <c r="EP28" s="234"/>
      <c r="EQ28" s="234"/>
      <c r="ES28" s="234"/>
      <c r="ET28" s="234"/>
      <c r="EV28" s="234"/>
      <c r="EW28" s="234"/>
      <c r="EY28" s="234"/>
      <c r="EZ28" s="234"/>
      <c r="FB28" s="234"/>
      <c r="FC28" s="234"/>
      <c r="FE28" s="234"/>
      <c r="FF28" s="234"/>
      <c r="FH28" s="234"/>
      <c r="FI28" s="234"/>
      <c r="FK28" s="234"/>
      <c r="FL28" s="234"/>
      <c r="FN28" s="234"/>
      <c r="FO28" s="234"/>
      <c r="FQ28" s="234"/>
      <c r="FR28" s="234"/>
      <c r="FT28" s="234"/>
      <c r="FU28" s="234"/>
      <c r="FW28" s="234"/>
      <c r="FX28" s="234"/>
      <c r="FZ28" s="234"/>
      <c r="GA28" s="234"/>
      <c r="GC28" s="234"/>
      <c r="GD28" s="234"/>
      <c r="GF28" s="234"/>
      <c r="GG28" s="234"/>
      <c r="GI28" s="234"/>
      <c r="GJ28" s="234"/>
      <c r="GL28" s="234"/>
      <c r="GM28" s="234"/>
      <c r="GO28" s="234"/>
      <c r="GP28" s="234"/>
      <c r="GR28" s="234"/>
      <c r="GS28" s="234"/>
      <c r="GU28" s="234"/>
      <c r="GV28" s="234"/>
      <c r="GX28" s="234"/>
      <c r="GY28" s="234"/>
      <c r="HA28" s="234"/>
      <c r="HB28" s="234"/>
      <c r="HD28" s="234"/>
      <c r="HE28" s="234"/>
      <c r="HG28" s="234"/>
      <c r="HH28" s="234"/>
      <c r="HJ28" s="234"/>
      <c r="HK28" s="234"/>
      <c r="HM28" s="234"/>
      <c r="HN28" s="234"/>
      <c r="HP28" s="234"/>
      <c r="HQ28" s="234"/>
      <c r="HS28" s="234"/>
      <c r="HT28" s="234"/>
      <c r="HV28" s="234"/>
      <c r="HW28" s="234"/>
      <c r="HY28" s="234"/>
      <c r="HZ28" s="234"/>
      <c r="IB28" s="234"/>
      <c r="IC28" s="234"/>
      <c r="IE28" s="234"/>
      <c r="IF28" s="234"/>
    </row>
    <row r="29" spans="1:240" ht="12" x14ac:dyDescent="0.25">
      <c r="A29" s="234"/>
      <c r="B29" s="296" t="s">
        <v>376</v>
      </c>
      <c r="C29" s="148"/>
      <c r="D29" s="300"/>
      <c r="E29" s="234"/>
      <c r="G29" s="235"/>
      <c r="J29" s="234"/>
      <c r="K29" s="234"/>
      <c r="M29" s="234"/>
      <c r="N29" s="234"/>
      <c r="P29" s="234"/>
      <c r="Q29" s="234"/>
      <c r="S29" s="234"/>
      <c r="T29" s="234"/>
      <c r="V29" s="234"/>
      <c r="W29" s="234"/>
      <c r="Y29" s="234"/>
      <c r="Z29" s="234"/>
      <c r="AB29" s="234"/>
      <c r="AC29" s="234"/>
      <c r="AE29" s="234"/>
      <c r="AF29" s="234"/>
      <c r="AG29" s="234"/>
      <c r="AI29" s="234"/>
      <c r="AJ29" s="234"/>
      <c r="AL29" s="234"/>
      <c r="AM29" s="234"/>
      <c r="AO29" s="234"/>
      <c r="AP29" s="234"/>
      <c r="AR29" s="234"/>
      <c r="AS29" s="234"/>
      <c r="AU29" s="234"/>
      <c r="AV29" s="234"/>
      <c r="AX29" s="234"/>
      <c r="AY29" s="234"/>
      <c r="BA29" s="234"/>
      <c r="BB29" s="234"/>
      <c r="BD29" s="234"/>
      <c r="BE29" s="234"/>
      <c r="BG29" s="234"/>
      <c r="BH29" s="234"/>
      <c r="BJ29" s="234"/>
      <c r="BK29" s="234"/>
      <c r="BM29" s="234"/>
      <c r="BN29" s="234"/>
      <c r="BP29" s="234"/>
      <c r="BQ29" s="234"/>
      <c r="BS29" s="234"/>
      <c r="BT29" s="234"/>
      <c r="BV29" s="234"/>
      <c r="BW29" s="234"/>
      <c r="BY29" s="234"/>
      <c r="BZ29" s="234"/>
      <c r="CB29" s="234"/>
      <c r="CC29" s="234"/>
      <c r="CE29" s="234"/>
      <c r="CF29" s="234"/>
      <c r="CH29" s="234"/>
      <c r="CI29" s="234"/>
      <c r="CK29" s="234"/>
      <c r="CL29" s="234"/>
      <c r="CN29" s="234"/>
      <c r="CO29" s="234"/>
      <c r="CQ29" s="234"/>
      <c r="CR29" s="234"/>
      <c r="CT29" s="234"/>
      <c r="CU29" s="234"/>
      <c r="CW29" s="234"/>
      <c r="CX29" s="234"/>
      <c r="CZ29" s="234"/>
      <c r="DA29" s="234"/>
      <c r="DC29" s="234"/>
      <c r="DD29" s="234"/>
      <c r="DF29" s="234"/>
      <c r="DG29" s="234"/>
      <c r="DI29" s="234"/>
      <c r="DJ29" s="234"/>
      <c r="DL29" s="234"/>
      <c r="DM29" s="234"/>
      <c r="DO29" s="234"/>
      <c r="DP29" s="234"/>
      <c r="DR29" s="234"/>
      <c r="DS29" s="234"/>
      <c r="DU29" s="234"/>
      <c r="DV29" s="234"/>
      <c r="DX29" s="234"/>
      <c r="DY29" s="234"/>
      <c r="EA29" s="234"/>
      <c r="EB29" s="223"/>
      <c r="ED29" s="234"/>
      <c r="EE29" s="234"/>
      <c r="EG29" s="234"/>
      <c r="EH29" s="234"/>
      <c r="EJ29" s="234"/>
      <c r="EK29" s="234"/>
      <c r="EM29" s="234"/>
      <c r="EN29" s="234"/>
      <c r="EP29" s="234"/>
      <c r="EQ29" s="234"/>
      <c r="ES29" s="234"/>
      <c r="ET29" s="234"/>
      <c r="EV29" s="234"/>
      <c r="EW29" s="234"/>
      <c r="EY29" s="234"/>
      <c r="EZ29" s="234"/>
      <c r="FB29" s="234"/>
      <c r="FC29" s="234"/>
      <c r="FE29" s="234"/>
      <c r="FF29" s="234"/>
      <c r="FH29" s="234"/>
      <c r="FI29" s="234"/>
      <c r="FK29" s="234"/>
      <c r="FL29" s="234"/>
      <c r="FN29" s="234"/>
      <c r="FO29" s="234"/>
      <c r="FQ29" s="234"/>
      <c r="FR29" s="234"/>
      <c r="FT29" s="234"/>
      <c r="FU29" s="234"/>
      <c r="FW29" s="234"/>
      <c r="FX29" s="234"/>
      <c r="FZ29" s="234"/>
      <c r="GA29" s="234"/>
      <c r="GC29" s="234"/>
      <c r="GD29" s="234"/>
      <c r="GF29" s="234"/>
      <c r="GG29" s="234"/>
      <c r="GI29" s="234"/>
      <c r="GJ29" s="234"/>
      <c r="GL29" s="234"/>
      <c r="GM29" s="234"/>
      <c r="GO29" s="234"/>
      <c r="GP29" s="234"/>
      <c r="GR29" s="234"/>
      <c r="GS29" s="234"/>
      <c r="GU29" s="234"/>
      <c r="GV29" s="234"/>
      <c r="GX29" s="234"/>
      <c r="GY29" s="234"/>
      <c r="HA29" s="234"/>
      <c r="HB29" s="234"/>
      <c r="HD29" s="234"/>
      <c r="HE29" s="234"/>
      <c r="HG29" s="234"/>
      <c r="HH29" s="234"/>
      <c r="HJ29" s="234"/>
      <c r="HK29" s="234"/>
      <c r="HM29" s="234"/>
      <c r="HN29" s="234"/>
      <c r="HP29" s="234"/>
      <c r="HQ29" s="234"/>
      <c r="HS29" s="234"/>
      <c r="HT29" s="234"/>
      <c r="HV29" s="234"/>
      <c r="HW29" s="234"/>
      <c r="HY29" s="234"/>
      <c r="HZ29" s="234"/>
      <c r="IB29" s="234"/>
      <c r="IC29" s="234"/>
      <c r="IE29" s="234"/>
      <c r="IF29" s="234"/>
    </row>
    <row r="30" spans="1:240" ht="12" x14ac:dyDescent="0.25">
      <c r="A30" s="234"/>
      <c r="B30" s="296" t="s">
        <v>324</v>
      </c>
      <c r="C30" s="148"/>
      <c r="D30" s="231"/>
      <c r="E30" s="234"/>
      <c r="G30" s="235"/>
      <c r="J30" s="234"/>
      <c r="K30" s="234"/>
      <c r="M30" s="234"/>
      <c r="N30" s="234"/>
      <c r="P30" s="234"/>
      <c r="Q30" s="234"/>
      <c r="S30" s="234"/>
      <c r="T30" s="234"/>
      <c r="V30" s="234"/>
      <c r="W30" s="234"/>
      <c r="Y30" s="234"/>
      <c r="Z30" s="234"/>
      <c r="AB30" s="234"/>
      <c r="AC30" s="234"/>
      <c r="AE30" s="234"/>
      <c r="AF30" s="234"/>
      <c r="AG30" s="234"/>
      <c r="AI30" s="234"/>
      <c r="AJ30" s="234"/>
      <c r="AL30" s="234"/>
      <c r="AM30" s="234"/>
      <c r="AO30" s="234"/>
      <c r="AP30" s="234"/>
      <c r="AR30" s="234"/>
      <c r="AS30" s="234"/>
      <c r="AU30" s="234"/>
      <c r="AV30" s="234"/>
      <c r="AX30" s="234"/>
      <c r="AY30" s="234"/>
      <c r="BA30" s="234"/>
      <c r="BB30" s="234"/>
      <c r="BD30" s="234"/>
      <c r="BE30" s="234"/>
      <c r="BG30" s="234"/>
      <c r="BH30" s="234"/>
      <c r="BJ30" s="234"/>
      <c r="BK30" s="234"/>
      <c r="BM30" s="234"/>
      <c r="BN30" s="234"/>
      <c r="BP30" s="234"/>
      <c r="BQ30" s="234"/>
      <c r="BS30" s="234"/>
      <c r="BT30" s="234"/>
      <c r="BV30" s="234"/>
      <c r="BW30" s="234"/>
      <c r="BY30" s="234"/>
      <c r="BZ30" s="234"/>
      <c r="CB30" s="234"/>
      <c r="CC30" s="234"/>
      <c r="CE30" s="234"/>
      <c r="CF30" s="234"/>
      <c r="CH30" s="234"/>
      <c r="CI30" s="234"/>
      <c r="CK30" s="234"/>
      <c r="CL30" s="234"/>
      <c r="CN30" s="234"/>
      <c r="CO30" s="234"/>
      <c r="CQ30" s="234"/>
      <c r="CR30" s="234"/>
      <c r="CT30" s="234"/>
      <c r="CU30" s="234"/>
      <c r="CW30" s="234"/>
      <c r="CX30" s="234"/>
      <c r="CZ30" s="234"/>
      <c r="DA30" s="234"/>
      <c r="DC30" s="234"/>
      <c r="DD30" s="234"/>
      <c r="DF30" s="234"/>
      <c r="DG30" s="234"/>
      <c r="DI30" s="234"/>
      <c r="DJ30" s="234"/>
      <c r="DL30" s="234"/>
      <c r="DM30" s="234"/>
      <c r="DO30" s="234"/>
      <c r="DP30" s="234"/>
      <c r="DR30" s="234"/>
      <c r="DS30" s="234"/>
      <c r="DU30" s="234"/>
      <c r="DV30" s="234"/>
      <c r="DX30" s="234"/>
      <c r="DY30" s="234"/>
      <c r="EA30" s="234"/>
      <c r="EB30" s="223"/>
      <c r="ED30" s="234"/>
      <c r="EE30" s="234"/>
      <c r="EG30" s="234"/>
      <c r="EH30" s="234"/>
      <c r="EJ30" s="234"/>
      <c r="EK30" s="234"/>
      <c r="EM30" s="234"/>
      <c r="EN30" s="234"/>
      <c r="EP30" s="234"/>
      <c r="EQ30" s="234"/>
      <c r="ES30" s="234"/>
      <c r="ET30" s="234"/>
      <c r="EV30" s="234"/>
      <c r="EW30" s="234"/>
      <c r="EY30" s="234"/>
      <c r="EZ30" s="234"/>
      <c r="FB30" s="234"/>
      <c r="FC30" s="234"/>
      <c r="FE30" s="234"/>
      <c r="FF30" s="234"/>
      <c r="FH30" s="234"/>
      <c r="FI30" s="234"/>
      <c r="FK30" s="234"/>
      <c r="FL30" s="234"/>
      <c r="FN30" s="234"/>
      <c r="FO30" s="234"/>
      <c r="FQ30" s="234"/>
      <c r="FR30" s="234"/>
      <c r="FT30" s="234"/>
      <c r="FU30" s="234"/>
      <c r="FW30" s="234"/>
      <c r="FX30" s="234"/>
      <c r="FZ30" s="234"/>
      <c r="GA30" s="234"/>
      <c r="GC30" s="234"/>
      <c r="GD30" s="234"/>
      <c r="GF30" s="234"/>
      <c r="GG30" s="234"/>
      <c r="GI30" s="234"/>
      <c r="GJ30" s="234"/>
      <c r="GL30" s="234"/>
      <c r="GM30" s="234"/>
      <c r="GO30" s="234"/>
      <c r="GP30" s="234"/>
      <c r="GR30" s="234"/>
      <c r="GS30" s="234"/>
      <c r="GU30" s="234"/>
      <c r="GV30" s="234"/>
      <c r="GX30" s="234"/>
      <c r="GY30" s="234"/>
      <c r="HA30" s="234"/>
      <c r="HB30" s="234"/>
      <c r="HD30" s="234"/>
      <c r="HE30" s="234"/>
      <c r="HG30" s="234"/>
      <c r="HH30" s="234"/>
      <c r="HJ30" s="234"/>
      <c r="HK30" s="234"/>
      <c r="HM30" s="234"/>
      <c r="HN30" s="234"/>
      <c r="HP30" s="234"/>
      <c r="HQ30" s="234"/>
      <c r="HS30" s="234"/>
      <c r="HT30" s="234"/>
      <c r="HV30" s="234"/>
      <c r="HW30" s="234"/>
      <c r="HY30" s="234"/>
      <c r="HZ30" s="234"/>
      <c r="IB30" s="234"/>
      <c r="IC30" s="234"/>
      <c r="IE30" s="234"/>
      <c r="IF30" s="234"/>
    </row>
    <row r="31" spans="1:240" ht="12" x14ac:dyDescent="0.25">
      <c r="A31" s="234"/>
      <c r="B31" s="296" t="s">
        <v>325</v>
      </c>
      <c r="C31" s="148"/>
      <c r="D31" s="231"/>
      <c r="E31" s="234"/>
      <c r="G31" s="235"/>
      <c r="J31" s="234"/>
      <c r="K31" s="234"/>
      <c r="M31" s="234"/>
      <c r="N31" s="234"/>
      <c r="P31" s="234"/>
      <c r="Q31" s="234"/>
      <c r="S31" s="234"/>
      <c r="T31" s="234"/>
      <c r="V31" s="234"/>
      <c r="W31" s="234"/>
      <c r="Y31" s="234"/>
      <c r="Z31" s="234"/>
      <c r="AB31" s="234"/>
      <c r="AC31" s="234"/>
      <c r="AE31" s="234"/>
      <c r="AF31" s="234"/>
      <c r="AG31" s="234"/>
      <c r="AI31" s="234"/>
      <c r="AJ31" s="234"/>
      <c r="AL31" s="234"/>
      <c r="AM31" s="234"/>
      <c r="AO31" s="234"/>
      <c r="AP31" s="234"/>
      <c r="AR31" s="234"/>
      <c r="AS31" s="234"/>
      <c r="AU31" s="234"/>
      <c r="AV31" s="234"/>
      <c r="AX31" s="234"/>
      <c r="AY31" s="234"/>
      <c r="BA31" s="234"/>
      <c r="BB31" s="234"/>
      <c r="BD31" s="234"/>
      <c r="BE31" s="234"/>
      <c r="BG31" s="234"/>
      <c r="BH31" s="234"/>
      <c r="BJ31" s="234"/>
      <c r="BK31" s="234"/>
      <c r="BM31" s="234"/>
      <c r="BN31" s="234"/>
      <c r="BP31" s="234"/>
      <c r="BQ31" s="234"/>
      <c r="BS31" s="234"/>
      <c r="BT31" s="234"/>
      <c r="BV31" s="234"/>
      <c r="BW31" s="234"/>
      <c r="BY31" s="234"/>
      <c r="BZ31" s="234"/>
      <c r="CB31" s="234"/>
      <c r="CC31" s="234"/>
      <c r="CE31" s="234"/>
      <c r="CF31" s="234"/>
      <c r="CH31" s="234"/>
      <c r="CI31" s="234"/>
      <c r="CK31" s="234"/>
      <c r="CL31" s="234"/>
      <c r="CN31" s="234"/>
      <c r="CO31" s="234"/>
      <c r="CQ31" s="234"/>
      <c r="CR31" s="234"/>
      <c r="CT31" s="234"/>
      <c r="CU31" s="234"/>
      <c r="CW31" s="234"/>
      <c r="CX31" s="234"/>
      <c r="CZ31" s="234"/>
      <c r="DA31" s="234"/>
      <c r="DC31" s="234"/>
      <c r="DD31" s="234"/>
      <c r="DF31" s="234"/>
      <c r="DG31" s="234"/>
      <c r="DI31" s="234"/>
      <c r="DJ31" s="234"/>
      <c r="DL31" s="234"/>
      <c r="DM31" s="234"/>
      <c r="DO31" s="234"/>
      <c r="DP31" s="234"/>
      <c r="DR31" s="234"/>
      <c r="DS31" s="234"/>
      <c r="DU31" s="234"/>
      <c r="DV31" s="234"/>
      <c r="DX31" s="234"/>
      <c r="DY31" s="234"/>
      <c r="EA31" s="234"/>
      <c r="EB31" s="223"/>
      <c r="ED31" s="234"/>
      <c r="EE31" s="234"/>
      <c r="EG31" s="234"/>
      <c r="EH31" s="234"/>
      <c r="EJ31" s="234"/>
      <c r="EK31" s="234"/>
      <c r="EM31" s="234"/>
      <c r="EN31" s="234"/>
      <c r="EP31" s="234"/>
      <c r="EQ31" s="234"/>
      <c r="ES31" s="234"/>
      <c r="ET31" s="234"/>
      <c r="EV31" s="234"/>
      <c r="EW31" s="234"/>
      <c r="EY31" s="234"/>
      <c r="EZ31" s="234"/>
      <c r="FB31" s="234"/>
      <c r="FC31" s="234"/>
      <c r="FE31" s="234"/>
      <c r="FF31" s="234"/>
      <c r="FH31" s="234"/>
      <c r="FI31" s="234"/>
      <c r="FK31" s="234"/>
      <c r="FL31" s="234"/>
      <c r="FN31" s="234"/>
      <c r="FO31" s="234"/>
      <c r="FQ31" s="234"/>
      <c r="FR31" s="234"/>
      <c r="FT31" s="234"/>
      <c r="FU31" s="234"/>
      <c r="FW31" s="234"/>
      <c r="FX31" s="234"/>
      <c r="FZ31" s="234"/>
      <c r="GA31" s="234"/>
      <c r="GC31" s="234"/>
      <c r="GD31" s="234"/>
      <c r="GF31" s="234"/>
      <c r="GG31" s="234"/>
      <c r="GI31" s="234"/>
      <c r="GJ31" s="234"/>
      <c r="GL31" s="234"/>
      <c r="GM31" s="234"/>
      <c r="GO31" s="234"/>
      <c r="GP31" s="234"/>
      <c r="GR31" s="234"/>
      <c r="GS31" s="234"/>
      <c r="GU31" s="234"/>
      <c r="GV31" s="234"/>
      <c r="GX31" s="234"/>
      <c r="GY31" s="234"/>
      <c r="HA31" s="234"/>
      <c r="HB31" s="234"/>
      <c r="HD31" s="234"/>
      <c r="HE31" s="234"/>
      <c r="HG31" s="234"/>
      <c r="HH31" s="234"/>
      <c r="HJ31" s="234"/>
      <c r="HK31" s="234"/>
      <c r="HM31" s="234"/>
      <c r="HN31" s="234"/>
      <c r="HP31" s="234"/>
      <c r="HQ31" s="234"/>
      <c r="HS31" s="234"/>
      <c r="HT31" s="234"/>
      <c r="HV31" s="234"/>
      <c r="HW31" s="234"/>
      <c r="HY31" s="234"/>
      <c r="HZ31" s="234"/>
      <c r="IB31" s="234"/>
      <c r="IC31" s="234"/>
      <c r="IE31" s="234"/>
      <c r="IF31" s="234"/>
    </row>
    <row r="32" spans="1:240" ht="12" x14ac:dyDescent="0.25">
      <c r="A32" s="234"/>
      <c r="B32" s="296" t="s">
        <v>326</v>
      </c>
      <c r="C32" s="148"/>
      <c r="D32" s="231"/>
      <c r="E32" s="234"/>
      <c r="G32" s="235"/>
      <c r="J32" s="234"/>
      <c r="K32" s="234"/>
      <c r="M32" s="234"/>
      <c r="N32" s="234"/>
      <c r="P32" s="234"/>
      <c r="Q32" s="234"/>
      <c r="S32" s="234"/>
      <c r="T32" s="234"/>
      <c r="V32" s="234"/>
      <c r="W32" s="234"/>
      <c r="Y32" s="234"/>
      <c r="Z32" s="234"/>
      <c r="AB32" s="234"/>
      <c r="AC32" s="234"/>
      <c r="AE32" s="234"/>
      <c r="AF32" s="234"/>
      <c r="AG32" s="234"/>
      <c r="AI32" s="234"/>
      <c r="AJ32" s="234"/>
      <c r="AL32" s="234"/>
      <c r="AM32" s="234"/>
      <c r="AO32" s="234"/>
      <c r="AP32" s="234"/>
      <c r="AR32" s="234"/>
      <c r="AS32" s="234"/>
      <c r="AU32" s="234"/>
      <c r="AV32" s="234"/>
      <c r="AX32" s="234"/>
      <c r="AY32" s="234"/>
      <c r="BA32" s="234"/>
      <c r="BB32" s="234"/>
      <c r="BD32" s="234"/>
      <c r="BE32" s="234"/>
      <c r="BG32" s="234"/>
      <c r="BH32" s="234"/>
      <c r="BJ32" s="234"/>
      <c r="BK32" s="234"/>
      <c r="BM32" s="234"/>
      <c r="BN32" s="234"/>
      <c r="BP32" s="234"/>
      <c r="BQ32" s="234"/>
      <c r="BS32" s="234"/>
      <c r="BT32" s="234"/>
      <c r="BV32" s="234"/>
      <c r="BW32" s="234"/>
      <c r="BY32" s="234"/>
      <c r="BZ32" s="234"/>
      <c r="CB32" s="234"/>
      <c r="CC32" s="234"/>
      <c r="CE32" s="234"/>
      <c r="CF32" s="234"/>
      <c r="CH32" s="234"/>
      <c r="CI32" s="234"/>
      <c r="CK32" s="234"/>
      <c r="CL32" s="234"/>
      <c r="CN32" s="234"/>
      <c r="CO32" s="234"/>
      <c r="CQ32" s="234"/>
      <c r="CR32" s="234"/>
      <c r="CT32" s="234"/>
      <c r="CU32" s="234"/>
      <c r="CW32" s="234"/>
      <c r="CX32" s="234"/>
      <c r="CZ32" s="234"/>
      <c r="DA32" s="234"/>
      <c r="DC32" s="234"/>
      <c r="DD32" s="234"/>
      <c r="DF32" s="234"/>
      <c r="DG32" s="234"/>
      <c r="DI32" s="234"/>
      <c r="DJ32" s="234"/>
      <c r="DL32" s="234"/>
      <c r="DM32" s="234"/>
      <c r="DO32" s="234"/>
      <c r="DP32" s="234"/>
      <c r="DR32" s="234"/>
      <c r="DS32" s="234"/>
      <c r="DU32" s="234"/>
      <c r="DV32" s="234"/>
      <c r="DX32" s="234"/>
      <c r="DY32" s="234"/>
      <c r="EA32" s="234"/>
      <c r="EB32" s="223"/>
      <c r="ED32" s="234"/>
      <c r="EE32" s="234"/>
      <c r="EG32" s="234"/>
      <c r="EH32" s="234"/>
      <c r="EJ32" s="234"/>
      <c r="EK32" s="234"/>
      <c r="EM32" s="234"/>
      <c r="EN32" s="234"/>
      <c r="EP32" s="234"/>
      <c r="EQ32" s="234"/>
      <c r="ES32" s="234"/>
      <c r="ET32" s="234"/>
      <c r="EV32" s="234"/>
      <c r="EW32" s="234"/>
      <c r="EY32" s="234"/>
      <c r="EZ32" s="234"/>
      <c r="FB32" s="234"/>
      <c r="FC32" s="234"/>
      <c r="FE32" s="234"/>
      <c r="FF32" s="234"/>
      <c r="FH32" s="234"/>
      <c r="FI32" s="234"/>
      <c r="FK32" s="234"/>
      <c r="FL32" s="234"/>
      <c r="FN32" s="234"/>
      <c r="FO32" s="234"/>
      <c r="FQ32" s="234"/>
      <c r="FR32" s="234"/>
      <c r="FT32" s="234"/>
      <c r="FU32" s="234"/>
      <c r="FW32" s="234"/>
      <c r="FX32" s="234"/>
      <c r="FZ32" s="234"/>
      <c r="GA32" s="234"/>
      <c r="GC32" s="234"/>
      <c r="GD32" s="234"/>
      <c r="GF32" s="234"/>
      <c r="GG32" s="234"/>
      <c r="GI32" s="234"/>
      <c r="GJ32" s="234"/>
      <c r="GL32" s="234"/>
      <c r="GM32" s="234"/>
      <c r="GO32" s="234"/>
      <c r="GP32" s="234"/>
      <c r="GR32" s="234"/>
      <c r="GS32" s="234"/>
      <c r="GU32" s="234"/>
      <c r="GV32" s="234"/>
      <c r="GX32" s="234"/>
      <c r="GY32" s="234"/>
      <c r="HA32" s="234"/>
      <c r="HB32" s="234"/>
      <c r="HD32" s="234"/>
      <c r="HE32" s="234"/>
      <c r="HG32" s="234"/>
      <c r="HH32" s="234"/>
      <c r="HJ32" s="234"/>
      <c r="HK32" s="234"/>
      <c r="HM32" s="234"/>
      <c r="HN32" s="234"/>
      <c r="HP32" s="234"/>
      <c r="HQ32" s="234"/>
      <c r="HS32" s="234"/>
      <c r="HT32" s="234"/>
      <c r="HV32" s="234"/>
      <c r="HW32" s="234"/>
      <c r="HY32" s="234"/>
      <c r="HZ32" s="234"/>
      <c r="IB32" s="234"/>
      <c r="IC32" s="234"/>
      <c r="IE32" s="234"/>
      <c r="IF32" s="234"/>
    </row>
    <row r="33" spans="1:240" ht="12" x14ac:dyDescent="0.25">
      <c r="A33" s="234"/>
      <c r="B33" s="296" t="s">
        <v>327</v>
      </c>
      <c r="C33" s="148"/>
      <c r="D33" s="300"/>
      <c r="E33" s="234"/>
      <c r="G33" s="235"/>
      <c r="J33" s="234"/>
      <c r="K33" s="234"/>
      <c r="M33" s="234"/>
      <c r="N33" s="234"/>
      <c r="P33" s="234"/>
      <c r="Q33" s="234"/>
      <c r="S33" s="234"/>
      <c r="T33" s="234"/>
      <c r="V33" s="234"/>
      <c r="W33" s="234"/>
      <c r="Y33" s="234"/>
      <c r="Z33" s="234"/>
      <c r="AB33" s="234"/>
      <c r="AC33" s="234"/>
      <c r="AE33" s="234"/>
      <c r="AF33" s="234"/>
      <c r="AG33" s="234"/>
      <c r="AI33" s="234"/>
      <c r="AJ33" s="234"/>
      <c r="AL33" s="234"/>
      <c r="AM33" s="234"/>
      <c r="AO33" s="234"/>
      <c r="AP33" s="234"/>
      <c r="AR33" s="234"/>
      <c r="AS33" s="234"/>
      <c r="AU33" s="234"/>
      <c r="AV33" s="234"/>
      <c r="AX33" s="234"/>
      <c r="AY33" s="234"/>
      <c r="BA33" s="234"/>
      <c r="BB33" s="234"/>
      <c r="BD33" s="234"/>
      <c r="BE33" s="234"/>
      <c r="BG33" s="234"/>
      <c r="BH33" s="234"/>
      <c r="BJ33" s="234"/>
      <c r="BK33" s="234"/>
      <c r="BM33" s="234"/>
      <c r="BN33" s="234"/>
      <c r="BP33" s="234"/>
      <c r="BQ33" s="234"/>
      <c r="BS33" s="234"/>
      <c r="BT33" s="234"/>
      <c r="BV33" s="234"/>
      <c r="BW33" s="234"/>
      <c r="BY33" s="234"/>
      <c r="BZ33" s="234"/>
      <c r="CB33" s="234"/>
      <c r="CC33" s="234"/>
      <c r="CE33" s="234"/>
      <c r="CF33" s="234"/>
      <c r="CH33" s="234"/>
      <c r="CI33" s="234"/>
      <c r="CK33" s="234"/>
      <c r="CL33" s="234"/>
      <c r="CN33" s="234"/>
      <c r="CO33" s="234"/>
      <c r="CQ33" s="234"/>
      <c r="CR33" s="234"/>
      <c r="CT33" s="234"/>
      <c r="CU33" s="234"/>
      <c r="CW33" s="234"/>
      <c r="CX33" s="234"/>
      <c r="CZ33" s="234"/>
      <c r="DA33" s="234"/>
      <c r="DC33" s="234"/>
      <c r="DD33" s="234"/>
      <c r="DF33" s="234"/>
      <c r="DG33" s="234"/>
      <c r="DI33" s="234"/>
      <c r="DJ33" s="234"/>
      <c r="DL33" s="234"/>
      <c r="DM33" s="234"/>
      <c r="DO33" s="234"/>
      <c r="DP33" s="234"/>
      <c r="DR33" s="234"/>
      <c r="DS33" s="234"/>
      <c r="DU33" s="234"/>
      <c r="DV33" s="234"/>
      <c r="DX33" s="234"/>
      <c r="DY33" s="234"/>
      <c r="EA33" s="234"/>
      <c r="EB33" s="223"/>
      <c r="ED33" s="234"/>
      <c r="EE33" s="234"/>
      <c r="EG33" s="234"/>
      <c r="EH33" s="234"/>
      <c r="EJ33" s="234"/>
      <c r="EK33" s="234"/>
      <c r="EM33" s="234"/>
      <c r="EN33" s="234"/>
      <c r="EP33" s="234"/>
      <c r="EQ33" s="234"/>
      <c r="ES33" s="234"/>
      <c r="ET33" s="234"/>
      <c r="EV33" s="234"/>
      <c r="EW33" s="234"/>
      <c r="EY33" s="234"/>
      <c r="EZ33" s="234"/>
      <c r="FB33" s="234"/>
      <c r="FC33" s="234"/>
      <c r="FE33" s="234"/>
      <c r="FF33" s="234"/>
      <c r="FH33" s="234"/>
      <c r="FI33" s="234"/>
      <c r="FK33" s="234"/>
      <c r="FL33" s="234"/>
      <c r="FN33" s="234"/>
      <c r="FO33" s="234"/>
      <c r="FQ33" s="234"/>
      <c r="FR33" s="234"/>
      <c r="FT33" s="234"/>
      <c r="FU33" s="234"/>
      <c r="FW33" s="234"/>
      <c r="FX33" s="234"/>
      <c r="FZ33" s="234"/>
      <c r="GA33" s="234"/>
      <c r="GC33" s="234"/>
      <c r="GD33" s="234"/>
      <c r="GF33" s="234"/>
      <c r="GG33" s="234"/>
      <c r="GI33" s="234"/>
      <c r="GJ33" s="234"/>
      <c r="GL33" s="234"/>
      <c r="GM33" s="234"/>
      <c r="GO33" s="234"/>
      <c r="GP33" s="234"/>
      <c r="GR33" s="234"/>
      <c r="GS33" s="234"/>
      <c r="GU33" s="234"/>
      <c r="GV33" s="234"/>
      <c r="GX33" s="234"/>
      <c r="GY33" s="234"/>
      <c r="HA33" s="234"/>
      <c r="HB33" s="234"/>
      <c r="HD33" s="234"/>
      <c r="HE33" s="234"/>
      <c r="HG33" s="234"/>
      <c r="HH33" s="234"/>
      <c r="HJ33" s="234"/>
      <c r="HK33" s="234"/>
      <c r="HM33" s="234"/>
      <c r="HN33" s="234"/>
      <c r="HP33" s="234"/>
      <c r="HQ33" s="234"/>
      <c r="HS33" s="234"/>
      <c r="HT33" s="234"/>
      <c r="HV33" s="234"/>
      <c r="HW33" s="234"/>
      <c r="HY33" s="234"/>
      <c r="HZ33" s="234"/>
      <c r="IB33" s="234"/>
      <c r="IC33" s="234"/>
      <c r="IE33" s="234"/>
      <c r="IF33" s="234"/>
    </row>
    <row r="34" spans="1:240" ht="12" x14ac:dyDescent="0.25">
      <c r="A34" s="234"/>
      <c r="B34" s="296" t="s">
        <v>375</v>
      </c>
      <c r="C34" s="148"/>
      <c r="D34" s="231"/>
      <c r="E34" s="234"/>
      <c r="G34" s="235"/>
      <c r="J34" s="234"/>
      <c r="K34" s="234"/>
      <c r="M34" s="234"/>
      <c r="N34" s="234"/>
      <c r="P34" s="234"/>
      <c r="Q34" s="234"/>
      <c r="S34" s="234"/>
      <c r="T34" s="234"/>
      <c r="V34" s="234"/>
      <c r="W34" s="234"/>
      <c r="Y34" s="234"/>
      <c r="Z34" s="234"/>
      <c r="AB34" s="234"/>
      <c r="AC34" s="234"/>
      <c r="AE34" s="234"/>
      <c r="AF34" s="234"/>
      <c r="AG34" s="234"/>
      <c r="AI34" s="234"/>
      <c r="AJ34" s="234"/>
      <c r="AL34" s="234"/>
      <c r="AM34" s="234"/>
      <c r="AO34" s="234"/>
      <c r="AP34" s="234"/>
      <c r="AR34" s="234"/>
      <c r="AS34" s="234"/>
      <c r="AU34" s="234"/>
      <c r="AV34" s="234"/>
      <c r="AX34" s="234"/>
      <c r="AY34" s="234"/>
      <c r="BA34" s="234"/>
      <c r="BB34" s="234"/>
      <c r="BD34" s="234"/>
      <c r="BE34" s="234"/>
      <c r="BG34" s="234"/>
      <c r="BH34" s="234"/>
      <c r="BJ34" s="234"/>
      <c r="BK34" s="234"/>
      <c r="BM34" s="234"/>
      <c r="BN34" s="234"/>
      <c r="BP34" s="234"/>
      <c r="BQ34" s="234"/>
      <c r="BS34" s="234"/>
      <c r="BT34" s="234"/>
      <c r="BV34" s="234"/>
      <c r="BW34" s="234"/>
      <c r="BY34" s="234"/>
      <c r="BZ34" s="234"/>
      <c r="CB34" s="234"/>
      <c r="CC34" s="234"/>
      <c r="CE34" s="234"/>
      <c r="CF34" s="234"/>
      <c r="CH34" s="234"/>
      <c r="CI34" s="234"/>
      <c r="CK34" s="234"/>
      <c r="CL34" s="234"/>
      <c r="CN34" s="234"/>
      <c r="CO34" s="234"/>
      <c r="CQ34" s="234"/>
      <c r="CR34" s="234"/>
      <c r="CT34" s="234"/>
      <c r="CU34" s="234"/>
      <c r="CW34" s="234"/>
      <c r="CX34" s="234"/>
      <c r="CZ34" s="234"/>
      <c r="DA34" s="234"/>
      <c r="DC34" s="234"/>
      <c r="DD34" s="234"/>
      <c r="DF34" s="234"/>
      <c r="DG34" s="234"/>
      <c r="DI34" s="234"/>
      <c r="DJ34" s="234"/>
      <c r="DL34" s="234"/>
      <c r="DM34" s="234"/>
      <c r="DO34" s="234"/>
      <c r="DP34" s="234"/>
      <c r="DR34" s="234"/>
      <c r="DS34" s="234"/>
      <c r="DU34" s="234"/>
      <c r="DV34" s="234"/>
      <c r="DX34" s="234"/>
      <c r="DY34" s="234"/>
      <c r="EA34" s="234"/>
      <c r="EB34" s="223"/>
      <c r="ED34" s="234"/>
      <c r="EE34" s="234"/>
      <c r="EG34" s="234"/>
      <c r="EH34" s="234"/>
      <c r="EJ34" s="234"/>
      <c r="EK34" s="234"/>
      <c r="EM34" s="234"/>
      <c r="EN34" s="234"/>
      <c r="EP34" s="234"/>
      <c r="EQ34" s="234"/>
      <c r="ES34" s="234"/>
      <c r="ET34" s="234"/>
      <c r="EV34" s="234"/>
      <c r="EW34" s="234"/>
      <c r="EY34" s="234"/>
      <c r="EZ34" s="234"/>
      <c r="FB34" s="234"/>
      <c r="FC34" s="234"/>
      <c r="FE34" s="234"/>
      <c r="FF34" s="234"/>
      <c r="FH34" s="234"/>
      <c r="FI34" s="234"/>
      <c r="FK34" s="234"/>
      <c r="FL34" s="234"/>
      <c r="FN34" s="234"/>
      <c r="FO34" s="234"/>
      <c r="FQ34" s="234"/>
      <c r="FR34" s="234"/>
      <c r="FT34" s="234"/>
      <c r="FU34" s="234"/>
      <c r="FW34" s="234"/>
      <c r="FX34" s="234"/>
      <c r="FZ34" s="234"/>
      <c r="GA34" s="234"/>
      <c r="GC34" s="234"/>
      <c r="GD34" s="234"/>
      <c r="GF34" s="234"/>
      <c r="GG34" s="234"/>
      <c r="GI34" s="234"/>
      <c r="GJ34" s="234"/>
      <c r="GL34" s="234"/>
      <c r="GM34" s="234"/>
      <c r="GO34" s="234"/>
      <c r="GP34" s="234"/>
      <c r="GR34" s="234"/>
      <c r="GS34" s="234"/>
      <c r="GU34" s="234"/>
      <c r="GV34" s="234"/>
      <c r="GX34" s="234"/>
      <c r="GY34" s="234"/>
      <c r="HA34" s="234"/>
      <c r="HB34" s="234"/>
      <c r="HD34" s="234"/>
      <c r="HE34" s="234"/>
      <c r="HG34" s="234"/>
      <c r="HH34" s="234"/>
      <c r="HJ34" s="234"/>
      <c r="HK34" s="234"/>
      <c r="HM34" s="234"/>
      <c r="HN34" s="234"/>
      <c r="HP34" s="234"/>
      <c r="HQ34" s="234"/>
      <c r="HS34" s="234"/>
      <c r="HT34" s="234"/>
      <c r="HV34" s="234"/>
      <c r="HW34" s="234"/>
      <c r="HY34" s="234"/>
      <c r="HZ34" s="234"/>
      <c r="IB34" s="234"/>
      <c r="IC34" s="234"/>
      <c r="IE34" s="234"/>
      <c r="IF34" s="234"/>
    </row>
    <row r="35" spans="1:240" ht="12" x14ac:dyDescent="0.25">
      <c r="A35" s="234"/>
      <c r="B35" s="296" t="s">
        <v>328</v>
      </c>
      <c r="C35" s="148"/>
      <c r="D35" s="231"/>
      <c r="E35" s="234"/>
      <c r="G35" s="235"/>
      <c r="J35" s="234"/>
      <c r="K35" s="234"/>
      <c r="M35" s="234"/>
      <c r="N35" s="234"/>
      <c r="P35" s="234"/>
      <c r="Q35" s="234"/>
      <c r="S35" s="234"/>
      <c r="T35" s="234"/>
      <c r="V35" s="234"/>
      <c r="W35" s="234"/>
      <c r="Y35" s="234"/>
      <c r="Z35" s="234"/>
      <c r="AB35" s="234"/>
      <c r="AC35" s="234"/>
      <c r="AE35" s="234"/>
      <c r="AF35" s="234"/>
      <c r="AG35" s="234"/>
      <c r="AI35" s="234"/>
      <c r="AJ35" s="234"/>
      <c r="AL35" s="234"/>
      <c r="AM35" s="234"/>
      <c r="AO35" s="234"/>
      <c r="AP35" s="234"/>
      <c r="AR35" s="234"/>
      <c r="AS35" s="234"/>
      <c r="AU35" s="234"/>
      <c r="AV35" s="234"/>
      <c r="AX35" s="234"/>
      <c r="AY35" s="234"/>
      <c r="BA35" s="234"/>
      <c r="BB35" s="234"/>
      <c r="BD35" s="234"/>
      <c r="BE35" s="234"/>
      <c r="BG35" s="234"/>
      <c r="BH35" s="234"/>
      <c r="BJ35" s="234"/>
      <c r="BK35" s="234"/>
      <c r="BM35" s="234"/>
      <c r="BN35" s="234"/>
      <c r="BP35" s="234"/>
      <c r="BQ35" s="234"/>
      <c r="BS35" s="234"/>
      <c r="BT35" s="234"/>
      <c r="BV35" s="234"/>
      <c r="BW35" s="234"/>
      <c r="BY35" s="234"/>
      <c r="BZ35" s="234"/>
      <c r="CB35" s="234"/>
      <c r="CC35" s="234"/>
      <c r="CE35" s="234"/>
      <c r="CF35" s="234"/>
      <c r="CH35" s="234"/>
      <c r="CI35" s="234"/>
      <c r="CK35" s="234"/>
      <c r="CL35" s="234"/>
      <c r="CN35" s="234"/>
      <c r="CO35" s="234"/>
      <c r="CQ35" s="234"/>
      <c r="CR35" s="234"/>
      <c r="CT35" s="234"/>
      <c r="CU35" s="234"/>
      <c r="CW35" s="234"/>
      <c r="CX35" s="234"/>
      <c r="CZ35" s="234"/>
      <c r="DA35" s="234"/>
      <c r="DC35" s="234"/>
      <c r="DD35" s="234"/>
      <c r="DF35" s="234"/>
      <c r="DG35" s="234"/>
      <c r="DI35" s="234"/>
      <c r="DJ35" s="234"/>
      <c r="DL35" s="234"/>
      <c r="DM35" s="234"/>
      <c r="DO35" s="234"/>
      <c r="DP35" s="234"/>
      <c r="DR35" s="234"/>
      <c r="DS35" s="234"/>
      <c r="DU35" s="234"/>
      <c r="DV35" s="234"/>
      <c r="DX35" s="234"/>
      <c r="DY35" s="234"/>
      <c r="EA35" s="234"/>
      <c r="EB35" s="223"/>
      <c r="ED35" s="234"/>
      <c r="EE35" s="234"/>
      <c r="EG35" s="234"/>
      <c r="EH35" s="234"/>
      <c r="EJ35" s="234"/>
      <c r="EK35" s="234"/>
      <c r="EM35" s="234"/>
      <c r="EN35" s="234"/>
      <c r="EP35" s="234"/>
      <c r="EQ35" s="234"/>
      <c r="ES35" s="234"/>
      <c r="ET35" s="234"/>
      <c r="EV35" s="234"/>
      <c r="EW35" s="234"/>
      <c r="EY35" s="234"/>
      <c r="EZ35" s="234"/>
      <c r="FB35" s="234"/>
      <c r="FC35" s="234"/>
      <c r="FE35" s="234"/>
      <c r="FF35" s="234"/>
      <c r="FH35" s="234"/>
      <c r="FI35" s="234"/>
      <c r="FK35" s="234"/>
      <c r="FL35" s="234"/>
      <c r="FN35" s="234"/>
      <c r="FO35" s="234"/>
      <c r="FQ35" s="234"/>
      <c r="FR35" s="234"/>
      <c r="FT35" s="234"/>
      <c r="FU35" s="234"/>
      <c r="FW35" s="234"/>
      <c r="FX35" s="234"/>
      <c r="FZ35" s="234"/>
      <c r="GA35" s="234"/>
      <c r="GC35" s="234"/>
      <c r="GD35" s="234"/>
      <c r="GF35" s="234"/>
      <c r="GG35" s="234"/>
      <c r="GI35" s="234"/>
      <c r="GJ35" s="234"/>
      <c r="GL35" s="234"/>
      <c r="GM35" s="234"/>
      <c r="GO35" s="234"/>
      <c r="GP35" s="234"/>
      <c r="GR35" s="234"/>
      <c r="GS35" s="234"/>
      <c r="GU35" s="234"/>
      <c r="GV35" s="234"/>
      <c r="GX35" s="234"/>
      <c r="GY35" s="234"/>
      <c r="HA35" s="234"/>
      <c r="HB35" s="234"/>
      <c r="HD35" s="234"/>
      <c r="HE35" s="234"/>
      <c r="HG35" s="234"/>
      <c r="HH35" s="234"/>
      <c r="HJ35" s="234"/>
      <c r="HK35" s="234"/>
      <c r="HM35" s="234"/>
      <c r="HN35" s="234"/>
      <c r="HP35" s="234"/>
      <c r="HQ35" s="234"/>
      <c r="HS35" s="234"/>
      <c r="HT35" s="234"/>
      <c r="HV35" s="234"/>
      <c r="HW35" s="234"/>
      <c r="HY35" s="234"/>
      <c r="HZ35" s="234"/>
      <c r="IB35" s="234"/>
      <c r="IC35" s="234"/>
      <c r="IE35" s="234"/>
      <c r="IF35" s="234"/>
    </row>
    <row r="36" spans="1:240" ht="12" x14ac:dyDescent="0.25">
      <c r="A36" s="234"/>
      <c r="B36" s="296" t="s">
        <v>374</v>
      </c>
      <c r="C36" s="148"/>
      <c r="D36" s="231"/>
      <c r="E36" s="234"/>
      <c r="G36" s="235"/>
      <c r="J36" s="234"/>
      <c r="K36" s="234"/>
      <c r="M36" s="234"/>
      <c r="N36" s="234"/>
      <c r="P36" s="234"/>
      <c r="Q36" s="234"/>
      <c r="S36" s="234"/>
      <c r="T36" s="234"/>
      <c r="V36" s="234"/>
      <c r="W36" s="234"/>
      <c r="Y36" s="234"/>
      <c r="Z36" s="234"/>
      <c r="AB36" s="234"/>
      <c r="AC36" s="234"/>
      <c r="AE36" s="234"/>
      <c r="AF36" s="234"/>
      <c r="AG36" s="234"/>
      <c r="AI36" s="234"/>
      <c r="AJ36" s="234"/>
      <c r="AL36" s="234"/>
      <c r="AM36" s="234"/>
      <c r="AO36" s="234"/>
      <c r="AP36" s="234"/>
      <c r="AR36" s="234"/>
      <c r="AS36" s="234"/>
      <c r="AU36" s="234"/>
      <c r="AV36" s="234"/>
      <c r="AX36" s="234"/>
      <c r="AY36" s="234"/>
      <c r="BA36" s="234"/>
      <c r="BB36" s="234"/>
      <c r="BD36" s="234"/>
      <c r="BE36" s="234"/>
      <c r="BG36" s="234"/>
      <c r="BH36" s="234"/>
      <c r="BJ36" s="234"/>
      <c r="BK36" s="234"/>
      <c r="BM36" s="234"/>
      <c r="BN36" s="234"/>
      <c r="BP36" s="234"/>
      <c r="BQ36" s="234"/>
      <c r="BS36" s="234"/>
      <c r="BT36" s="234"/>
      <c r="BV36" s="234"/>
      <c r="BW36" s="234"/>
      <c r="BY36" s="234"/>
      <c r="BZ36" s="234"/>
      <c r="CB36" s="234"/>
      <c r="CC36" s="234"/>
      <c r="CE36" s="234"/>
      <c r="CF36" s="234"/>
      <c r="CH36" s="234"/>
      <c r="CI36" s="234"/>
      <c r="CK36" s="234"/>
      <c r="CL36" s="234"/>
      <c r="CN36" s="234"/>
      <c r="CO36" s="234"/>
      <c r="CQ36" s="234"/>
      <c r="CR36" s="234"/>
      <c r="CT36" s="234"/>
      <c r="CU36" s="234"/>
      <c r="CW36" s="234"/>
      <c r="CX36" s="234"/>
      <c r="CZ36" s="234"/>
      <c r="DA36" s="234"/>
      <c r="DC36" s="234"/>
      <c r="DD36" s="234"/>
      <c r="DF36" s="234"/>
      <c r="DG36" s="234"/>
      <c r="DI36" s="234"/>
      <c r="DJ36" s="234"/>
      <c r="DL36" s="234"/>
      <c r="DM36" s="234"/>
      <c r="DO36" s="234"/>
      <c r="DP36" s="234"/>
      <c r="DR36" s="234"/>
      <c r="DS36" s="234"/>
      <c r="DU36" s="234"/>
      <c r="DV36" s="234"/>
      <c r="DX36" s="234"/>
      <c r="DY36" s="234"/>
      <c r="EA36" s="234"/>
      <c r="EB36" s="223"/>
      <c r="ED36" s="234"/>
      <c r="EE36" s="234"/>
      <c r="EG36" s="234"/>
      <c r="EH36" s="234"/>
      <c r="EJ36" s="234"/>
      <c r="EK36" s="234"/>
      <c r="EM36" s="234"/>
      <c r="EN36" s="234"/>
      <c r="EP36" s="234"/>
      <c r="EQ36" s="234"/>
      <c r="ES36" s="234"/>
      <c r="ET36" s="234"/>
      <c r="EV36" s="234"/>
      <c r="EW36" s="234"/>
      <c r="EY36" s="234"/>
      <c r="EZ36" s="234"/>
      <c r="FB36" s="234"/>
      <c r="FC36" s="234"/>
      <c r="FE36" s="234"/>
      <c r="FF36" s="234"/>
      <c r="FH36" s="234"/>
      <c r="FI36" s="234"/>
      <c r="FK36" s="234"/>
      <c r="FL36" s="234"/>
      <c r="FN36" s="234"/>
      <c r="FO36" s="234"/>
      <c r="FQ36" s="234"/>
      <c r="FR36" s="234"/>
      <c r="FT36" s="234"/>
      <c r="FU36" s="234"/>
      <c r="FW36" s="234"/>
      <c r="FX36" s="234"/>
      <c r="FZ36" s="234"/>
      <c r="GA36" s="234"/>
      <c r="GC36" s="234"/>
      <c r="GD36" s="234"/>
      <c r="GF36" s="234"/>
      <c r="GG36" s="234"/>
      <c r="GI36" s="234"/>
      <c r="GJ36" s="234"/>
      <c r="GL36" s="234"/>
      <c r="GM36" s="234"/>
      <c r="GO36" s="234"/>
      <c r="GP36" s="234"/>
      <c r="GR36" s="234"/>
      <c r="GS36" s="234"/>
      <c r="GU36" s="234"/>
      <c r="GV36" s="234"/>
      <c r="GX36" s="234"/>
      <c r="GY36" s="234"/>
      <c r="HA36" s="234"/>
      <c r="HB36" s="234"/>
      <c r="HD36" s="234"/>
      <c r="HE36" s="234"/>
      <c r="HG36" s="234"/>
      <c r="HH36" s="234"/>
      <c r="HJ36" s="234"/>
      <c r="HK36" s="234"/>
      <c r="HM36" s="234"/>
      <c r="HN36" s="234"/>
      <c r="HP36" s="234"/>
      <c r="HQ36" s="234"/>
      <c r="HS36" s="234"/>
      <c r="HT36" s="234"/>
      <c r="HV36" s="234"/>
      <c r="HW36" s="234"/>
      <c r="HY36" s="234"/>
      <c r="HZ36" s="234"/>
      <c r="IB36" s="234"/>
      <c r="IC36" s="234"/>
      <c r="IE36" s="234"/>
      <c r="IF36" s="234"/>
    </row>
    <row r="37" spans="1:240" ht="12" x14ac:dyDescent="0.25">
      <c r="A37" s="234"/>
      <c r="B37" s="296" t="s">
        <v>360</v>
      </c>
      <c r="C37" s="148"/>
      <c r="D37" s="231"/>
      <c r="E37" s="234"/>
      <c r="G37" s="235"/>
      <c r="J37" s="234"/>
      <c r="K37" s="234"/>
      <c r="M37" s="234"/>
      <c r="N37" s="234"/>
      <c r="P37" s="234"/>
      <c r="Q37" s="234"/>
      <c r="S37" s="234"/>
      <c r="T37" s="234"/>
      <c r="V37" s="234"/>
      <c r="W37" s="234"/>
      <c r="Y37" s="234"/>
      <c r="Z37" s="234"/>
      <c r="AB37" s="234"/>
      <c r="AC37" s="234"/>
      <c r="AE37" s="234"/>
      <c r="AF37" s="234"/>
      <c r="AG37" s="234"/>
      <c r="AI37" s="234"/>
      <c r="AJ37" s="234"/>
      <c r="AL37" s="234"/>
      <c r="AM37" s="234"/>
      <c r="AO37" s="234"/>
      <c r="AP37" s="234"/>
      <c r="AR37" s="234"/>
      <c r="AS37" s="234"/>
      <c r="AU37" s="234"/>
      <c r="AV37" s="234"/>
      <c r="AX37" s="234"/>
      <c r="AY37" s="234"/>
      <c r="BA37" s="234"/>
      <c r="BB37" s="234"/>
      <c r="BD37" s="234"/>
      <c r="BE37" s="234"/>
      <c r="BG37" s="234"/>
      <c r="BH37" s="234"/>
      <c r="BJ37" s="234"/>
      <c r="BK37" s="234"/>
      <c r="BM37" s="234"/>
      <c r="BN37" s="234"/>
      <c r="BP37" s="234"/>
      <c r="BQ37" s="234"/>
      <c r="BS37" s="234"/>
      <c r="BT37" s="234"/>
      <c r="BV37" s="234"/>
      <c r="BW37" s="234"/>
      <c r="BY37" s="234"/>
      <c r="BZ37" s="234"/>
      <c r="CB37" s="234"/>
      <c r="CC37" s="234"/>
      <c r="CE37" s="234"/>
      <c r="CF37" s="234"/>
      <c r="CH37" s="234"/>
      <c r="CI37" s="234"/>
      <c r="CK37" s="234"/>
      <c r="CL37" s="234"/>
      <c r="CN37" s="234"/>
      <c r="CO37" s="234"/>
      <c r="CQ37" s="234"/>
      <c r="CR37" s="234"/>
      <c r="CT37" s="234"/>
      <c r="CU37" s="234"/>
      <c r="CW37" s="234"/>
      <c r="CX37" s="234"/>
      <c r="CZ37" s="234"/>
      <c r="DA37" s="234"/>
      <c r="DC37" s="234"/>
      <c r="DD37" s="234"/>
      <c r="DF37" s="234"/>
      <c r="DG37" s="234"/>
      <c r="DI37" s="234"/>
      <c r="DJ37" s="234"/>
      <c r="DL37" s="234"/>
      <c r="DM37" s="234"/>
      <c r="DO37" s="234"/>
      <c r="DP37" s="234"/>
      <c r="DR37" s="234"/>
      <c r="DS37" s="234"/>
      <c r="DU37" s="234"/>
      <c r="DV37" s="234"/>
      <c r="DX37" s="234"/>
      <c r="DY37" s="234"/>
      <c r="EA37" s="234"/>
      <c r="EB37" s="223"/>
      <c r="ED37" s="234"/>
      <c r="EE37" s="234"/>
      <c r="EG37" s="234"/>
      <c r="EH37" s="234"/>
      <c r="EJ37" s="234"/>
      <c r="EK37" s="234"/>
      <c r="EM37" s="234"/>
      <c r="EN37" s="234"/>
      <c r="EP37" s="234"/>
      <c r="EQ37" s="234"/>
      <c r="ES37" s="234"/>
      <c r="ET37" s="234"/>
      <c r="EV37" s="234"/>
      <c r="EW37" s="234"/>
      <c r="EY37" s="234"/>
      <c r="EZ37" s="234"/>
      <c r="FB37" s="234"/>
      <c r="FC37" s="234"/>
      <c r="FE37" s="234"/>
      <c r="FF37" s="234"/>
      <c r="FH37" s="234"/>
      <c r="FI37" s="234"/>
      <c r="FK37" s="234"/>
      <c r="FL37" s="234"/>
      <c r="FN37" s="234"/>
      <c r="FO37" s="234"/>
      <c r="FQ37" s="234"/>
      <c r="FR37" s="234"/>
      <c r="FT37" s="234"/>
      <c r="FU37" s="234"/>
      <c r="FW37" s="234"/>
      <c r="FX37" s="234"/>
      <c r="FZ37" s="234"/>
      <c r="GA37" s="234"/>
      <c r="GC37" s="234"/>
      <c r="GD37" s="234"/>
      <c r="GF37" s="234"/>
      <c r="GG37" s="234"/>
      <c r="GI37" s="234"/>
      <c r="GJ37" s="234"/>
      <c r="GL37" s="234"/>
      <c r="GM37" s="234"/>
      <c r="GO37" s="234"/>
      <c r="GP37" s="234"/>
      <c r="GR37" s="234"/>
      <c r="GS37" s="234"/>
      <c r="GU37" s="234"/>
      <c r="GV37" s="234"/>
      <c r="GX37" s="234"/>
      <c r="GY37" s="234"/>
      <c r="HA37" s="234"/>
      <c r="HB37" s="234"/>
      <c r="HD37" s="234"/>
      <c r="HE37" s="234"/>
      <c r="HG37" s="234"/>
      <c r="HH37" s="234"/>
      <c r="HJ37" s="234"/>
      <c r="HK37" s="234"/>
      <c r="HM37" s="234"/>
      <c r="HN37" s="234"/>
      <c r="HP37" s="234"/>
      <c r="HQ37" s="234"/>
      <c r="HS37" s="234"/>
      <c r="HT37" s="234"/>
      <c r="HV37" s="234"/>
      <c r="HW37" s="234"/>
      <c r="HY37" s="234"/>
      <c r="HZ37" s="234"/>
      <c r="IB37" s="234"/>
      <c r="IC37" s="234"/>
      <c r="IE37" s="234"/>
      <c r="IF37" s="234"/>
    </row>
    <row r="38" spans="1:240" ht="12" x14ac:dyDescent="0.25">
      <c r="A38" s="234"/>
      <c r="B38" s="296" t="s">
        <v>377</v>
      </c>
      <c r="C38" s="148"/>
      <c r="D38" s="231"/>
      <c r="E38" s="234"/>
      <c r="G38" s="235"/>
      <c r="J38" s="234"/>
      <c r="K38" s="234"/>
      <c r="M38" s="234"/>
      <c r="N38" s="234"/>
      <c r="P38" s="234"/>
      <c r="Q38" s="234"/>
      <c r="S38" s="234"/>
      <c r="T38" s="234"/>
      <c r="V38" s="234"/>
      <c r="W38" s="234"/>
      <c r="Y38" s="234"/>
      <c r="Z38" s="234"/>
      <c r="AB38" s="234"/>
      <c r="AC38" s="234"/>
      <c r="AE38" s="234"/>
      <c r="AF38" s="234"/>
      <c r="AG38" s="234"/>
      <c r="AI38" s="234"/>
      <c r="AJ38" s="234"/>
      <c r="AL38" s="234"/>
      <c r="AM38" s="234"/>
      <c r="AO38" s="234"/>
      <c r="AP38" s="234"/>
      <c r="AR38" s="234"/>
      <c r="AS38" s="234"/>
      <c r="AU38" s="234"/>
      <c r="AV38" s="234"/>
      <c r="AX38" s="234"/>
      <c r="AY38" s="234"/>
      <c r="BA38" s="234"/>
      <c r="BB38" s="234"/>
      <c r="BD38" s="234"/>
      <c r="BE38" s="234"/>
      <c r="BG38" s="234"/>
      <c r="BH38" s="234"/>
      <c r="BJ38" s="234"/>
      <c r="BK38" s="234"/>
      <c r="BM38" s="234"/>
      <c r="BN38" s="234"/>
      <c r="BP38" s="234"/>
      <c r="BQ38" s="234"/>
      <c r="BS38" s="234"/>
      <c r="BT38" s="234"/>
      <c r="BV38" s="234"/>
      <c r="BW38" s="234"/>
      <c r="BY38" s="234"/>
      <c r="BZ38" s="234"/>
      <c r="CB38" s="234"/>
      <c r="CC38" s="234"/>
      <c r="CE38" s="234"/>
      <c r="CF38" s="234"/>
      <c r="CH38" s="234"/>
      <c r="CI38" s="234"/>
      <c r="CK38" s="234"/>
      <c r="CL38" s="234"/>
      <c r="CN38" s="234"/>
      <c r="CO38" s="234"/>
      <c r="CQ38" s="234"/>
      <c r="CR38" s="234"/>
      <c r="CT38" s="234"/>
      <c r="CU38" s="234"/>
      <c r="CW38" s="234"/>
      <c r="CX38" s="234"/>
      <c r="CZ38" s="234"/>
      <c r="DA38" s="234"/>
      <c r="DC38" s="234"/>
      <c r="DD38" s="234"/>
      <c r="DF38" s="234"/>
      <c r="DG38" s="234"/>
      <c r="DI38" s="234"/>
      <c r="DJ38" s="234"/>
      <c r="DL38" s="234"/>
      <c r="DM38" s="234"/>
      <c r="DO38" s="234"/>
      <c r="DP38" s="234"/>
      <c r="DR38" s="234"/>
      <c r="DS38" s="234"/>
      <c r="DU38" s="234"/>
      <c r="DV38" s="234"/>
      <c r="DX38" s="234"/>
      <c r="DY38" s="234"/>
      <c r="EA38" s="234"/>
      <c r="EB38" s="223"/>
      <c r="ED38" s="234"/>
      <c r="EE38" s="234"/>
      <c r="EG38" s="234"/>
      <c r="EH38" s="234"/>
      <c r="EJ38" s="234"/>
      <c r="EK38" s="234"/>
      <c r="EM38" s="234"/>
      <c r="EN38" s="234"/>
      <c r="EP38" s="234"/>
      <c r="EQ38" s="234"/>
      <c r="ES38" s="234"/>
      <c r="ET38" s="234"/>
      <c r="EV38" s="234"/>
      <c r="EW38" s="234"/>
      <c r="EY38" s="234"/>
      <c r="EZ38" s="234"/>
      <c r="FB38" s="234"/>
      <c r="FC38" s="234"/>
      <c r="FE38" s="234"/>
      <c r="FF38" s="234"/>
      <c r="FH38" s="234"/>
      <c r="FI38" s="234"/>
      <c r="FK38" s="234"/>
      <c r="FL38" s="234"/>
      <c r="FN38" s="234"/>
      <c r="FO38" s="234"/>
      <c r="FQ38" s="234"/>
      <c r="FR38" s="234"/>
      <c r="FT38" s="234"/>
      <c r="FU38" s="234"/>
      <c r="FW38" s="234"/>
      <c r="FX38" s="234"/>
      <c r="FZ38" s="234"/>
      <c r="GA38" s="234"/>
      <c r="GC38" s="234"/>
      <c r="GD38" s="234"/>
      <c r="GF38" s="234"/>
      <c r="GG38" s="234"/>
      <c r="GI38" s="234"/>
      <c r="GJ38" s="234"/>
      <c r="GL38" s="234"/>
      <c r="GM38" s="234"/>
      <c r="GO38" s="234"/>
      <c r="GP38" s="234"/>
      <c r="GR38" s="234"/>
      <c r="GS38" s="234"/>
      <c r="GU38" s="234"/>
      <c r="GV38" s="234"/>
      <c r="GX38" s="234"/>
      <c r="GY38" s="234"/>
      <c r="HA38" s="234"/>
      <c r="HB38" s="234"/>
      <c r="HD38" s="234"/>
      <c r="HE38" s="234"/>
      <c r="HG38" s="234"/>
      <c r="HH38" s="234"/>
      <c r="HJ38" s="234"/>
      <c r="HK38" s="234"/>
      <c r="HM38" s="234"/>
      <c r="HN38" s="234"/>
      <c r="HP38" s="234"/>
      <c r="HQ38" s="234"/>
      <c r="HS38" s="234"/>
      <c r="HT38" s="234"/>
      <c r="HV38" s="234"/>
      <c r="HW38" s="234"/>
      <c r="HY38" s="234"/>
      <c r="HZ38" s="234"/>
      <c r="IB38" s="234"/>
      <c r="IC38" s="234"/>
      <c r="IE38" s="234"/>
      <c r="IF38" s="234"/>
    </row>
    <row r="39" spans="1:240" ht="12" x14ac:dyDescent="0.25">
      <c r="A39" s="234"/>
      <c r="B39" s="296" t="s">
        <v>329</v>
      </c>
      <c r="C39" s="148"/>
      <c r="D39" s="300"/>
      <c r="E39" s="234"/>
      <c r="G39" s="235"/>
      <c r="J39" s="234"/>
      <c r="K39" s="234"/>
      <c r="M39" s="234"/>
      <c r="N39" s="234"/>
      <c r="P39" s="234"/>
      <c r="Q39" s="234"/>
      <c r="S39" s="234"/>
      <c r="T39" s="234"/>
      <c r="V39" s="234"/>
      <c r="W39" s="234"/>
      <c r="Y39" s="234"/>
      <c r="Z39" s="234"/>
      <c r="AB39" s="234"/>
      <c r="AC39" s="234"/>
      <c r="AE39" s="234"/>
      <c r="AF39" s="234"/>
      <c r="AG39" s="234"/>
      <c r="AI39" s="234"/>
      <c r="AJ39" s="234"/>
      <c r="AL39" s="234"/>
      <c r="AM39" s="234"/>
      <c r="AO39" s="234"/>
      <c r="AP39" s="234"/>
      <c r="AR39" s="234"/>
      <c r="AS39" s="234"/>
      <c r="AU39" s="234"/>
      <c r="AV39" s="234"/>
      <c r="AX39" s="234"/>
      <c r="AY39" s="234"/>
      <c r="BA39" s="234"/>
      <c r="BB39" s="234"/>
      <c r="BD39" s="234"/>
      <c r="BE39" s="234"/>
      <c r="BG39" s="234"/>
      <c r="BH39" s="234"/>
      <c r="BJ39" s="234"/>
      <c r="BK39" s="234"/>
      <c r="BM39" s="234"/>
      <c r="BN39" s="234"/>
      <c r="BP39" s="234"/>
      <c r="BQ39" s="234"/>
      <c r="BS39" s="234"/>
      <c r="BT39" s="234"/>
      <c r="BV39" s="234"/>
      <c r="BW39" s="234"/>
      <c r="BY39" s="234"/>
      <c r="BZ39" s="234"/>
      <c r="CB39" s="234"/>
      <c r="CC39" s="234"/>
      <c r="CE39" s="234"/>
      <c r="CF39" s="234"/>
      <c r="CH39" s="234"/>
      <c r="CI39" s="234"/>
      <c r="CK39" s="234"/>
      <c r="CL39" s="234"/>
      <c r="CN39" s="234"/>
      <c r="CO39" s="234"/>
      <c r="CQ39" s="234"/>
      <c r="CR39" s="234"/>
      <c r="CT39" s="234"/>
      <c r="CU39" s="234"/>
      <c r="CW39" s="234"/>
      <c r="CX39" s="234"/>
      <c r="CZ39" s="234"/>
      <c r="DA39" s="234"/>
      <c r="DC39" s="234"/>
      <c r="DD39" s="234"/>
      <c r="DF39" s="234"/>
      <c r="DG39" s="234"/>
      <c r="DI39" s="234"/>
      <c r="DJ39" s="234"/>
      <c r="DL39" s="234"/>
      <c r="DM39" s="234"/>
      <c r="DO39" s="234"/>
      <c r="DP39" s="234"/>
      <c r="DR39" s="234"/>
      <c r="DS39" s="234"/>
      <c r="DU39" s="234"/>
      <c r="DV39" s="234"/>
      <c r="DX39" s="234"/>
      <c r="DY39" s="234"/>
      <c r="EA39" s="234"/>
      <c r="EB39" s="223"/>
      <c r="ED39" s="234"/>
      <c r="EE39" s="234"/>
      <c r="EG39" s="234"/>
      <c r="EH39" s="234"/>
      <c r="EJ39" s="234"/>
      <c r="EK39" s="234"/>
      <c r="EM39" s="234"/>
      <c r="EN39" s="234"/>
      <c r="EP39" s="234"/>
      <c r="EQ39" s="234"/>
      <c r="ES39" s="234"/>
      <c r="ET39" s="234"/>
      <c r="EV39" s="234"/>
      <c r="EW39" s="234"/>
      <c r="EY39" s="234"/>
      <c r="EZ39" s="234"/>
      <c r="FB39" s="234"/>
      <c r="FC39" s="234"/>
      <c r="FE39" s="234"/>
      <c r="FF39" s="234"/>
      <c r="FH39" s="234"/>
      <c r="FI39" s="234"/>
      <c r="FK39" s="234"/>
      <c r="FL39" s="234"/>
      <c r="FN39" s="234"/>
      <c r="FO39" s="234"/>
      <c r="FQ39" s="234"/>
      <c r="FR39" s="234"/>
      <c r="FT39" s="234"/>
      <c r="FU39" s="234"/>
      <c r="FW39" s="234"/>
      <c r="FX39" s="234"/>
      <c r="FZ39" s="234"/>
      <c r="GA39" s="234"/>
      <c r="GC39" s="234"/>
      <c r="GD39" s="234"/>
      <c r="GF39" s="234"/>
      <c r="GG39" s="234"/>
      <c r="GI39" s="234"/>
      <c r="GJ39" s="234"/>
      <c r="GL39" s="234"/>
      <c r="GM39" s="234"/>
      <c r="GO39" s="234"/>
      <c r="GP39" s="234"/>
      <c r="GR39" s="234"/>
      <c r="GS39" s="234"/>
      <c r="GU39" s="234"/>
      <c r="GV39" s="234"/>
      <c r="GX39" s="234"/>
      <c r="GY39" s="234"/>
      <c r="HA39" s="234"/>
      <c r="HB39" s="234"/>
      <c r="HD39" s="234"/>
      <c r="HE39" s="234"/>
      <c r="HG39" s="234"/>
      <c r="HH39" s="234"/>
      <c r="HJ39" s="234"/>
      <c r="HK39" s="234"/>
      <c r="HM39" s="234"/>
      <c r="HN39" s="234"/>
      <c r="HP39" s="234"/>
      <c r="HQ39" s="234"/>
      <c r="HS39" s="234"/>
      <c r="HT39" s="234"/>
      <c r="HV39" s="234"/>
      <c r="HW39" s="234"/>
      <c r="HY39" s="234"/>
      <c r="HZ39" s="234"/>
      <c r="IB39" s="234"/>
      <c r="IC39" s="234"/>
      <c r="IE39" s="234"/>
      <c r="IF39" s="234"/>
    </row>
    <row r="40" spans="1:240" ht="12" x14ac:dyDescent="0.25">
      <c r="A40" s="234"/>
      <c r="B40" s="296" t="s">
        <v>378</v>
      </c>
      <c r="C40" s="148"/>
      <c r="D40" s="231"/>
      <c r="E40" s="234"/>
      <c r="G40" s="235"/>
      <c r="J40" s="234"/>
      <c r="K40" s="234"/>
      <c r="M40" s="234"/>
      <c r="N40" s="234"/>
      <c r="P40" s="234"/>
      <c r="Q40" s="234"/>
      <c r="S40" s="234"/>
      <c r="T40" s="234"/>
      <c r="V40" s="234"/>
      <c r="W40" s="234"/>
      <c r="Y40" s="234"/>
      <c r="Z40" s="234"/>
      <c r="AB40" s="234"/>
      <c r="AC40" s="234"/>
      <c r="AE40" s="234"/>
      <c r="AF40" s="234"/>
      <c r="AG40" s="234"/>
      <c r="AI40" s="234"/>
      <c r="AJ40" s="234"/>
      <c r="AL40" s="234"/>
      <c r="AM40" s="234"/>
      <c r="AO40" s="234"/>
      <c r="AP40" s="234"/>
      <c r="AR40" s="234"/>
      <c r="AS40" s="234"/>
      <c r="AU40" s="234"/>
      <c r="AV40" s="234"/>
      <c r="AX40" s="234"/>
      <c r="AY40" s="234"/>
      <c r="BA40" s="234"/>
      <c r="BB40" s="234"/>
      <c r="BD40" s="234"/>
      <c r="BE40" s="234"/>
      <c r="BG40" s="234"/>
      <c r="BH40" s="234"/>
      <c r="BJ40" s="234"/>
      <c r="BK40" s="234"/>
      <c r="BM40" s="234"/>
      <c r="BN40" s="234"/>
      <c r="BP40" s="234"/>
      <c r="BQ40" s="234"/>
      <c r="BS40" s="234"/>
      <c r="BT40" s="234"/>
      <c r="BV40" s="234"/>
      <c r="BW40" s="234"/>
      <c r="BY40" s="234"/>
      <c r="BZ40" s="234"/>
      <c r="CB40" s="234"/>
      <c r="CC40" s="234"/>
      <c r="CE40" s="234"/>
      <c r="CF40" s="234"/>
      <c r="CH40" s="234"/>
      <c r="CI40" s="234"/>
      <c r="CK40" s="234"/>
      <c r="CL40" s="234"/>
      <c r="CN40" s="234"/>
      <c r="CO40" s="234"/>
      <c r="CQ40" s="234"/>
      <c r="CR40" s="234"/>
      <c r="CT40" s="234"/>
      <c r="CU40" s="234"/>
      <c r="CW40" s="234"/>
      <c r="CX40" s="234"/>
      <c r="CZ40" s="234"/>
      <c r="DA40" s="234"/>
      <c r="DC40" s="234"/>
      <c r="DD40" s="234"/>
      <c r="DF40" s="234"/>
      <c r="DG40" s="234"/>
      <c r="DI40" s="234"/>
      <c r="DJ40" s="234"/>
      <c r="DL40" s="234"/>
      <c r="DM40" s="234"/>
      <c r="DO40" s="234"/>
      <c r="DP40" s="234"/>
      <c r="DR40" s="234"/>
      <c r="DS40" s="234"/>
      <c r="DU40" s="234"/>
      <c r="DV40" s="234"/>
      <c r="DX40" s="234"/>
      <c r="DY40" s="234"/>
      <c r="EA40" s="234"/>
      <c r="EB40" s="223"/>
      <c r="ED40" s="234"/>
      <c r="EE40" s="234"/>
      <c r="EG40" s="234"/>
      <c r="EH40" s="234"/>
      <c r="EJ40" s="234"/>
      <c r="EK40" s="234"/>
      <c r="EM40" s="234"/>
      <c r="EN40" s="234"/>
      <c r="EP40" s="234"/>
      <c r="EQ40" s="234"/>
      <c r="ES40" s="234"/>
      <c r="ET40" s="234"/>
      <c r="EV40" s="234"/>
      <c r="EW40" s="234"/>
      <c r="EY40" s="234"/>
      <c r="EZ40" s="234"/>
      <c r="FB40" s="234"/>
      <c r="FC40" s="234"/>
      <c r="FE40" s="234"/>
      <c r="FF40" s="234"/>
      <c r="FH40" s="234"/>
      <c r="FI40" s="234"/>
      <c r="FK40" s="234"/>
      <c r="FL40" s="234"/>
      <c r="FN40" s="234"/>
      <c r="FO40" s="234"/>
      <c r="FQ40" s="234"/>
      <c r="FR40" s="234"/>
      <c r="FT40" s="234"/>
      <c r="FU40" s="234"/>
      <c r="FW40" s="234"/>
      <c r="FX40" s="234"/>
      <c r="FZ40" s="234"/>
      <c r="GA40" s="234"/>
      <c r="GC40" s="234"/>
      <c r="GD40" s="234"/>
      <c r="GF40" s="234"/>
      <c r="GG40" s="234"/>
      <c r="GI40" s="234"/>
      <c r="GJ40" s="234"/>
      <c r="GL40" s="234"/>
      <c r="GM40" s="234"/>
      <c r="GO40" s="234"/>
      <c r="GP40" s="234"/>
      <c r="GR40" s="234"/>
      <c r="GS40" s="234"/>
      <c r="GU40" s="234"/>
      <c r="GV40" s="234"/>
      <c r="GX40" s="234"/>
      <c r="GY40" s="234"/>
      <c r="HA40" s="234"/>
      <c r="HB40" s="234"/>
      <c r="HD40" s="234"/>
      <c r="HE40" s="234"/>
      <c r="HG40" s="234"/>
      <c r="HH40" s="234"/>
      <c r="HJ40" s="234"/>
      <c r="HK40" s="234"/>
      <c r="HM40" s="234"/>
      <c r="HN40" s="234"/>
      <c r="HP40" s="234"/>
      <c r="HQ40" s="234"/>
      <c r="HS40" s="234"/>
      <c r="HT40" s="234"/>
      <c r="HV40" s="234"/>
      <c r="HW40" s="234"/>
      <c r="HY40" s="234"/>
      <c r="HZ40" s="234"/>
      <c r="IB40" s="234"/>
      <c r="IC40" s="234"/>
      <c r="IE40" s="234"/>
      <c r="IF40" s="234"/>
    </row>
    <row r="41" spans="1:240" ht="12" x14ac:dyDescent="0.25">
      <c r="A41" s="234"/>
      <c r="B41" s="296" t="s">
        <v>386</v>
      </c>
      <c r="C41" s="148"/>
      <c r="D41" s="231"/>
      <c r="E41" s="234"/>
      <c r="G41" s="235"/>
      <c r="J41" s="234"/>
      <c r="K41" s="234"/>
      <c r="M41" s="234"/>
      <c r="N41" s="234"/>
      <c r="P41" s="234"/>
      <c r="Q41" s="234"/>
      <c r="S41" s="234"/>
      <c r="T41" s="234"/>
      <c r="V41" s="234"/>
      <c r="W41" s="234"/>
      <c r="Y41" s="234"/>
      <c r="Z41" s="234"/>
      <c r="AB41" s="234"/>
      <c r="AC41" s="234"/>
      <c r="AE41" s="234"/>
      <c r="AF41" s="234"/>
      <c r="AG41" s="234"/>
      <c r="AI41" s="234"/>
      <c r="AJ41" s="234"/>
      <c r="AL41" s="234"/>
      <c r="AM41" s="234"/>
      <c r="AO41" s="234"/>
      <c r="AP41" s="234"/>
      <c r="AR41" s="234"/>
      <c r="AS41" s="234"/>
      <c r="AU41" s="234"/>
      <c r="AV41" s="234"/>
      <c r="AX41" s="234"/>
      <c r="AY41" s="234"/>
      <c r="BA41" s="234"/>
      <c r="BB41" s="234"/>
      <c r="BD41" s="234"/>
      <c r="BE41" s="234"/>
      <c r="BG41" s="234"/>
      <c r="BH41" s="234"/>
      <c r="BJ41" s="234"/>
      <c r="BK41" s="234"/>
      <c r="BM41" s="234"/>
      <c r="BN41" s="234"/>
      <c r="BP41" s="234"/>
      <c r="BQ41" s="234"/>
      <c r="BS41" s="234"/>
      <c r="BT41" s="234"/>
      <c r="BV41" s="234"/>
      <c r="BW41" s="234"/>
      <c r="BY41" s="234"/>
      <c r="BZ41" s="234"/>
      <c r="CB41" s="234"/>
      <c r="CC41" s="234"/>
      <c r="CE41" s="234"/>
      <c r="CF41" s="234"/>
      <c r="CH41" s="234"/>
      <c r="CI41" s="234"/>
      <c r="CK41" s="234"/>
      <c r="CL41" s="234"/>
      <c r="CN41" s="234"/>
      <c r="CO41" s="234"/>
      <c r="CQ41" s="234"/>
      <c r="CR41" s="234"/>
      <c r="CT41" s="234"/>
      <c r="CU41" s="234"/>
      <c r="CW41" s="234"/>
      <c r="CX41" s="234"/>
      <c r="CZ41" s="234"/>
      <c r="DA41" s="234"/>
      <c r="DC41" s="234"/>
      <c r="DD41" s="234"/>
      <c r="DF41" s="234"/>
      <c r="DG41" s="234"/>
      <c r="DI41" s="234"/>
      <c r="DJ41" s="234"/>
      <c r="DL41" s="234"/>
      <c r="DM41" s="234"/>
      <c r="DO41" s="234"/>
      <c r="DP41" s="234"/>
      <c r="DR41" s="234"/>
      <c r="DS41" s="234"/>
      <c r="DU41" s="234"/>
      <c r="DV41" s="234"/>
      <c r="DX41" s="234"/>
      <c r="DY41" s="234"/>
      <c r="EA41" s="234"/>
      <c r="EB41" s="223"/>
      <c r="ED41" s="234"/>
      <c r="EE41" s="234"/>
      <c r="EG41" s="234"/>
      <c r="EH41" s="234"/>
      <c r="EJ41" s="234"/>
      <c r="EK41" s="234"/>
      <c r="EM41" s="234"/>
      <c r="EN41" s="234"/>
      <c r="EP41" s="234"/>
      <c r="EQ41" s="234"/>
      <c r="ES41" s="234"/>
      <c r="ET41" s="234"/>
      <c r="EV41" s="234"/>
      <c r="EW41" s="234"/>
      <c r="EY41" s="234"/>
      <c r="EZ41" s="234"/>
      <c r="FB41" s="234"/>
      <c r="FC41" s="234"/>
      <c r="FE41" s="234"/>
      <c r="FF41" s="234"/>
      <c r="FH41" s="234"/>
      <c r="FI41" s="234"/>
      <c r="FK41" s="234"/>
      <c r="FL41" s="234"/>
      <c r="FN41" s="234"/>
      <c r="FO41" s="234"/>
      <c r="FQ41" s="234"/>
      <c r="FR41" s="234"/>
      <c r="FT41" s="234"/>
      <c r="FU41" s="234"/>
      <c r="FW41" s="234"/>
      <c r="FX41" s="234"/>
      <c r="FZ41" s="234"/>
      <c r="GA41" s="234"/>
      <c r="GC41" s="234"/>
      <c r="GD41" s="234"/>
      <c r="GF41" s="234"/>
      <c r="GG41" s="234"/>
      <c r="GI41" s="234"/>
      <c r="GJ41" s="234"/>
      <c r="GL41" s="234"/>
      <c r="GM41" s="234"/>
      <c r="GO41" s="234"/>
      <c r="GP41" s="234"/>
      <c r="GR41" s="234"/>
      <c r="GS41" s="234"/>
      <c r="GU41" s="234"/>
      <c r="GV41" s="234"/>
      <c r="GX41" s="234"/>
      <c r="GY41" s="234"/>
      <c r="HA41" s="234"/>
      <c r="HB41" s="234"/>
      <c r="HD41" s="234"/>
      <c r="HE41" s="234"/>
      <c r="HG41" s="234"/>
      <c r="HH41" s="234"/>
      <c r="HJ41" s="234"/>
      <c r="HK41" s="234"/>
      <c r="HM41" s="234"/>
      <c r="HN41" s="234"/>
      <c r="HP41" s="234"/>
      <c r="HQ41" s="234"/>
      <c r="HS41" s="234"/>
      <c r="HT41" s="234"/>
      <c r="HV41" s="234"/>
      <c r="HW41" s="234"/>
      <c r="HY41" s="234"/>
      <c r="HZ41" s="234"/>
      <c r="IB41" s="234"/>
      <c r="IC41" s="234"/>
      <c r="IE41" s="234"/>
      <c r="IF41" s="234"/>
    </row>
    <row r="42" spans="1:240" ht="12" x14ac:dyDescent="0.25">
      <c r="A42" s="234"/>
      <c r="B42" s="296" t="s">
        <v>869</v>
      </c>
      <c r="C42" s="148"/>
      <c r="D42" s="300"/>
      <c r="E42" s="234"/>
      <c r="G42" s="235"/>
      <c r="J42" s="234"/>
      <c r="K42" s="234"/>
      <c r="M42" s="234"/>
      <c r="N42" s="234"/>
      <c r="P42" s="234"/>
      <c r="Q42" s="234"/>
      <c r="S42" s="234"/>
      <c r="T42" s="234"/>
      <c r="V42" s="234"/>
      <c r="W42" s="234"/>
      <c r="Y42" s="234"/>
      <c r="Z42" s="234"/>
      <c r="AB42" s="234"/>
      <c r="AC42" s="234"/>
      <c r="AE42" s="234"/>
      <c r="AF42" s="234"/>
      <c r="AG42" s="234"/>
      <c r="AI42" s="234"/>
      <c r="AJ42" s="234"/>
      <c r="AL42" s="234"/>
      <c r="AM42" s="234"/>
      <c r="AO42" s="234"/>
      <c r="AP42" s="234"/>
      <c r="AR42" s="234"/>
      <c r="AS42" s="234"/>
      <c r="AU42" s="234"/>
      <c r="AV42" s="234"/>
      <c r="AX42" s="234"/>
      <c r="AY42" s="234"/>
      <c r="BA42" s="234"/>
      <c r="BB42" s="234"/>
      <c r="BD42" s="234"/>
      <c r="BE42" s="234"/>
      <c r="BG42" s="234"/>
      <c r="BH42" s="234"/>
      <c r="BJ42" s="234"/>
      <c r="BK42" s="234"/>
      <c r="BM42" s="234"/>
      <c r="BN42" s="234"/>
      <c r="BP42" s="234"/>
      <c r="BQ42" s="234"/>
      <c r="BS42" s="234"/>
      <c r="BT42" s="234"/>
      <c r="BV42" s="234"/>
      <c r="BW42" s="234"/>
      <c r="BY42" s="234"/>
      <c r="BZ42" s="234"/>
      <c r="CB42" s="234"/>
      <c r="CC42" s="234"/>
      <c r="CE42" s="234"/>
      <c r="CF42" s="234"/>
      <c r="CH42" s="234"/>
      <c r="CI42" s="234"/>
      <c r="CK42" s="234"/>
      <c r="CL42" s="234"/>
      <c r="CN42" s="234"/>
      <c r="CO42" s="234"/>
      <c r="CQ42" s="234"/>
      <c r="CR42" s="234"/>
      <c r="CT42" s="234"/>
      <c r="CU42" s="234"/>
      <c r="CW42" s="234"/>
      <c r="CX42" s="234"/>
      <c r="CZ42" s="234"/>
      <c r="DA42" s="234"/>
      <c r="DC42" s="234"/>
      <c r="DD42" s="234"/>
      <c r="DF42" s="234"/>
      <c r="DG42" s="234"/>
      <c r="DI42" s="234"/>
      <c r="DJ42" s="234"/>
      <c r="DL42" s="234"/>
      <c r="DM42" s="234"/>
      <c r="DO42" s="234"/>
      <c r="DP42" s="234"/>
      <c r="DR42" s="234"/>
      <c r="DS42" s="234"/>
      <c r="DU42" s="234"/>
      <c r="DV42" s="234"/>
      <c r="DX42" s="234"/>
      <c r="DY42" s="234"/>
      <c r="EA42" s="234"/>
      <c r="EB42" s="223"/>
      <c r="ED42" s="234"/>
      <c r="EE42" s="234"/>
      <c r="EG42" s="234"/>
      <c r="EH42" s="234"/>
      <c r="EJ42" s="234"/>
      <c r="EK42" s="234"/>
      <c r="EM42" s="234"/>
      <c r="EN42" s="234"/>
      <c r="EP42" s="234"/>
      <c r="EQ42" s="234"/>
      <c r="ES42" s="234"/>
      <c r="ET42" s="234"/>
      <c r="EV42" s="234"/>
      <c r="EW42" s="234"/>
      <c r="EY42" s="234"/>
      <c r="EZ42" s="234"/>
      <c r="FB42" s="234"/>
      <c r="FC42" s="234"/>
      <c r="FE42" s="234"/>
      <c r="FF42" s="234"/>
      <c r="FH42" s="234"/>
      <c r="FI42" s="234"/>
      <c r="FK42" s="234"/>
      <c r="FL42" s="234"/>
      <c r="FN42" s="234"/>
      <c r="FO42" s="234"/>
      <c r="FQ42" s="234"/>
      <c r="FR42" s="234"/>
      <c r="FT42" s="234"/>
      <c r="FU42" s="234"/>
      <c r="FW42" s="234"/>
      <c r="FX42" s="234"/>
      <c r="FZ42" s="234"/>
      <c r="GA42" s="234"/>
      <c r="GC42" s="234"/>
      <c r="GD42" s="234"/>
      <c r="GF42" s="234"/>
      <c r="GG42" s="234"/>
      <c r="GI42" s="234"/>
      <c r="GJ42" s="234"/>
      <c r="GL42" s="234"/>
      <c r="GM42" s="234"/>
      <c r="GO42" s="234"/>
      <c r="GP42" s="234"/>
      <c r="GR42" s="234"/>
      <c r="GS42" s="234"/>
      <c r="GU42" s="234"/>
      <c r="GV42" s="234"/>
      <c r="GX42" s="234"/>
      <c r="GY42" s="234"/>
      <c r="HA42" s="234"/>
      <c r="HB42" s="234"/>
      <c r="HD42" s="234"/>
      <c r="HE42" s="234"/>
      <c r="HG42" s="234"/>
      <c r="HH42" s="234"/>
      <c r="HJ42" s="234"/>
      <c r="HK42" s="234"/>
      <c r="HM42" s="234"/>
      <c r="HN42" s="234"/>
      <c r="HP42" s="234"/>
      <c r="HQ42" s="234"/>
      <c r="HS42" s="234"/>
      <c r="HT42" s="234"/>
      <c r="HV42" s="234"/>
      <c r="HW42" s="234"/>
      <c r="HY42" s="234"/>
      <c r="HZ42" s="234"/>
      <c r="IB42" s="234"/>
      <c r="IC42" s="234"/>
      <c r="IE42" s="234"/>
      <c r="IF42" s="234"/>
    </row>
    <row r="43" spans="1:240" ht="12" x14ac:dyDescent="0.25">
      <c r="A43" s="234"/>
      <c r="B43" s="296" t="s">
        <v>738</v>
      </c>
      <c r="C43" s="148"/>
      <c r="D43" s="300"/>
      <c r="E43" s="234"/>
      <c r="G43" s="235"/>
      <c r="J43" s="234"/>
      <c r="K43" s="234"/>
      <c r="M43" s="234"/>
      <c r="N43" s="234"/>
      <c r="P43" s="234"/>
      <c r="Q43" s="234"/>
      <c r="S43" s="234"/>
      <c r="T43" s="234"/>
      <c r="V43" s="234"/>
      <c r="W43" s="234"/>
      <c r="Y43" s="234"/>
      <c r="Z43" s="234"/>
      <c r="AB43" s="234"/>
      <c r="AC43" s="234"/>
      <c r="AE43" s="234"/>
      <c r="AF43" s="234"/>
      <c r="AG43" s="234"/>
      <c r="AI43" s="234"/>
      <c r="AJ43" s="234"/>
      <c r="AL43" s="234"/>
      <c r="AM43" s="234"/>
      <c r="AO43" s="234"/>
      <c r="AP43" s="234"/>
      <c r="AR43" s="234"/>
      <c r="AS43" s="234"/>
      <c r="AU43" s="234"/>
      <c r="AV43" s="234"/>
      <c r="AX43" s="234"/>
      <c r="AY43" s="234"/>
      <c r="BA43" s="234"/>
      <c r="BB43" s="234"/>
      <c r="BD43" s="234"/>
      <c r="BE43" s="234"/>
      <c r="BG43" s="234"/>
      <c r="BH43" s="234"/>
      <c r="BJ43" s="234"/>
      <c r="BK43" s="234"/>
      <c r="BM43" s="234"/>
      <c r="BN43" s="234"/>
      <c r="BP43" s="234"/>
      <c r="BQ43" s="234"/>
      <c r="BS43" s="234"/>
      <c r="BT43" s="234"/>
      <c r="BV43" s="234"/>
      <c r="BW43" s="234"/>
      <c r="BY43" s="234"/>
      <c r="BZ43" s="234"/>
      <c r="CB43" s="234"/>
      <c r="CC43" s="234"/>
      <c r="CE43" s="234"/>
      <c r="CF43" s="234"/>
      <c r="CH43" s="234"/>
      <c r="CI43" s="234"/>
      <c r="CK43" s="234"/>
      <c r="CL43" s="234"/>
      <c r="CN43" s="234"/>
      <c r="CO43" s="234"/>
      <c r="CQ43" s="234"/>
      <c r="CR43" s="234"/>
      <c r="CT43" s="234"/>
      <c r="CU43" s="234"/>
      <c r="CW43" s="234"/>
      <c r="CX43" s="234"/>
      <c r="CZ43" s="234"/>
      <c r="DA43" s="234"/>
      <c r="DC43" s="234"/>
      <c r="DD43" s="234"/>
      <c r="DF43" s="234"/>
      <c r="DG43" s="234"/>
      <c r="DI43" s="234"/>
      <c r="DJ43" s="234"/>
      <c r="DL43" s="234"/>
      <c r="DM43" s="234"/>
      <c r="DO43" s="234"/>
      <c r="DP43" s="234"/>
      <c r="DR43" s="234"/>
      <c r="DS43" s="234"/>
      <c r="DU43" s="234"/>
      <c r="DV43" s="234"/>
      <c r="DX43" s="234"/>
      <c r="DY43" s="234"/>
      <c r="EA43" s="234"/>
      <c r="EB43" s="223"/>
      <c r="ED43" s="234"/>
      <c r="EE43" s="234"/>
      <c r="EG43" s="234"/>
      <c r="EH43" s="234"/>
      <c r="EJ43" s="234"/>
      <c r="EK43" s="234"/>
      <c r="EM43" s="234"/>
      <c r="EN43" s="234"/>
      <c r="EP43" s="234"/>
      <c r="EQ43" s="234"/>
      <c r="ES43" s="234"/>
      <c r="ET43" s="234"/>
      <c r="EV43" s="234"/>
      <c r="EW43" s="234"/>
      <c r="EY43" s="234"/>
      <c r="EZ43" s="234"/>
      <c r="FB43" s="234"/>
      <c r="FC43" s="234"/>
      <c r="FE43" s="234"/>
      <c r="FF43" s="234"/>
      <c r="FH43" s="234"/>
      <c r="FI43" s="234"/>
      <c r="FK43" s="234"/>
      <c r="FL43" s="234"/>
      <c r="FN43" s="234"/>
      <c r="FO43" s="234"/>
      <c r="FQ43" s="234"/>
      <c r="FR43" s="234"/>
      <c r="FT43" s="234"/>
      <c r="FU43" s="234"/>
      <c r="FW43" s="234"/>
      <c r="FX43" s="234"/>
      <c r="FZ43" s="234"/>
      <c r="GA43" s="234"/>
      <c r="GC43" s="234"/>
      <c r="GD43" s="234"/>
      <c r="GF43" s="234"/>
      <c r="GG43" s="234"/>
      <c r="GI43" s="234"/>
      <c r="GJ43" s="234"/>
      <c r="GL43" s="234"/>
      <c r="GM43" s="234"/>
      <c r="GO43" s="234"/>
      <c r="GP43" s="234"/>
      <c r="GR43" s="234"/>
      <c r="GS43" s="234"/>
      <c r="GU43" s="234"/>
      <c r="GV43" s="234"/>
      <c r="GX43" s="234"/>
      <c r="GY43" s="234"/>
      <c r="HA43" s="234"/>
      <c r="HB43" s="234"/>
      <c r="HD43" s="234"/>
      <c r="HE43" s="234"/>
      <c r="HG43" s="234"/>
      <c r="HH43" s="234"/>
      <c r="HJ43" s="234"/>
      <c r="HK43" s="234"/>
      <c r="HM43" s="234"/>
      <c r="HN43" s="234"/>
      <c r="HP43" s="234"/>
      <c r="HQ43" s="234"/>
      <c r="HS43" s="234"/>
      <c r="HT43" s="234"/>
      <c r="HV43" s="234"/>
      <c r="HW43" s="234"/>
      <c r="HY43" s="234"/>
      <c r="HZ43" s="234"/>
      <c r="IB43" s="234"/>
      <c r="IC43" s="234"/>
      <c r="IE43" s="234"/>
      <c r="IF43" s="234"/>
    </row>
    <row r="44" spans="1:240" ht="12" x14ac:dyDescent="0.25">
      <c r="A44" s="234"/>
      <c r="B44" s="492"/>
      <c r="C44" s="148"/>
      <c r="D44" s="231"/>
      <c r="E44" s="234"/>
      <c r="G44" s="235"/>
      <c r="J44" s="234"/>
      <c r="K44" s="234"/>
      <c r="M44" s="234"/>
      <c r="N44" s="234"/>
      <c r="P44" s="234"/>
      <c r="Q44" s="234"/>
      <c r="S44" s="234"/>
      <c r="T44" s="234"/>
      <c r="V44" s="234"/>
      <c r="W44" s="234"/>
      <c r="Y44" s="234"/>
      <c r="Z44" s="234"/>
      <c r="AB44" s="234"/>
      <c r="AC44" s="234"/>
      <c r="AE44" s="234"/>
      <c r="AF44" s="234"/>
      <c r="AG44" s="234"/>
      <c r="AI44" s="234"/>
      <c r="AJ44" s="234"/>
      <c r="AL44" s="234"/>
      <c r="AM44" s="234"/>
      <c r="AO44" s="234"/>
      <c r="AP44" s="234"/>
      <c r="AR44" s="234"/>
      <c r="AS44" s="234"/>
      <c r="AU44" s="234"/>
      <c r="AV44" s="234"/>
      <c r="AX44" s="234"/>
      <c r="AY44" s="234"/>
      <c r="BA44" s="234"/>
      <c r="BB44" s="234"/>
      <c r="BD44" s="234"/>
      <c r="BE44" s="234"/>
      <c r="BG44" s="234"/>
      <c r="BH44" s="234"/>
      <c r="BJ44" s="234"/>
      <c r="BK44" s="234"/>
      <c r="BM44" s="234"/>
      <c r="BN44" s="234"/>
      <c r="BP44" s="234"/>
      <c r="BQ44" s="234"/>
      <c r="BS44" s="234"/>
      <c r="BT44" s="234"/>
      <c r="BV44" s="234"/>
      <c r="BW44" s="234"/>
      <c r="BY44" s="234"/>
      <c r="BZ44" s="234"/>
      <c r="CB44" s="234"/>
      <c r="CC44" s="234"/>
      <c r="CE44" s="234"/>
      <c r="CF44" s="234"/>
      <c r="CH44" s="234"/>
      <c r="CI44" s="234"/>
      <c r="CK44" s="234"/>
      <c r="CL44" s="234"/>
      <c r="CN44" s="234"/>
      <c r="CO44" s="234"/>
      <c r="CQ44" s="234"/>
      <c r="CR44" s="234"/>
      <c r="CT44" s="234"/>
      <c r="CU44" s="234"/>
      <c r="CW44" s="234"/>
      <c r="CX44" s="234"/>
      <c r="CZ44" s="234"/>
      <c r="DA44" s="234"/>
      <c r="DC44" s="234"/>
      <c r="DD44" s="234"/>
      <c r="DF44" s="234"/>
      <c r="DG44" s="234"/>
      <c r="DI44" s="234"/>
      <c r="DJ44" s="234"/>
      <c r="DL44" s="234"/>
      <c r="DM44" s="234"/>
      <c r="DO44" s="234"/>
      <c r="DP44" s="234"/>
      <c r="DR44" s="234"/>
      <c r="DS44" s="234"/>
      <c r="DU44" s="234"/>
      <c r="DV44" s="234"/>
      <c r="DX44" s="234"/>
      <c r="DY44" s="234"/>
      <c r="EA44" s="234"/>
      <c r="EB44" s="223"/>
      <c r="ED44" s="234"/>
      <c r="EE44" s="234"/>
      <c r="EG44" s="234"/>
      <c r="EH44" s="234"/>
      <c r="EJ44" s="234"/>
      <c r="EK44" s="234"/>
      <c r="EM44" s="234"/>
      <c r="EN44" s="234"/>
      <c r="EP44" s="234"/>
      <c r="EQ44" s="234"/>
      <c r="ES44" s="234"/>
      <c r="ET44" s="234"/>
      <c r="EV44" s="234"/>
      <c r="EW44" s="234"/>
      <c r="EY44" s="234"/>
      <c r="EZ44" s="234"/>
      <c r="FB44" s="234"/>
      <c r="FC44" s="234"/>
      <c r="FE44" s="234"/>
      <c r="FF44" s="234"/>
      <c r="FH44" s="234"/>
      <c r="FI44" s="234"/>
      <c r="FK44" s="234"/>
      <c r="FL44" s="234"/>
      <c r="FN44" s="234"/>
      <c r="FO44" s="234"/>
      <c r="FQ44" s="234"/>
      <c r="FR44" s="234"/>
      <c r="FT44" s="234"/>
      <c r="FU44" s="234"/>
      <c r="FW44" s="234"/>
      <c r="FX44" s="234"/>
      <c r="FZ44" s="234"/>
      <c r="GA44" s="234"/>
      <c r="GC44" s="234"/>
      <c r="GD44" s="234"/>
      <c r="GF44" s="234"/>
      <c r="GG44" s="234"/>
      <c r="GI44" s="234"/>
      <c r="GJ44" s="234"/>
      <c r="GL44" s="234"/>
      <c r="GM44" s="234"/>
      <c r="GO44" s="234"/>
      <c r="GP44" s="234"/>
      <c r="GR44" s="234"/>
      <c r="GS44" s="234"/>
      <c r="GU44" s="234"/>
      <c r="GV44" s="234"/>
      <c r="GX44" s="234"/>
      <c r="GY44" s="234"/>
      <c r="HA44" s="234"/>
      <c r="HB44" s="234"/>
      <c r="HD44" s="234"/>
      <c r="HE44" s="234"/>
      <c r="HG44" s="234"/>
      <c r="HH44" s="234"/>
      <c r="HJ44" s="234"/>
      <c r="HK44" s="234"/>
      <c r="HM44" s="234"/>
      <c r="HN44" s="234"/>
      <c r="HP44" s="234"/>
      <c r="HQ44" s="234"/>
      <c r="HS44" s="234"/>
      <c r="HT44" s="234"/>
      <c r="HV44" s="234"/>
      <c r="HW44" s="234"/>
      <c r="HY44" s="234"/>
      <c r="HZ44" s="234"/>
      <c r="IB44" s="234"/>
      <c r="IC44" s="234"/>
      <c r="IE44" s="234"/>
      <c r="IF44" s="234"/>
    </row>
    <row r="45" spans="1:240" ht="39" customHeight="1" x14ac:dyDescent="0.25">
      <c r="A45" s="234"/>
      <c r="D45" s="231"/>
      <c r="E45" s="234"/>
      <c r="G45" s="235"/>
      <c r="J45" s="234"/>
      <c r="K45" s="234"/>
      <c r="M45" s="234"/>
      <c r="N45" s="234"/>
      <c r="P45" s="234"/>
      <c r="Q45" s="234"/>
      <c r="S45" s="234"/>
      <c r="T45" s="234"/>
      <c r="V45" s="234"/>
      <c r="W45" s="234"/>
      <c r="Y45" s="234"/>
      <c r="Z45" s="234"/>
      <c r="AB45" s="234"/>
      <c r="AC45" s="234"/>
      <c r="AE45" s="234"/>
      <c r="AF45" s="234"/>
      <c r="AG45" s="234"/>
      <c r="AI45" s="234"/>
      <c r="AJ45" s="234"/>
      <c r="AL45" s="234"/>
      <c r="AM45" s="234"/>
      <c r="AO45" s="234"/>
      <c r="AP45" s="234"/>
      <c r="AR45" s="234"/>
      <c r="AS45" s="234"/>
      <c r="AU45" s="234"/>
      <c r="AV45" s="234"/>
      <c r="AX45" s="234"/>
      <c r="AY45" s="234"/>
      <c r="BA45" s="234"/>
      <c r="BB45" s="234"/>
      <c r="BD45" s="234"/>
      <c r="BE45" s="234"/>
      <c r="BG45" s="234"/>
      <c r="BH45" s="234"/>
      <c r="BJ45" s="234"/>
      <c r="BK45" s="234"/>
      <c r="BM45" s="234"/>
      <c r="BN45" s="234"/>
      <c r="BP45" s="234"/>
      <c r="BQ45" s="234"/>
      <c r="BS45" s="234"/>
      <c r="BT45" s="234"/>
      <c r="BV45" s="234"/>
      <c r="BW45" s="234"/>
      <c r="BY45" s="234"/>
      <c r="BZ45" s="234"/>
      <c r="CB45" s="234"/>
      <c r="CC45" s="234"/>
      <c r="CE45" s="234"/>
      <c r="CF45" s="234"/>
      <c r="CH45" s="234"/>
      <c r="CI45" s="234"/>
      <c r="CK45" s="234"/>
      <c r="CL45" s="234"/>
      <c r="CN45" s="234"/>
      <c r="CO45" s="234"/>
      <c r="CQ45" s="234"/>
      <c r="CR45" s="234"/>
      <c r="CT45" s="234"/>
      <c r="CU45" s="234"/>
      <c r="CW45" s="234"/>
      <c r="CX45" s="234"/>
      <c r="CZ45" s="234"/>
      <c r="DA45" s="234"/>
      <c r="DC45" s="234"/>
      <c r="DD45" s="234"/>
      <c r="DF45" s="234"/>
      <c r="DG45" s="234"/>
      <c r="DI45" s="234"/>
      <c r="DJ45" s="234"/>
      <c r="DL45" s="234"/>
      <c r="DM45" s="234"/>
      <c r="DO45" s="234"/>
      <c r="DP45" s="234"/>
      <c r="DR45" s="234"/>
      <c r="DS45" s="234"/>
      <c r="DU45" s="234"/>
      <c r="DV45" s="234"/>
      <c r="DX45" s="234"/>
      <c r="DY45" s="234"/>
      <c r="EA45" s="234"/>
      <c r="EB45" s="223"/>
      <c r="ED45" s="234"/>
      <c r="EE45" s="234"/>
      <c r="EG45" s="234"/>
      <c r="EH45" s="234"/>
      <c r="EJ45" s="234"/>
      <c r="EK45" s="234"/>
      <c r="EM45" s="234"/>
      <c r="EN45" s="234"/>
      <c r="EP45" s="234"/>
      <c r="EQ45" s="234"/>
      <c r="ES45" s="234"/>
      <c r="ET45" s="234"/>
      <c r="EV45" s="234"/>
      <c r="EW45" s="234"/>
      <c r="EY45" s="234"/>
      <c r="EZ45" s="234"/>
      <c r="FB45" s="234"/>
      <c r="FC45" s="234"/>
      <c r="FE45" s="234"/>
      <c r="FF45" s="234"/>
      <c r="FH45" s="234"/>
      <c r="FI45" s="234"/>
      <c r="FK45" s="234"/>
      <c r="FL45" s="234"/>
      <c r="FN45" s="234"/>
      <c r="FO45" s="234"/>
      <c r="FQ45" s="234"/>
      <c r="FR45" s="234"/>
      <c r="FT45" s="234"/>
      <c r="FU45" s="234"/>
      <c r="FW45" s="234"/>
      <c r="FX45" s="234"/>
      <c r="FZ45" s="234"/>
      <c r="GA45" s="234"/>
      <c r="GC45" s="234"/>
      <c r="GD45" s="234"/>
      <c r="GF45" s="234"/>
      <c r="GG45" s="234"/>
      <c r="GI45" s="234"/>
      <c r="GJ45" s="234"/>
      <c r="GL45" s="234"/>
      <c r="GM45" s="234"/>
      <c r="GO45" s="234"/>
      <c r="GP45" s="234"/>
      <c r="GR45" s="234"/>
      <c r="GS45" s="234"/>
      <c r="GU45" s="234"/>
      <c r="GV45" s="234"/>
      <c r="GX45" s="234"/>
      <c r="GY45" s="234"/>
      <c r="HA45" s="234"/>
      <c r="HB45" s="234"/>
      <c r="HD45" s="234"/>
      <c r="HE45" s="234"/>
      <c r="HG45" s="234"/>
      <c r="HH45" s="234"/>
      <c r="HJ45" s="234"/>
      <c r="HK45" s="234"/>
      <c r="HM45" s="234"/>
      <c r="HN45" s="234"/>
      <c r="HP45" s="234"/>
      <c r="HQ45" s="234"/>
      <c r="HS45" s="234"/>
      <c r="HT45" s="234"/>
      <c r="HV45" s="234"/>
      <c r="HW45" s="234"/>
      <c r="HY45" s="234"/>
      <c r="HZ45" s="234"/>
      <c r="IB45" s="234"/>
      <c r="IC45" s="234"/>
      <c r="IE45" s="234"/>
      <c r="IF45" s="234"/>
    </row>
    <row r="46" spans="1:240" x14ac:dyDescent="0.25">
      <c r="A46" s="229" t="s">
        <v>84</v>
      </c>
      <c r="B46" s="228" t="s">
        <v>85</v>
      </c>
      <c r="C46" s="227" t="s">
        <v>86</v>
      </c>
      <c r="D46" s="228" t="s">
        <v>87</v>
      </c>
      <c r="E46" s="228" t="s">
        <v>88</v>
      </c>
      <c r="F46" s="228" t="s">
        <v>89</v>
      </c>
      <c r="G46" s="228" t="s">
        <v>90</v>
      </c>
      <c r="H46" s="228" t="s">
        <v>91</v>
      </c>
      <c r="I46" s="228" t="s">
        <v>92</v>
      </c>
      <c r="J46" s="228" t="s">
        <v>93</v>
      </c>
      <c r="K46" s="228" t="s">
        <v>94</v>
      </c>
      <c r="L46" s="228" t="s">
        <v>95</v>
      </c>
      <c r="M46" s="228" t="s">
        <v>96</v>
      </c>
      <c r="N46" s="228" t="s">
        <v>97</v>
      </c>
      <c r="O46" s="228" t="s">
        <v>98</v>
      </c>
      <c r="P46" s="228" t="s">
        <v>39</v>
      </c>
      <c r="Q46" s="228" t="s">
        <v>99</v>
      </c>
      <c r="R46" s="228" t="s">
        <v>361</v>
      </c>
      <c r="S46" s="227" t="s">
        <v>148</v>
      </c>
      <c r="T46" s="226"/>
      <c r="U46" s="226"/>
      <c r="V46" s="226"/>
      <c r="W46" s="226"/>
      <c r="X46" s="226"/>
      <c r="Y46" s="226"/>
      <c r="Z46" s="226"/>
      <c r="AA46" s="226"/>
      <c r="EB46" s="223"/>
    </row>
    <row r="47" spans="1:240" x14ac:dyDescent="0.25">
      <c r="A47" s="225" t="s">
        <v>41</v>
      </c>
      <c r="B47" s="198" t="s">
        <v>119</v>
      </c>
      <c r="C47" s="224" t="s">
        <v>121</v>
      </c>
      <c r="D47" s="198" t="s">
        <v>126</v>
      </c>
      <c r="E47" s="198" t="s">
        <v>128</v>
      </c>
      <c r="F47" s="198" t="s">
        <v>129</v>
      </c>
      <c r="G47" s="198" t="s">
        <v>130</v>
      </c>
      <c r="H47" s="198" t="s">
        <v>132</v>
      </c>
      <c r="I47" s="198" t="s">
        <v>134</v>
      </c>
      <c r="J47" s="198" t="s">
        <v>136</v>
      </c>
      <c r="K47" s="198" t="s">
        <v>140</v>
      </c>
      <c r="L47" s="198" t="s">
        <v>141</v>
      </c>
      <c r="M47" s="198" t="s">
        <v>142</v>
      </c>
      <c r="N47" s="198" t="s">
        <v>61</v>
      </c>
      <c r="O47" s="198" t="s">
        <v>145</v>
      </c>
      <c r="P47" s="198" t="s">
        <v>147</v>
      </c>
      <c r="Q47" s="297" t="s">
        <v>380</v>
      </c>
      <c r="R47" s="198" t="s">
        <v>381</v>
      </c>
      <c r="S47" s="299" t="s">
        <v>383</v>
      </c>
      <c r="T47" s="148"/>
      <c r="U47" s="148"/>
      <c r="V47" s="148"/>
      <c r="W47" s="148"/>
      <c r="X47" s="148"/>
      <c r="Y47" s="148"/>
      <c r="Z47" s="148"/>
      <c r="AA47" s="148"/>
      <c r="EB47" s="223"/>
    </row>
    <row r="48" spans="1:240" x14ac:dyDescent="0.25">
      <c r="A48" s="225" t="s">
        <v>43</v>
      </c>
      <c r="B48" s="198" t="s">
        <v>62</v>
      </c>
      <c r="C48" s="224" t="s">
        <v>126</v>
      </c>
      <c r="D48" s="198" t="s">
        <v>127</v>
      </c>
      <c r="E48" s="198" t="s">
        <v>277</v>
      </c>
      <c r="F48" s="198" t="s">
        <v>277</v>
      </c>
      <c r="G48" s="198" t="s">
        <v>131</v>
      </c>
      <c r="H48" s="198" t="s">
        <v>79</v>
      </c>
      <c r="I48" s="198" t="s">
        <v>45</v>
      </c>
      <c r="J48" s="198" t="s">
        <v>42</v>
      </c>
      <c r="K48" s="198" t="s">
        <v>72</v>
      </c>
      <c r="L48" s="198" t="s">
        <v>68</v>
      </c>
      <c r="M48" s="198" t="s">
        <v>143</v>
      </c>
      <c r="N48" s="198" t="s">
        <v>66</v>
      </c>
      <c r="O48" s="198" t="s">
        <v>146</v>
      </c>
      <c r="P48" s="198" t="s">
        <v>40</v>
      </c>
      <c r="Q48" s="198" t="s">
        <v>276</v>
      </c>
      <c r="R48" s="129" t="s">
        <v>276</v>
      </c>
      <c r="S48" s="224" t="s">
        <v>276</v>
      </c>
      <c r="T48" s="148"/>
      <c r="U48" s="148"/>
      <c r="V48" s="148"/>
      <c r="W48" s="148"/>
      <c r="X48" s="148"/>
      <c r="Y48" s="31"/>
      <c r="Z48" s="31"/>
      <c r="AA48" s="31"/>
      <c r="EB48" s="223"/>
    </row>
    <row r="49" spans="1:132" x14ac:dyDescent="0.25">
      <c r="A49" s="225" t="s">
        <v>44</v>
      </c>
      <c r="B49" s="198" t="s">
        <v>63</v>
      </c>
      <c r="C49" s="224" t="s">
        <v>122</v>
      </c>
      <c r="D49" s="198" t="s">
        <v>116</v>
      </c>
      <c r="E49" s="198" t="s">
        <v>276</v>
      </c>
      <c r="F49" s="198" t="s">
        <v>276</v>
      </c>
      <c r="G49" s="198" t="s">
        <v>60</v>
      </c>
      <c r="H49" s="198" t="s">
        <v>80</v>
      </c>
      <c r="I49" s="198" t="s">
        <v>135</v>
      </c>
      <c r="J49" s="198" t="s">
        <v>137</v>
      </c>
      <c r="K49" s="198" t="s">
        <v>78</v>
      </c>
      <c r="L49" s="198" t="s">
        <v>277</v>
      </c>
      <c r="M49" s="198" t="s">
        <v>73</v>
      </c>
      <c r="N49" s="198" t="s">
        <v>74</v>
      </c>
      <c r="O49" s="198" t="s">
        <v>71</v>
      </c>
      <c r="P49" s="198" t="s">
        <v>64</v>
      </c>
      <c r="Q49" s="129"/>
      <c r="R49" s="129"/>
      <c r="S49" s="221"/>
      <c r="T49" s="148"/>
      <c r="U49" s="148"/>
      <c r="V49" s="148"/>
      <c r="W49" s="148"/>
      <c r="X49" s="148"/>
      <c r="EB49" s="223"/>
    </row>
    <row r="50" spans="1:132" x14ac:dyDescent="0.25">
      <c r="A50" s="225" t="s">
        <v>117</v>
      </c>
      <c r="B50" s="198" t="s">
        <v>76</v>
      </c>
      <c r="C50" s="224" t="s">
        <v>123</v>
      </c>
      <c r="D50" s="198" t="s">
        <v>277</v>
      </c>
      <c r="E50" s="198" t="s">
        <v>278</v>
      </c>
      <c r="F50" s="198" t="s">
        <v>278</v>
      </c>
      <c r="G50" s="198" t="s">
        <v>70</v>
      </c>
      <c r="H50" s="198" t="s">
        <v>133</v>
      </c>
      <c r="I50" s="198" t="s">
        <v>65</v>
      </c>
      <c r="J50" s="198" t="s">
        <v>138</v>
      </c>
      <c r="K50" s="198" t="s">
        <v>277</v>
      </c>
      <c r="L50" s="198" t="s">
        <v>276</v>
      </c>
      <c r="M50" s="198" t="s">
        <v>330</v>
      </c>
      <c r="N50" s="198" t="s">
        <v>116</v>
      </c>
      <c r="O50" s="198" t="s">
        <v>277</v>
      </c>
      <c r="P50" s="198" t="s">
        <v>69</v>
      </c>
      <c r="Q50" s="129"/>
      <c r="R50" s="129"/>
      <c r="S50" s="221"/>
      <c r="T50" s="148"/>
      <c r="U50" s="148"/>
      <c r="V50" s="148"/>
      <c r="W50" s="148"/>
      <c r="X50" s="148"/>
      <c r="EB50" s="223"/>
    </row>
    <row r="51" spans="1:132" x14ac:dyDescent="0.25">
      <c r="A51" s="225" t="s">
        <v>118</v>
      </c>
      <c r="B51" s="198" t="s">
        <v>120</v>
      </c>
      <c r="C51" s="224" t="s">
        <v>124</v>
      </c>
      <c r="D51" s="198" t="s">
        <v>276</v>
      </c>
      <c r="E51" s="198"/>
      <c r="F51" s="198"/>
      <c r="G51" s="198" t="s">
        <v>75</v>
      </c>
      <c r="H51" s="198" t="s">
        <v>116</v>
      </c>
      <c r="I51" s="198" t="s">
        <v>67</v>
      </c>
      <c r="J51" s="198" t="s">
        <v>139</v>
      </c>
      <c r="K51" s="198" t="s">
        <v>276</v>
      </c>
      <c r="L51" s="198" t="s">
        <v>278</v>
      </c>
      <c r="M51" s="198" t="s">
        <v>144</v>
      </c>
      <c r="N51" s="222" t="s">
        <v>277</v>
      </c>
      <c r="O51" s="198" t="s">
        <v>276</v>
      </c>
      <c r="P51" s="198" t="s">
        <v>82</v>
      </c>
      <c r="Q51" s="129"/>
      <c r="R51" s="129"/>
      <c r="S51" s="221"/>
      <c r="T51" s="148"/>
      <c r="U51" s="148"/>
      <c r="V51" s="148"/>
      <c r="W51" s="148"/>
      <c r="X51" s="148"/>
      <c r="EB51" s="223"/>
    </row>
    <row r="52" spans="1:132" x14ac:dyDescent="0.25">
      <c r="A52" s="225" t="s">
        <v>46</v>
      </c>
      <c r="B52" s="198" t="s">
        <v>77</v>
      </c>
      <c r="C52" s="224" t="s">
        <v>125</v>
      </c>
      <c r="D52" s="198" t="s">
        <v>278</v>
      </c>
      <c r="E52" s="129"/>
      <c r="F52" s="129"/>
      <c r="G52" s="198" t="s">
        <v>277</v>
      </c>
      <c r="H52" s="198" t="s">
        <v>277</v>
      </c>
      <c r="I52" s="198" t="s">
        <v>331</v>
      </c>
      <c r="J52" s="198" t="s">
        <v>51</v>
      </c>
      <c r="K52" s="198" t="s">
        <v>278</v>
      </c>
      <c r="L52" s="198"/>
      <c r="M52" s="198" t="s">
        <v>116</v>
      </c>
      <c r="N52" s="222" t="s">
        <v>276</v>
      </c>
      <c r="O52" s="198" t="s">
        <v>278</v>
      </c>
      <c r="P52" s="198" t="s">
        <v>81</v>
      </c>
      <c r="Q52" s="129"/>
      <c r="R52" s="129"/>
      <c r="S52" s="221"/>
      <c r="T52" s="31"/>
      <c r="U52" s="148"/>
      <c r="V52" s="148"/>
      <c r="W52" s="148"/>
      <c r="X52" s="148"/>
      <c r="EB52" s="223"/>
    </row>
    <row r="53" spans="1:132" x14ac:dyDescent="0.25">
      <c r="A53" s="225" t="s">
        <v>47</v>
      </c>
      <c r="B53" s="198" t="s">
        <v>83</v>
      </c>
      <c r="C53" s="224" t="s">
        <v>116</v>
      </c>
      <c r="D53" s="129"/>
      <c r="E53" s="129"/>
      <c r="F53" s="129"/>
      <c r="G53" s="198" t="s">
        <v>276</v>
      </c>
      <c r="H53" s="198" t="s">
        <v>276</v>
      </c>
      <c r="I53" s="198" t="s">
        <v>277</v>
      </c>
      <c r="J53" s="198" t="s">
        <v>277</v>
      </c>
      <c r="K53" s="198"/>
      <c r="L53" s="129"/>
      <c r="M53" s="198" t="s">
        <v>277</v>
      </c>
      <c r="N53" s="222" t="s">
        <v>278</v>
      </c>
      <c r="O53" s="198"/>
      <c r="P53" s="198" t="s">
        <v>116</v>
      </c>
      <c r="Q53" s="129"/>
      <c r="R53" s="129"/>
      <c r="S53" s="221"/>
      <c r="U53" s="148"/>
      <c r="V53" s="148"/>
      <c r="W53" s="31"/>
      <c r="X53" s="148"/>
      <c r="EB53" s="223"/>
    </row>
    <row r="54" spans="1:132" x14ac:dyDescent="0.25">
      <c r="A54" s="225" t="s">
        <v>48</v>
      </c>
      <c r="B54" s="198" t="s">
        <v>277</v>
      </c>
      <c r="C54" s="224" t="s">
        <v>277</v>
      </c>
      <c r="D54" s="129"/>
      <c r="E54" s="129"/>
      <c r="F54" s="129"/>
      <c r="G54" s="198" t="s">
        <v>278</v>
      </c>
      <c r="H54" s="198" t="s">
        <v>278</v>
      </c>
      <c r="I54" s="198" t="s">
        <v>276</v>
      </c>
      <c r="J54" s="198" t="s">
        <v>276</v>
      </c>
      <c r="K54" s="129"/>
      <c r="L54" s="129"/>
      <c r="M54" s="198" t="s">
        <v>276</v>
      </c>
      <c r="N54" s="222"/>
      <c r="O54" s="129"/>
      <c r="P54" s="198" t="s">
        <v>277</v>
      </c>
      <c r="Q54" s="129"/>
      <c r="R54" s="129"/>
      <c r="S54" s="221"/>
      <c r="U54" s="148"/>
      <c r="V54" s="148"/>
      <c r="X54" s="148"/>
      <c r="EB54" s="223"/>
    </row>
    <row r="55" spans="1:132" x14ac:dyDescent="0.25">
      <c r="A55" s="225" t="s">
        <v>49</v>
      </c>
      <c r="B55" s="198" t="s">
        <v>276</v>
      </c>
      <c r="C55" s="224" t="s">
        <v>276</v>
      </c>
      <c r="D55" s="129"/>
      <c r="E55" s="129"/>
      <c r="F55" s="129"/>
      <c r="G55" s="198"/>
      <c r="H55" s="129"/>
      <c r="I55" s="198" t="s">
        <v>278</v>
      </c>
      <c r="J55" s="198" t="s">
        <v>278</v>
      </c>
      <c r="K55" s="129"/>
      <c r="L55" s="129"/>
      <c r="M55" s="129" t="s">
        <v>278</v>
      </c>
      <c r="N55" s="198"/>
      <c r="O55" s="198"/>
      <c r="P55" s="198" t="s">
        <v>276</v>
      </c>
      <c r="Q55" s="129"/>
      <c r="R55" s="129"/>
      <c r="S55" s="221"/>
      <c r="U55" s="31"/>
      <c r="V55" s="31"/>
      <c r="W55" s="148"/>
      <c r="X55" s="148"/>
      <c r="EB55" s="223"/>
    </row>
    <row r="56" spans="1:132" x14ac:dyDescent="0.25">
      <c r="A56" s="225" t="s">
        <v>50</v>
      </c>
      <c r="B56" s="198" t="s">
        <v>278</v>
      </c>
      <c r="C56" s="224" t="s">
        <v>278</v>
      </c>
      <c r="D56" s="129"/>
      <c r="E56" s="129"/>
      <c r="F56" s="129"/>
      <c r="G56" s="129"/>
      <c r="H56" s="129"/>
      <c r="I56" s="129"/>
      <c r="J56" s="198"/>
      <c r="K56" s="129"/>
      <c r="L56" s="129"/>
      <c r="M56" s="129"/>
      <c r="N56" s="129"/>
      <c r="O56" s="129"/>
      <c r="P56" s="198" t="s">
        <v>278</v>
      </c>
      <c r="Q56" s="129"/>
      <c r="R56" s="129"/>
      <c r="S56" s="221"/>
      <c r="X56" s="31"/>
      <c r="EB56" s="223"/>
    </row>
    <row r="57" spans="1:132" x14ac:dyDescent="0.25">
      <c r="A57" s="225" t="s">
        <v>52</v>
      </c>
      <c r="B57" s="198"/>
      <c r="C57" s="221"/>
      <c r="D57" s="129"/>
      <c r="E57" s="129"/>
      <c r="F57" s="129"/>
      <c r="G57" s="129"/>
      <c r="H57" s="129"/>
      <c r="I57" s="129"/>
      <c r="J57" s="129"/>
      <c r="K57" s="129"/>
      <c r="L57" s="129"/>
      <c r="M57" s="129"/>
      <c r="N57" s="129"/>
      <c r="O57" s="129"/>
      <c r="P57" s="129"/>
      <c r="Q57" s="129"/>
      <c r="R57" s="129"/>
      <c r="S57" s="221"/>
      <c r="EB57" s="223"/>
    </row>
    <row r="58" spans="1:132" x14ac:dyDescent="0.25">
      <c r="A58" s="225" t="s">
        <v>53</v>
      </c>
      <c r="B58" s="129"/>
      <c r="C58" s="221"/>
      <c r="D58" s="129"/>
      <c r="E58" s="129"/>
      <c r="F58" s="129"/>
      <c r="G58" s="129"/>
      <c r="H58" s="129"/>
      <c r="I58" s="129"/>
      <c r="J58" s="129"/>
      <c r="K58" s="129"/>
      <c r="L58" s="129"/>
      <c r="M58" s="129"/>
      <c r="N58" s="129"/>
      <c r="O58" s="129"/>
      <c r="P58" s="129"/>
      <c r="Q58" s="129"/>
      <c r="R58" s="129"/>
      <c r="S58" s="221"/>
      <c r="EB58" s="223"/>
    </row>
    <row r="59" spans="1:132" x14ac:dyDescent="0.25">
      <c r="A59" s="225" t="s">
        <v>54</v>
      </c>
      <c r="B59" s="129"/>
      <c r="C59" s="221"/>
      <c r="D59" s="129"/>
      <c r="E59" s="129"/>
      <c r="F59" s="129"/>
      <c r="G59" s="129"/>
      <c r="H59" s="129"/>
      <c r="I59" s="129"/>
      <c r="J59" s="129"/>
      <c r="K59" s="129"/>
      <c r="L59" s="129"/>
      <c r="M59" s="129"/>
      <c r="N59" s="129"/>
      <c r="O59" s="129"/>
      <c r="P59" s="129"/>
      <c r="Q59" s="129"/>
      <c r="R59" s="129"/>
      <c r="S59" s="221"/>
      <c r="EB59" s="223"/>
    </row>
    <row r="60" spans="1:132" x14ac:dyDescent="0.25">
      <c r="A60" s="225" t="s">
        <v>55</v>
      </c>
      <c r="B60" s="129"/>
      <c r="C60" s="221"/>
      <c r="D60" s="129"/>
      <c r="E60" s="129"/>
      <c r="F60" s="129"/>
      <c r="G60" s="129"/>
      <c r="H60" s="129"/>
      <c r="I60" s="129"/>
      <c r="J60" s="129"/>
      <c r="K60" s="129"/>
      <c r="L60" s="129"/>
      <c r="M60" s="129"/>
      <c r="N60" s="129"/>
      <c r="O60" s="129"/>
      <c r="P60" s="129"/>
      <c r="Q60" s="129"/>
      <c r="R60" s="129"/>
      <c r="S60" s="221"/>
      <c r="EB60" s="223"/>
    </row>
    <row r="61" spans="1:132" x14ac:dyDescent="0.25">
      <c r="A61" s="225" t="s">
        <v>56</v>
      </c>
      <c r="B61" s="129"/>
      <c r="C61" s="221"/>
      <c r="D61" s="129"/>
      <c r="E61" s="129"/>
      <c r="F61" s="129"/>
      <c r="G61" s="129"/>
      <c r="H61" s="129"/>
      <c r="I61" s="129"/>
      <c r="J61" s="129"/>
      <c r="K61" s="129"/>
      <c r="L61" s="129"/>
      <c r="M61" s="129"/>
      <c r="N61" s="129"/>
      <c r="O61" s="129"/>
      <c r="P61" s="129"/>
      <c r="Q61" s="129"/>
      <c r="R61" s="129"/>
      <c r="S61" s="221"/>
      <c r="EB61" s="223"/>
    </row>
    <row r="62" spans="1:132" x14ac:dyDescent="0.25">
      <c r="A62" s="225" t="s">
        <v>57</v>
      </c>
      <c r="B62" s="129"/>
      <c r="C62" s="221"/>
      <c r="D62" s="129"/>
      <c r="E62" s="129"/>
      <c r="F62" s="129"/>
      <c r="G62" s="129"/>
      <c r="H62" s="129"/>
      <c r="I62" s="129"/>
      <c r="J62" s="129"/>
      <c r="K62" s="129"/>
      <c r="L62" s="129"/>
      <c r="M62" s="129"/>
      <c r="N62" s="129"/>
      <c r="O62" s="129"/>
      <c r="P62" s="129"/>
      <c r="Q62" s="129"/>
      <c r="R62" s="129"/>
      <c r="S62" s="221"/>
      <c r="EB62" s="223"/>
    </row>
    <row r="63" spans="1:132" ht="12" customHeight="1" x14ac:dyDescent="0.25">
      <c r="A63" s="225" t="s">
        <v>58</v>
      </c>
      <c r="B63" s="129"/>
      <c r="C63" s="221"/>
      <c r="D63" s="129"/>
      <c r="E63" s="129"/>
      <c r="F63" s="129"/>
      <c r="G63" s="129"/>
      <c r="H63" s="129"/>
      <c r="I63" s="129"/>
      <c r="J63" s="129"/>
      <c r="K63" s="129"/>
      <c r="L63" s="129"/>
      <c r="M63" s="129"/>
      <c r="N63" s="129"/>
      <c r="O63" s="129"/>
      <c r="P63" s="129"/>
      <c r="Q63" s="129"/>
      <c r="R63" s="129"/>
      <c r="S63" s="221"/>
      <c r="EB63" s="223"/>
    </row>
    <row r="64" spans="1:132" x14ac:dyDescent="0.25">
      <c r="A64" s="225" t="s">
        <v>59</v>
      </c>
      <c r="B64" s="129"/>
      <c r="C64" s="221"/>
      <c r="D64" s="129"/>
      <c r="E64" s="129"/>
      <c r="F64" s="129"/>
      <c r="G64" s="129"/>
      <c r="H64" s="129"/>
      <c r="I64" s="129"/>
      <c r="J64" s="129"/>
      <c r="K64" s="129"/>
      <c r="L64" s="129"/>
      <c r="M64" s="129"/>
      <c r="N64" s="129"/>
      <c r="O64" s="129"/>
      <c r="P64" s="129"/>
      <c r="Q64" s="129"/>
      <c r="R64" s="129"/>
      <c r="S64" s="221"/>
      <c r="EB64" s="223"/>
    </row>
    <row r="65" spans="1:132" x14ac:dyDescent="0.25">
      <c r="A65" s="225" t="s">
        <v>277</v>
      </c>
      <c r="B65" s="129"/>
      <c r="C65" s="221"/>
      <c r="D65" s="129"/>
      <c r="E65" s="129"/>
      <c r="F65" s="129"/>
      <c r="G65" s="129"/>
      <c r="H65" s="129"/>
      <c r="I65" s="129"/>
      <c r="J65" s="129"/>
      <c r="K65" s="129"/>
      <c r="L65" s="129"/>
      <c r="M65" s="129"/>
      <c r="N65" s="129"/>
      <c r="O65" s="129"/>
      <c r="P65" s="129"/>
      <c r="Q65" s="129"/>
      <c r="R65" s="129"/>
      <c r="S65" s="221"/>
      <c r="EB65" s="223"/>
    </row>
    <row r="66" spans="1:132" x14ac:dyDescent="0.25">
      <c r="A66" s="225" t="s">
        <v>542</v>
      </c>
      <c r="B66" s="129"/>
      <c r="C66" s="221"/>
      <c r="D66" s="129"/>
      <c r="E66" s="129"/>
      <c r="F66" s="129"/>
      <c r="G66" s="129"/>
      <c r="H66" s="129"/>
      <c r="I66" s="129"/>
      <c r="J66" s="129"/>
      <c r="K66" s="129"/>
      <c r="L66" s="129"/>
      <c r="M66" s="129"/>
      <c r="N66" s="129"/>
      <c r="O66" s="129"/>
      <c r="P66" s="129"/>
      <c r="Q66" s="129"/>
      <c r="R66" s="129"/>
      <c r="S66" s="221"/>
      <c r="EB66" s="223"/>
    </row>
    <row r="67" spans="1:132" x14ac:dyDescent="0.25">
      <c r="A67" s="220" t="s">
        <v>738</v>
      </c>
      <c r="B67" s="237"/>
      <c r="C67" s="236"/>
      <c r="D67" s="129"/>
      <c r="E67" s="129"/>
      <c r="F67" s="129"/>
      <c r="G67" s="129"/>
      <c r="H67" s="129"/>
      <c r="I67" s="129"/>
      <c r="J67" s="129"/>
      <c r="K67" s="129"/>
      <c r="L67" s="129"/>
      <c r="M67" s="129"/>
      <c r="N67" s="129"/>
      <c r="O67" s="129"/>
      <c r="P67" s="129"/>
      <c r="Q67" s="129"/>
      <c r="R67" s="129"/>
      <c r="S67" s="221"/>
      <c r="T67" s="31"/>
      <c r="U67" s="31"/>
      <c r="V67" s="31"/>
      <c r="W67" s="31"/>
      <c r="X67" s="31"/>
      <c r="Y67" s="31"/>
      <c r="Z67" s="31"/>
      <c r="AA67" s="31"/>
      <c r="EB67" s="223"/>
    </row>
    <row r="68" spans="1:132" ht="27" customHeight="1" x14ac:dyDescent="0.25">
      <c r="A68" s="234"/>
      <c r="B68" s="234"/>
      <c r="D68" s="231"/>
      <c r="EB68" s="223"/>
    </row>
    <row r="69" spans="1:132" x14ac:dyDescent="0.25">
      <c r="A69" s="285" t="s">
        <v>362</v>
      </c>
      <c r="B69" s="198" t="s">
        <v>149</v>
      </c>
      <c r="C69" s="148"/>
      <c r="D69" s="231"/>
      <c r="E69" s="148"/>
      <c r="F69" s="148"/>
      <c r="EB69" s="223"/>
    </row>
    <row r="70" spans="1:132" x14ac:dyDescent="0.25">
      <c r="A70" s="234"/>
      <c r="B70" s="198" t="s">
        <v>150</v>
      </c>
      <c r="C70" s="148"/>
      <c r="D70" s="231"/>
      <c r="E70" s="148"/>
      <c r="F70" s="148"/>
      <c r="EB70" s="223"/>
    </row>
    <row r="71" spans="1:132" x14ac:dyDescent="0.25">
      <c r="A71" s="234"/>
      <c r="B71" s="148"/>
      <c r="C71" s="148"/>
      <c r="D71" s="231"/>
      <c r="E71" s="148"/>
      <c r="F71" s="148"/>
      <c r="EB71" s="223"/>
    </row>
    <row r="72" spans="1:132" x14ac:dyDescent="0.25">
      <c r="B72" s="219"/>
      <c r="D72" s="231"/>
      <c r="EB72" s="223"/>
    </row>
    <row r="73" spans="1:132" x14ac:dyDescent="0.25">
      <c r="A73" s="286" t="s">
        <v>115</v>
      </c>
      <c r="B73" s="218" t="s">
        <v>387</v>
      </c>
      <c r="D73" s="231"/>
      <c r="EB73" s="223"/>
    </row>
    <row r="74" spans="1:132" x14ac:dyDescent="0.25">
      <c r="B74" s="155" t="s">
        <v>254</v>
      </c>
      <c r="D74" s="231"/>
      <c r="EB74" s="223"/>
    </row>
    <row r="75" spans="1:132" x14ac:dyDescent="0.25">
      <c r="B75" s="218" t="s">
        <v>255</v>
      </c>
      <c r="D75" s="231"/>
      <c r="EB75" s="223"/>
    </row>
    <row r="76" spans="1:132" x14ac:dyDescent="0.25">
      <c r="B76" s="218" t="s">
        <v>256</v>
      </c>
      <c r="D76" s="231"/>
      <c r="EB76" s="223"/>
    </row>
    <row r="77" spans="1:132" x14ac:dyDescent="0.25">
      <c r="B77" s="218" t="s">
        <v>4</v>
      </c>
      <c r="D77" s="393" t="s">
        <v>526</v>
      </c>
      <c r="E77" s="394"/>
      <c r="F77" s="386" t="s">
        <v>525</v>
      </c>
      <c r="EB77" s="223"/>
    </row>
    <row r="78" spans="1:132" x14ac:dyDescent="0.25">
      <c r="A78" s="217"/>
      <c r="D78" s="231"/>
      <c r="EB78" s="223"/>
    </row>
    <row r="79" spans="1:132" x14ac:dyDescent="0.25">
      <c r="A79" s="211" t="s">
        <v>37</v>
      </c>
      <c r="B79" s="211" t="s">
        <v>213</v>
      </c>
      <c r="C79" s="211" t="s">
        <v>219</v>
      </c>
      <c r="D79" s="211" t="s">
        <v>38</v>
      </c>
      <c r="E79" s="211"/>
      <c r="F79" s="211" t="s">
        <v>157</v>
      </c>
      <c r="H79" s="98"/>
      <c r="I79" s="98"/>
      <c r="J79" s="98"/>
      <c r="K79" s="98"/>
      <c r="EB79" s="223"/>
    </row>
    <row r="80" spans="1:132" x14ac:dyDescent="0.25">
      <c r="A80" s="210" t="str">
        <f>IF('Basic Data'!B7="","",'Basic Data'!B7)</f>
        <v/>
      </c>
      <c r="B80" s="209" t="str">
        <f>IF($A$80="","",VLOOKUP($A$80,$A$83:$J$84,2,FALSE))</f>
        <v/>
      </c>
      <c r="C80" s="209" t="str">
        <f>IF($A$80="","",VLOOKUP($A$80,$A$83:$J$84,3,FALSE))</f>
        <v/>
      </c>
      <c r="D80" s="209" t="str">
        <f>IF($A$80="","",VLOOKUP($A$80,$A$83:$J$84,4,FALSE))</f>
        <v/>
      </c>
      <c r="E80" s="209"/>
      <c r="F80" s="208" t="str">
        <f>IF($A$80="","",VLOOKUP($A$80,$A$83:$J$84,6,FALSE))</f>
        <v/>
      </c>
      <c r="J80" s="217"/>
      <c r="K80" s="217"/>
      <c r="EB80" s="223"/>
    </row>
    <row r="81" spans="1:132" x14ac:dyDescent="0.25">
      <c r="EB81" s="223"/>
    </row>
    <row r="82" spans="1:132" x14ac:dyDescent="0.25">
      <c r="A82" s="162" t="s">
        <v>37</v>
      </c>
      <c r="B82" s="162" t="s">
        <v>213</v>
      </c>
      <c r="C82" s="162" t="s">
        <v>219</v>
      </c>
      <c r="D82" s="162" t="s">
        <v>38</v>
      </c>
      <c r="E82" s="162" t="s">
        <v>522</v>
      </c>
      <c r="F82" s="162" t="s">
        <v>157</v>
      </c>
      <c r="G82" s="98"/>
      <c r="H82" s="98"/>
      <c r="I82" s="98"/>
      <c r="J82" s="98"/>
      <c r="K82" s="98"/>
      <c r="L82" s="98"/>
      <c r="EB82" s="223"/>
    </row>
    <row r="83" spans="1:132" x14ac:dyDescent="0.25">
      <c r="A83" s="162" t="s">
        <v>1023</v>
      </c>
      <c r="B83" s="162" t="s">
        <v>975</v>
      </c>
      <c r="C83" s="162" t="s">
        <v>976</v>
      </c>
      <c r="D83" s="162" t="s">
        <v>680</v>
      </c>
      <c r="E83" s="162" t="s">
        <v>680</v>
      </c>
      <c r="F83" s="493">
        <v>44698</v>
      </c>
      <c r="G83" s="98"/>
      <c r="H83" s="98"/>
      <c r="I83" s="98"/>
      <c r="J83" s="98"/>
      <c r="K83" s="98"/>
      <c r="L83" s="98"/>
      <c r="EB83" s="223"/>
    </row>
    <row r="84" spans="1:132" x14ac:dyDescent="0.25">
      <c r="A84" s="155" t="s">
        <v>542</v>
      </c>
      <c r="B84" s="215" t="s">
        <v>225</v>
      </c>
      <c r="C84" s="215" t="s">
        <v>225</v>
      </c>
      <c r="D84" s="215" t="s">
        <v>225</v>
      </c>
      <c r="E84" s="215" t="s">
        <v>225</v>
      </c>
      <c r="F84" s="214" t="s">
        <v>225</v>
      </c>
      <c r="G84" s="213"/>
      <c r="H84" s="216"/>
      <c r="I84" s="31"/>
      <c r="J84" s="216"/>
      <c r="K84" s="216"/>
      <c r="L84" s="31"/>
      <c r="EB84" s="223"/>
    </row>
    <row r="85" spans="1:132" x14ac:dyDescent="0.25">
      <c r="F85" s="212"/>
      <c r="H85" s="216"/>
      <c r="I85" s="31"/>
      <c r="J85" s="216"/>
      <c r="K85" s="216"/>
      <c r="L85" s="31"/>
      <c r="EB85" s="223"/>
    </row>
    <row r="86" spans="1:132" x14ac:dyDescent="0.25">
      <c r="F86" s="212"/>
      <c r="H86" s="216"/>
      <c r="I86" s="31"/>
      <c r="J86" s="216"/>
      <c r="K86" s="216"/>
      <c r="L86" s="31"/>
      <c r="EB86" s="223"/>
    </row>
    <row r="87" spans="1:132" ht="12.75" x14ac:dyDescent="0.2">
      <c r="A87" s="494" t="s">
        <v>543</v>
      </c>
      <c r="F87" s="212"/>
      <c r="H87" s="216"/>
      <c r="I87" s="31"/>
      <c r="J87" s="216"/>
      <c r="K87" s="216"/>
      <c r="L87" s="31"/>
      <c r="EB87" s="223"/>
    </row>
    <row r="88" spans="1:132" ht="12.75" x14ac:dyDescent="0.2">
      <c r="A88" s="494" t="s">
        <v>544</v>
      </c>
      <c r="F88" s="212"/>
      <c r="H88" s="216"/>
      <c r="I88" s="31"/>
      <c r="J88" s="216"/>
      <c r="K88" s="216"/>
      <c r="L88" s="31"/>
      <c r="EB88" s="223"/>
    </row>
    <row r="89" spans="1:132" ht="12.75" x14ac:dyDescent="0.2">
      <c r="A89" s="494" t="s">
        <v>545</v>
      </c>
      <c r="F89" s="212"/>
      <c r="H89" s="216"/>
      <c r="I89" s="31"/>
      <c r="J89" s="216"/>
      <c r="K89" s="216"/>
      <c r="L89" s="31"/>
      <c r="EB89" s="223"/>
    </row>
    <row r="90" spans="1:132" ht="12.75" x14ac:dyDescent="0.2">
      <c r="A90" s="494" t="s">
        <v>546</v>
      </c>
      <c r="F90" s="212"/>
      <c r="H90" s="216"/>
      <c r="I90" s="31"/>
      <c r="J90" s="216"/>
      <c r="K90" s="216"/>
      <c r="L90" s="31"/>
      <c r="EB90" s="223"/>
    </row>
    <row r="91" spans="1:132" ht="12.75" x14ac:dyDescent="0.2">
      <c r="A91" s="494" t="s">
        <v>547</v>
      </c>
      <c r="F91" s="212"/>
      <c r="H91" s="216"/>
      <c r="I91" s="31"/>
      <c r="J91" s="216"/>
      <c r="K91" s="216"/>
      <c r="L91" s="31"/>
      <c r="EB91" s="223"/>
    </row>
    <row r="92" spans="1:132" ht="12.75" x14ac:dyDescent="0.2">
      <c r="A92" s="494" t="s">
        <v>548</v>
      </c>
      <c r="F92" s="212"/>
      <c r="H92" s="216"/>
      <c r="I92" s="31"/>
      <c r="J92" s="216"/>
      <c r="K92" s="216"/>
      <c r="L92" s="31"/>
      <c r="EB92" s="223"/>
    </row>
    <row r="93" spans="1:132" ht="12.75" x14ac:dyDescent="0.2">
      <c r="A93" s="494" t="s">
        <v>549</v>
      </c>
      <c r="F93" s="212"/>
      <c r="H93" s="216"/>
      <c r="I93" s="31"/>
      <c r="J93" s="216"/>
      <c r="K93" s="216"/>
      <c r="L93" s="31"/>
      <c r="EB93" s="223"/>
    </row>
    <row r="94" spans="1:132" ht="12.75" x14ac:dyDescent="0.2">
      <c r="A94" s="494" t="s">
        <v>550</v>
      </c>
      <c r="F94" s="212"/>
      <c r="H94" s="216"/>
      <c r="I94" s="31"/>
      <c r="J94" s="216"/>
      <c r="K94" s="216"/>
      <c r="L94" s="31"/>
      <c r="EB94" s="223"/>
    </row>
    <row r="95" spans="1:132" ht="12.75" x14ac:dyDescent="0.2">
      <c r="A95" s="494" t="s">
        <v>551</v>
      </c>
      <c r="F95" s="212"/>
      <c r="H95" s="216"/>
      <c r="I95" s="31"/>
      <c r="J95" s="216"/>
      <c r="K95" s="216"/>
      <c r="L95" s="31"/>
      <c r="EB95" s="223"/>
    </row>
    <row r="96" spans="1:132" ht="12.75" x14ac:dyDescent="0.2">
      <c r="A96" s="494" t="s">
        <v>552</v>
      </c>
      <c r="F96" s="212"/>
      <c r="H96" s="216"/>
      <c r="I96" s="31"/>
      <c r="J96" s="216"/>
      <c r="K96" s="216"/>
      <c r="L96" s="31"/>
      <c r="EB96" s="223"/>
    </row>
    <row r="97" spans="1:132" ht="12.75" x14ac:dyDescent="0.2">
      <c r="A97" s="494" t="s">
        <v>553</v>
      </c>
      <c r="F97" s="212"/>
      <c r="H97" s="216"/>
      <c r="I97" s="31"/>
      <c r="J97" s="216"/>
      <c r="K97" s="216"/>
      <c r="L97" s="31"/>
      <c r="EB97" s="223"/>
    </row>
    <row r="98" spans="1:132" ht="12.75" x14ac:dyDescent="0.2">
      <c r="A98" s="494" t="s">
        <v>554</v>
      </c>
      <c r="F98" s="212"/>
      <c r="H98" s="216"/>
      <c r="I98" s="31"/>
      <c r="J98" s="216"/>
      <c r="K98" s="216"/>
      <c r="L98" s="31"/>
      <c r="EB98" s="223"/>
    </row>
    <row r="99" spans="1:132" ht="12.75" x14ac:dyDescent="0.2">
      <c r="A99" s="494" t="s">
        <v>555</v>
      </c>
      <c r="F99" s="212"/>
      <c r="H99" s="216"/>
      <c r="I99" s="31"/>
      <c r="J99" s="216"/>
      <c r="K99" s="216"/>
      <c r="L99" s="31"/>
      <c r="EB99" s="223"/>
    </row>
    <row r="100" spans="1:132" ht="12.75" x14ac:dyDescent="0.2">
      <c r="A100" s="494" t="s">
        <v>556</v>
      </c>
      <c r="F100" s="212"/>
      <c r="H100" s="216"/>
      <c r="I100" s="31"/>
      <c r="J100" s="216"/>
      <c r="K100" s="216"/>
      <c r="L100" s="31"/>
      <c r="EB100" s="223"/>
    </row>
    <row r="101" spans="1:132" ht="12.75" x14ac:dyDescent="0.2">
      <c r="A101" s="494" t="s">
        <v>557</v>
      </c>
      <c r="F101" s="212"/>
      <c r="H101" s="216"/>
      <c r="I101" s="31"/>
      <c r="J101" s="216"/>
      <c r="K101" s="216"/>
      <c r="L101" s="31"/>
      <c r="EB101" s="223"/>
    </row>
    <row r="102" spans="1:132" ht="12.75" x14ac:dyDescent="0.2">
      <c r="A102" s="494" t="s">
        <v>558</v>
      </c>
      <c r="F102" s="212"/>
      <c r="H102" s="216"/>
      <c r="I102" s="31"/>
      <c r="J102" s="216"/>
      <c r="K102" s="216"/>
      <c r="L102" s="31"/>
      <c r="EB102" s="223"/>
    </row>
    <row r="103" spans="1:132" ht="12.75" x14ac:dyDescent="0.2">
      <c r="A103" s="494" t="s">
        <v>559</v>
      </c>
      <c r="F103" s="212"/>
      <c r="H103" s="216"/>
      <c r="I103" s="31"/>
      <c r="J103" s="216"/>
      <c r="K103" s="216"/>
      <c r="L103" s="31"/>
      <c r="EB103" s="223"/>
    </row>
    <row r="104" spans="1:132" ht="12.75" x14ac:dyDescent="0.2">
      <c r="A104" s="494" t="s">
        <v>560</v>
      </c>
      <c r="F104" s="212"/>
      <c r="H104" s="216"/>
      <c r="I104" s="31"/>
      <c r="J104" s="216"/>
      <c r="K104" s="216"/>
      <c r="L104" s="31"/>
      <c r="EB104" s="223"/>
    </row>
    <row r="105" spans="1:132" ht="12.75" x14ac:dyDescent="0.2">
      <c r="A105" s="494" t="s">
        <v>561</v>
      </c>
      <c r="F105" s="212"/>
      <c r="H105" s="216"/>
      <c r="I105" s="31"/>
      <c r="J105" s="216"/>
      <c r="K105" s="216"/>
      <c r="L105" s="31"/>
      <c r="EB105" s="223"/>
    </row>
    <row r="106" spans="1:132" ht="12.75" x14ac:dyDescent="0.2">
      <c r="A106" s="494" t="s">
        <v>562</v>
      </c>
      <c r="F106" s="212"/>
      <c r="H106" s="216"/>
      <c r="I106" s="31"/>
      <c r="J106" s="216"/>
      <c r="K106" s="216"/>
      <c r="L106" s="31"/>
      <c r="EB106" s="223"/>
    </row>
    <row r="107" spans="1:132" ht="12.75" x14ac:dyDescent="0.2">
      <c r="A107" s="494" t="s">
        <v>563</v>
      </c>
      <c r="F107" s="212"/>
      <c r="H107" s="216"/>
      <c r="I107" s="31"/>
      <c r="J107" s="216"/>
      <c r="K107" s="216"/>
      <c r="L107" s="31"/>
      <c r="EB107" s="223"/>
    </row>
    <row r="108" spans="1:132" ht="12.75" x14ac:dyDescent="0.2">
      <c r="A108" s="494" t="s">
        <v>564</v>
      </c>
      <c r="F108" s="212"/>
      <c r="H108" s="216"/>
      <c r="I108" s="31"/>
      <c r="J108" s="216"/>
      <c r="K108" s="216"/>
      <c r="L108" s="31"/>
      <c r="EB108" s="223"/>
    </row>
    <row r="109" spans="1:132" ht="12.75" x14ac:dyDescent="0.2">
      <c r="A109" s="494" t="s">
        <v>565</v>
      </c>
      <c r="F109" s="212"/>
      <c r="H109" s="216"/>
      <c r="I109" s="31"/>
      <c r="J109" s="216"/>
      <c r="K109" s="216"/>
      <c r="L109" s="31"/>
      <c r="EB109" s="223"/>
    </row>
    <row r="110" spans="1:132" ht="12.75" x14ac:dyDescent="0.2">
      <c r="A110" s="494" t="s">
        <v>566</v>
      </c>
      <c r="F110" s="212"/>
      <c r="H110" s="216"/>
      <c r="I110" s="31"/>
      <c r="J110" s="216"/>
      <c r="K110" s="216"/>
      <c r="L110" s="31"/>
      <c r="EB110" s="223"/>
    </row>
    <row r="111" spans="1:132" ht="12.75" x14ac:dyDescent="0.2">
      <c r="A111" s="494" t="s">
        <v>567</v>
      </c>
      <c r="F111" s="212"/>
      <c r="H111" s="216"/>
      <c r="I111" s="31"/>
      <c r="J111" s="216"/>
      <c r="K111" s="216"/>
      <c r="L111" s="31"/>
      <c r="EB111" s="223"/>
    </row>
    <row r="112" spans="1:132" ht="12.75" x14ac:dyDescent="0.2">
      <c r="A112" s="494" t="s">
        <v>568</v>
      </c>
      <c r="F112" s="212"/>
      <c r="H112" s="216"/>
      <c r="I112" s="31"/>
      <c r="J112" s="216"/>
      <c r="K112" s="216"/>
      <c r="L112" s="31"/>
      <c r="EB112" s="223"/>
    </row>
    <row r="113" spans="1:132" ht="12.75" x14ac:dyDescent="0.2">
      <c r="A113" s="494" t="s">
        <v>569</v>
      </c>
      <c r="F113" s="212"/>
      <c r="H113" s="216"/>
      <c r="I113" s="31"/>
      <c r="J113" s="216"/>
      <c r="K113" s="216"/>
      <c r="L113" s="31"/>
      <c r="EB113" s="223"/>
    </row>
    <row r="114" spans="1:132" ht="12.75" x14ac:dyDescent="0.2">
      <c r="A114" s="494" t="s">
        <v>570</v>
      </c>
      <c r="F114" s="212"/>
      <c r="H114" s="216"/>
      <c r="I114" s="31"/>
      <c r="J114" s="216"/>
      <c r="K114" s="216"/>
      <c r="L114" s="31"/>
      <c r="EB114" s="223"/>
    </row>
    <row r="115" spans="1:132" ht="12.75" x14ac:dyDescent="0.2">
      <c r="A115" s="494" t="s">
        <v>571</v>
      </c>
      <c r="F115" s="212"/>
      <c r="H115" s="216"/>
      <c r="I115" s="31"/>
      <c r="J115" s="216"/>
      <c r="K115" s="216"/>
      <c r="L115" s="31"/>
      <c r="EB115" s="223"/>
    </row>
    <row r="116" spans="1:132" ht="12.75" x14ac:dyDescent="0.2">
      <c r="A116" s="494" t="s">
        <v>572</v>
      </c>
      <c r="F116" s="212"/>
      <c r="H116" s="216"/>
      <c r="I116" s="31"/>
      <c r="J116" s="216"/>
      <c r="K116" s="216"/>
      <c r="L116" s="31"/>
      <c r="EB116" s="223"/>
    </row>
    <row r="117" spans="1:132" ht="12.75" x14ac:dyDescent="0.2">
      <c r="A117" s="494" t="s">
        <v>573</v>
      </c>
      <c r="F117" s="212"/>
      <c r="H117" s="216"/>
      <c r="I117" s="31"/>
      <c r="J117" s="216"/>
      <c r="K117" s="216"/>
      <c r="L117" s="31"/>
      <c r="EB117" s="223"/>
    </row>
    <row r="118" spans="1:132" ht="12.75" x14ac:dyDescent="0.2">
      <c r="A118" s="494" t="s">
        <v>574</v>
      </c>
      <c r="F118" s="212"/>
      <c r="H118" s="216"/>
      <c r="I118" s="31"/>
      <c r="J118" s="216"/>
      <c r="K118" s="216"/>
      <c r="L118" s="31"/>
      <c r="EB118" s="223"/>
    </row>
    <row r="119" spans="1:132" ht="12.75" x14ac:dyDescent="0.2">
      <c r="A119" s="494" t="s">
        <v>575</v>
      </c>
      <c r="F119" s="212"/>
      <c r="H119" s="216"/>
      <c r="I119" s="31"/>
      <c r="J119" s="216"/>
      <c r="K119" s="216"/>
      <c r="L119" s="31"/>
      <c r="EB119" s="223"/>
    </row>
    <row r="120" spans="1:132" ht="12.75" x14ac:dyDescent="0.2">
      <c r="A120" s="494" t="s">
        <v>576</v>
      </c>
      <c r="F120" s="212"/>
      <c r="H120" s="216"/>
      <c r="I120" s="31"/>
      <c r="J120" s="216"/>
      <c r="K120" s="216"/>
      <c r="L120" s="31"/>
      <c r="EB120" s="223"/>
    </row>
    <row r="121" spans="1:132" ht="12.75" x14ac:dyDescent="0.2">
      <c r="A121" s="494" t="s">
        <v>577</v>
      </c>
      <c r="F121" s="212"/>
      <c r="H121" s="216"/>
      <c r="I121" s="31"/>
      <c r="J121" s="216"/>
      <c r="K121" s="216"/>
      <c r="L121" s="31"/>
      <c r="EB121" s="223"/>
    </row>
    <row r="122" spans="1:132" ht="12.75" x14ac:dyDescent="0.2">
      <c r="A122" s="494" t="s">
        <v>578</v>
      </c>
      <c r="F122" s="212"/>
      <c r="H122" s="216"/>
      <c r="I122" s="31"/>
      <c r="J122" s="216"/>
      <c r="K122" s="216"/>
      <c r="L122" s="31"/>
      <c r="EB122" s="223"/>
    </row>
    <row r="123" spans="1:132" ht="12.75" x14ac:dyDescent="0.2">
      <c r="A123" s="494" t="s">
        <v>579</v>
      </c>
      <c r="F123" s="212"/>
      <c r="H123" s="216"/>
      <c r="I123" s="31"/>
      <c r="J123" s="216"/>
      <c r="K123" s="216"/>
      <c r="L123" s="31"/>
      <c r="EB123" s="223"/>
    </row>
    <row r="124" spans="1:132" ht="12.75" x14ac:dyDescent="0.2">
      <c r="A124" s="494" t="s">
        <v>580</v>
      </c>
      <c r="F124" s="212"/>
      <c r="H124" s="216"/>
      <c r="I124" s="31"/>
      <c r="J124" s="216"/>
      <c r="K124" s="216"/>
      <c r="L124" s="31"/>
      <c r="EB124" s="223"/>
    </row>
    <row r="125" spans="1:132" ht="12.75" x14ac:dyDescent="0.2">
      <c r="A125" s="494" t="s">
        <v>581</v>
      </c>
      <c r="F125" s="212"/>
      <c r="H125" s="216"/>
      <c r="I125" s="31"/>
      <c r="J125" s="216"/>
      <c r="K125" s="216"/>
      <c r="L125" s="31"/>
      <c r="EB125" s="223"/>
    </row>
    <row r="126" spans="1:132" ht="12.75" x14ac:dyDescent="0.2">
      <c r="A126" s="494" t="s">
        <v>582</v>
      </c>
      <c r="F126" s="212"/>
      <c r="H126" s="216"/>
      <c r="I126" s="31"/>
      <c r="J126" s="216"/>
      <c r="K126" s="216"/>
      <c r="L126" s="31"/>
      <c r="EB126" s="223"/>
    </row>
    <row r="127" spans="1:132" ht="12.75" x14ac:dyDescent="0.2">
      <c r="A127" s="494" t="s">
        <v>583</v>
      </c>
      <c r="F127" s="212"/>
      <c r="H127" s="216"/>
      <c r="I127" s="31"/>
      <c r="J127" s="216"/>
      <c r="K127" s="216"/>
      <c r="L127" s="31"/>
      <c r="EB127" s="223"/>
    </row>
    <row r="128" spans="1:132" ht="12.75" x14ac:dyDescent="0.2">
      <c r="A128" s="494" t="s">
        <v>584</v>
      </c>
      <c r="F128" s="212"/>
      <c r="H128" s="216"/>
      <c r="I128" s="31"/>
      <c r="J128" s="216"/>
      <c r="K128" s="216"/>
      <c r="L128" s="31"/>
      <c r="EB128" s="223"/>
    </row>
    <row r="129" spans="1:132" ht="12.75" x14ac:dyDescent="0.2">
      <c r="A129" s="494" t="s">
        <v>585</v>
      </c>
      <c r="F129" s="212"/>
      <c r="H129" s="216"/>
      <c r="I129" s="31"/>
      <c r="J129" s="216"/>
      <c r="K129" s="216"/>
      <c r="L129" s="31"/>
      <c r="EB129" s="223"/>
    </row>
    <row r="130" spans="1:132" ht="12.75" x14ac:dyDescent="0.2">
      <c r="A130" s="494" t="s">
        <v>586</v>
      </c>
      <c r="F130" s="212"/>
      <c r="H130" s="216"/>
      <c r="I130" s="31"/>
      <c r="J130" s="216"/>
      <c r="K130" s="216"/>
      <c r="L130" s="31"/>
      <c r="EB130" s="223"/>
    </row>
    <row r="131" spans="1:132" ht="12.75" x14ac:dyDescent="0.2">
      <c r="A131" s="494" t="s">
        <v>587</v>
      </c>
      <c r="F131" s="212"/>
      <c r="H131" s="216"/>
      <c r="I131" s="31"/>
      <c r="J131" s="216"/>
      <c r="K131" s="216"/>
      <c r="L131" s="31"/>
      <c r="EB131" s="223"/>
    </row>
    <row r="132" spans="1:132" ht="12.75" x14ac:dyDescent="0.2">
      <c r="A132" s="494" t="s">
        <v>588</v>
      </c>
      <c r="F132" s="212"/>
      <c r="H132" s="216"/>
      <c r="I132" s="31"/>
      <c r="J132" s="216"/>
      <c r="K132" s="216"/>
      <c r="L132" s="31"/>
      <c r="EB132" s="223"/>
    </row>
    <row r="133" spans="1:132" ht="12.75" x14ac:dyDescent="0.2">
      <c r="A133" s="494" t="s">
        <v>589</v>
      </c>
      <c r="F133" s="212"/>
      <c r="H133" s="216"/>
      <c r="I133" s="31"/>
      <c r="J133" s="216"/>
      <c r="K133" s="216"/>
      <c r="L133" s="31"/>
      <c r="EB133" s="223"/>
    </row>
    <row r="134" spans="1:132" ht="12.75" x14ac:dyDescent="0.2">
      <c r="A134" s="494" t="s">
        <v>590</v>
      </c>
      <c r="F134" s="212"/>
      <c r="H134" s="216"/>
      <c r="I134" s="31"/>
      <c r="J134" s="216"/>
      <c r="K134" s="216"/>
      <c r="L134" s="31"/>
      <c r="EB134" s="223"/>
    </row>
    <row r="135" spans="1:132" ht="12.75" x14ac:dyDescent="0.2">
      <c r="A135" s="494" t="s">
        <v>591</v>
      </c>
      <c r="F135" s="212"/>
      <c r="H135" s="216"/>
      <c r="I135" s="31"/>
      <c r="J135" s="216"/>
      <c r="K135" s="216"/>
      <c r="L135" s="31"/>
      <c r="EB135" s="223"/>
    </row>
    <row r="136" spans="1:132" ht="12.75" x14ac:dyDescent="0.2">
      <c r="A136" s="494" t="s">
        <v>592</v>
      </c>
      <c r="F136" s="212"/>
      <c r="H136" s="216"/>
      <c r="I136" s="31"/>
      <c r="J136" s="216"/>
      <c r="K136" s="216"/>
      <c r="L136" s="31"/>
      <c r="EB136" s="223"/>
    </row>
    <row r="137" spans="1:132" ht="12.75" x14ac:dyDescent="0.2">
      <c r="A137" s="494" t="s">
        <v>593</v>
      </c>
      <c r="F137" s="212"/>
      <c r="H137" s="216"/>
      <c r="I137" s="31"/>
      <c r="J137" s="216"/>
      <c r="K137" s="216"/>
      <c r="L137" s="31"/>
      <c r="EB137" s="223"/>
    </row>
    <row r="138" spans="1:132" ht="12.75" x14ac:dyDescent="0.2">
      <c r="A138" s="494" t="s">
        <v>594</v>
      </c>
      <c r="F138" s="212"/>
      <c r="H138" s="216"/>
      <c r="I138" s="31"/>
      <c r="J138" s="216"/>
      <c r="K138" s="216"/>
      <c r="L138" s="31"/>
      <c r="EB138" s="223"/>
    </row>
    <row r="139" spans="1:132" ht="12.75" x14ac:dyDescent="0.2">
      <c r="A139" s="494" t="s">
        <v>595</v>
      </c>
      <c r="F139" s="212"/>
      <c r="H139" s="216"/>
      <c r="I139" s="31"/>
      <c r="J139" s="216"/>
      <c r="K139" s="216"/>
      <c r="L139" s="31"/>
      <c r="EB139" s="223"/>
    </row>
    <row r="140" spans="1:132" ht="12.75" x14ac:dyDescent="0.2">
      <c r="A140" s="494" t="s">
        <v>596</v>
      </c>
      <c r="F140" s="212"/>
      <c r="H140" s="216"/>
      <c r="I140" s="31"/>
      <c r="J140" s="216"/>
      <c r="K140" s="216"/>
      <c r="L140" s="31"/>
      <c r="EB140" s="223"/>
    </row>
    <row r="141" spans="1:132" ht="12.75" x14ac:dyDescent="0.2">
      <c r="A141" s="494" t="s">
        <v>597</v>
      </c>
      <c r="F141" s="212"/>
      <c r="H141" s="216"/>
      <c r="I141" s="31"/>
      <c r="J141" s="216"/>
      <c r="K141" s="216"/>
      <c r="L141" s="31"/>
      <c r="EB141" s="223"/>
    </row>
    <row r="142" spans="1:132" ht="12.75" x14ac:dyDescent="0.2">
      <c r="A142" s="494" t="s">
        <v>598</v>
      </c>
      <c r="F142" s="212"/>
      <c r="H142" s="216"/>
      <c r="I142" s="31"/>
      <c r="J142" s="216"/>
      <c r="K142" s="216"/>
      <c r="L142" s="31"/>
      <c r="EB142" s="223"/>
    </row>
    <row r="143" spans="1:132" ht="12.75" x14ac:dyDescent="0.2">
      <c r="A143" s="494" t="s">
        <v>599</v>
      </c>
      <c r="F143" s="212"/>
      <c r="H143" s="216"/>
      <c r="I143" s="31"/>
      <c r="J143" s="216"/>
      <c r="K143" s="216"/>
      <c r="L143" s="31"/>
      <c r="EB143" s="223"/>
    </row>
    <row r="144" spans="1:132" ht="12.75" x14ac:dyDescent="0.2">
      <c r="A144" s="494" t="s">
        <v>600</v>
      </c>
      <c r="F144" s="212"/>
      <c r="H144" s="216"/>
      <c r="I144" s="31"/>
      <c r="J144" s="216"/>
      <c r="K144" s="216"/>
      <c r="L144" s="31"/>
      <c r="EB144" s="223"/>
    </row>
    <row r="145" spans="1:132" ht="12.75" x14ac:dyDescent="0.2">
      <c r="A145" s="494" t="s">
        <v>601</v>
      </c>
      <c r="F145" s="212"/>
      <c r="H145" s="216"/>
      <c r="I145" s="31"/>
      <c r="J145" s="216"/>
      <c r="K145" s="216"/>
      <c r="L145" s="31"/>
      <c r="EB145" s="223"/>
    </row>
    <row r="146" spans="1:132" ht="12.75" x14ac:dyDescent="0.2">
      <c r="A146" s="494" t="s">
        <v>602</v>
      </c>
      <c r="F146" s="212"/>
      <c r="H146" s="216"/>
      <c r="I146" s="31"/>
      <c r="J146" s="216"/>
      <c r="K146" s="216"/>
      <c r="L146" s="31"/>
      <c r="EB146" s="223"/>
    </row>
    <row r="147" spans="1:132" ht="12.75" x14ac:dyDescent="0.2">
      <c r="A147" s="494" t="s">
        <v>603</v>
      </c>
      <c r="F147" s="212"/>
      <c r="H147" s="216"/>
      <c r="I147" s="31"/>
      <c r="J147" s="216"/>
      <c r="K147" s="216"/>
      <c r="L147" s="31"/>
      <c r="EB147" s="223"/>
    </row>
    <row r="148" spans="1:132" ht="12.75" x14ac:dyDescent="0.2">
      <c r="A148" s="494" t="s">
        <v>604</v>
      </c>
      <c r="F148" s="212"/>
      <c r="H148" s="216"/>
      <c r="I148" s="31"/>
      <c r="J148" s="216"/>
      <c r="K148" s="216"/>
      <c r="L148" s="31"/>
      <c r="EB148" s="223"/>
    </row>
    <row r="149" spans="1:132" ht="12.75" x14ac:dyDescent="0.2">
      <c r="A149" s="494" t="s">
        <v>605</v>
      </c>
      <c r="F149" s="212"/>
      <c r="H149" s="216"/>
      <c r="I149" s="31"/>
      <c r="J149" s="216"/>
      <c r="K149" s="216"/>
      <c r="L149" s="31"/>
      <c r="EB149" s="223"/>
    </row>
    <row r="150" spans="1:132" ht="12.75" x14ac:dyDescent="0.2">
      <c r="A150" s="494" t="s">
        <v>606</v>
      </c>
      <c r="F150" s="212"/>
      <c r="H150" s="216"/>
      <c r="I150" s="31"/>
      <c r="J150" s="216"/>
      <c r="K150" s="216"/>
      <c r="L150" s="31"/>
      <c r="EB150" s="223"/>
    </row>
    <row r="151" spans="1:132" ht="12.75" x14ac:dyDescent="0.2">
      <c r="A151" s="494" t="s">
        <v>607</v>
      </c>
      <c r="F151" s="212"/>
      <c r="H151" s="216"/>
      <c r="I151" s="31"/>
      <c r="J151" s="216"/>
      <c r="K151" s="216"/>
      <c r="L151" s="31"/>
      <c r="EB151" s="223"/>
    </row>
    <row r="152" spans="1:132" ht="12.75" x14ac:dyDescent="0.2">
      <c r="A152" s="494" t="s">
        <v>608</v>
      </c>
      <c r="F152" s="212"/>
      <c r="H152" s="216"/>
      <c r="I152" s="31"/>
      <c r="J152" s="216"/>
      <c r="K152" s="216"/>
      <c r="L152" s="31"/>
      <c r="EB152" s="223"/>
    </row>
    <row r="153" spans="1:132" ht="12.75" x14ac:dyDescent="0.2">
      <c r="A153" s="494" t="s">
        <v>609</v>
      </c>
      <c r="F153" s="212"/>
      <c r="H153" s="216"/>
      <c r="I153" s="31"/>
      <c r="J153" s="216"/>
      <c r="K153" s="216"/>
      <c r="L153" s="31"/>
      <c r="EB153" s="223"/>
    </row>
    <row r="154" spans="1:132" ht="12.75" x14ac:dyDescent="0.2">
      <c r="A154" s="494" t="s">
        <v>610</v>
      </c>
      <c r="F154" s="212"/>
      <c r="H154" s="216"/>
      <c r="I154" s="31"/>
      <c r="J154" s="216"/>
      <c r="K154" s="216"/>
      <c r="L154" s="31"/>
      <c r="EB154" s="223"/>
    </row>
    <row r="155" spans="1:132" ht="12.75" x14ac:dyDescent="0.2">
      <c r="A155" s="494" t="s">
        <v>611</v>
      </c>
      <c r="F155" s="212"/>
      <c r="H155" s="216"/>
      <c r="I155" s="31"/>
      <c r="J155" s="216"/>
      <c r="K155" s="216"/>
      <c r="L155" s="31"/>
      <c r="EB155" s="223"/>
    </row>
    <row r="156" spans="1:132" ht="12.75" x14ac:dyDescent="0.2">
      <c r="A156" s="494" t="s">
        <v>612</v>
      </c>
      <c r="F156" s="212"/>
      <c r="H156" s="216"/>
      <c r="I156" s="31"/>
      <c r="J156" s="216"/>
      <c r="K156" s="216"/>
      <c r="L156" s="31"/>
      <c r="EB156" s="223"/>
    </row>
    <row r="157" spans="1:132" ht="12.75" x14ac:dyDescent="0.2">
      <c r="A157" s="494" t="s">
        <v>613</v>
      </c>
      <c r="F157" s="212"/>
      <c r="H157" s="216"/>
      <c r="I157" s="31"/>
      <c r="J157" s="216"/>
      <c r="K157" s="216"/>
      <c r="L157" s="31"/>
      <c r="EB157" s="223"/>
    </row>
    <row r="158" spans="1:132" ht="12.75" x14ac:dyDescent="0.2">
      <c r="A158" s="494" t="s">
        <v>614</v>
      </c>
      <c r="F158" s="212"/>
      <c r="H158" s="216"/>
      <c r="I158" s="31"/>
      <c r="J158" s="216"/>
      <c r="K158" s="216"/>
      <c r="L158" s="31"/>
      <c r="EB158" s="223"/>
    </row>
    <row r="159" spans="1:132" ht="12.75" x14ac:dyDescent="0.2">
      <c r="A159" s="494" t="s">
        <v>615</v>
      </c>
      <c r="F159" s="212"/>
      <c r="H159" s="216"/>
      <c r="I159" s="31"/>
      <c r="J159" s="216"/>
      <c r="K159" s="216"/>
      <c r="L159" s="31"/>
      <c r="EB159" s="223"/>
    </row>
    <row r="160" spans="1:132" ht="12.75" x14ac:dyDescent="0.2">
      <c r="A160" s="494" t="s">
        <v>616</v>
      </c>
      <c r="F160" s="212"/>
      <c r="H160" s="216"/>
      <c r="I160" s="31"/>
      <c r="J160" s="216"/>
      <c r="K160" s="216"/>
      <c r="L160" s="31"/>
      <c r="EB160" s="223"/>
    </row>
    <row r="161" spans="1:132" ht="12.75" x14ac:dyDescent="0.2">
      <c r="A161" s="494" t="s">
        <v>617</v>
      </c>
      <c r="F161" s="212"/>
      <c r="H161" s="216"/>
      <c r="I161" s="31"/>
      <c r="J161" s="216"/>
      <c r="K161" s="216"/>
      <c r="L161" s="31"/>
      <c r="EB161" s="223"/>
    </row>
    <row r="162" spans="1:132" ht="12.75" x14ac:dyDescent="0.2">
      <c r="A162" s="494" t="s">
        <v>618</v>
      </c>
      <c r="F162" s="212"/>
      <c r="H162" s="216"/>
      <c r="I162" s="31"/>
      <c r="J162" s="216"/>
      <c r="K162" s="216"/>
      <c r="L162" s="31"/>
      <c r="EB162" s="223"/>
    </row>
    <row r="163" spans="1:132" ht="12.75" x14ac:dyDescent="0.2">
      <c r="A163" s="494" t="s">
        <v>619</v>
      </c>
      <c r="F163" s="212"/>
      <c r="H163" s="216"/>
      <c r="I163" s="31"/>
      <c r="J163" s="216"/>
      <c r="K163" s="216"/>
      <c r="L163" s="31"/>
      <c r="EB163" s="223"/>
    </row>
    <row r="164" spans="1:132" ht="12.75" x14ac:dyDescent="0.2">
      <c r="A164" s="494" t="s">
        <v>620</v>
      </c>
      <c r="F164" s="212"/>
      <c r="H164" s="216"/>
      <c r="I164" s="31"/>
      <c r="J164" s="216"/>
      <c r="K164" s="216"/>
      <c r="L164" s="31"/>
      <c r="EB164" s="223"/>
    </row>
    <row r="165" spans="1:132" ht="12.75" x14ac:dyDescent="0.2">
      <c r="A165" s="494" t="s">
        <v>621</v>
      </c>
      <c r="F165" s="212"/>
      <c r="H165" s="216"/>
      <c r="I165" s="31"/>
      <c r="J165" s="216"/>
      <c r="K165" s="216"/>
      <c r="L165" s="31"/>
      <c r="EB165" s="223"/>
    </row>
    <row r="166" spans="1:132" ht="12.75" x14ac:dyDescent="0.2">
      <c r="A166" s="494" t="s">
        <v>622</v>
      </c>
      <c r="F166" s="212"/>
      <c r="H166" s="216"/>
      <c r="I166" s="31"/>
      <c r="J166" s="216"/>
      <c r="K166" s="216"/>
      <c r="L166" s="31"/>
      <c r="EB166" s="223"/>
    </row>
    <row r="167" spans="1:132" ht="12.75" x14ac:dyDescent="0.2">
      <c r="A167" s="494" t="s">
        <v>623</v>
      </c>
      <c r="F167" s="212"/>
      <c r="H167" s="216"/>
      <c r="I167" s="31"/>
      <c r="J167" s="216"/>
      <c r="K167" s="216"/>
      <c r="L167" s="31"/>
      <c r="EB167" s="223"/>
    </row>
    <row r="168" spans="1:132" ht="12.75" x14ac:dyDescent="0.2">
      <c r="A168" s="494" t="s">
        <v>624</v>
      </c>
      <c r="F168" s="212"/>
      <c r="H168" s="216"/>
      <c r="I168" s="31"/>
      <c r="J168" s="216"/>
      <c r="K168" s="216"/>
      <c r="L168" s="31"/>
      <c r="EB168" s="223"/>
    </row>
    <row r="169" spans="1:132" ht="12.75" x14ac:dyDescent="0.2">
      <c r="A169" s="494" t="s">
        <v>625</v>
      </c>
      <c r="F169" s="212"/>
      <c r="H169" s="216"/>
      <c r="I169" s="31"/>
      <c r="J169" s="216"/>
      <c r="K169" s="216"/>
      <c r="L169" s="31"/>
      <c r="EB169" s="223"/>
    </row>
    <row r="170" spans="1:132" ht="12.75" x14ac:dyDescent="0.2">
      <c r="A170" s="494" t="s">
        <v>626</v>
      </c>
      <c r="F170" s="212"/>
      <c r="H170" s="216"/>
      <c r="I170" s="31"/>
      <c r="J170" s="216"/>
      <c r="K170" s="216"/>
      <c r="L170" s="31"/>
      <c r="EB170" s="223"/>
    </row>
    <row r="171" spans="1:132" ht="12.75" x14ac:dyDescent="0.2">
      <c r="A171" s="494" t="s">
        <v>627</v>
      </c>
      <c r="F171" s="212"/>
      <c r="H171" s="216"/>
      <c r="I171" s="31"/>
      <c r="J171" s="216"/>
      <c r="K171" s="216"/>
      <c r="L171" s="31"/>
      <c r="EB171" s="223"/>
    </row>
    <row r="172" spans="1:132" ht="12.75" x14ac:dyDescent="0.2">
      <c r="A172" s="494" t="s">
        <v>628</v>
      </c>
      <c r="F172" s="212"/>
      <c r="H172" s="216"/>
      <c r="I172" s="31"/>
      <c r="J172" s="216"/>
      <c r="K172" s="216"/>
      <c r="L172" s="31"/>
      <c r="EB172" s="223"/>
    </row>
    <row r="173" spans="1:132" ht="12.75" x14ac:dyDescent="0.2">
      <c r="A173" s="494" t="s">
        <v>629</v>
      </c>
      <c r="F173" s="212"/>
      <c r="H173" s="216"/>
      <c r="I173" s="31"/>
      <c r="J173" s="216"/>
      <c r="K173" s="216"/>
      <c r="L173" s="31"/>
      <c r="EB173" s="223"/>
    </row>
    <row r="174" spans="1:132" ht="12.75" x14ac:dyDescent="0.2">
      <c r="A174" s="494" t="s">
        <v>630</v>
      </c>
      <c r="F174" s="212"/>
      <c r="H174" s="216"/>
      <c r="I174" s="31"/>
      <c r="J174" s="216"/>
      <c r="K174" s="216"/>
      <c r="L174" s="31"/>
      <c r="EB174" s="223"/>
    </row>
    <row r="175" spans="1:132" ht="12.75" x14ac:dyDescent="0.2">
      <c r="A175" s="494" t="s">
        <v>631</v>
      </c>
      <c r="F175" s="212"/>
      <c r="H175" s="216"/>
      <c r="I175" s="31"/>
      <c r="J175" s="216"/>
      <c r="K175" s="216"/>
      <c r="L175" s="31"/>
      <c r="EB175" s="223"/>
    </row>
    <row r="176" spans="1:132" ht="12.75" x14ac:dyDescent="0.2">
      <c r="A176" s="494" t="s">
        <v>632</v>
      </c>
      <c r="F176" s="212"/>
      <c r="H176" s="216"/>
      <c r="I176" s="31"/>
      <c r="J176" s="216"/>
      <c r="K176" s="216"/>
      <c r="L176" s="31"/>
      <c r="EB176" s="223"/>
    </row>
    <row r="177" spans="1:132" ht="12.75" x14ac:dyDescent="0.2">
      <c r="A177" s="494" t="s">
        <v>633</v>
      </c>
      <c r="F177" s="212"/>
      <c r="H177" s="216"/>
      <c r="I177" s="31"/>
      <c r="J177" s="216"/>
      <c r="K177" s="216"/>
      <c r="L177" s="31"/>
      <c r="EB177" s="223"/>
    </row>
    <row r="178" spans="1:132" ht="12.75" x14ac:dyDescent="0.2">
      <c r="A178" s="494" t="s">
        <v>634</v>
      </c>
      <c r="F178" s="212"/>
      <c r="H178" s="216"/>
      <c r="I178" s="31"/>
      <c r="J178" s="216"/>
      <c r="K178" s="216"/>
      <c r="L178" s="31"/>
      <c r="EB178" s="223"/>
    </row>
    <row r="179" spans="1:132" ht="12.75" x14ac:dyDescent="0.2">
      <c r="A179" s="494" t="s">
        <v>635</v>
      </c>
      <c r="F179" s="212"/>
      <c r="H179" s="216"/>
      <c r="I179" s="31"/>
      <c r="J179" s="216"/>
      <c r="K179" s="216"/>
      <c r="L179" s="31"/>
      <c r="EB179" s="223"/>
    </row>
    <row r="180" spans="1:132" ht="12.75" x14ac:dyDescent="0.2">
      <c r="A180" s="494" t="s">
        <v>636</v>
      </c>
      <c r="F180" s="212"/>
      <c r="H180" s="216"/>
      <c r="I180" s="31"/>
      <c r="J180" s="216"/>
      <c r="K180" s="216"/>
      <c r="L180" s="31"/>
      <c r="EB180" s="223"/>
    </row>
    <row r="181" spans="1:132" ht="12.75" x14ac:dyDescent="0.2">
      <c r="A181" s="494" t="s">
        <v>637</v>
      </c>
      <c r="F181" s="212"/>
      <c r="H181" s="216"/>
      <c r="I181" s="31"/>
      <c r="J181" s="216"/>
      <c r="K181" s="216"/>
      <c r="L181" s="31"/>
      <c r="EB181" s="223"/>
    </row>
    <row r="182" spans="1:132" ht="12.75" x14ac:dyDescent="0.2">
      <c r="A182" s="494" t="s">
        <v>638</v>
      </c>
      <c r="F182" s="212"/>
      <c r="H182" s="216"/>
      <c r="I182" s="31"/>
      <c r="J182" s="216"/>
      <c r="K182" s="216"/>
      <c r="L182" s="31"/>
      <c r="EB182" s="223"/>
    </row>
    <row r="183" spans="1:132" ht="12.75" x14ac:dyDescent="0.2">
      <c r="A183" s="494" t="s">
        <v>639</v>
      </c>
      <c r="F183" s="212"/>
      <c r="H183" s="216"/>
      <c r="I183" s="31"/>
      <c r="J183" s="216"/>
      <c r="K183" s="216"/>
      <c r="L183" s="31"/>
      <c r="EB183" s="223"/>
    </row>
    <row r="184" spans="1:132" ht="12.75" x14ac:dyDescent="0.2">
      <c r="A184" s="494" t="s">
        <v>640</v>
      </c>
      <c r="F184" s="212"/>
      <c r="H184" s="216"/>
      <c r="I184" s="31"/>
      <c r="J184" s="216"/>
      <c r="K184" s="216"/>
      <c r="L184" s="31"/>
      <c r="EB184" s="223"/>
    </row>
    <row r="185" spans="1:132" ht="12.75" x14ac:dyDescent="0.2">
      <c r="A185" s="494" t="s">
        <v>641</v>
      </c>
      <c r="F185" s="212"/>
      <c r="H185" s="216"/>
      <c r="I185" s="31"/>
      <c r="J185" s="216"/>
      <c r="K185" s="216"/>
      <c r="L185" s="31"/>
      <c r="EB185" s="223"/>
    </row>
    <row r="186" spans="1:132" ht="12.75" x14ac:dyDescent="0.2">
      <c r="A186" s="494" t="s">
        <v>642</v>
      </c>
      <c r="F186" s="212"/>
      <c r="H186" s="216"/>
      <c r="I186" s="31"/>
      <c r="J186" s="216"/>
      <c r="K186" s="216"/>
      <c r="L186" s="31"/>
      <c r="EB186" s="223"/>
    </row>
    <row r="187" spans="1:132" ht="12.75" x14ac:dyDescent="0.2">
      <c r="A187" s="494" t="s">
        <v>643</v>
      </c>
      <c r="F187" s="212"/>
      <c r="H187" s="216"/>
      <c r="I187" s="31"/>
      <c r="J187" s="216"/>
      <c r="K187" s="216"/>
      <c r="L187" s="31"/>
      <c r="EB187" s="223"/>
    </row>
    <row r="188" spans="1:132" ht="12.75" x14ac:dyDescent="0.2">
      <c r="A188" s="494" t="s">
        <v>644</v>
      </c>
      <c r="F188" s="212"/>
      <c r="H188" s="216"/>
      <c r="I188" s="31"/>
      <c r="J188" s="216"/>
      <c r="K188" s="216"/>
      <c r="L188" s="31"/>
      <c r="EB188" s="223"/>
    </row>
    <row r="189" spans="1:132" ht="12.75" x14ac:dyDescent="0.2">
      <c r="A189" s="494" t="s">
        <v>645</v>
      </c>
      <c r="F189" s="212"/>
      <c r="H189" s="216"/>
      <c r="I189" s="31"/>
      <c r="J189" s="216"/>
      <c r="K189" s="216"/>
      <c r="L189" s="31"/>
      <c r="EB189" s="223"/>
    </row>
    <row r="190" spans="1:132" ht="12.75" x14ac:dyDescent="0.2">
      <c r="A190" s="494" t="s">
        <v>646</v>
      </c>
      <c r="F190" s="212"/>
      <c r="H190" s="216"/>
      <c r="I190" s="31"/>
      <c r="J190" s="216"/>
      <c r="K190" s="216"/>
      <c r="L190" s="31"/>
      <c r="EB190" s="223"/>
    </row>
    <row r="191" spans="1:132" ht="12.75" x14ac:dyDescent="0.2">
      <c r="A191" s="494" t="s">
        <v>647</v>
      </c>
      <c r="F191" s="212"/>
      <c r="H191" s="216"/>
      <c r="I191" s="31"/>
      <c r="J191" s="216"/>
      <c r="K191" s="216"/>
      <c r="L191" s="31"/>
      <c r="EB191" s="223"/>
    </row>
    <row r="192" spans="1:132" ht="12.75" x14ac:dyDescent="0.2">
      <c r="A192" s="494" t="s">
        <v>648</v>
      </c>
      <c r="F192" s="212"/>
      <c r="H192" s="216"/>
      <c r="I192" s="31"/>
      <c r="J192" s="216"/>
      <c r="K192" s="216"/>
      <c r="L192" s="31"/>
      <c r="EB192" s="223"/>
    </row>
    <row r="193" spans="1:132" ht="12.75" x14ac:dyDescent="0.2">
      <c r="A193" s="494" t="s">
        <v>649</v>
      </c>
      <c r="F193" s="212"/>
      <c r="H193" s="216"/>
      <c r="I193" s="31"/>
      <c r="J193" s="216"/>
      <c r="K193" s="216"/>
      <c r="L193" s="31"/>
      <c r="EB193" s="223"/>
    </row>
    <row r="194" spans="1:132" ht="12.75" x14ac:dyDescent="0.2">
      <c r="A194" s="494" t="s">
        <v>650</v>
      </c>
      <c r="F194" s="212"/>
      <c r="H194" s="216"/>
      <c r="I194" s="31"/>
      <c r="J194" s="216"/>
      <c r="K194" s="216"/>
      <c r="L194" s="31"/>
      <c r="EB194" s="223"/>
    </row>
    <row r="195" spans="1:132" ht="12.75" x14ac:dyDescent="0.2">
      <c r="A195" s="494" t="s">
        <v>651</v>
      </c>
      <c r="F195" s="212"/>
      <c r="H195" s="216"/>
      <c r="I195" s="31"/>
      <c r="J195" s="216"/>
      <c r="K195" s="216"/>
      <c r="L195" s="31"/>
      <c r="EB195" s="223"/>
    </row>
    <row r="196" spans="1:132" ht="12.75" x14ac:dyDescent="0.2">
      <c r="A196" s="494" t="s">
        <v>652</v>
      </c>
      <c r="F196" s="212"/>
      <c r="H196" s="216"/>
      <c r="I196" s="31"/>
      <c r="J196" s="216"/>
      <c r="K196" s="216"/>
      <c r="L196" s="31"/>
      <c r="EB196" s="223"/>
    </row>
    <row r="197" spans="1:132" ht="12.75" x14ac:dyDescent="0.2">
      <c r="A197" s="494" t="s">
        <v>653</v>
      </c>
      <c r="F197" s="212"/>
      <c r="H197" s="216"/>
      <c r="I197" s="31"/>
      <c r="J197" s="216"/>
      <c r="K197" s="216"/>
      <c r="L197" s="31"/>
      <c r="EB197" s="223"/>
    </row>
    <row r="198" spans="1:132" ht="12.75" x14ac:dyDescent="0.2">
      <c r="A198" s="494" t="s">
        <v>654</v>
      </c>
      <c r="F198" s="212"/>
      <c r="H198" s="216"/>
      <c r="I198" s="31"/>
      <c r="J198" s="216"/>
      <c r="K198" s="216"/>
      <c r="L198" s="31"/>
      <c r="EB198" s="223"/>
    </row>
    <row r="199" spans="1:132" ht="12.75" x14ac:dyDescent="0.2">
      <c r="A199" s="494" t="s">
        <v>655</v>
      </c>
      <c r="F199" s="212"/>
      <c r="H199" s="216"/>
      <c r="I199" s="31"/>
      <c r="J199" s="216"/>
      <c r="K199" s="216"/>
      <c r="L199" s="31"/>
      <c r="EB199" s="223"/>
    </row>
    <row r="200" spans="1:132" ht="12.75" x14ac:dyDescent="0.2">
      <c r="A200" s="494" t="s">
        <v>656</v>
      </c>
      <c r="F200" s="212"/>
      <c r="H200" s="216"/>
      <c r="I200" s="31"/>
      <c r="J200" s="216"/>
      <c r="K200" s="216"/>
      <c r="L200" s="31"/>
      <c r="EB200" s="223"/>
    </row>
    <row r="201" spans="1:132" ht="12.75" x14ac:dyDescent="0.2">
      <c r="A201" s="494" t="s">
        <v>657</v>
      </c>
      <c r="F201" s="212"/>
      <c r="H201" s="216"/>
      <c r="I201" s="31"/>
      <c r="J201" s="216"/>
      <c r="K201" s="216"/>
      <c r="L201" s="31"/>
      <c r="EB201" s="223"/>
    </row>
    <row r="202" spans="1:132" ht="12.75" x14ac:dyDescent="0.2">
      <c r="A202" s="494" t="s">
        <v>658</v>
      </c>
      <c r="F202" s="212"/>
      <c r="H202" s="216"/>
      <c r="I202" s="31"/>
      <c r="J202" s="216"/>
      <c r="K202" s="216"/>
      <c r="L202" s="31"/>
      <c r="EB202" s="223"/>
    </row>
    <row r="203" spans="1:132" ht="12.75" x14ac:dyDescent="0.2">
      <c r="A203" s="494" t="s">
        <v>659</v>
      </c>
      <c r="F203" s="212"/>
      <c r="H203" s="216"/>
      <c r="I203" s="31"/>
      <c r="J203" s="216"/>
      <c r="K203" s="216"/>
      <c r="L203" s="31"/>
      <c r="EB203" s="223"/>
    </row>
    <row r="204" spans="1:132" ht="12.75" x14ac:dyDescent="0.2">
      <c r="A204" s="494" t="s">
        <v>660</v>
      </c>
      <c r="F204" s="212"/>
      <c r="H204" s="216"/>
      <c r="I204" s="31"/>
      <c r="J204" s="216"/>
      <c r="K204" s="216"/>
      <c r="L204" s="31"/>
    </row>
    <row r="205" spans="1:132" ht="12.75" x14ac:dyDescent="0.2">
      <c r="A205" s="494" t="s">
        <v>661</v>
      </c>
      <c r="F205" s="212"/>
      <c r="H205" s="216"/>
      <c r="I205" s="31"/>
      <c r="J205" s="216"/>
      <c r="K205" s="216"/>
      <c r="L205" s="31"/>
    </row>
    <row r="206" spans="1:132" ht="12.75" x14ac:dyDescent="0.2">
      <c r="A206" s="494" t="s">
        <v>662</v>
      </c>
      <c r="F206" s="212"/>
      <c r="H206" s="216"/>
      <c r="I206" s="31"/>
      <c r="J206" s="216"/>
      <c r="K206" s="216"/>
      <c r="L206" s="31"/>
    </row>
    <row r="207" spans="1:132" ht="12.75" x14ac:dyDescent="0.2">
      <c r="A207" s="494" t="s">
        <v>663</v>
      </c>
      <c r="F207" s="212"/>
      <c r="H207" s="216"/>
      <c r="I207" s="31"/>
      <c r="J207" s="216"/>
      <c r="K207" s="216"/>
      <c r="L207" s="31"/>
    </row>
    <row r="208" spans="1:132" ht="12.75" x14ac:dyDescent="0.2">
      <c r="A208" s="494" t="s">
        <v>664</v>
      </c>
      <c r="F208" s="212"/>
      <c r="H208" s="216"/>
      <c r="I208" s="31"/>
      <c r="J208" s="216"/>
      <c r="K208" s="216"/>
      <c r="L208" s="31"/>
    </row>
    <row r="209" spans="1:12" ht="12.75" x14ac:dyDescent="0.2">
      <c r="A209" s="494" t="s">
        <v>665</v>
      </c>
      <c r="F209" s="212"/>
      <c r="H209" s="216"/>
      <c r="I209" s="31"/>
      <c r="J209" s="216"/>
      <c r="K209" s="216"/>
      <c r="L209" s="31"/>
    </row>
    <row r="210" spans="1:12" ht="12.75" x14ac:dyDescent="0.2">
      <c r="A210" s="494" t="s">
        <v>666</v>
      </c>
      <c r="F210" s="212"/>
      <c r="H210" s="216"/>
      <c r="I210" s="31"/>
      <c r="J210" s="216"/>
      <c r="K210" s="216"/>
      <c r="L210" s="31"/>
    </row>
    <row r="211" spans="1:12" ht="12.75" x14ac:dyDescent="0.2">
      <c r="A211" s="494" t="s">
        <v>667</v>
      </c>
      <c r="F211" s="212"/>
      <c r="H211" s="216"/>
      <c r="I211" s="31"/>
      <c r="J211" s="216"/>
      <c r="K211" s="216"/>
      <c r="L211" s="31"/>
    </row>
    <row r="212" spans="1:12" ht="12.75" x14ac:dyDescent="0.2">
      <c r="A212" s="494" t="s">
        <v>668</v>
      </c>
      <c r="F212" s="212"/>
      <c r="H212" s="216"/>
      <c r="I212" s="31"/>
      <c r="J212" s="216"/>
      <c r="K212" s="216"/>
      <c r="L212" s="31"/>
    </row>
    <row r="213" spans="1:12" ht="12.75" x14ac:dyDescent="0.2">
      <c r="A213" s="494" t="s">
        <v>669</v>
      </c>
      <c r="F213" s="212"/>
      <c r="H213" s="216"/>
      <c r="I213" s="31"/>
      <c r="J213" s="216"/>
      <c r="K213" s="216"/>
      <c r="L213" s="31"/>
    </row>
    <row r="214" spans="1:12" ht="12.75" x14ac:dyDescent="0.2">
      <c r="A214" s="494" t="s">
        <v>670</v>
      </c>
      <c r="F214" s="212"/>
      <c r="H214" s="216"/>
      <c r="I214" s="31"/>
      <c r="J214" s="216"/>
      <c r="K214" s="216"/>
      <c r="L214" s="31"/>
    </row>
    <row r="215" spans="1:12" ht="12.75" x14ac:dyDescent="0.2">
      <c r="A215" s="494" t="s">
        <v>671</v>
      </c>
      <c r="F215" s="212"/>
      <c r="H215" s="216"/>
      <c r="I215" s="31"/>
      <c r="J215" s="216"/>
      <c r="K215" s="216"/>
      <c r="L215" s="31"/>
    </row>
    <row r="216" spans="1:12" ht="12.75" x14ac:dyDescent="0.2">
      <c r="A216" s="494" t="s">
        <v>672</v>
      </c>
      <c r="F216" s="212"/>
      <c r="H216" s="216"/>
      <c r="I216" s="31"/>
      <c r="J216" s="216"/>
      <c r="K216" s="216"/>
      <c r="L216" s="31"/>
    </row>
    <row r="217" spans="1:12" ht="12.75" x14ac:dyDescent="0.2">
      <c r="A217" s="494" t="s">
        <v>673</v>
      </c>
      <c r="F217" s="212"/>
      <c r="H217" s="216"/>
      <c r="I217" s="31"/>
      <c r="J217" s="216"/>
      <c r="K217" s="216"/>
      <c r="L217" s="31"/>
    </row>
    <row r="218" spans="1:12" ht="12.75" x14ac:dyDescent="0.2">
      <c r="A218" s="494" t="s">
        <v>674</v>
      </c>
      <c r="F218" s="212"/>
      <c r="H218" s="216"/>
      <c r="I218" s="31"/>
      <c r="J218" s="216"/>
      <c r="K218" s="216"/>
      <c r="L218" s="31"/>
    </row>
    <row r="219" spans="1:12" ht="12.75" x14ac:dyDescent="0.2">
      <c r="A219" s="494" t="s">
        <v>675</v>
      </c>
      <c r="F219" s="212"/>
      <c r="H219" s="216"/>
      <c r="I219" s="31"/>
      <c r="J219" s="216"/>
      <c r="K219" s="216"/>
      <c r="L219" s="31"/>
    </row>
    <row r="220" spans="1:12" ht="12.75" x14ac:dyDescent="0.2">
      <c r="A220" s="494" t="s">
        <v>676</v>
      </c>
      <c r="F220" s="212"/>
      <c r="H220" s="216"/>
      <c r="I220" s="31"/>
      <c r="J220" s="216"/>
      <c r="K220" s="216"/>
      <c r="L220" s="31"/>
    </row>
    <row r="221" spans="1:12" ht="12.75" x14ac:dyDescent="0.2">
      <c r="A221" s="494" t="s">
        <v>677</v>
      </c>
      <c r="F221" s="212"/>
      <c r="H221" s="216"/>
      <c r="I221" s="31"/>
      <c r="J221" s="216"/>
      <c r="K221" s="216"/>
      <c r="L221" s="31"/>
    </row>
    <row r="222" spans="1:12" ht="12.75" x14ac:dyDescent="0.2">
      <c r="A222" s="494" t="s">
        <v>678</v>
      </c>
      <c r="F222" s="212"/>
      <c r="H222" s="216"/>
      <c r="I222" s="31"/>
      <c r="J222" s="216"/>
      <c r="K222" s="216"/>
      <c r="L222" s="31"/>
    </row>
    <row r="223" spans="1:12" ht="12.75" x14ac:dyDescent="0.2">
      <c r="A223" s="494" t="s">
        <v>679</v>
      </c>
      <c r="F223" s="212"/>
      <c r="H223" s="216"/>
      <c r="I223" s="31"/>
      <c r="J223" s="216"/>
      <c r="K223" s="216"/>
      <c r="L223" s="31"/>
    </row>
    <row r="224" spans="1:12" ht="12.75" x14ac:dyDescent="0.2">
      <c r="A224" s="494" t="s">
        <v>680</v>
      </c>
      <c r="F224" s="212"/>
      <c r="H224" s="216"/>
      <c r="I224" s="31"/>
      <c r="J224" s="216"/>
      <c r="K224" s="216"/>
      <c r="L224" s="31"/>
    </row>
    <row r="225" spans="1:12" ht="12.75" x14ac:dyDescent="0.2">
      <c r="A225" s="494" t="s">
        <v>681</v>
      </c>
      <c r="F225" s="212"/>
      <c r="H225" s="216"/>
      <c r="I225" s="31"/>
      <c r="J225" s="216"/>
      <c r="K225" s="216"/>
      <c r="L225" s="31"/>
    </row>
    <row r="226" spans="1:12" ht="12.75" x14ac:dyDescent="0.2">
      <c r="A226" s="494" t="s">
        <v>682</v>
      </c>
      <c r="F226" s="212"/>
      <c r="H226" s="216"/>
      <c r="I226" s="31"/>
      <c r="J226" s="216"/>
      <c r="K226" s="216"/>
      <c r="L226" s="31"/>
    </row>
    <row r="227" spans="1:12" ht="12.75" x14ac:dyDescent="0.2">
      <c r="A227" s="494" t="s">
        <v>683</v>
      </c>
      <c r="F227" s="212"/>
      <c r="H227" s="216"/>
      <c r="I227" s="31"/>
      <c r="J227" s="216"/>
      <c r="K227" s="216"/>
      <c r="L227" s="31"/>
    </row>
    <row r="228" spans="1:12" ht="12.75" x14ac:dyDescent="0.2">
      <c r="A228" s="494" t="s">
        <v>684</v>
      </c>
      <c r="F228" s="212"/>
      <c r="H228" s="216"/>
      <c r="I228" s="31"/>
      <c r="J228" s="216"/>
      <c r="K228" s="216"/>
      <c r="L228" s="31"/>
    </row>
    <row r="229" spans="1:12" ht="12.75" x14ac:dyDescent="0.2">
      <c r="A229" s="494" t="s">
        <v>685</v>
      </c>
      <c r="F229" s="212"/>
      <c r="H229" s="216"/>
      <c r="I229" s="31"/>
      <c r="J229" s="216"/>
      <c r="K229" s="216"/>
      <c r="L229" s="31"/>
    </row>
    <row r="230" spans="1:12" ht="12.75" x14ac:dyDescent="0.2">
      <c r="A230" s="494" t="s">
        <v>686</v>
      </c>
      <c r="F230" s="212"/>
      <c r="H230" s="216"/>
      <c r="I230" s="31"/>
      <c r="J230" s="216"/>
      <c r="K230" s="216"/>
      <c r="L230" s="31"/>
    </row>
    <row r="231" spans="1:12" ht="12.75" x14ac:dyDescent="0.2">
      <c r="A231" s="494" t="s">
        <v>687</v>
      </c>
      <c r="F231" s="212"/>
      <c r="H231" s="216"/>
      <c r="I231" s="31"/>
      <c r="J231" s="216"/>
      <c r="K231" s="216"/>
      <c r="L231" s="31"/>
    </row>
    <row r="232" spans="1:12" ht="12.75" x14ac:dyDescent="0.2">
      <c r="A232" s="494" t="s">
        <v>688</v>
      </c>
      <c r="F232" s="212"/>
      <c r="H232" s="216"/>
      <c r="I232" s="31"/>
      <c r="J232" s="216"/>
      <c r="K232" s="216"/>
      <c r="L232" s="31"/>
    </row>
    <row r="233" spans="1:12" ht="12.75" x14ac:dyDescent="0.2">
      <c r="A233" s="494" t="s">
        <v>689</v>
      </c>
      <c r="F233" s="212"/>
      <c r="H233" s="216"/>
      <c r="I233" s="31"/>
      <c r="J233" s="216"/>
      <c r="K233" s="216"/>
      <c r="L233" s="31"/>
    </row>
    <row r="234" spans="1:12" ht="12.75" x14ac:dyDescent="0.2">
      <c r="A234" s="494" t="s">
        <v>690</v>
      </c>
      <c r="F234" s="212"/>
      <c r="H234" s="216"/>
      <c r="I234" s="31"/>
      <c r="J234" s="216"/>
      <c r="K234" s="216"/>
      <c r="L234" s="31"/>
    </row>
    <row r="235" spans="1:12" ht="12.75" x14ac:dyDescent="0.2">
      <c r="A235" s="494" t="s">
        <v>691</v>
      </c>
      <c r="F235" s="212"/>
      <c r="H235" s="216"/>
      <c r="I235" s="31"/>
      <c r="J235" s="216"/>
      <c r="K235" s="216"/>
      <c r="L235" s="31"/>
    </row>
    <row r="236" spans="1:12" ht="12.75" x14ac:dyDescent="0.2">
      <c r="A236" s="494" t="s">
        <v>692</v>
      </c>
      <c r="F236" s="212"/>
      <c r="H236" s="216"/>
      <c r="I236" s="31"/>
      <c r="J236" s="216"/>
      <c r="K236" s="216"/>
      <c r="L236" s="31"/>
    </row>
    <row r="237" spans="1:12" ht="12.75" x14ac:dyDescent="0.2">
      <c r="A237" s="494" t="s">
        <v>693</v>
      </c>
      <c r="F237" s="212"/>
      <c r="H237" s="216"/>
      <c r="I237" s="31"/>
      <c r="J237" s="216"/>
      <c r="K237" s="216"/>
      <c r="L237" s="31"/>
    </row>
    <row r="238" spans="1:12" ht="12.75" x14ac:dyDescent="0.2">
      <c r="A238" s="494" t="s">
        <v>694</v>
      </c>
      <c r="F238" s="212"/>
      <c r="H238" s="216"/>
      <c r="I238" s="31"/>
      <c r="J238" s="216"/>
      <c r="K238" s="216"/>
      <c r="L238" s="31"/>
    </row>
    <row r="239" spans="1:12" ht="12.75" x14ac:dyDescent="0.2">
      <c r="A239" s="494" t="s">
        <v>695</v>
      </c>
      <c r="F239" s="212"/>
      <c r="H239" s="216"/>
      <c r="I239" s="31"/>
      <c r="J239" s="216"/>
      <c r="K239" s="216"/>
      <c r="L239" s="31"/>
    </row>
    <row r="240" spans="1:12" ht="12.75" x14ac:dyDescent="0.2">
      <c r="A240" s="494" t="s">
        <v>696</v>
      </c>
      <c r="F240" s="212"/>
      <c r="H240" s="216"/>
      <c r="I240" s="31"/>
      <c r="J240" s="216"/>
      <c r="K240" s="216"/>
      <c r="L240" s="31"/>
    </row>
    <row r="241" spans="1:12" ht="12.75" x14ac:dyDescent="0.2">
      <c r="A241" s="494" t="s">
        <v>697</v>
      </c>
      <c r="F241" s="212"/>
      <c r="H241" s="216"/>
      <c r="I241" s="31"/>
      <c r="J241" s="216"/>
      <c r="K241" s="216"/>
      <c r="L241" s="31"/>
    </row>
    <row r="242" spans="1:12" ht="12.75" x14ac:dyDescent="0.2">
      <c r="A242" s="494" t="s">
        <v>698</v>
      </c>
      <c r="F242" s="212"/>
      <c r="H242" s="216"/>
      <c r="I242" s="31"/>
      <c r="J242" s="216"/>
      <c r="K242" s="216"/>
      <c r="L242" s="31"/>
    </row>
    <row r="243" spans="1:12" ht="12.75" x14ac:dyDescent="0.2">
      <c r="A243" s="494" t="s">
        <v>699</v>
      </c>
      <c r="F243" s="212"/>
      <c r="H243" s="216"/>
      <c r="I243" s="31"/>
      <c r="J243" s="216"/>
      <c r="K243" s="216"/>
      <c r="L243" s="31"/>
    </row>
    <row r="244" spans="1:12" ht="12.75" x14ac:dyDescent="0.2">
      <c r="A244" s="494" t="s">
        <v>700</v>
      </c>
      <c r="F244" s="212"/>
      <c r="H244" s="216"/>
      <c r="I244" s="31"/>
      <c r="J244" s="216"/>
      <c r="K244" s="216"/>
      <c r="L244" s="31"/>
    </row>
    <row r="245" spans="1:12" ht="12.75" x14ac:dyDescent="0.2">
      <c r="A245" s="494" t="s">
        <v>701</v>
      </c>
      <c r="F245" s="212"/>
      <c r="H245" s="216"/>
      <c r="I245" s="31"/>
      <c r="J245" s="216"/>
      <c r="K245" s="216"/>
      <c r="L245" s="31"/>
    </row>
    <row r="246" spans="1:12" ht="12.75" x14ac:dyDescent="0.2">
      <c r="A246" s="494" t="s">
        <v>702</v>
      </c>
      <c r="F246" s="212"/>
      <c r="H246" s="216"/>
      <c r="I246" s="31"/>
      <c r="J246" s="216"/>
      <c r="K246" s="216"/>
      <c r="L246" s="31"/>
    </row>
    <row r="247" spans="1:12" ht="12.75" x14ac:dyDescent="0.2">
      <c r="A247" s="494" t="s">
        <v>703</v>
      </c>
      <c r="F247" s="212"/>
      <c r="H247" s="216"/>
      <c r="I247" s="31"/>
      <c r="J247" s="216"/>
      <c r="K247" s="216"/>
      <c r="L247" s="31"/>
    </row>
    <row r="248" spans="1:12" ht="12.75" x14ac:dyDescent="0.2">
      <c r="A248" s="494" t="s">
        <v>704</v>
      </c>
      <c r="F248" s="212"/>
      <c r="H248" s="216"/>
      <c r="I248" s="31"/>
      <c r="J248" s="216"/>
      <c r="K248" s="216"/>
      <c r="L248" s="31"/>
    </row>
    <row r="249" spans="1:12" ht="12.75" x14ac:dyDescent="0.2">
      <c r="A249" s="494" t="s">
        <v>705</v>
      </c>
      <c r="F249" s="212"/>
      <c r="H249" s="216"/>
      <c r="I249" s="31"/>
      <c r="J249" s="216"/>
      <c r="K249" s="216"/>
      <c r="L249" s="31"/>
    </row>
    <row r="250" spans="1:12" ht="12.75" x14ac:dyDescent="0.2">
      <c r="A250" s="494" t="s">
        <v>706</v>
      </c>
      <c r="F250" s="212"/>
      <c r="H250" s="216"/>
      <c r="I250" s="31"/>
      <c r="J250" s="216"/>
      <c r="K250" s="216"/>
      <c r="L250" s="31"/>
    </row>
    <row r="251" spans="1:12" ht="12.75" x14ac:dyDescent="0.2">
      <c r="A251" s="494" t="s">
        <v>707</v>
      </c>
      <c r="F251" s="212"/>
      <c r="H251" s="216"/>
      <c r="I251" s="31"/>
      <c r="J251" s="216"/>
      <c r="K251" s="216"/>
      <c r="L251" s="31"/>
    </row>
    <row r="252" spans="1:12" ht="12.75" x14ac:dyDescent="0.2">
      <c r="A252" s="494" t="s">
        <v>708</v>
      </c>
      <c r="F252" s="212"/>
      <c r="H252" s="216"/>
      <c r="I252" s="31"/>
      <c r="J252" s="216"/>
      <c r="K252" s="216"/>
      <c r="L252" s="31"/>
    </row>
    <row r="253" spans="1:12" ht="12.75" x14ac:dyDescent="0.2">
      <c r="A253" s="494" t="s">
        <v>709</v>
      </c>
      <c r="F253" s="212"/>
      <c r="H253" s="216"/>
      <c r="I253" s="31"/>
      <c r="J253" s="216"/>
      <c r="K253" s="216"/>
      <c r="L253" s="31"/>
    </row>
    <row r="254" spans="1:12" ht="12.75" x14ac:dyDescent="0.2">
      <c r="A254" s="494" t="s">
        <v>710</v>
      </c>
      <c r="F254" s="212"/>
      <c r="H254" s="216"/>
      <c r="I254" s="31"/>
      <c r="J254" s="216"/>
      <c r="K254" s="216"/>
      <c r="L254" s="31"/>
    </row>
    <row r="255" spans="1:12" ht="12.75" x14ac:dyDescent="0.2">
      <c r="A255" s="494" t="s">
        <v>711</v>
      </c>
      <c r="F255" s="212"/>
      <c r="H255" s="216"/>
      <c r="I255" s="31"/>
      <c r="J255" s="216"/>
      <c r="K255" s="216"/>
      <c r="L255" s="31"/>
    </row>
    <row r="256" spans="1:12" ht="12.75" x14ac:dyDescent="0.2">
      <c r="A256" s="494" t="s">
        <v>712</v>
      </c>
      <c r="F256" s="212"/>
      <c r="H256" s="216"/>
      <c r="I256" s="31"/>
      <c r="J256" s="216"/>
      <c r="K256" s="216"/>
      <c r="L256" s="31"/>
    </row>
    <row r="257" spans="1:12" ht="12.75" x14ac:dyDescent="0.2">
      <c r="A257" s="494" t="s">
        <v>713</v>
      </c>
      <c r="F257" s="212"/>
      <c r="H257" s="216"/>
      <c r="I257" s="31"/>
      <c r="J257" s="216"/>
      <c r="K257" s="216"/>
      <c r="L257" s="31"/>
    </row>
    <row r="258" spans="1:12" ht="12.75" x14ac:dyDescent="0.2">
      <c r="A258" s="494" t="s">
        <v>714</v>
      </c>
      <c r="F258" s="212"/>
      <c r="H258" s="216"/>
      <c r="I258" s="31"/>
      <c r="J258" s="216"/>
      <c r="K258" s="216"/>
      <c r="L258" s="31"/>
    </row>
    <row r="259" spans="1:12" ht="12.75" x14ac:dyDescent="0.2">
      <c r="A259" s="494" t="s">
        <v>715</v>
      </c>
      <c r="F259" s="212"/>
      <c r="H259" s="216"/>
      <c r="I259" s="31"/>
      <c r="J259" s="216"/>
      <c r="K259" s="216"/>
      <c r="L259" s="31"/>
    </row>
    <row r="260" spans="1:12" ht="12.75" x14ac:dyDescent="0.2">
      <c r="A260" s="494" t="s">
        <v>716</v>
      </c>
      <c r="F260" s="212"/>
      <c r="H260" s="216"/>
      <c r="I260" s="31"/>
      <c r="J260" s="216"/>
      <c r="K260" s="216"/>
      <c r="L260" s="31"/>
    </row>
    <row r="261" spans="1:12" ht="12.75" x14ac:dyDescent="0.2">
      <c r="A261" s="494" t="s">
        <v>717</v>
      </c>
      <c r="F261" s="212"/>
      <c r="H261" s="216"/>
      <c r="I261" s="31"/>
      <c r="J261" s="216"/>
      <c r="K261" s="216"/>
      <c r="L261" s="31"/>
    </row>
    <row r="262" spans="1:12" ht="12.75" x14ac:dyDescent="0.2">
      <c r="A262" s="494" t="s">
        <v>718</v>
      </c>
      <c r="F262" s="212"/>
      <c r="H262" s="216"/>
      <c r="I262" s="31"/>
      <c r="J262" s="216"/>
      <c r="K262" s="216"/>
      <c r="L262" s="31"/>
    </row>
    <row r="263" spans="1:12" ht="12.75" x14ac:dyDescent="0.2">
      <c r="A263" s="494" t="s">
        <v>719</v>
      </c>
      <c r="F263" s="212"/>
      <c r="H263" s="216"/>
      <c r="I263" s="31"/>
      <c r="J263" s="216"/>
      <c r="K263" s="216"/>
      <c r="L263" s="31"/>
    </row>
    <row r="264" spans="1:12" ht="12.75" x14ac:dyDescent="0.2">
      <c r="A264" s="494" t="s">
        <v>720</v>
      </c>
      <c r="F264" s="212"/>
      <c r="H264" s="216"/>
      <c r="I264" s="31"/>
      <c r="J264" s="216"/>
      <c r="K264" s="216"/>
      <c r="L264" s="31"/>
    </row>
    <row r="265" spans="1:12" ht="12.75" x14ac:dyDescent="0.2">
      <c r="A265" s="494" t="s">
        <v>721</v>
      </c>
      <c r="F265" s="212"/>
      <c r="H265" s="216"/>
      <c r="I265" s="31"/>
      <c r="J265" s="216"/>
      <c r="K265" s="216"/>
      <c r="L265" s="31"/>
    </row>
    <row r="266" spans="1:12" ht="12.75" x14ac:dyDescent="0.2">
      <c r="A266" s="494" t="s">
        <v>722</v>
      </c>
      <c r="F266" s="212"/>
      <c r="H266" s="216"/>
      <c r="I266" s="31"/>
      <c r="J266" s="216"/>
      <c r="K266" s="216"/>
      <c r="L266" s="31"/>
    </row>
    <row r="267" spans="1:12" ht="12.75" x14ac:dyDescent="0.2">
      <c r="A267" s="494" t="s">
        <v>723</v>
      </c>
      <c r="F267" s="212"/>
      <c r="H267" s="216"/>
      <c r="I267" s="31"/>
      <c r="J267" s="216"/>
      <c r="K267" s="216"/>
      <c r="L267" s="31"/>
    </row>
    <row r="268" spans="1:12" ht="12.75" x14ac:dyDescent="0.2">
      <c r="A268" s="494" t="s">
        <v>724</v>
      </c>
      <c r="F268" s="212"/>
      <c r="H268" s="216"/>
      <c r="I268" s="31"/>
      <c r="J268" s="216"/>
      <c r="K268" s="216"/>
      <c r="L268" s="31"/>
    </row>
    <row r="269" spans="1:12" ht="12.75" x14ac:dyDescent="0.2">
      <c r="A269" s="494" t="s">
        <v>725</v>
      </c>
      <c r="F269" s="212"/>
      <c r="H269" s="216"/>
      <c r="I269" s="31"/>
      <c r="J269" s="216"/>
      <c r="K269" s="216"/>
      <c r="L269" s="31"/>
    </row>
    <row r="270" spans="1:12" ht="12.75" x14ac:dyDescent="0.2">
      <c r="A270" s="494" t="s">
        <v>726</v>
      </c>
      <c r="F270" s="212"/>
      <c r="H270" s="216"/>
      <c r="I270" s="31"/>
      <c r="J270" s="216"/>
      <c r="K270" s="216"/>
      <c r="L270" s="31"/>
    </row>
    <row r="271" spans="1:12" ht="12.75" x14ac:dyDescent="0.2">
      <c r="A271" s="494" t="s">
        <v>727</v>
      </c>
      <c r="F271" s="212"/>
      <c r="H271" s="216"/>
      <c r="I271" s="31"/>
      <c r="J271" s="216"/>
      <c r="K271" s="216"/>
      <c r="L271" s="31"/>
    </row>
    <row r="272" spans="1:12" ht="12.75" x14ac:dyDescent="0.2">
      <c r="A272" s="494" t="s">
        <v>728</v>
      </c>
      <c r="F272" s="212"/>
      <c r="H272" s="216"/>
      <c r="I272" s="31"/>
      <c r="J272" s="216"/>
      <c r="K272" s="216"/>
      <c r="L272" s="31"/>
    </row>
    <row r="273" spans="1:12" ht="12.75" x14ac:dyDescent="0.2">
      <c r="A273" s="494" t="s">
        <v>729</v>
      </c>
      <c r="F273" s="212"/>
      <c r="H273" s="216"/>
      <c r="I273" s="31"/>
      <c r="J273" s="216"/>
      <c r="K273" s="216"/>
      <c r="L273" s="31"/>
    </row>
    <row r="274" spans="1:12" ht="12.75" x14ac:dyDescent="0.2">
      <c r="A274" s="494" t="s">
        <v>730</v>
      </c>
      <c r="F274" s="212"/>
      <c r="H274" s="216"/>
      <c r="I274" s="31"/>
      <c r="J274" s="216"/>
      <c r="K274" s="216"/>
      <c r="L274" s="31"/>
    </row>
    <row r="275" spans="1:12" ht="12.75" x14ac:dyDescent="0.2">
      <c r="A275" s="494" t="s">
        <v>731</v>
      </c>
      <c r="F275" s="212"/>
      <c r="H275" s="216"/>
      <c r="I275" s="31"/>
      <c r="J275" s="216"/>
      <c r="K275" s="216"/>
      <c r="L275" s="31"/>
    </row>
    <row r="276" spans="1:12" ht="12.75" x14ac:dyDescent="0.2">
      <c r="A276" s="494" t="s">
        <v>732</v>
      </c>
      <c r="F276" s="212"/>
      <c r="H276" s="216"/>
      <c r="I276" s="31"/>
      <c r="J276" s="216"/>
      <c r="K276" s="216"/>
      <c r="L276" s="31"/>
    </row>
    <row r="277" spans="1:12" ht="12.75" x14ac:dyDescent="0.2">
      <c r="A277" s="494" t="s">
        <v>733</v>
      </c>
      <c r="F277" s="212"/>
      <c r="H277" s="216"/>
      <c r="I277" s="31"/>
      <c r="J277" s="216"/>
      <c r="K277" s="216"/>
      <c r="L277" s="31"/>
    </row>
    <row r="278" spans="1:12" ht="12.75" x14ac:dyDescent="0.2">
      <c r="A278" s="494" t="s">
        <v>734</v>
      </c>
      <c r="F278" s="212"/>
      <c r="H278" s="216"/>
      <c r="I278" s="31"/>
      <c r="J278" s="216"/>
      <c r="K278" s="216"/>
      <c r="L278" s="31"/>
    </row>
    <row r="279" spans="1:12" ht="12.75" x14ac:dyDescent="0.2">
      <c r="A279" s="494" t="s">
        <v>735</v>
      </c>
      <c r="F279" s="212"/>
      <c r="H279" s="216"/>
      <c r="I279" s="31"/>
      <c r="J279" s="216"/>
      <c r="K279" s="216"/>
      <c r="L279" s="31"/>
    </row>
    <row r="280" spans="1:12" ht="12.75" x14ac:dyDescent="0.2">
      <c r="A280" s="494" t="s">
        <v>736</v>
      </c>
      <c r="F280" s="212"/>
      <c r="H280" s="216"/>
      <c r="I280" s="31"/>
      <c r="J280" s="216"/>
      <c r="K280" s="216"/>
      <c r="L280" s="31"/>
    </row>
    <row r="281" spans="1:12" ht="12.75" x14ac:dyDescent="0.2">
      <c r="A281" s="494" t="s">
        <v>737</v>
      </c>
      <c r="F281" s="212"/>
      <c r="H281" s="216"/>
      <c r="I281" s="31"/>
      <c r="J281" s="216"/>
      <c r="K281" s="216"/>
      <c r="L281" s="31"/>
    </row>
    <row r="282" spans="1:12" ht="12.75" x14ac:dyDescent="0.2">
      <c r="A282" s="494" t="s">
        <v>977</v>
      </c>
      <c r="F282" s="212"/>
      <c r="H282" s="216"/>
      <c r="I282" s="31"/>
      <c r="J282" s="216"/>
      <c r="K282" s="216"/>
      <c r="L282" s="31"/>
    </row>
    <row r="283" spans="1:12" x14ac:dyDescent="0.25">
      <c r="F283" s="212"/>
      <c r="H283" s="216"/>
      <c r="I283" s="31"/>
      <c r="J283" s="216"/>
      <c r="K283" s="216"/>
      <c r="L283" s="31"/>
    </row>
    <row r="284" spans="1:12" x14ac:dyDescent="0.25">
      <c r="F284" s="212"/>
      <c r="H284" s="216"/>
      <c r="I284" s="31"/>
      <c r="J284" s="216"/>
      <c r="K284" s="216"/>
      <c r="L284" s="31"/>
    </row>
    <row r="285" spans="1:12" x14ac:dyDescent="0.25">
      <c r="F285" s="212"/>
      <c r="H285" s="216"/>
      <c r="I285" s="31"/>
      <c r="J285" s="216"/>
      <c r="K285" s="216"/>
      <c r="L285" s="31"/>
    </row>
    <row r="286" spans="1:12" x14ac:dyDescent="0.25">
      <c r="F286" s="212"/>
      <c r="H286" s="216"/>
      <c r="I286" s="31"/>
      <c r="J286" s="216"/>
      <c r="K286" s="216"/>
      <c r="L286" s="31"/>
    </row>
    <row r="287" spans="1:12" x14ac:dyDescent="0.25">
      <c r="F287" s="212"/>
      <c r="H287" s="216"/>
      <c r="I287" s="31"/>
      <c r="J287" s="216"/>
      <c r="K287" s="216"/>
      <c r="L287" s="31"/>
    </row>
    <row r="288" spans="1:12" x14ac:dyDescent="0.25">
      <c r="F288" s="212"/>
      <c r="H288" s="216"/>
      <c r="I288" s="31"/>
      <c r="J288" s="216"/>
      <c r="K288" s="216"/>
      <c r="L288" s="31"/>
    </row>
    <row r="289" spans="4:12" x14ac:dyDescent="0.25">
      <c r="F289" s="212"/>
      <c r="H289" s="216"/>
      <c r="I289" s="31"/>
      <c r="J289" s="216"/>
      <c r="K289" s="216"/>
      <c r="L289" s="31"/>
    </row>
    <row r="290" spans="4:12" x14ac:dyDescent="0.25">
      <c r="F290" s="212"/>
      <c r="H290" s="216"/>
      <c r="I290" s="31"/>
      <c r="J290" s="216"/>
      <c r="K290" s="216"/>
      <c r="L290" s="31"/>
    </row>
    <row r="291" spans="4:12" x14ac:dyDescent="0.25">
      <c r="F291" s="212"/>
      <c r="H291" s="31"/>
      <c r="I291" s="31"/>
      <c r="J291" s="216"/>
      <c r="K291" s="216"/>
      <c r="L291" s="31"/>
    </row>
    <row r="292" spans="4:12" x14ac:dyDescent="0.25">
      <c r="F292" s="212"/>
      <c r="H292" s="216"/>
      <c r="I292" s="31"/>
      <c r="J292" s="216"/>
      <c r="K292" s="216"/>
      <c r="L292" s="31"/>
    </row>
    <row r="293" spans="4:12" x14ac:dyDescent="0.25">
      <c r="F293" s="212"/>
      <c r="H293" s="216"/>
      <c r="I293" s="31"/>
      <c r="J293" s="216"/>
      <c r="K293" s="216"/>
      <c r="L293" s="31"/>
    </row>
    <row r="294" spans="4:12" x14ac:dyDescent="0.25">
      <c r="F294" s="212"/>
      <c r="H294" s="216"/>
      <c r="I294" s="31"/>
      <c r="J294" s="216"/>
      <c r="K294" s="216"/>
      <c r="L294" s="31"/>
    </row>
    <row r="295" spans="4:12" x14ac:dyDescent="0.25">
      <c r="F295" s="212"/>
      <c r="H295" s="216"/>
      <c r="I295" s="31"/>
      <c r="J295" s="216"/>
      <c r="K295" s="216"/>
      <c r="L295" s="31"/>
    </row>
    <row r="296" spans="4:12" x14ac:dyDescent="0.25">
      <c r="D296" s="31"/>
      <c r="E296" s="31"/>
      <c r="F296" s="217"/>
      <c r="H296" s="216"/>
      <c r="I296" s="31"/>
      <c r="J296" s="216"/>
      <c r="K296" s="216"/>
      <c r="L296" s="31"/>
    </row>
    <row r="297" spans="4:12" x14ac:dyDescent="0.25">
      <c r="D297" s="31"/>
      <c r="E297" s="31"/>
      <c r="F297" s="217"/>
      <c r="H297" s="216"/>
      <c r="I297" s="31"/>
      <c r="J297" s="216"/>
      <c r="K297" s="216"/>
      <c r="L297" s="31"/>
    </row>
    <row r="298" spans="4:12" x14ac:dyDescent="0.25">
      <c r="D298" s="31"/>
      <c r="E298" s="31"/>
      <c r="F298" s="216"/>
      <c r="H298" s="31"/>
      <c r="I298" s="31"/>
      <c r="J298" s="216"/>
      <c r="K298" s="216"/>
      <c r="L298" s="31"/>
    </row>
    <row r="299" spans="4:12" x14ac:dyDescent="0.25">
      <c r="F299" s="217"/>
      <c r="H299" s="31"/>
      <c r="I299" s="31"/>
      <c r="J299" s="216"/>
      <c r="K299" s="216"/>
      <c r="L299" s="31"/>
    </row>
    <row r="300" spans="4:12" x14ac:dyDescent="0.25">
      <c r="F300" s="217"/>
      <c r="H300" s="31"/>
      <c r="I300" s="31"/>
      <c r="J300" s="216"/>
      <c r="K300" s="216"/>
      <c r="L300" s="31"/>
    </row>
    <row r="301" spans="4:12" x14ac:dyDescent="0.25">
      <c r="H301" s="31"/>
      <c r="I301" s="31"/>
      <c r="J301" s="216"/>
      <c r="K301" s="216"/>
      <c r="L301" s="31"/>
    </row>
    <row r="302" spans="4:12" x14ac:dyDescent="0.25">
      <c r="H302" s="31"/>
      <c r="I302" s="31"/>
      <c r="J302" s="216"/>
      <c r="K302" s="216"/>
      <c r="L302" s="31"/>
    </row>
    <row r="303" spans="4:12" x14ac:dyDescent="0.25">
      <c r="H303" s="216"/>
      <c r="I303" s="31"/>
      <c r="J303" s="216"/>
      <c r="K303" s="216"/>
      <c r="L303" s="31"/>
    </row>
    <row r="304" spans="4:12" x14ac:dyDescent="0.25">
      <c r="H304" s="31"/>
      <c r="I304" s="31"/>
      <c r="J304" s="216"/>
      <c r="K304" s="216"/>
      <c r="L304" s="31"/>
    </row>
    <row r="305" spans="5:12" x14ac:dyDescent="0.25">
      <c r="E305" s="31"/>
      <c r="F305" s="216"/>
      <c r="H305" s="31"/>
      <c r="I305" s="31"/>
      <c r="J305" s="216"/>
      <c r="K305" s="216"/>
      <c r="L305" s="31"/>
    </row>
    <row r="306" spans="5:12" x14ac:dyDescent="0.25">
      <c r="E306" s="31"/>
      <c r="F306" s="216"/>
      <c r="H306" s="31"/>
      <c r="I306" s="31"/>
      <c r="J306" s="216"/>
      <c r="K306" s="216"/>
      <c r="L306" s="31"/>
    </row>
    <row r="307" spans="5:12" x14ac:dyDescent="0.25">
      <c r="E307" s="31"/>
      <c r="F307" s="216"/>
      <c r="H307" s="31"/>
      <c r="I307" s="31"/>
      <c r="J307" s="216"/>
      <c r="K307" s="216"/>
      <c r="L307" s="31"/>
    </row>
    <row r="308" spans="5:12" x14ac:dyDescent="0.25">
      <c r="E308" s="31"/>
      <c r="F308" s="216"/>
      <c r="H308" s="31"/>
      <c r="I308" s="31"/>
      <c r="J308" s="216"/>
      <c r="K308" s="216"/>
      <c r="L308" s="31"/>
    </row>
    <row r="309" spans="5:12" x14ac:dyDescent="0.25">
      <c r="E309" s="31"/>
      <c r="F309" s="216"/>
      <c r="H309" s="31"/>
      <c r="I309" s="31"/>
      <c r="J309" s="216"/>
      <c r="K309" s="216"/>
      <c r="L309" s="31"/>
    </row>
    <row r="310" spans="5:12" x14ac:dyDescent="0.25">
      <c r="E310" s="31"/>
      <c r="F310" s="216"/>
      <c r="H310" s="31"/>
      <c r="I310" s="31"/>
      <c r="J310" s="216"/>
      <c r="K310" s="216"/>
      <c r="L310" s="31"/>
    </row>
    <row r="311" spans="5:12" x14ac:dyDescent="0.25">
      <c r="E311" s="31"/>
      <c r="F311" s="216"/>
      <c r="H311" s="31"/>
      <c r="I311" s="31"/>
      <c r="J311" s="216"/>
      <c r="K311" s="216"/>
      <c r="L311" s="31"/>
    </row>
    <row r="312" spans="5:12" x14ac:dyDescent="0.25">
      <c r="E312" s="31"/>
      <c r="F312" s="216"/>
      <c r="H312" s="31"/>
      <c r="I312" s="31"/>
      <c r="J312" s="216"/>
      <c r="K312" s="216"/>
      <c r="L312" s="31"/>
    </row>
    <row r="313" spans="5:12" x14ac:dyDescent="0.25">
      <c r="E313" s="31"/>
      <c r="F313" s="216"/>
      <c r="H313" s="31"/>
      <c r="I313" s="31"/>
      <c r="J313" s="216"/>
      <c r="K313" s="216"/>
      <c r="L313" s="31"/>
    </row>
    <row r="314" spans="5:12" x14ac:dyDescent="0.25">
      <c r="E314" s="31"/>
      <c r="F314" s="216"/>
      <c r="H314" s="31"/>
      <c r="I314" s="31"/>
      <c r="J314" s="216"/>
      <c r="K314" s="216"/>
      <c r="L314" s="31"/>
    </row>
    <row r="315" spans="5:12" x14ac:dyDescent="0.25">
      <c r="E315" s="31"/>
      <c r="F315" s="216"/>
      <c r="H315" s="31"/>
      <c r="I315" s="31"/>
      <c r="J315" s="216"/>
      <c r="K315" s="216"/>
      <c r="L315" s="31"/>
    </row>
    <row r="316" spans="5:12" x14ac:dyDescent="0.25">
      <c r="E316" s="31"/>
      <c r="F316" s="216"/>
      <c r="H316" s="31"/>
      <c r="I316" s="31"/>
      <c r="J316" s="216"/>
      <c r="K316" s="216"/>
      <c r="L316" s="31"/>
    </row>
    <row r="317" spans="5:12" x14ac:dyDescent="0.25">
      <c r="E317" s="31"/>
      <c r="F317" s="216"/>
      <c r="H317" s="31"/>
      <c r="I317" s="31"/>
      <c r="J317" s="216"/>
      <c r="K317" s="216"/>
      <c r="L317" s="31"/>
    </row>
    <row r="318" spans="5:12" x14ac:dyDescent="0.25">
      <c r="E318" s="31"/>
      <c r="F318" s="216"/>
      <c r="H318" s="31"/>
      <c r="I318" s="31"/>
      <c r="J318" s="216"/>
      <c r="K318" s="216"/>
      <c r="L318" s="31"/>
    </row>
    <row r="319" spans="5:12" x14ac:dyDescent="0.25">
      <c r="E319" s="31"/>
      <c r="F319" s="216"/>
      <c r="H319" s="31"/>
      <c r="I319" s="31"/>
      <c r="J319" s="216"/>
      <c r="K319" s="216"/>
      <c r="L319" s="31"/>
    </row>
    <row r="320" spans="5:12" x14ac:dyDescent="0.25">
      <c r="E320" s="31"/>
      <c r="F320" s="216"/>
      <c r="H320" s="31"/>
      <c r="I320" s="31"/>
      <c r="J320" s="216"/>
      <c r="K320" s="216"/>
      <c r="L320" s="31"/>
    </row>
    <row r="321" spans="8:12" x14ac:dyDescent="0.25">
      <c r="H321" s="31"/>
      <c r="I321" s="31"/>
      <c r="J321" s="216"/>
      <c r="K321" s="216"/>
      <c r="L321" s="31"/>
    </row>
  </sheetData>
  <autoFilter ref="A82:F84" xr:uid="{00000000-0009-0000-0000-000004000000}"/>
  <phoneticPr fontId="36" type="noConversion"/>
  <pageMargins left="0.7" right="0.7" top="0.78740157499999996" bottom="0.78740157499999996"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dimension ref="A2:H26"/>
  <sheetViews>
    <sheetView workbookViewId="0">
      <selection activeCell="A4" sqref="A4"/>
    </sheetView>
  </sheetViews>
  <sheetFormatPr defaultColWidth="11.42578125" defaultRowHeight="12.75" x14ac:dyDescent="0.2"/>
  <cols>
    <col min="1" max="1" width="13.42578125" style="181" customWidth="1"/>
    <col min="2" max="2" width="30.140625" style="181" customWidth="1"/>
    <col min="3" max="3" width="18.42578125" style="181" customWidth="1"/>
    <col min="4" max="4" width="9.28515625" style="180" customWidth="1"/>
    <col min="5" max="5" width="18.28515625" style="181" customWidth="1"/>
    <col min="6" max="6" width="9.140625" style="181" customWidth="1"/>
    <col min="7" max="7" width="19.5703125" style="181" customWidth="1"/>
    <col min="8" max="8" width="21.85546875" style="181" customWidth="1"/>
    <col min="9" max="256" width="9.140625" style="181" customWidth="1"/>
    <col min="257" max="16384" width="11.42578125" style="181"/>
  </cols>
  <sheetData>
    <row r="2" spans="1:8" x14ac:dyDescent="0.2">
      <c r="B2" s="181" t="e">
        <f>IF(#REF!="","",#REF!)</f>
        <v>#REF!</v>
      </c>
    </row>
    <row r="3" spans="1:8" ht="41.25" customHeight="1" x14ac:dyDescent="0.2">
      <c r="A3" s="203" t="s">
        <v>15</v>
      </c>
      <c r="B3" s="203" t="e">
        <f>IF(#REF!="","",#REF!)</f>
        <v>#REF!</v>
      </c>
      <c r="C3" s="203" t="e">
        <f>IF(#REF!="","",#REF!)</f>
        <v>#REF!</v>
      </c>
      <c r="D3" s="203" t="e">
        <f>IF(#REF!="","",#REF!)</f>
        <v>#REF!</v>
      </c>
      <c r="E3" s="203" t="e">
        <f>IF(#REF!="","",#REF!)</f>
        <v>#REF!</v>
      </c>
      <c r="F3" s="201" t="e">
        <f>IF(#REF!="","",#REF!)</f>
        <v>#REF!</v>
      </c>
      <c r="G3" s="201" t="s">
        <v>103</v>
      </c>
      <c r="H3" s="201" t="s">
        <v>356</v>
      </c>
    </row>
    <row r="4" spans="1:8" x14ac:dyDescent="0.2">
      <c r="A4" s="178" t="e">
        <f>#REF!</f>
        <v>#REF!</v>
      </c>
      <c r="B4" s="179" t="e">
        <f>IF(#REF!="","",#REF!)</f>
        <v>#REF!</v>
      </c>
      <c r="C4" s="179" t="e">
        <f>IF(#REF!="","",#REF!)</f>
        <v>#REF!</v>
      </c>
      <c r="D4" s="178" t="e">
        <f>IF(#REF!="","",#REF!)</f>
        <v>#REF!</v>
      </c>
      <c r="E4" s="179" t="e">
        <f>IF(#REF!="","",#REF!)</f>
        <v>#REF!</v>
      </c>
      <c r="F4" s="177" t="e">
        <f>IF(#REF!="","",#REF!)</f>
        <v>#REF!</v>
      </c>
      <c r="G4" s="111" t="e">
        <f>IF(#REF!="","",#REF!)</f>
        <v>#REF!</v>
      </c>
      <c r="H4" s="111" t="e">
        <f>IF(#REF!="","",#REF!)</f>
        <v>#REF!</v>
      </c>
    </row>
    <row r="5" spans="1:8" x14ac:dyDescent="0.2">
      <c r="A5" s="178"/>
      <c r="B5" s="179" t="e">
        <f>IF(#REF!="","",#REF!)</f>
        <v>#REF!</v>
      </c>
      <c r="C5" s="179" t="e">
        <f>IF(#REF!="","",#REF!)</f>
        <v>#REF!</v>
      </c>
      <c r="D5" s="178" t="e">
        <f>IF(#REF!="","",#REF!)</f>
        <v>#REF!</v>
      </c>
      <c r="E5" s="179" t="e">
        <f>IF(#REF!="","",#REF!)</f>
        <v>#REF!</v>
      </c>
      <c r="F5" s="177" t="e">
        <f>IF(#REF!="","",#REF!)</f>
        <v>#REF!</v>
      </c>
      <c r="G5" s="111" t="e">
        <f>IF(#REF!="","",#REF!)</f>
        <v>#REF!</v>
      </c>
      <c r="H5" s="111" t="e">
        <f>IF(#REF!="","",#REF!)</f>
        <v>#REF!</v>
      </c>
    </row>
    <row r="6" spans="1:8" x14ac:dyDescent="0.2">
      <c r="A6" s="178"/>
      <c r="B6" s="179" t="e">
        <f>IF(#REF!="","",#REF!)</f>
        <v>#REF!</v>
      </c>
      <c r="C6" s="179" t="e">
        <f>IF(#REF!="","",#REF!)</f>
        <v>#REF!</v>
      </c>
      <c r="D6" s="178" t="e">
        <f>IF(#REF!="","",#REF!)</f>
        <v>#REF!</v>
      </c>
      <c r="E6" s="179" t="e">
        <f>IF(#REF!="","",#REF!)</f>
        <v>#REF!</v>
      </c>
      <c r="F6" s="177" t="e">
        <f>IF(#REF!="","",#REF!)</f>
        <v>#REF!</v>
      </c>
      <c r="G6" s="111" t="e">
        <f>IF(#REF!="","",#REF!)</f>
        <v>#REF!</v>
      </c>
      <c r="H6" s="111" t="e">
        <f>IF(#REF!="","",#REF!)</f>
        <v>#REF!</v>
      </c>
    </row>
    <row r="7" spans="1:8" x14ac:dyDescent="0.2">
      <c r="A7" s="178"/>
      <c r="B7" s="179" t="e">
        <f>IF(#REF!="","",#REF!)</f>
        <v>#REF!</v>
      </c>
      <c r="C7" s="179" t="e">
        <f>IF(#REF!="","",#REF!)</f>
        <v>#REF!</v>
      </c>
      <c r="D7" s="178" t="e">
        <f>IF(#REF!="","",#REF!)</f>
        <v>#REF!</v>
      </c>
      <c r="E7" s="179" t="e">
        <f>IF(#REF!="","",#REF!)</f>
        <v>#REF!</v>
      </c>
      <c r="F7" s="177" t="e">
        <f>IF(#REF!="","",#REF!)</f>
        <v>#REF!</v>
      </c>
      <c r="G7" s="111" t="e">
        <f>IF(#REF!="","",#REF!)</f>
        <v>#REF!</v>
      </c>
      <c r="H7" s="111" t="e">
        <f>IF(#REF!="","",#REF!)</f>
        <v>#REF!</v>
      </c>
    </row>
    <row r="8" spans="1:8" x14ac:dyDescent="0.2">
      <c r="A8" s="178"/>
      <c r="B8" s="179" t="e">
        <f>IF(#REF!="","",#REF!)</f>
        <v>#REF!</v>
      </c>
      <c r="C8" s="179" t="e">
        <f>IF(#REF!="","",#REF!)</f>
        <v>#REF!</v>
      </c>
      <c r="D8" s="178" t="e">
        <f>IF(#REF!="","",#REF!)</f>
        <v>#REF!</v>
      </c>
      <c r="E8" s="179" t="e">
        <f>IF(#REF!="","",#REF!)</f>
        <v>#REF!</v>
      </c>
      <c r="F8" s="177" t="e">
        <f>IF(#REF!="","",#REF!)</f>
        <v>#REF!</v>
      </c>
      <c r="G8" s="111" t="e">
        <f>IF(#REF!="","",#REF!)</f>
        <v>#REF!</v>
      </c>
      <c r="H8" s="111" t="e">
        <f>IF(#REF!="","",#REF!)</f>
        <v>#REF!</v>
      </c>
    </row>
    <row r="9" spans="1:8" x14ac:dyDescent="0.2">
      <c r="A9" s="178"/>
      <c r="B9" s="179" t="e">
        <f>IF(#REF!="","",#REF!)</f>
        <v>#REF!</v>
      </c>
      <c r="C9" s="179" t="e">
        <f>IF(#REF!="","",#REF!)</f>
        <v>#REF!</v>
      </c>
      <c r="D9" s="178" t="e">
        <f>IF(#REF!="","",#REF!)</f>
        <v>#REF!</v>
      </c>
      <c r="E9" s="179" t="e">
        <f>IF(#REF!="","",#REF!)</f>
        <v>#REF!</v>
      </c>
      <c r="F9" s="177" t="e">
        <f>IF(#REF!="","",#REF!)</f>
        <v>#REF!</v>
      </c>
      <c r="G9" s="111" t="e">
        <f>IF(#REF!="","",#REF!)</f>
        <v>#REF!</v>
      </c>
      <c r="H9" s="111" t="e">
        <f>IF(#REF!="","",#REF!)</f>
        <v>#REF!</v>
      </c>
    </row>
    <row r="10" spans="1:8" x14ac:dyDescent="0.2">
      <c r="A10" s="178" t="e">
        <f>#REF!</f>
        <v>#REF!</v>
      </c>
      <c r="B10" s="179" t="e">
        <f>IF(#REF!="","",#REF!)</f>
        <v>#REF!</v>
      </c>
      <c r="C10" s="179" t="e">
        <f>IF(#REF!="","",#REF!)</f>
        <v>#REF!</v>
      </c>
      <c r="D10" s="178" t="e">
        <f>IF(#REF!="","",#REF!)</f>
        <v>#REF!</v>
      </c>
      <c r="E10" s="179" t="e">
        <f>IF(#REF!="","",#REF!)</f>
        <v>#REF!</v>
      </c>
      <c r="F10" s="177" t="e">
        <f>IF(#REF!="","",#REF!)</f>
        <v>#REF!</v>
      </c>
      <c r="G10" s="111" t="e">
        <f>IF(#REF!="","",#REF!)</f>
        <v>#REF!</v>
      </c>
      <c r="H10" s="111" t="e">
        <f>IF(#REF!="","",#REF!)</f>
        <v>#REF!</v>
      </c>
    </row>
    <row r="11" spans="1:8" x14ac:dyDescent="0.2">
      <c r="A11" s="178"/>
      <c r="B11" s="179" t="e">
        <f>IF(#REF!="","",#REF!)</f>
        <v>#REF!</v>
      </c>
      <c r="C11" s="179" t="e">
        <f>IF(#REF!="","",#REF!)</f>
        <v>#REF!</v>
      </c>
      <c r="D11" s="178" t="e">
        <f>IF(#REF!="","",#REF!)</f>
        <v>#REF!</v>
      </c>
      <c r="E11" s="179" t="e">
        <f>IF(#REF!="","",#REF!)</f>
        <v>#REF!</v>
      </c>
      <c r="F11" s="177" t="e">
        <f>IF(#REF!="","",#REF!)</f>
        <v>#REF!</v>
      </c>
      <c r="G11" s="111" t="e">
        <f>IF(#REF!="","",#REF!)</f>
        <v>#REF!</v>
      </c>
      <c r="H11" s="111" t="e">
        <f>IF(#REF!="","",#REF!)</f>
        <v>#REF!</v>
      </c>
    </row>
    <row r="12" spans="1:8" x14ac:dyDescent="0.2">
      <c r="A12" s="178"/>
      <c r="B12" s="179" t="e">
        <f>IF(#REF!="","",#REF!)</f>
        <v>#REF!</v>
      </c>
      <c r="C12" s="179" t="e">
        <f>IF(#REF!="","",#REF!)</f>
        <v>#REF!</v>
      </c>
      <c r="D12" s="178" t="e">
        <f>IF(#REF!="","",#REF!)</f>
        <v>#REF!</v>
      </c>
      <c r="E12" s="179" t="e">
        <f>IF(#REF!="","",#REF!)</f>
        <v>#REF!</v>
      </c>
      <c r="F12" s="177" t="e">
        <f>IF(#REF!="","",#REF!)</f>
        <v>#REF!</v>
      </c>
      <c r="G12" s="111" t="e">
        <f>IF(#REF!="","",#REF!)</f>
        <v>#REF!</v>
      </c>
      <c r="H12" s="111" t="e">
        <f>IF(#REF!="","",#REF!)</f>
        <v>#REF!</v>
      </c>
    </row>
    <row r="13" spans="1:8" x14ac:dyDescent="0.2">
      <c r="A13" s="178"/>
      <c r="B13" s="179" t="e">
        <f>IF(#REF!="","",#REF!)</f>
        <v>#REF!</v>
      </c>
      <c r="C13" s="179" t="e">
        <f>IF(#REF!="","",#REF!)</f>
        <v>#REF!</v>
      </c>
      <c r="D13" s="178" t="e">
        <f>IF(#REF!="","",#REF!)</f>
        <v>#REF!</v>
      </c>
      <c r="E13" s="179" t="e">
        <f>IF(#REF!="","",#REF!)</f>
        <v>#REF!</v>
      </c>
      <c r="F13" s="177" t="e">
        <f>IF(#REF!="","",#REF!)</f>
        <v>#REF!</v>
      </c>
      <c r="G13" s="111" t="e">
        <f>IF(#REF!="","",#REF!)</f>
        <v>#REF!</v>
      </c>
      <c r="H13" s="111" t="e">
        <f>IF(#REF!="","",#REF!)</f>
        <v>#REF!</v>
      </c>
    </row>
    <row r="14" spans="1:8" x14ac:dyDescent="0.2">
      <c r="A14" s="178"/>
      <c r="B14" s="179" t="e">
        <f>IF(#REF!="","",#REF!)</f>
        <v>#REF!</v>
      </c>
      <c r="C14" s="179" t="e">
        <f>IF(#REF!="","",#REF!)</f>
        <v>#REF!</v>
      </c>
      <c r="D14" s="178" t="e">
        <f>IF(#REF!="","",#REF!)</f>
        <v>#REF!</v>
      </c>
      <c r="E14" s="179" t="e">
        <f>IF(#REF!="","",#REF!)</f>
        <v>#REF!</v>
      </c>
      <c r="F14" s="177" t="e">
        <f>IF(#REF!="","",#REF!)</f>
        <v>#REF!</v>
      </c>
      <c r="G14" s="111" t="e">
        <f>IF(#REF!="","",#REF!)</f>
        <v>#REF!</v>
      </c>
      <c r="H14" s="111" t="e">
        <f>IF(#REF!="","",#REF!)</f>
        <v>#REF!</v>
      </c>
    </row>
    <row r="15" spans="1:8" x14ac:dyDescent="0.2">
      <c r="A15" s="178"/>
      <c r="B15" s="179" t="e">
        <f>IF(#REF!="","",#REF!)</f>
        <v>#REF!</v>
      </c>
      <c r="C15" s="179" t="e">
        <f>IF(#REF!="","",#REF!)</f>
        <v>#REF!</v>
      </c>
      <c r="D15" s="178" t="e">
        <f>IF(#REF!="","",#REF!)</f>
        <v>#REF!</v>
      </c>
      <c r="E15" s="179" t="e">
        <f>IF(#REF!="","",#REF!)</f>
        <v>#REF!</v>
      </c>
      <c r="F15" s="177" t="e">
        <f>IF(#REF!="","",#REF!)</f>
        <v>#REF!</v>
      </c>
      <c r="G15" s="111" t="e">
        <f>IF(#REF!="","",#REF!)</f>
        <v>#REF!</v>
      </c>
      <c r="H15" s="111" t="e">
        <f>IF(#REF!="","",#REF!)</f>
        <v>#REF!</v>
      </c>
    </row>
    <row r="16" spans="1:8" x14ac:dyDescent="0.2">
      <c r="A16" s="178" t="e">
        <f>#REF!</f>
        <v>#REF!</v>
      </c>
      <c r="B16" s="179" t="e">
        <f>IF(#REF!="","",#REF!)</f>
        <v>#REF!</v>
      </c>
      <c r="C16" s="179" t="e">
        <f>IF(#REF!="","",#REF!)</f>
        <v>#REF!</v>
      </c>
      <c r="D16" s="178" t="e">
        <f>IF(#REF!="","",#REF!)</f>
        <v>#REF!</v>
      </c>
      <c r="E16" s="179" t="e">
        <f>IF(#REF!="","",#REF!)</f>
        <v>#REF!</v>
      </c>
      <c r="F16" s="177" t="e">
        <f>IF(#REF!="","",#REF!)</f>
        <v>#REF!</v>
      </c>
      <c r="G16" s="111" t="e">
        <f>IF(#REF!="","",#REF!)</f>
        <v>#REF!</v>
      </c>
      <c r="H16" s="111" t="e">
        <f>IF(#REF!="","",#REF!)</f>
        <v>#REF!</v>
      </c>
    </row>
    <row r="17" spans="1:8" x14ac:dyDescent="0.2">
      <c r="A17" s="178"/>
      <c r="B17" s="179" t="e">
        <f>IF(#REF!="","",#REF!)</f>
        <v>#REF!</v>
      </c>
      <c r="C17" s="179" t="e">
        <f>IF(#REF!="","",#REF!)</f>
        <v>#REF!</v>
      </c>
      <c r="D17" s="178" t="e">
        <f>IF(#REF!="","",#REF!)</f>
        <v>#REF!</v>
      </c>
      <c r="E17" s="179" t="e">
        <f>IF(#REF!="","",#REF!)</f>
        <v>#REF!</v>
      </c>
      <c r="F17" s="177" t="e">
        <f>IF(#REF!="","",#REF!)</f>
        <v>#REF!</v>
      </c>
      <c r="G17" s="111" t="e">
        <f>IF(#REF!="","",#REF!)</f>
        <v>#REF!</v>
      </c>
      <c r="H17" s="111" t="e">
        <f>IF(#REF!="","",#REF!)</f>
        <v>#REF!</v>
      </c>
    </row>
    <row r="18" spans="1:8" x14ac:dyDescent="0.2">
      <c r="A18" s="178"/>
      <c r="B18" s="179" t="e">
        <f>IF(#REF!="","",#REF!)</f>
        <v>#REF!</v>
      </c>
      <c r="C18" s="179" t="e">
        <f>IF(#REF!="","",#REF!)</f>
        <v>#REF!</v>
      </c>
      <c r="D18" s="178" t="e">
        <f>IF(#REF!="","",#REF!)</f>
        <v>#REF!</v>
      </c>
      <c r="E18" s="179" t="e">
        <f>IF(#REF!="","",#REF!)</f>
        <v>#REF!</v>
      </c>
      <c r="F18" s="177" t="e">
        <f>IF(#REF!="","",#REF!)</f>
        <v>#REF!</v>
      </c>
      <c r="G18" s="111" t="e">
        <f>IF(#REF!="","",#REF!)</f>
        <v>#REF!</v>
      </c>
      <c r="H18" s="111" t="e">
        <f>IF(#REF!="","",#REF!)</f>
        <v>#REF!</v>
      </c>
    </row>
    <row r="19" spans="1:8" x14ac:dyDescent="0.2">
      <c r="A19" s="178" t="e">
        <f>#REF!</f>
        <v>#REF!</v>
      </c>
      <c r="B19" s="179" t="e">
        <f>IF(#REF!="","",#REF!)</f>
        <v>#REF!</v>
      </c>
      <c r="C19" s="179" t="e">
        <f>IF(#REF!="","",#REF!)</f>
        <v>#REF!</v>
      </c>
      <c r="D19" s="178" t="e">
        <f>IF(#REF!="","",#REF!)</f>
        <v>#REF!</v>
      </c>
      <c r="E19" s="179" t="e">
        <f>IF(#REF!="","",#REF!)</f>
        <v>#REF!</v>
      </c>
      <c r="F19" s="177" t="e">
        <f>IF(#REF!="","",#REF!)</f>
        <v>#REF!</v>
      </c>
      <c r="G19" s="111" t="e">
        <f>IF(#REF!="","",#REF!)</f>
        <v>#REF!</v>
      </c>
      <c r="H19" s="111" t="e">
        <f>IF(#REF!="","",#REF!)</f>
        <v>#REF!</v>
      </c>
    </row>
    <row r="20" spans="1:8" x14ac:dyDescent="0.2">
      <c r="A20" s="178"/>
      <c r="B20" s="179" t="e">
        <f>IF(#REF!="","",#REF!)</f>
        <v>#REF!</v>
      </c>
      <c r="C20" s="179" t="e">
        <f>IF(#REF!="","",#REF!)</f>
        <v>#REF!</v>
      </c>
      <c r="D20" s="178" t="e">
        <f>IF(#REF!="","",#REF!)</f>
        <v>#REF!</v>
      </c>
      <c r="E20" s="179" t="e">
        <f>IF(#REF!="","",#REF!)</f>
        <v>#REF!</v>
      </c>
      <c r="F20" s="177" t="e">
        <f>IF(#REF!="","",#REF!)</f>
        <v>#REF!</v>
      </c>
      <c r="G20" s="111" t="e">
        <f>IF(#REF!="","",#REF!)</f>
        <v>#REF!</v>
      </c>
      <c r="H20" s="111" t="e">
        <f>IF(#REF!="","",#REF!)</f>
        <v>#REF!</v>
      </c>
    </row>
    <row r="21" spans="1:8" x14ac:dyDescent="0.2">
      <c r="A21" s="178"/>
      <c r="B21" s="179" t="e">
        <f>IF(#REF!="","",#REF!)</f>
        <v>#REF!</v>
      </c>
      <c r="C21" s="179" t="e">
        <f>IF(#REF!="","",#REF!)</f>
        <v>#REF!</v>
      </c>
      <c r="D21" s="178" t="e">
        <f>IF(#REF!="","",#REF!)</f>
        <v>#REF!</v>
      </c>
      <c r="E21" s="179" t="e">
        <f>IF(#REF!="","",#REF!)</f>
        <v>#REF!</v>
      </c>
      <c r="F21" s="177" t="e">
        <f>IF(#REF!="","",#REF!)</f>
        <v>#REF!</v>
      </c>
      <c r="G21" s="111" t="e">
        <f>IF(#REF!="","",#REF!)</f>
        <v>#REF!</v>
      </c>
      <c r="H21" s="111" t="e">
        <f>IF(#REF!="","",#REF!)</f>
        <v>#REF!</v>
      </c>
    </row>
    <row r="22" spans="1:8" x14ac:dyDescent="0.2">
      <c r="A22" s="178"/>
      <c r="B22" s="179" t="e">
        <f>IF(#REF!="","",#REF!)</f>
        <v>#REF!</v>
      </c>
      <c r="C22" s="179" t="e">
        <f>IF(#REF!="","",#REF!)</f>
        <v>#REF!</v>
      </c>
      <c r="D22" s="178" t="e">
        <f>IF(#REF!="","",#REF!)</f>
        <v>#REF!</v>
      </c>
      <c r="E22" s="179" t="e">
        <f>IF(#REF!="","",#REF!)</f>
        <v>#REF!</v>
      </c>
      <c r="F22" s="177" t="e">
        <f>IF(#REF!="","",#REF!)</f>
        <v>#REF!</v>
      </c>
      <c r="G22" s="111" t="e">
        <f>IF(#REF!="","",#REF!)</f>
        <v>#REF!</v>
      </c>
      <c r="H22" s="111" t="e">
        <f>IF(#REF!="","",#REF!)</f>
        <v>#REF!</v>
      </c>
    </row>
    <row r="23" spans="1:8" x14ac:dyDescent="0.2">
      <c r="A23" s="178" t="e">
        <f>#REF!</f>
        <v>#REF!</v>
      </c>
      <c r="B23" s="179" t="e">
        <f>IF(#REF!="","",#REF!)</f>
        <v>#REF!</v>
      </c>
      <c r="C23" s="179" t="e">
        <f>IF(#REF!="","",#REF!)</f>
        <v>#REF!</v>
      </c>
      <c r="D23" s="178" t="e">
        <f>IF(#REF!="","",#REF!)</f>
        <v>#REF!</v>
      </c>
      <c r="E23" s="179" t="e">
        <f>IF(#REF!="","",#REF!)</f>
        <v>#REF!</v>
      </c>
      <c r="F23" s="177" t="e">
        <f>IF(#REF!="","",#REF!)</f>
        <v>#REF!</v>
      </c>
      <c r="G23" s="111" t="e">
        <f>IF(#REF!="","",#REF!)</f>
        <v>#REF!</v>
      </c>
      <c r="H23" s="111" t="e">
        <f>IF(#REF!="","",#REF!)</f>
        <v>#REF!</v>
      </c>
    </row>
    <row r="24" spans="1:8" x14ac:dyDescent="0.2">
      <c r="A24" s="178"/>
      <c r="B24" s="179" t="e">
        <f>IF(#REF!="","",#REF!)</f>
        <v>#REF!</v>
      </c>
      <c r="C24" s="179" t="e">
        <f>IF(#REF!="","",#REF!)</f>
        <v>#REF!</v>
      </c>
      <c r="D24" s="178" t="e">
        <f>IF(#REF!="","",#REF!)</f>
        <v>#REF!</v>
      </c>
      <c r="E24" s="179" t="e">
        <f>IF(#REF!="","",#REF!)</f>
        <v>#REF!</v>
      </c>
      <c r="F24" s="177" t="e">
        <f>IF(#REF!="","",#REF!)</f>
        <v>#REF!</v>
      </c>
      <c r="G24" s="111" t="e">
        <f>IF(#REF!="","",#REF!)</f>
        <v>#REF!</v>
      </c>
      <c r="H24" s="111" t="e">
        <f>IF(#REF!="","",#REF!)</f>
        <v>#REF!</v>
      </c>
    </row>
    <row r="25" spans="1:8" x14ac:dyDescent="0.2">
      <c r="A25" s="178"/>
      <c r="B25" s="179" t="e">
        <f>IF(#REF!="","",#REF!)</f>
        <v>#REF!</v>
      </c>
      <c r="C25" s="179" t="e">
        <f>IF(#REF!="","",#REF!)</f>
        <v>#REF!</v>
      </c>
      <c r="D25" s="178" t="e">
        <f>IF(#REF!="","",#REF!)</f>
        <v>#REF!</v>
      </c>
      <c r="E25" s="179" t="e">
        <f>IF(#REF!="","",#REF!)</f>
        <v>#REF!</v>
      </c>
      <c r="F25" s="177" t="e">
        <f>IF(#REF!="","",#REF!)</f>
        <v>#REF!</v>
      </c>
      <c r="G25" s="111" t="e">
        <f>IF(#REF!="","",#REF!)</f>
        <v>#REF!</v>
      </c>
      <c r="H25" s="111" t="e">
        <f>IF(#REF!="","",#REF!)</f>
        <v>#REF!</v>
      </c>
    </row>
    <row r="26" spans="1:8" x14ac:dyDescent="0.2">
      <c r="A26" s="178"/>
      <c r="B26" s="179" t="e">
        <f>IF(#REF!="","",#REF!)</f>
        <v>#REF!</v>
      </c>
      <c r="C26" s="179" t="e">
        <f>IF(#REF!="","",#REF!)</f>
        <v>#REF!</v>
      </c>
      <c r="D26" s="178" t="e">
        <f>IF(#REF!="","",#REF!)</f>
        <v>#REF!</v>
      </c>
      <c r="E26" s="179" t="e">
        <f>IF(#REF!="","",#REF!)</f>
        <v>#REF!</v>
      </c>
      <c r="F26" s="177" t="e">
        <f>IF(#REF!="","",#REF!)</f>
        <v>#REF!</v>
      </c>
      <c r="G26" s="111" t="e">
        <f>IF(#REF!="","",#REF!)</f>
        <v>#REF!</v>
      </c>
      <c r="H26" s="111" t="e">
        <f>IF(#REF!="","",#REF!)</f>
        <v>#REF!</v>
      </c>
    </row>
  </sheetData>
  <phoneticPr fontId="36" type="noConversion"/>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40"/>
  <sheetViews>
    <sheetView showGridLines="0" zoomScaleNormal="100" zoomScaleSheetLayoutView="100" workbookViewId="0">
      <selection activeCell="K11" sqref="K11"/>
    </sheetView>
  </sheetViews>
  <sheetFormatPr defaultColWidth="11.42578125" defaultRowHeight="15" x14ac:dyDescent="0.25"/>
  <cols>
    <col min="1" max="1" width="3.85546875" style="68" customWidth="1"/>
    <col min="2" max="2" width="3.7109375" style="68" customWidth="1"/>
    <col min="3" max="3" width="14.5703125" style="68" customWidth="1"/>
    <col min="4" max="4" width="9.42578125" style="68" customWidth="1"/>
    <col min="5" max="5" width="8.28515625" style="68" customWidth="1"/>
    <col min="6" max="6" width="17" style="68" customWidth="1"/>
    <col min="7" max="7" width="6.85546875" style="68" customWidth="1"/>
    <col min="8" max="8" width="3.7109375" style="68" customWidth="1"/>
    <col min="9" max="9" width="2.5703125" style="68" customWidth="1"/>
    <col min="10" max="10" width="10.28515625" style="68" customWidth="1"/>
    <col min="11" max="11" width="20.7109375" style="68" customWidth="1"/>
    <col min="12" max="12" width="15.7109375" style="68" customWidth="1"/>
    <col min="13" max="13" width="6.28515625" style="68" customWidth="1"/>
    <col min="14" max="14" width="15.7109375" style="68" customWidth="1"/>
    <col min="15" max="16" width="9.42578125" style="68" customWidth="1"/>
    <col min="17" max="17" width="7.7109375" style="68" customWidth="1"/>
    <col min="18" max="18" width="9.42578125" style="68" customWidth="1"/>
    <col min="19" max="19" width="7.7109375" style="68" customWidth="1"/>
    <col min="20" max="20" width="8.7109375" style="68" customWidth="1"/>
    <col min="21" max="21" width="61.28515625" style="68" customWidth="1"/>
    <col min="22" max="22" width="55.5703125" style="68" customWidth="1"/>
    <col min="23" max="23" width="9.140625" style="68" hidden="1" customWidth="1"/>
    <col min="24" max="261" width="9.140625" style="68" customWidth="1"/>
    <col min="262" max="16384" width="11.42578125" style="68"/>
  </cols>
  <sheetData>
    <row r="1" spans="1:23" s="14" customFormat="1" ht="9.9499999999999993" customHeight="1" x14ac:dyDescent="0.2"/>
    <row r="2" spans="1:23" s="14" customFormat="1" ht="12.95" customHeight="1" x14ac:dyDescent="0.2">
      <c r="A2" s="353" t="str">
        <f>'Basic Data'!A2</f>
        <v>Annex CR Version J2.1 (Audit year 2026 / Indicator year 2025)</v>
      </c>
    </row>
    <row r="3" spans="1:23" s="14" customFormat="1" ht="16.5" customHeight="1" x14ac:dyDescent="0.25">
      <c r="A3" s="73" t="s">
        <v>942</v>
      </c>
    </row>
    <row r="4" spans="1:23" s="14" customFormat="1" ht="15.75" customHeight="1" x14ac:dyDescent="0.2"/>
    <row r="5" spans="1:23" s="13" customFormat="1" ht="15" customHeight="1" x14ac:dyDescent="0.25">
      <c r="A5" s="319" t="s">
        <v>741</v>
      </c>
      <c r="B5" s="25"/>
      <c r="C5" s="634" t="str">
        <f>IF('Basic Data'!B7=0,"",'Basic Data'!B7)</f>
        <v/>
      </c>
      <c r="D5" s="636"/>
      <c r="E5" s="325" t="s">
        <v>740</v>
      </c>
      <c r="F5" s="634" t="str">
        <f>IF('Basic Data'!B9=0,"",'Basic Data'!B9)</f>
        <v/>
      </c>
      <c r="G5" s="673"/>
      <c r="H5" s="673"/>
      <c r="I5" s="673"/>
      <c r="J5" s="673"/>
      <c r="K5" s="673"/>
      <c r="L5" s="673"/>
      <c r="M5" s="673"/>
      <c r="N5" s="673"/>
      <c r="O5" s="673"/>
      <c r="P5" s="673"/>
      <c r="Q5" s="674"/>
      <c r="U5" s="69"/>
      <c r="V5" s="69"/>
      <c r="W5" s="17"/>
    </row>
    <row r="6" spans="1:23" s="13" customFormat="1" ht="6.75" customHeight="1" x14ac:dyDescent="0.2">
      <c r="A6" s="319"/>
      <c r="B6" s="496"/>
      <c r="C6" s="496"/>
      <c r="D6" s="496"/>
      <c r="E6" s="496"/>
      <c r="F6" s="496"/>
      <c r="G6" s="496"/>
      <c r="H6" s="496"/>
      <c r="I6" s="496"/>
      <c r="J6" s="496"/>
      <c r="K6" s="496"/>
      <c r="L6" s="496"/>
      <c r="M6" s="496"/>
      <c r="N6" s="496"/>
      <c r="O6" s="496"/>
      <c r="P6" s="496"/>
      <c r="Q6" s="496"/>
      <c r="U6" s="69"/>
      <c r="V6" s="69"/>
      <c r="W6" s="17"/>
    </row>
    <row r="7" spans="1:23" ht="45" customHeight="1" x14ac:dyDescent="0.25">
      <c r="A7" s="615" t="s">
        <v>1047</v>
      </c>
      <c r="B7" s="616"/>
      <c r="C7" s="616"/>
      <c r="D7" s="616"/>
      <c r="E7" s="616"/>
      <c r="F7" s="616"/>
      <c r="G7" s="616"/>
      <c r="H7" s="616"/>
      <c r="I7" s="616"/>
      <c r="J7" s="617"/>
      <c r="K7" s="617"/>
      <c r="L7" s="617"/>
      <c r="M7" s="617"/>
      <c r="N7" s="617"/>
      <c r="O7" s="617"/>
      <c r="P7" s="617"/>
      <c r="Q7" s="617"/>
      <c r="R7" s="617"/>
      <c r="S7" s="617"/>
      <c r="T7" s="617"/>
    </row>
    <row r="8" spans="1:23" ht="3.75" customHeight="1" thickBot="1" x14ac:dyDescent="0.3"/>
    <row r="9" spans="1:23" ht="19.5" customHeight="1" thickBot="1" x14ac:dyDescent="0.3">
      <c r="A9" s="618" t="s">
        <v>766</v>
      </c>
      <c r="B9" s="618" t="s">
        <v>742</v>
      </c>
      <c r="C9" s="618" t="s">
        <v>743</v>
      </c>
      <c r="D9" s="620" t="s">
        <v>768</v>
      </c>
      <c r="E9" s="621"/>
      <c r="F9" s="618" t="s">
        <v>775</v>
      </c>
      <c r="G9" s="618" t="s">
        <v>770</v>
      </c>
      <c r="H9" s="624" t="s">
        <v>745</v>
      </c>
      <c r="I9" s="625"/>
      <c r="J9" s="620" t="s">
        <v>746</v>
      </c>
      <c r="K9" s="628"/>
      <c r="L9" s="628"/>
      <c r="M9" s="629"/>
      <c r="N9" s="630"/>
      <c r="O9" s="618" t="s">
        <v>931</v>
      </c>
      <c r="P9" s="618" t="s">
        <v>932</v>
      </c>
      <c r="Q9" s="618" t="s">
        <v>18</v>
      </c>
      <c r="R9" s="618" t="s">
        <v>1050</v>
      </c>
      <c r="S9" s="618" t="s">
        <v>1048</v>
      </c>
      <c r="T9" s="618" t="s">
        <v>749</v>
      </c>
      <c r="U9" s="608" t="s">
        <v>750</v>
      </c>
      <c r="V9" s="609"/>
    </row>
    <row r="10" spans="1:23" ht="33" customHeight="1" thickBot="1" x14ac:dyDescent="0.3">
      <c r="A10" s="633"/>
      <c r="B10" s="633"/>
      <c r="C10" s="633"/>
      <c r="D10" s="670"/>
      <c r="E10" s="671"/>
      <c r="F10" s="633"/>
      <c r="G10" s="633"/>
      <c r="H10" s="672"/>
      <c r="I10" s="625"/>
      <c r="J10" s="409"/>
      <c r="K10" s="410" t="s">
        <v>751</v>
      </c>
      <c r="L10" s="410" t="s">
        <v>752</v>
      </c>
      <c r="M10" s="411" t="s">
        <v>753</v>
      </c>
      <c r="N10" s="410" t="s">
        <v>754</v>
      </c>
      <c r="O10" s="631"/>
      <c r="P10" s="633"/>
      <c r="Q10" s="633"/>
      <c r="R10" s="602"/>
      <c r="S10" s="633"/>
      <c r="T10" s="602"/>
      <c r="U10" s="441" t="s">
        <v>1049</v>
      </c>
      <c r="V10" s="441" t="s">
        <v>930</v>
      </c>
    </row>
    <row r="11" spans="1:23" s="14" customFormat="1" ht="26.1" customHeight="1" thickBot="1" x14ac:dyDescent="0.25">
      <c r="A11" s="577" t="str">
        <f>'Indicator sheet_(IS)'!A49</f>
        <v>11a</v>
      </c>
      <c r="B11" s="580" t="s">
        <v>242</v>
      </c>
      <c r="C11" s="577" t="str">
        <f>'Indicator sheet_(IS)'!C49</f>
        <v>Lung resections</v>
      </c>
      <c r="D11" s="583" t="str">
        <f>'Indicator sheet_(IS)'!F49</f>
        <v>Surgical primary cases with anatomical lung resection
(OPS: 5-323 to 5-328*, 6-digits, only with ICD-10 C34)</v>
      </c>
      <c r="E11" s="586"/>
      <c r="F11" s="667" t="s">
        <v>225</v>
      </c>
      <c r="G11" s="627"/>
      <c r="H11" s="589" t="str">
        <f>'Indicator sheet_(IS)'!K49</f>
        <v>No target value</v>
      </c>
      <c r="I11" s="590"/>
      <c r="J11" s="413" t="s">
        <v>933</v>
      </c>
      <c r="K11" s="414"/>
      <c r="L11" s="414"/>
      <c r="M11" s="301"/>
      <c r="N11" s="414"/>
      <c r="O11" s="74"/>
      <c r="P11" s="476"/>
      <c r="Q11" s="476"/>
      <c r="R11" s="440" t="str">
        <f>IF(COUNTIF(K11:O11,"")&gt;0,Berechnung1!$F$5,IF(OR(O11&lt; Berechnung1!$E$66,O11&gt; Berechnung1!$F$66),Berechnung1!$G$5,IF(OR(ROUND(O11,4)&lt;Berechnung1!$J$66,ROUND(O11,4)&gt;Berechnung1!$K$66),Berechnung1!$D$5,IF(OR(ROUND(O11,4)&lt;Berechnung1!$G$66,ROUND(O11,4)&gt;Berechnung1!$H$66),Berechnung1!$E$5,Berechnung1!$C$5))))</f>
        <v>Incomplete</v>
      </c>
      <c r="S11" s="577" t="str">
        <f>IF(SUM(O11:O13)=0,"",SUM(O11:O13))</f>
        <v/>
      </c>
      <c r="T11" s="665" t="str">
        <f>IF(S11="",Berechnung1!$F$5, IF(S11=0,Berechnung1!$D$5,IF(OR(S11&lt; Berechnung1!E66,S11&gt; Berechnung1!F66),Berechnung1!$G$5,IF(OR(ROUND(S11,4)&lt;Berechnung1!J66,ROUND(S11,4)&gt;Berechnung1!K66),Berechnung1!$D$5,IF(OR(ROUND(S11,4)&lt;Berechnung1!G66,ROUND(S11,4)&gt;Berechnung1!H66),Berechnung1!$E$5,Berechnung1!$C$5)))))</f>
        <v>Incomplete</v>
      </c>
      <c r="U11" s="477"/>
      <c r="V11" s="478"/>
    </row>
    <row r="12" spans="1:23" s="14" customFormat="1" ht="26.1" customHeight="1" thickBot="1" x14ac:dyDescent="0.25">
      <c r="A12" s="602"/>
      <c r="B12" s="581"/>
      <c r="C12" s="578"/>
      <c r="D12" s="584"/>
      <c r="E12" s="587"/>
      <c r="F12" s="668"/>
      <c r="G12" s="602"/>
      <c r="H12" s="591"/>
      <c r="I12" s="592"/>
      <c r="J12" s="413" t="s">
        <v>934</v>
      </c>
      <c r="K12" s="479"/>
      <c r="L12" s="479"/>
      <c r="M12" s="480"/>
      <c r="N12" s="479"/>
      <c r="O12" s="481"/>
      <c r="P12" s="476"/>
      <c r="Q12" s="476"/>
      <c r="R12" s="120" t="str">
        <f>IF(COUNTIF(K15:O15,"")=5,"",IF(COUNTIF(K12:O12,"")&gt;0,Berechnung1!$F$5,IF(OR(O12&lt;Berechnung1!$E$66,O12&gt;Berechnung1!$F$66),Berechnung1!$G$5,IF(OR(ROUND(O12,4)&lt;Berechnung1!$J$66,ROUND(O12,4)&gt;Berechnung1!$K$66),Berechnung1!$D$5,IF(OR(ROUND(O12,4)&lt;Berechnung1!$G$66,ROUND(O12,4)&gt;Berechnung1!$H$66),Berechnung1!$E$5,Berechnung1!$C$5)))))</f>
        <v/>
      </c>
      <c r="S12" s="578"/>
      <c r="T12" s="666"/>
      <c r="U12" s="477"/>
      <c r="V12" s="478"/>
    </row>
    <row r="13" spans="1:23" s="14" customFormat="1" ht="26.1" customHeight="1" thickBot="1" x14ac:dyDescent="0.25">
      <c r="A13" s="602"/>
      <c r="B13" s="581"/>
      <c r="C13" s="578"/>
      <c r="D13" s="584"/>
      <c r="E13" s="587"/>
      <c r="F13" s="669"/>
      <c r="G13" s="598"/>
      <c r="H13" s="591"/>
      <c r="I13" s="592"/>
      <c r="J13" s="413" t="s">
        <v>935</v>
      </c>
      <c r="K13" s="479"/>
      <c r="L13" s="479"/>
      <c r="M13" s="480"/>
      <c r="N13" s="479"/>
      <c r="O13" s="481"/>
      <c r="P13" s="476"/>
      <c r="Q13" s="476"/>
      <c r="R13" s="120" t="str">
        <f>IF(COUNTIF(K16:O16,"")=5,"",IF(COUNTIF(K13:O13,"")&gt;0,Berechnung1!$F$5,IF(OR(O13&lt;Berechnung1!$E$66,O13&gt;Berechnung1!$F$66),Berechnung1!$G$5,IF(OR(ROUND(O13,4)&lt;Berechnung1!$J$66,ROUND(O13,4)&gt;Berechnung1!$K$66),Berechnung1!$D$5,IF(OR(ROUND(O13,4)&lt;Berechnung1!$G$66,ROUND(O13,4)&gt;Berechnung1!$H$66),Berechnung1!$E$5,Berechnung1!$C$5)))))</f>
        <v/>
      </c>
      <c r="S13" s="579"/>
      <c r="T13" s="666"/>
      <c r="U13" s="477"/>
      <c r="V13" s="478"/>
    </row>
    <row r="14" spans="1:23" s="14" customFormat="1" ht="26.1" customHeight="1" thickBot="1" x14ac:dyDescent="0.25">
      <c r="A14" s="577" t="str">
        <f>'Indicator sheet_(IS)'!A52</f>
        <v>11b</v>
      </c>
      <c r="B14" s="581"/>
      <c r="C14" s="578"/>
      <c r="D14" s="583" t="str">
        <f>'Indicator sheet_(IS)'!F52</f>
        <v>Surgical expertise   Number anatomical resections (OPS: 
5-323 to 5-328*, for  ICD-10  C34.0-.9, C78.0</v>
      </c>
      <c r="E14" s="586"/>
      <c r="F14" s="667" t="s">
        <v>225</v>
      </c>
      <c r="G14" s="627"/>
      <c r="H14" s="604" t="str">
        <f>'Indicator sheet_(IS)'!K52</f>
        <v>≥ 75</v>
      </c>
      <c r="I14" s="605"/>
      <c r="J14" s="413" t="s">
        <v>933</v>
      </c>
      <c r="K14" s="275" t="str">
        <f t="shared" ref="K14:N16" si="0">IF(K11="","",K11)</f>
        <v/>
      </c>
      <c r="L14" s="275" t="str">
        <f t="shared" si="0"/>
        <v/>
      </c>
      <c r="M14" s="303" t="str">
        <f t="shared" si="0"/>
        <v/>
      </c>
      <c r="N14" s="275" t="str">
        <f>IF(N11="","",N11)</f>
        <v/>
      </c>
      <c r="O14" s="74"/>
      <c r="P14" s="476"/>
      <c r="Q14" s="476"/>
      <c r="R14" s="440" t="str">
        <f>IF(COUNTIF(K14:O14,"")&gt;0,Berechnung1!$F$5,IF(OR(O14&lt; Berechnung1!$E$69,O14&gt; Berechnung1!$F$69),Berechnung1!$G$5,IF(OR(ROUND(O14,4)&lt;Berechnung1!$J$69,ROUND(O14,4)&gt;Berechnung1!$K$69),Berechnung1!$D$5,IF(OR(ROUND(O14,4)&lt;Berechnung1!$G$69,ROUND(O14,4)&gt;Berechnung1!$H$69),Berechnung1!$E$5,Berechnung1!$C$5))))</f>
        <v>Incomplete</v>
      </c>
      <c r="S14" s="577" t="str">
        <f>IF(SUM(O14:O16)=0,"",SUM(O14:O16))</f>
        <v/>
      </c>
      <c r="T14" s="665" t="str">
        <f>IF(S14="",Berechnung1!$F$5,IF(S14=0,Berechnung1!$D$5,IF(OR(S14&lt; Berechnung1!E69,S14&gt; Berechnung1!F69),Berechnung1!$G$5,IF(OR(ROUND(S14,4)&lt;Berechnung1!J69,ROUND(S14,4)&gt;Berechnung1!K69),Berechnung1!$D$5,IF(OR(ROUND(S14,4)&lt;Berechnung1!G69,ROUND(S14,4)&gt;Berechnung1!H69),Berechnung1!$E$5,Berechnung1!$C$5)))))</f>
        <v>Incomplete</v>
      </c>
      <c r="U14" s="477"/>
      <c r="V14" s="478"/>
    </row>
    <row r="15" spans="1:23" s="14" customFormat="1" ht="26.1" customHeight="1" thickBot="1" x14ac:dyDescent="0.25">
      <c r="A15" s="602"/>
      <c r="B15" s="581"/>
      <c r="C15" s="578"/>
      <c r="D15" s="584"/>
      <c r="E15" s="587"/>
      <c r="F15" s="668"/>
      <c r="G15" s="602"/>
      <c r="H15" s="606"/>
      <c r="I15" s="607"/>
      <c r="J15" s="413" t="s">
        <v>934</v>
      </c>
      <c r="K15" s="275" t="str">
        <f t="shared" si="0"/>
        <v/>
      </c>
      <c r="L15" s="275" t="str">
        <f t="shared" si="0"/>
        <v/>
      </c>
      <c r="M15" s="303" t="str">
        <f t="shared" si="0"/>
        <v/>
      </c>
      <c r="N15" s="275" t="str">
        <f t="shared" si="0"/>
        <v/>
      </c>
      <c r="O15" s="74"/>
      <c r="P15" s="476"/>
      <c r="Q15" s="476"/>
      <c r="R15" s="120" t="str">
        <f>IF(COUNTIF(K15:O15,"")=5,"",IF(COUNTIF(K15:O15,"")&gt;0,Berechnung1!$F$5,IF(OR(O15&lt;Berechnung1!$E$69,O15&gt;Berechnung1!$F$69),Berechnung1!$G$5,IF(OR(ROUND(O15,4)&lt;Berechnung1!$J$69,ROUND(O15,4)&gt;Berechnung1!$K$69),Berechnung1!$D$5,IF(OR(ROUND(O15,4)&lt;Berechnung1!$G$69,ROUND(O15,4)&gt;Berechnung1!$H$69),Berechnung1!$E$5,Berechnung1!$C$5)))))</f>
        <v/>
      </c>
      <c r="S15" s="578"/>
      <c r="T15" s="666"/>
      <c r="U15" s="477"/>
      <c r="V15" s="478"/>
    </row>
    <row r="16" spans="1:23" s="14" customFormat="1" ht="26.1" customHeight="1" thickBot="1" x14ac:dyDescent="0.25">
      <c r="A16" s="602"/>
      <c r="B16" s="582"/>
      <c r="C16" s="579"/>
      <c r="D16" s="584"/>
      <c r="E16" s="587"/>
      <c r="F16" s="669"/>
      <c r="G16" s="598"/>
      <c r="H16" s="606"/>
      <c r="I16" s="607"/>
      <c r="J16" s="413" t="s">
        <v>935</v>
      </c>
      <c r="K16" s="275" t="str">
        <f t="shared" si="0"/>
        <v/>
      </c>
      <c r="L16" s="275" t="str">
        <f t="shared" si="0"/>
        <v/>
      </c>
      <c r="M16" s="303" t="str">
        <f t="shared" si="0"/>
        <v/>
      </c>
      <c r="N16" s="275" t="str">
        <f t="shared" si="0"/>
        <v/>
      </c>
      <c r="O16" s="74"/>
      <c r="P16" s="476"/>
      <c r="Q16" s="476"/>
      <c r="R16" s="120" t="str">
        <f>IF(COUNTIF(K16:O16,"")=5,"",IF(COUNTIF(K13:O13,"")&gt;0,Berechnung1!$F$5,IF(OR(O16&lt;Berechnung1!$E$69,O16&gt;Berechnung1!$F$69),Berechnung1!$G$5,IF(OR(ROUND(O16,4)&lt;Berechnung1!$J$69,ROUND(O16,4)&gt;Berechnung1!$K$69),Berechnung1!$D$5,IF(OR(ROUND(O16,4)&lt;Berechnung1!$G$69,ROUND(O16,4)&gt;Berechnung1!$H$69),Berechnung1!$E$5,Berechnung1!$C$5)))))</f>
        <v/>
      </c>
      <c r="S16" s="579"/>
      <c r="T16" s="666"/>
      <c r="U16" s="477"/>
      <c r="V16" s="478"/>
    </row>
    <row r="17" spans="1:22" s="14" customFormat="1" ht="26.1" customHeight="1" thickBot="1" x14ac:dyDescent="0.25">
      <c r="A17" s="577">
        <f>'Indicator sheet_(IS)'!A55</f>
        <v>12</v>
      </c>
      <c r="B17" s="580"/>
      <c r="C17" s="583" t="str">
        <f>'Indicator sheet_(IS)'!C55</f>
        <v xml:space="preserve">Ratio of broncho-/angioplasty surgeries to pneumonectomies </v>
      </c>
      <c r="D17" s="583" t="str">
        <f>'Indicator sheet_(IS)'!F55</f>
        <v>Primary cases of denominator with broncho-/angioplasty surgeries</v>
      </c>
      <c r="E17" s="586"/>
      <c r="F17" s="583" t="str">
        <f>'Indicator sheet_(IS)'!H55</f>
        <v>Primary cases with pneumonectomies and primary cases with broncho-/angioplasty surgeries.</v>
      </c>
      <c r="G17" s="604" t="str">
        <f>'Indicator sheet_(IS)'!J55</f>
        <v>&lt; 50%</v>
      </c>
      <c r="H17" s="589" t="str">
        <f>'Indicator sheet_(IS)'!K55</f>
        <v>No target value</v>
      </c>
      <c r="I17" s="590"/>
      <c r="J17" s="413" t="s">
        <v>933</v>
      </c>
      <c r="K17" s="275" t="str">
        <f>IF(K11="","",K11)</f>
        <v/>
      </c>
      <c r="L17" s="275" t="str">
        <f>IF(L11="","",L11)</f>
        <v/>
      </c>
      <c r="M17" s="1" t="str">
        <f>IF(M11="","",M11)</f>
        <v/>
      </c>
      <c r="N17" s="275" t="str">
        <f>IF(N11="","",N11)</f>
        <v/>
      </c>
      <c r="O17" s="74"/>
      <c r="P17" s="74"/>
      <c r="Q17" s="482" t="str">
        <f t="shared" ref="Q17:Q34" si="1">IF(O17="","n.d.",IF(P17="","n.d.",IF(P17=0,"",O17/P17)))</f>
        <v>n.d.</v>
      </c>
      <c r="R17" s="440" t="str">
        <f>IF(COUNTIF(K17:P17,"")&gt;0,Berechnung1!$F$5,IF(OR(Q17&lt;Berechnung1!$E$72,Q17&gt;Berechnung1!$F$72),Berechnung1!$G$5,IF(OR(ROUND(Q17,4)&lt;Berechnung1!$J$72,ROUND(Q17,4)&gt;Berechnung1!$K$72),Berechnung1!$D$5,IF(OR(ROUND(Q17,4)&lt;Berechnung1!$G$72,ROUND(Q17,4)&gt;Berechnung1!$H$72),Berechnung1!$E$5,Berechnung1!$C$5))))</f>
        <v>Incomplete</v>
      </c>
      <c r="S17" s="637" t="str">
        <f>IFERROR(SUM(O17:O19)/SUM(P17:P19),"n.d.")</f>
        <v>n.d.</v>
      </c>
      <c r="T17" s="574" t="str">
        <f>IF(S17=Berechnung1!D72,Berechnung1!$F$5,IF(OR(S17&lt; Berechnung1!E72,S17&gt; Berechnung1!F72),Berechnung1!$G$5,IF(OR(ROUND(S17,4)&lt;Berechnung1!G72,ROUND(S17,4)&gt;Berechnung1!H72),Berechnung1!$E$5,IF(OR(ROUND(S17,4)&lt;Berechnung1!J72,ROUND(S17,4)&gt;Berechnung1!K72),Berechnung1!$D$5,Berechnung1!$C$5))))</f>
        <v>Incomplete</v>
      </c>
      <c r="U17" s="477"/>
      <c r="V17" s="478"/>
    </row>
    <row r="18" spans="1:22" s="14" customFormat="1" ht="26.1" customHeight="1" thickBot="1" x14ac:dyDescent="0.25">
      <c r="A18" s="578"/>
      <c r="B18" s="581"/>
      <c r="C18" s="600"/>
      <c r="D18" s="600"/>
      <c r="E18" s="587"/>
      <c r="F18" s="600"/>
      <c r="G18" s="606"/>
      <c r="H18" s="601"/>
      <c r="I18" s="592"/>
      <c r="J18" s="413" t="s">
        <v>934</v>
      </c>
      <c r="K18" s="75"/>
      <c r="L18" s="75"/>
      <c r="M18" s="302"/>
      <c r="N18" s="75"/>
      <c r="O18" s="74"/>
      <c r="P18" s="74"/>
      <c r="Q18" s="482" t="str">
        <f t="shared" si="1"/>
        <v>n.d.</v>
      </c>
      <c r="R18" s="120" t="str">
        <f>IF(COUNTIF(K18:P18,"")=6,"",IF(COUNTIF(K18:P18,"")&gt;0,Berechnung1!$F$5,IF(OR(Q18&lt;Berechnung1!$E$72,Q18&gt;Berechnung1!$F$72),Berechnung1!$G$5,IF(OR(ROUND(Q18,4)&lt;Berechnung1!$J$72,ROUND(Q18,4)&gt;Berechnung1!$K$72),Berechnung1!$D$5,IF(OR(ROUND(Q18,4)&lt;Berechnung1!$G$72,ROUND(Q18,4)&gt;Berechnung1!$H$72),Berechnung1!$E$5,Berechnung1!$C$5)))))</f>
        <v/>
      </c>
      <c r="S18" s="578"/>
      <c r="T18" s="575"/>
      <c r="U18" s="477"/>
      <c r="V18" s="478"/>
    </row>
    <row r="19" spans="1:22" s="14" customFormat="1" ht="26.1" customHeight="1" thickBot="1" x14ac:dyDescent="0.25">
      <c r="A19" s="578"/>
      <c r="B19" s="581"/>
      <c r="C19" s="600"/>
      <c r="D19" s="600"/>
      <c r="E19" s="587"/>
      <c r="F19" s="600"/>
      <c r="G19" s="606"/>
      <c r="H19" s="601"/>
      <c r="I19" s="592"/>
      <c r="J19" s="413" t="s">
        <v>935</v>
      </c>
      <c r="K19" s="75"/>
      <c r="L19" s="75"/>
      <c r="M19" s="302"/>
      <c r="N19" s="75"/>
      <c r="O19" s="74"/>
      <c r="P19" s="74"/>
      <c r="Q19" s="482" t="str">
        <f t="shared" si="1"/>
        <v>n.d.</v>
      </c>
      <c r="R19" s="120" t="str">
        <f>IF(COUNTIF(K19:P19,"")=6,"",IF(COUNTIF(K19:P19,"")&gt;0,Berechnung1!$F$5,IF(OR(Q19&lt;Berechnung1!$E$72,Q19&gt;Berechnung1!$F$72),Berechnung1!$G$5,IF(OR(ROUND(Q19,4)&lt;Berechnung1!$J$72,ROUND(Q19,4)&gt;Berechnung1!$K$72),Berechnung1!$D$5,IF(OR(ROUND(Q19,4)&lt;Berechnung1!$G$72,ROUND(Q19,4)&gt;Berechnung1!$H$72),Berechnung1!$E$5,Berechnung1!$C$5)))))</f>
        <v/>
      </c>
      <c r="S19" s="579"/>
      <c r="T19" s="575"/>
      <c r="U19" s="477"/>
      <c r="V19" s="478"/>
    </row>
    <row r="20" spans="1:22" s="14" customFormat="1" ht="26.1" customHeight="1" thickBot="1" x14ac:dyDescent="0.25">
      <c r="A20" s="577">
        <f>'Indicator sheet_(IS)'!A58</f>
        <v>13</v>
      </c>
      <c r="B20" s="580"/>
      <c r="C20" s="583" t="str">
        <f>'Indicator sheet_(IS)'!C58</f>
        <v>Videothoracoscopic (VATS) and/or robotic-assisted (RATS) anatomic resections</v>
      </c>
      <c r="D20" s="583" t="str">
        <f>'Indicator sheet_(IS)'!F58</f>
        <v>Operations of the denominator performed videothoracoscopically (VATS) and/or robot-assisted (RATS)</v>
      </c>
      <c r="E20" s="586"/>
      <c r="F20" s="661" t="str">
        <f>'Indicator sheet_(IS)'!H58</f>
        <v>Surgical primary cases (=indicator 11a)</v>
      </c>
      <c r="G20" s="627"/>
      <c r="H20" s="589" t="str">
        <f>'Indicator sheet_(IS)'!K58</f>
        <v>No target value</v>
      </c>
      <c r="I20" s="590"/>
      <c r="J20" s="413" t="s">
        <v>933</v>
      </c>
      <c r="K20" s="275" t="str">
        <f>IF(K11="","",K11)</f>
        <v/>
      </c>
      <c r="L20" s="275" t="str">
        <f>IF(L11="","",L11)</f>
        <v/>
      </c>
      <c r="M20" s="1" t="str">
        <f>IF(M11="","",M11)</f>
        <v/>
      </c>
      <c r="N20" s="275" t="str">
        <f>IF(N11="","",N11)</f>
        <v/>
      </c>
      <c r="O20" s="74"/>
      <c r="P20" s="74"/>
      <c r="Q20" s="482" t="str">
        <f t="shared" si="1"/>
        <v>n.d.</v>
      </c>
      <c r="R20" s="440" t="str">
        <f>IF(COUNTIF(K20:P20,"")&gt;0,Berechnung1!$F$5,IF(OR(Q20&lt; Berechnung1!$E$75,Q20&gt; Berechnung1!$F$75),Berechnung1!$G$5,IF(OR(ROUND(Q20,4)&lt;Berechnung1!$J$75,ROUND(Q20,4)&gt;Berechnung1!$K$75),Berechnung1!$D$5,IF(OR(ROUND(Q20,4)&lt;Berechnung1!$G$75,ROUND(Q20,4)&gt;Berechnung1!$H$75),Berechnung1!$E$5,Berechnung1!$C$5))))</f>
        <v>Incomplete</v>
      </c>
      <c r="S20" s="637" t="str">
        <f>IFERROR(SUM(O20:O22)/SUM(P20:P22),"n.d.")</f>
        <v>n.d.</v>
      </c>
      <c r="T20" s="574" t="str">
        <f>IF(S20=Berechnung1!D75,Berechnung1!$F$5,IF(OR(S20&lt; Berechnung1!E72,S20&gt; Berechnung1!F75),Berechnung1!$G$5,IF(OR(ROUND(S20,4)&lt;Berechnung1!G75,ROUND(S20,4)&gt;Berechnung1!H75),Berechnung1!$E$5,IF(OR(ROUND(S20,4)&lt;Berechnung1!J75,ROUND(S20,4)&gt;Berechnung1!K75),Berechnung1!$D$5,Berechnung1!$C$5))))</f>
        <v>Incomplete</v>
      </c>
      <c r="U20" s="477"/>
      <c r="V20" s="478"/>
    </row>
    <row r="21" spans="1:22" s="14" customFormat="1" ht="26.1" customHeight="1" thickBot="1" x14ac:dyDescent="0.25">
      <c r="A21" s="578"/>
      <c r="B21" s="581"/>
      <c r="C21" s="600"/>
      <c r="D21" s="600"/>
      <c r="E21" s="587"/>
      <c r="F21" s="662"/>
      <c r="G21" s="602"/>
      <c r="H21" s="601"/>
      <c r="I21" s="592"/>
      <c r="J21" s="413" t="s">
        <v>934</v>
      </c>
      <c r="K21" s="76"/>
      <c r="L21" s="76"/>
      <c r="M21" s="304"/>
      <c r="N21" s="76"/>
      <c r="O21" s="74"/>
      <c r="P21" s="74"/>
      <c r="Q21" s="482" t="str">
        <f t="shared" si="1"/>
        <v>n.d.</v>
      </c>
      <c r="R21" s="120" t="str">
        <f>IF(COUNTIF(K21:P21,"")=6,"",IF(COUNTIF(K21:P21,"")&gt;0,Berechnung1!$F$5,IF(OR(Q21&lt;Berechnung1!$E$75,Q21&gt;Berechnung1!$F$75),Berechnung1!$G$5,IF(OR(ROUND(Q21,4)&lt;Berechnung1!$J$75,ROUND(Q21,4)&gt;Berechnung1!$K$75),Berechnung1!$D$5,IF(OR(ROUND(Q21,4)&lt;Berechnung1!$G$75,ROUND(Q21,4)&gt;Berechnung1!$H$75),Berechnung1!$E$5,Berechnung1!$C$5)))))</f>
        <v/>
      </c>
      <c r="S21" s="578"/>
      <c r="T21" s="575"/>
      <c r="U21" s="477"/>
      <c r="V21" s="478"/>
    </row>
    <row r="22" spans="1:22" s="14" customFormat="1" ht="26.1" customHeight="1" thickBot="1" x14ac:dyDescent="0.25">
      <c r="A22" s="579"/>
      <c r="B22" s="582"/>
      <c r="C22" s="660"/>
      <c r="D22" s="660"/>
      <c r="E22" s="588"/>
      <c r="F22" s="663"/>
      <c r="G22" s="598"/>
      <c r="H22" s="664"/>
      <c r="I22" s="594"/>
      <c r="J22" s="413" t="s">
        <v>935</v>
      </c>
      <c r="K22" s="76"/>
      <c r="L22" s="76"/>
      <c r="M22" s="304"/>
      <c r="N22" s="76"/>
      <c r="O22" s="74"/>
      <c r="P22" s="74"/>
      <c r="Q22" s="482" t="str">
        <f t="shared" si="1"/>
        <v>n.d.</v>
      </c>
      <c r="R22" s="120" t="str">
        <f>IF(COUNTIF(K22:P22,"")=6,"",IF(COUNTIF(K22:P22,"")&gt;0,Berechnung1!$F$5,IF(OR(Q22&lt;Berechnung1!$E$75,Q22&gt;Berechnung1!$F$72),Berechnung1!$G$5,IF(OR(ROUND(Q22,4)&lt;Berechnung1!$J$75,ROUND(Q22,4)&gt;Berechnung1!$K$75),Berechnung1!$D$5,IF(OR(ROUND(Q22,4)&lt;Berechnung1!$G$75,ROUND(Q22,4)&gt;Berechnung1!$H$75),Berechnung1!$E$5,Berechnung1!$C$5)))))</f>
        <v/>
      </c>
      <c r="S22" s="579"/>
      <c r="T22" s="576"/>
      <c r="U22" s="477"/>
      <c r="V22" s="478"/>
    </row>
    <row r="23" spans="1:22" s="14" customFormat="1" ht="26.1" customHeight="1" thickBot="1" x14ac:dyDescent="0.25">
      <c r="A23" s="577">
        <f>'Indicator sheet_(IS)'!A61</f>
        <v>14</v>
      </c>
      <c r="B23" s="580" t="s">
        <v>243</v>
      </c>
      <c r="C23" s="583" t="str">
        <f>'Indicator sheet_(IS)'!C61</f>
        <v>30d lethality after resections</v>
      </c>
      <c r="D23" s="583" t="str">
        <f>'Indicator sheet_(IS)'!F61</f>
        <v>Primary cases of the denominator who died post-operative within 30d</v>
      </c>
      <c r="E23" s="586"/>
      <c r="F23" s="661" t="str">
        <f>'Indicator sheet_(IS)'!H61</f>
        <v>Surgical primary cases 
(= indicator 11a)</v>
      </c>
      <c r="G23" s="577" t="str">
        <f>'Indicator sheet_(IS)'!J61</f>
        <v>&lt; 0,01%</v>
      </c>
      <c r="H23" s="589" t="str">
        <f>'Indicator sheet_(IS)'!K61</f>
        <v>≤ 5%</v>
      </c>
      <c r="I23" s="590"/>
      <c r="J23" s="413" t="s">
        <v>933</v>
      </c>
      <c r="K23" s="275" t="str">
        <f>IF(K11="","",K11)</f>
        <v/>
      </c>
      <c r="L23" s="275" t="str">
        <f>IF(L11="","",L11)</f>
        <v/>
      </c>
      <c r="M23" s="1" t="str">
        <f>IF(M11="","",M11)</f>
        <v/>
      </c>
      <c r="N23" s="275" t="str">
        <f>IF(N11="","",N11)</f>
        <v/>
      </c>
      <c r="O23" s="74"/>
      <c r="P23" s="74"/>
      <c r="Q23" s="482" t="str">
        <f t="shared" si="1"/>
        <v>n.d.</v>
      </c>
      <c r="R23" s="440" t="str">
        <f>IF(COUNTIF(K23:P23,"")&gt;0,Berechnung1!$F$5,IF(OR(Q23&lt; Berechnung1!$E$78,Q23&gt; Berechnung1!$F$78),Berechnung1!$G$5,IF(OR(ROUND(Q23,4)&lt;Berechnung1!$J$78,ROUND(Q23,4)&gt;Berechnung1!$K$78),Berechnung1!$D$5,IF(OR(ROUND(Q23,4)&lt;Berechnung1!$G$78,ROUND(Q23,4)&gt;Berechnung1!$H$78),Berechnung1!$E$5,Berechnung1!$C$5))))</f>
        <v>Incomplete</v>
      </c>
      <c r="S23" s="637" t="str">
        <f>IFERROR(SUM(O23:O25)/SUM(P23:P25),"n.d.")</f>
        <v>n.d.</v>
      </c>
      <c r="T23" s="574" t="str">
        <f>IF(S23=Berechnung1!D78,Berechnung1!$F$5,IF(OR(S23&lt; Berechnung1!E78,S23&gt; Berechnung1!F78),Berechnung1!$G$5,IF(OR(S23&lt;Berechnung1!J78,S23&gt;Berechnung1!K78),Berechnung1!$D$5,IF(OR(ROUND(S23,4)&lt;Berechnung1!G78,ROUND(S23,4)&gt;Berechnung1!H78),Berechnung1!$E$5,Berechnung1!$C$5))))</f>
        <v>Incomplete</v>
      </c>
      <c r="U23" s="477"/>
      <c r="V23" s="478"/>
    </row>
    <row r="24" spans="1:22" s="14" customFormat="1" ht="26.1" customHeight="1" thickBot="1" x14ac:dyDescent="0.25">
      <c r="A24" s="578"/>
      <c r="B24" s="581"/>
      <c r="C24" s="600"/>
      <c r="D24" s="600"/>
      <c r="E24" s="587"/>
      <c r="F24" s="662"/>
      <c r="G24" s="578"/>
      <c r="H24" s="591"/>
      <c r="I24" s="592"/>
      <c r="J24" s="413" t="s">
        <v>934</v>
      </c>
      <c r="K24" s="76"/>
      <c r="L24" s="76"/>
      <c r="M24" s="304"/>
      <c r="N24" s="76"/>
      <c r="O24" s="74"/>
      <c r="P24" s="74"/>
      <c r="Q24" s="482" t="str">
        <f t="shared" si="1"/>
        <v>n.d.</v>
      </c>
      <c r="R24" s="120" t="str">
        <f>IF(COUNTIF(K24:P24,"")=6,"",IF(COUNTIF(K24:P24,"")&gt;0,Berechnung1!$F$5,IF(OR(Q24&lt;Berechnung1!$E$78,Q24&gt;Berechnung1!$F$78),Berechnung1!$G$5,IF(OR(ROUND(Q24,4)&lt;Berechnung1!$J$78,ROUND(Q24,4)&gt;Berechnung1!$K$78),Berechnung1!$D$5,IF(OR(ROUND(Q24,4)&lt;Berechnung1!$G$78,ROUND(Q24,4)&gt;Berechnung1!$H$78),Berechnung1!$E$5,Berechnung1!$C$5)))))</f>
        <v/>
      </c>
      <c r="S24" s="578"/>
      <c r="T24" s="575"/>
      <c r="U24" s="477"/>
      <c r="V24" s="478"/>
    </row>
    <row r="25" spans="1:22" s="14" customFormat="1" ht="26.1" customHeight="1" thickBot="1" x14ac:dyDescent="0.25">
      <c r="A25" s="579"/>
      <c r="B25" s="582"/>
      <c r="C25" s="660"/>
      <c r="D25" s="660"/>
      <c r="E25" s="588"/>
      <c r="F25" s="663"/>
      <c r="G25" s="579"/>
      <c r="H25" s="593"/>
      <c r="I25" s="594"/>
      <c r="J25" s="413" t="s">
        <v>935</v>
      </c>
      <c r="K25" s="76"/>
      <c r="L25" s="76"/>
      <c r="M25" s="304"/>
      <c r="N25" s="76"/>
      <c r="O25" s="74"/>
      <c r="P25" s="74"/>
      <c r="Q25" s="482" t="str">
        <f t="shared" si="1"/>
        <v>n.d.</v>
      </c>
      <c r="R25" s="120" t="str">
        <f>IF(COUNTIF(K25:P25,"")=6,"",IF(COUNTIF(K25:P25,"")&gt;0,Berechnung1!$F$5,IF(OR(Q25&lt;Berechnung1!$E$78,Q25&gt;Berechnung1!$F$78),Berechnung1!$G$5,IF(OR(ROUND(Q25,4)&lt;Berechnung1!$J$78,ROUND(Q25,4)&gt;Berechnung1!$K$78),Berechnung1!$D$5,IF(OR(ROUND(Q25,4)&lt;Berechnung1!$G$78,ROUND(Q25,4)&gt;Berechnung1!$H$78),Berechnung1!$E$5,Berechnung1!$C$5)))))</f>
        <v/>
      </c>
      <c r="S25" s="579"/>
      <c r="T25" s="576"/>
      <c r="U25" s="477"/>
      <c r="V25" s="478"/>
    </row>
    <row r="26" spans="1:22" s="14" customFormat="1" ht="26.1" customHeight="1" thickBot="1" x14ac:dyDescent="0.25">
      <c r="A26" s="641">
        <f>'Indicator sheet_(IS)'!A64</f>
        <v>15</v>
      </c>
      <c r="B26" s="644" t="s">
        <v>243</v>
      </c>
      <c r="C26" s="647" t="str">
        <f>'Indicator sheet_(IS)'!C64</f>
        <v>Post-operative bronchial stump/anastomotic insufficiency</v>
      </c>
      <c r="D26" s="647" t="str">
        <f>'Indicator sheet_(IS)'!F64</f>
        <v xml:space="preserve">Primary cases of the denominator with post-operative bronchial stump/anastomotic insufficiency </v>
      </c>
      <c r="E26" s="650"/>
      <c r="F26" s="647" t="str">
        <f>'Indicator sheet_(IS)'!H64</f>
        <v>Surgical primary cases 
(= indicator 11a)</v>
      </c>
      <c r="G26" s="577" t="str">
        <f>'Indicator sheet_(IS)'!J64</f>
        <v>&lt; 0,01%</v>
      </c>
      <c r="H26" s="589" t="str">
        <f>'Indicator sheet_(IS)'!K64</f>
        <v>≤ 5%</v>
      </c>
      <c r="I26" s="590"/>
      <c r="J26" s="413" t="s">
        <v>933</v>
      </c>
      <c r="K26" s="275" t="str">
        <f>IF(K11="","",K11)</f>
        <v/>
      </c>
      <c r="L26" s="275" t="str">
        <f>IF(L11="","",L11)</f>
        <v/>
      </c>
      <c r="M26" s="1" t="str">
        <f>IF(M11="","",M11)</f>
        <v/>
      </c>
      <c r="N26" s="275" t="str">
        <f>IF(N11="","",N11)</f>
        <v/>
      </c>
      <c r="O26" s="74"/>
      <c r="P26" s="74"/>
      <c r="Q26" s="482" t="str">
        <f t="shared" si="1"/>
        <v>n.d.</v>
      </c>
      <c r="R26" s="440" t="str">
        <f>IF(COUNTIF(K26:P26,"")&gt;0,Berechnung1!$F$5,IF(OR(Q26&lt; Berechnung1!$E$81,Q26&gt; Berechnung1!$F$81),Berechnung1!$G$5,IF(OR(ROUND(Q26,4)&lt;Berechnung1!$J$81,ROUND(Q26,4)&gt;Berechnung1!$K$81),Berechnung1!$D$5,IF(OR(ROUND(Q26,4)&lt;Berechnung1!$G$81,ROUND(Q26,4)&gt;Berechnung1!$H$81),Berechnung1!$E$5,Berechnung1!$C$5))))</f>
        <v>Incomplete</v>
      </c>
      <c r="S26" s="637" t="str">
        <f>IFERROR(SUM(O26:O28)/SUM(P26:P28),"n.d.")</f>
        <v>n.d.</v>
      </c>
      <c r="T26" s="574" t="str">
        <f>IF(S26=Berechnung1!D81,Berechnung1!$F$5,IF(OR(S26&lt; Berechnung1!E81,S26&gt; Berechnung1!F81),Berechnung1!$G$5,IF(OR(S26&lt;Berechnung1!J81,S26&gt;Berechnung1!K81),Berechnung1!$D$5,IF(OR(ROUND(S26,4)&lt;Berechnung1!G81,ROUND(S26,4)&gt;Berechnung1!H81),Berechnung1!$E$5,Berechnung1!$C$5))))</f>
        <v>Incomplete</v>
      </c>
      <c r="U26" s="477"/>
      <c r="V26" s="478"/>
    </row>
    <row r="27" spans="1:22" s="14" customFormat="1" ht="26.1" customHeight="1" thickBot="1" x14ac:dyDescent="0.25">
      <c r="A27" s="642"/>
      <c r="B27" s="645"/>
      <c r="C27" s="648"/>
      <c r="D27" s="648"/>
      <c r="E27" s="651"/>
      <c r="F27" s="653"/>
      <c r="G27" s="578"/>
      <c r="H27" s="591"/>
      <c r="I27" s="592"/>
      <c r="J27" s="413" t="s">
        <v>934</v>
      </c>
      <c r="K27" s="75"/>
      <c r="L27" s="75"/>
      <c r="M27" s="302"/>
      <c r="N27" s="75"/>
      <c r="O27" s="74"/>
      <c r="P27" s="74"/>
      <c r="Q27" s="482" t="str">
        <f t="shared" si="1"/>
        <v>n.d.</v>
      </c>
      <c r="R27" s="120" t="str">
        <f>IF(COUNTIF(K27:P27,"")=6,"",IF(COUNTIF(K27:P27,"")&gt;0,Berechnung1!$F$5,IF(OR(Q27&lt;Berechnung1!$E$81,Q27&gt;Berechnung1!$F$81),Berechnung1!$G$5,IF(OR(ROUND(Q27,4)&lt;Berechnung1!$J$81,ROUND(Q27,4)&gt;Berechnung1!$K$81),Berechnung1!$D$5,IF(OR(ROUND(Q27,4)&lt;Berechnung1!$G$81,ROUND(Q27,4)&gt;Berechnung1!$H$81),Berechnung1!$E$5,Berechnung1!$C$5)))))</f>
        <v/>
      </c>
      <c r="S27" s="578"/>
      <c r="T27" s="575"/>
      <c r="U27" s="477"/>
      <c r="V27" s="478"/>
    </row>
    <row r="28" spans="1:22" s="14" customFormat="1" ht="26.1" customHeight="1" thickBot="1" x14ac:dyDescent="0.25">
      <c r="A28" s="643"/>
      <c r="B28" s="646"/>
      <c r="C28" s="649"/>
      <c r="D28" s="649"/>
      <c r="E28" s="652"/>
      <c r="F28" s="654"/>
      <c r="G28" s="579"/>
      <c r="H28" s="593"/>
      <c r="I28" s="594"/>
      <c r="J28" s="413" t="s">
        <v>935</v>
      </c>
      <c r="K28" s="76"/>
      <c r="L28" s="76"/>
      <c r="M28" s="304"/>
      <c r="N28" s="76"/>
      <c r="O28" s="74"/>
      <c r="P28" s="74"/>
      <c r="Q28" s="482" t="str">
        <f t="shared" si="1"/>
        <v>n.d.</v>
      </c>
      <c r="R28" s="120" t="str">
        <f>IF(COUNTIF(K28:P28,"")=6,"",IF(COUNTIF(K28:P28,"")&gt;0,Berechnung1!$F$5,IF(OR(Q28&lt;Berechnung1!$E$81,Q28&gt;Berechnung1!$F$81),Berechnung1!$G$5,IF(OR(ROUND(Q28,4)&lt;Berechnung1!$J$81,ROUND(Q28,4)&gt;Berechnung1!$K$81),Berechnung1!$D$5,IF(OR(ROUND(Q28,4)&lt;Berechnung1!$G$81,ROUND(Q28,4)&gt;Berechnung1!$H$81),Berechnung1!$E$5,Berechnung1!$C$5)))))</f>
        <v/>
      </c>
      <c r="S28" s="579"/>
      <c r="T28" s="576"/>
      <c r="U28" s="473"/>
      <c r="V28" s="478"/>
    </row>
    <row r="29" spans="1:22" s="14" customFormat="1" ht="26.1" customHeight="1" thickBot="1" x14ac:dyDescent="0.25">
      <c r="A29" s="641">
        <f>'Indicator sheet_(IS)'!A67</f>
        <v>16</v>
      </c>
      <c r="B29" s="644" t="s">
        <v>243</v>
      </c>
      <c r="C29" s="647" t="str">
        <f>'Indicator sheet_(IS)'!C67</f>
        <v>Local R0 resections in stages IA/B and IIA/B</v>
      </c>
      <c r="D29" s="647" t="str">
        <f>'Indicator sheet_(IS)'!F67</f>
        <v>Primary cases of the denominator with local R0 resections after completion of surgical treatment</v>
      </c>
      <c r="E29" s="650"/>
      <c r="F29" s="655" t="str">
        <f>'Indicator sheet_(IS)'!H67</f>
        <v>Surgical primary cases of anatomical lung resection in stages IA/B and IIA/B</v>
      </c>
      <c r="G29" s="641"/>
      <c r="H29" s="589" t="str">
        <f>'Indicator sheet_(IS)'!K67</f>
        <v>≥ 95%</v>
      </c>
      <c r="I29" s="590"/>
      <c r="J29" s="413" t="s">
        <v>933</v>
      </c>
      <c r="K29" s="275" t="str">
        <f>IF(K11="","",K11)</f>
        <v/>
      </c>
      <c r="L29" s="275" t="str">
        <f>IF(L11="","",L11)</f>
        <v/>
      </c>
      <c r="M29" s="1" t="str">
        <f>IF(M11="","",M11)</f>
        <v/>
      </c>
      <c r="N29" s="275" t="str">
        <f>IF(N11="","",N11)</f>
        <v/>
      </c>
      <c r="O29" s="74"/>
      <c r="P29" s="74"/>
      <c r="Q29" s="482" t="str">
        <f t="shared" si="1"/>
        <v>n.d.</v>
      </c>
      <c r="R29" s="440" t="str">
        <f>IF(COUNTIF(K29:P29,"")&gt;0,Berechnung1!$F$5,IF(OR(Q29&lt; Berechnung1!$E$84,Q29&gt; Berechnung1!$F$84),Berechnung1!$G$5,IF(OR(ROUND(Q29,4)&lt;Berechnung1!$J$84,ROUND(Q29,4)&gt;Berechnung1!$K$84),Berechnung1!$D$5,IF(OR(ROUND(Q29,4)&lt;Berechnung1!$G$84,ROUND(Q29,4)&gt;Berechnung1!$H$84),Berechnung1!$E$5,Berechnung1!$C$5))))</f>
        <v>Incomplete</v>
      </c>
      <c r="S29" s="637" t="str">
        <f>IFERROR(SUM(O29:O31)/SUM(P29:P31),"n.d.")</f>
        <v>n.d.</v>
      </c>
      <c r="T29" s="574" t="str">
        <f>IF(S29=Berechnung1!D84,Berechnung1!$F$5,IF(OR(S29&lt; Berechnung1!E84,S29&gt; Berechnung1!F84),Berechnung1!$G$5,IF(OR(S29&lt;Berechnung1!J84,S29&gt;Berechnung1!K84),Berechnung1!$D$5,IF(OR(ROUND(S29,4)&lt;Berechnung1!G84,ROUND(S29,4)&gt;Berechnung1!H84),Berechnung1!$E$5,Berechnung1!$C$5))))</f>
        <v>Incomplete</v>
      </c>
      <c r="U29" s="477"/>
      <c r="V29" s="478"/>
    </row>
    <row r="30" spans="1:22" s="14" customFormat="1" ht="26.1" customHeight="1" thickBot="1" x14ac:dyDescent="0.25">
      <c r="A30" s="642"/>
      <c r="B30" s="645"/>
      <c r="C30" s="648"/>
      <c r="D30" s="648"/>
      <c r="E30" s="651"/>
      <c r="F30" s="656"/>
      <c r="G30" s="658"/>
      <c r="H30" s="591"/>
      <c r="I30" s="592"/>
      <c r="J30" s="413" t="s">
        <v>934</v>
      </c>
      <c r="K30" s="75"/>
      <c r="L30" s="75"/>
      <c r="M30" s="302"/>
      <c r="N30" s="75"/>
      <c r="O30" s="74"/>
      <c r="P30" s="74"/>
      <c r="Q30" s="482" t="str">
        <f t="shared" si="1"/>
        <v>n.d.</v>
      </c>
      <c r="R30" s="120" t="str">
        <f>IF(COUNTIF(K30:P30,"")=6,"",IF(COUNTIF(K30:P30,"")&gt;0,Berechnung1!$F$5,IF(OR(Q30&lt;Berechnung1!$E$84,Q30&gt;Berechnung1!$F$84),Berechnung1!$G$5,IF(OR(ROUND(Q30,4)&lt;Berechnung1!$J$84,ROUND(Q30,4)&gt;Berechnung1!$K$84),Berechnung1!$D$5,IF(OR(ROUND(Q30,4)&lt;Berechnung1!$G$84,ROUND(Q30,4)&gt;Berechnung1!$H$84),Berechnung1!$E$5,Berechnung1!$C$5)))))</f>
        <v/>
      </c>
      <c r="S30" s="578"/>
      <c r="T30" s="575"/>
      <c r="U30" s="477"/>
      <c r="V30" s="478"/>
    </row>
    <row r="31" spans="1:22" s="14" customFormat="1" ht="26.1" customHeight="1" thickBot="1" x14ac:dyDescent="0.25">
      <c r="A31" s="643"/>
      <c r="B31" s="646"/>
      <c r="C31" s="649"/>
      <c r="D31" s="649"/>
      <c r="E31" s="652"/>
      <c r="F31" s="657"/>
      <c r="G31" s="659"/>
      <c r="H31" s="593"/>
      <c r="I31" s="594"/>
      <c r="J31" s="413" t="s">
        <v>935</v>
      </c>
      <c r="K31" s="75"/>
      <c r="L31" s="75"/>
      <c r="M31" s="302"/>
      <c r="N31" s="75"/>
      <c r="O31" s="74"/>
      <c r="P31" s="74"/>
      <c r="Q31" s="482" t="str">
        <f t="shared" si="1"/>
        <v>n.d.</v>
      </c>
      <c r="R31" s="120" t="str">
        <f>IF(COUNTIF(K31:P31,"")=6,"",IF(COUNTIF(K31:P31,"")&gt;0,Berechnung1!$F$5,IF(OR(Q31&lt;Berechnung1!$E$84,Q31&gt;Berechnung1!$F$84),Berechnung1!$G$5,IF(OR(ROUND(Q31,4)&lt;Berechnung1!$J$84,ROUND(Q31,4)&gt;Berechnung1!$K$84),Berechnung1!$D$5,IF(OR(ROUND(Q31,4)&lt;Berechnung1!$G$84,ROUND(Q31,4)&gt;Berechnung1!$H$84),Berechnung1!$E$5,Berechnung1!$C$5)))))</f>
        <v/>
      </c>
      <c r="S31" s="579"/>
      <c r="T31" s="575"/>
      <c r="U31" s="477"/>
      <c r="V31" s="478"/>
    </row>
    <row r="32" spans="1:22" s="14" customFormat="1" ht="26.1" customHeight="1" thickBot="1" x14ac:dyDescent="0.25">
      <c r="A32" s="641">
        <f>'Indicator sheet_(IS)'!A70</f>
        <v>17</v>
      </c>
      <c r="B32" s="644" t="s">
        <v>243</v>
      </c>
      <c r="C32" s="647" t="str">
        <f>'Indicator sheet_(IS)'!C70</f>
        <v xml:space="preserve">Local R0 resections in stages IIIA/B </v>
      </c>
      <c r="D32" s="647" t="str">
        <f>'Indicator sheet_(IS)'!F70</f>
        <v>Primary cases of the denominator with local R0 resections after completion of surgical treatment</v>
      </c>
      <c r="E32" s="650"/>
      <c r="F32" s="647" t="str">
        <f>'Indicator sheet_(IS)'!H70</f>
        <v>Surgical primary cases in stages IIIA/B with anatomic lung resection</v>
      </c>
      <c r="G32" s="577"/>
      <c r="H32" s="589" t="str">
        <f>'Indicator sheet_(IS)'!K70</f>
        <v>≥ 85%</v>
      </c>
      <c r="I32" s="590"/>
      <c r="J32" s="413" t="s">
        <v>933</v>
      </c>
      <c r="K32" s="275" t="str">
        <f>IF(K11="","",K11)</f>
        <v/>
      </c>
      <c r="L32" s="275" t="str">
        <f>IF(L11="","",L11)</f>
        <v/>
      </c>
      <c r="M32" s="1" t="str">
        <f>IF(M11="","",M11)</f>
        <v/>
      </c>
      <c r="N32" s="275" t="str">
        <f>IF(N11="","",N11)</f>
        <v/>
      </c>
      <c r="O32" s="74"/>
      <c r="P32" s="74"/>
      <c r="Q32" s="482" t="str">
        <f t="shared" si="1"/>
        <v>n.d.</v>
      </c>
      <c r="R32" s="440" t="str">
        <f>IF(COUNTIF(K32:P32,"")&gt;0,Berechnung1!$F$5,IF(OR(Q32&lt; Berechnung1!$E$87,Q32&gt; Berechnung1!$F$87),Berechnung1!$G$5,IF(OR(ROUND(Q32,4)&lt;Berechnung1!$J$87,ROUND(Q32,4)&gt;Berechnung1!$K$87),Berechnung1!$D$5,IF(OR(ROUND(Q32,4)&lt;Berechnung1!$G$87,ROUND(Q32,4)&gt;Berechnung1!$H$87),Berechnung1!$E$5,Berechnung1!$C$5))))</f>
        <v>Incomplete</v>
      </c>
      <c r="S32" s="637" t="str">
        <f>IFERROR(SUM(O32:O34)/SUM(P32:P34),"n.d.")</f>
        <v>n.d.</v>
      </c>
      <c r="T32" s="574" t="str">
        <f>IF(S32=Berechnung1!D87,Berechnung1!$F$5,IF(OR(S32&lt; Berechnung1!E87,S32&gt; Berechnung1!F87),Berechnung1!$G$5,IF(OR(S32&lt;Berechnung1!J87,S32&gt;Berechnung1!K87),Berechnung1!$D$5,IF(OR(ROUND(S32,4)&lt;Berechnung1!G87,ROUND(S32,4)&gt;Berechnung1!H87),Berechnung1!$E$5,Berechnung1!$C$5))))</f>
        <v>Incomplete</v>
      </c>
      <c r="U32" s="477"/>
      <c r="V32" s="478"/>
    </row>
    <row r="33" spans="1:22" s="14" customFormat="1" ht="26.1" customHeight="1" thickBot="1" x14ac:dyDescent="0.25">
      <c r="A33" s="642"/>
      <c r="B33" s="645"/>
      <c r="C33" s="648"/>
      <c r="D33" s="648"/>
      <c r="E33" s="651"/>
      <c r="F33" s="653"/>
      <c r="G33" s="578"/>
      <c r="H33" s="591"/>
      <c r="I33" s="592"/>
      <c r="J33" s="413" t="s">
        <v>934</v>
      </c>
      <c r="K33" s="75"/>
      <c r="L33" s="75"/>
      <c r="M33" s="302"/>
      <c r="N33" s="75"/>
      <c r="O33" s="74"/>
      <c r="P33" s="74"/>
      <c r="Q33" s="482" t="str">
        <f t="shared" si="1"/>
        <v>n.d.</v>
      </c>
      <c r="R33" s="483" t="str">
        <f>IF(COUNTIF(K33:P33,"")=6,"",IF(COUNTIF(K33:P33,"")&gt;0,Berechnung1!$F$5,IF(OR(Q33&lt;Berechnung1!$E$87,Q33&gt;Berechnung1!$F$87),Berechnung1!$G$5,IF(OR(ROUND(Q33,4)&lt;Berechnung1!$J$87,ROUND(Q33,4)&gt;Berechnung1!$K$87),Berechnung1!$D$5,IF(OR(ROUND(Q33,4)&lt;Berechnung1!$G$87,ROUND(Q33,4)&gt;Berechnung1!$H$87),Berechnung1!$E$5,Berechnung1!$C$5)))))</f>
        <v/>
      </c>
      <c r="S33" s="578"/>
      <c r="T33" s="575"/>
      <c r="U33" s="477"/>
      <c r="V33" s="478"/>
    </row>
    <row r="34" spans="1:22" s="14" customFormat="1" ht="26.1" customHeight="1" thickBot="1" x14ac:dyDescent="0.25">
      <c r="A34" s="643"/>
      <c r="B34" s="646"/>
      <c r="C34" s="649"/>
      <c r="D34" s="649"/>
      <c r="E34" s="652"/>
      <c r="F34" s="654"/>
      <c r="G34" s="579"/>
      <c r="H34" s="593"/>
      <c r="I34" s="594"/>
      <c r="J34" s="413" t="s">
        <v>935</v>
      </c>
      <c r="K34" s="76"/>
      <c r="L34" s="76"/>
      <c r="M34" s="304"/>
      <c r="N34" s="76"/>
      <c r="O34" s="74"/>
      <c r="P34" s="74"/>
      <c r="Q34" s="482" t="str">
        <f t="shared" si="1"/>
        <v>n.d.</v>
      </c>
      <c r="R34" s="483" t="str">
        <f>IF(COUNTIF(K34:P34,"")=6,"",IF(COUNTIF(K34:P34,"")&gt;0,Berechnung1!$F$5,IF(OR(Q34&lt;Berechnung1!$E$87,Q34&gt;Berechnung1!$F$87),Berechnung1!$G$5,IF(OR(ROUND(Q34,4)&lt;Berechnung1!$J$87,ROUND(Q34,4)&gt;Berechnung1!$K$87),Berechnung1!$D$5,IF(OR(ROUND(Q34,4)&lt;Berechnung1!$G$87,ROUND(Q34,4)&gt;Berechnung1!$H$87),Berechnung1!$E$5,Berechnung1!$C$5)))))</f>
        <v/>
      </c>
      <c r="S34" s="579"/>
      <c r="T34" s="576"/>
      <c r="U34" s="473"/>
      <c r="V34" s="474"/>
    </row>
    <row r="35" spans="1:22" ht="9.75" customHeight="1" x14ac:dyDescent="0.25">
      <c r="A35" s="638"/>
      <c r="B35" s="639"/>
      <c r="C35" s="639"/>
      <c r="D35" s="639"/>
      <c r="E35" s="639"/>
      <c r="F35" s="639"/>
      <c r="G35" s="639"/>
      <c r="H35" s="639"/>
      <c r="I35" s="639"/>
      <c r="J35" s="640"/>
      <c r="K35" s="640"/>
      <c r="L35" s="640"/>
      <c r="M35" s="640"/>
      <c r="N35" s="640"/>
      <c r="O35" s="640"/>
      <c r="P35" s="640"/>
      <c r="Q35" s="640"/>
      <c r="R35" s="640"/>
      <c r="S35" s="640"/>
      <c r="T35" s="640"/>
    </row>
    <row r="36" spans="1:22" ht="2.25" customHeight="1" x14ac:dyDescent="0.25"/>
    <row r="37" spans="1:22" x14ac:dyDescent="0.25">
      <c r="A37" s="423" t="s">
        <v>857</v>
      </c>
      <c r="B37" s="3"/>
      <c r="C37" s="3"/>
      <c r="D37" s="3"/>
      <c r="E37" s="3"/>
      <c r="F37" s="3"/>
      <c r="G37" s="3"/>
      <c r="H37" s="3"/>
      <c r="I37" s="3"/>
      <c r="J37" s="3"/>
      <c r="K37" s="10"/>
      <c r="L37" s="10"/>
      <c r="M37" s="3"/>
      <c r="N37" s="3"/>
      <c r="O37" s="5"/>
      <c r="P37" s="3"/>
    </row>
    <row r="38" spans="1:22" x14ac:dyDescent="0.25">
      <c r="A38" s="544" t="s">
        <v>946</v>
      </c>
      <c r="B38" s="544"/>
      <c r="C38" s="544"/>
      <c r="D38" s="544"/>
      <c r="E38" s="544"/>
      <c r="F38" s="544"/>
      <c r="G38" s="544"/>
      <c r="H38" s="544"/>
      <c r="I38" s="544"/>
      <c r="J38" s="544"/>
      <c r="K38" s="544"/>
      <c r="L38" s="544"/>
      <c r="M38" s="544"/>
      <c r="N38" s="544"/>
      <c r="O38" s="544"/>
      <c r="P38" s="544"/>
    </row>
    <row r="40" spans="1:22" hidden="1" x14ac:dyDescent="0.25">
      <c r="B40" s="68" t="s">
        <v>292</v>
      </c>
      <c r="D40" s="88" t="str">
        <f>[1]Basisdaten_Lunge!K34</f>
        <v/>
      </c>
    </row>
  </sheetData>
  <sheetProtection algorithmName="SHA-512" hashValue="0xvRnAOhBCvGaQS+qTK4s91FtS9Gbq3nIzE9uflh5XNU2N2fNWVoNY34nnrwH3v62iDoZ0v3LhxZphzkSQLMlQ==" saltValue="9ohiegANLCwR1OBUlkwR9g==" spinCount="100000" sheet="1" objects="1" scenarios="1" selectLockedCells="1"/>
  <dataConsolidate/>
  <mergeCells count="90">
    <mergeCell ref="C5:D5"/>
    <mergeCell ref="A7:T7"/>
    <mergeCell ref="A9:A10"/>
    <mergeCell ref="B9:B10"/>
    <mergeCell ref="C9:C10"/>
    <mergeCell ref="D9:E10"/>
    <mergeCell ref="F9:F10"/>
    <mergeCell ref="G9:G10"/>
    <mergeCell ref="H9:I10"/>
    <mergeCell ref="T9:T10"/>
    <mergeCell ref="F5:Q5"/>
    <mergeCell ref="U9:V9"/>
    <mergeCell ref="A11:A13"/>
    <mergeCell ref="B11:B16"/>
    <mergeCell ref="C11:C16"/>
    <mergeCell ref="D11:E13"/>
    <mergeCell ref="F11:F13"/>
    <mergeCell ref="G11:G13"/>
    <mergeCell ref="H11:I13"/>
    <mergeCell ref="S11:S13"/>
    <mergeCell ref="J9:N9"/>
    <mergeCell ref="O9:O10"/>
    <mergeCell ref="P9:P10"/>
    <mergeCell ref="Q9:Q10"/>
    <mergeCell ref="R9:R10"/>
    <mergeCell ref="S9:S10"/>
    <mergeCell ref="T11:T13"/>
    <mergeCell ref="A14:A16"/>
    <mergeCell ref="D14:E16"/>
    <mergeCell ref="F14:F16"/>
    <mergeCell ref="G14:G16"/>
    <mergeCell ref="H14:I16"/>
    <mergeCell ref="S14:S16"/>
    <mergeCell ref="T14:T16"/>
    <mergeCell ref="H17:I19"/>
    <mergeCell ref="S17:S19"/>
    <mergeCell ref="T17:T19"/>
    <mergeCell ref="G17:G19"/>
    <mergeCell ref="A20:A22"/>
    <mergeCell ref="B20:B22"/>
    <mergeCell ref="C20:C22"/>
    <mergeCell ref="D20:E22"/>
    <mergeCell ref="F20:F22"/>
    <mergeCell ref="A17:A19"/>
    <mergeCell ref="B17:B19"/>
    <mergeCell ref="C17:C19"/>
    <mergeCell ref="D17:E19"/>
    <mergeCell ref="F17:F19"/>
    <mergeCell ref="S20:S22"/>
    <mergeCell ref="T20:T22"/>
    <mergeCell ref="A23:A25"/>
    <mergeCell ref="B23:B25"/>
    <mergeCell ref="C23:C25"/>
    <mergeCell ref="D23:E25"/>
    <mergeCell ref="F23:F25"/>
    <mergeCell ref="G23:G25"/>
    <mergeCell ref="H23:I25"/>
    <mergeCell ref="S23:S25"/>
    <mergeCell ref="G20:G22"/>
    <mergeCell ref="H20:I22"/>
    <mergeCell ref="A26:A28"/>
    <mergeCell ref="B26:B28"/>
    <mergeCell ref="C26:C28"/>
    <mergeCell ref="D26:E28"/>
    <mergeCell ref="F26:F28"/>
    <mergeCell ref="C29:C31"/>
    <mergeCell ref="D29:E31"/>
    <mergeCell ref="F29:F31"/>
    <mergeCell ref="G29:G31"/>
    <mergeCell ref="T23:T25"/>
    <mergeCell ref="G26:G28"/>
    <mergeCell ref="H26:I28"/>
    <mergeCell ref="S26:S28"/>
    <mergeCell ref="T26:T28"/>
    <mergeCell ref="A38:P38"/>
    <mergeCell ref="S32:S34"/>
    <mergeCell ref="T32:T34"/>
    <mergeCell ref="A35:T35"/>
    <mergeCell ref="H29:I31"/>
    <mergeCell ref="S29:S31"/>
    <mergeCell ref="T29:T31"/>
    <mergeCell ref="A32:A34"/>
    <mergeCell ref="B32:B34"/>
    <mergeCell ref="C32:C34"/>
    <mergeCell ref="D32:E34"/>
    <mergeCell ref="F32:F34"/>
    <mergeCell ref="G32:G34"/>
    <mergeCell ref="H32:I34"/>
    <mergeCell ref="A29:A31"/>
    <mergeCell ref="B29:B31"/>
  </mergeCells>
  <phoneticPr fontId="164" type="noConversion"/>
  <conditionalFormatting sqref="K11:N13 K18:N19">
    <cfRule type="notContainsBlanks" dxfId="168" priority="146">
      <formula>LEN(TRIM(K11))&gt;0</formula>
    </cfRule>
  </conditionalFormatting>
  <conditionalFormatting sqref="O11">
    <cfRule type="expression" dxfId="167" priority="135" stopIfTrue="1">
      <formula>LEN(TRIM(O11))=0</formula>
    </cfRule>
  </conditionalFormatting>
  <conditionalFormatting sqref="O14">
    <cfRule type="expression" dxfId="166" priority="109" stopIfTrue="1">
      <formula>LEN(TRIM(O14))=0</formula>
    </cfRule>
  </conditionalFormatting>
  <conditionalFormatting sqref="O20:P20">
    <cfRule type="expression" dxfId="165" priority="101" stopIfTrue="1">
      <formula>LEN(TRIM(O20))=0</formula>
    </cfRule>
  </conditionalFormatting>
  <conditionalFormatting sqref="O23:P23">
    <cfRule type="expression" dxfId="164" priority="83" stopIfTrue="1">
      <formula>LEN(TRIM(O23))=0</formula>
    </cfRule>
  </conditionalFormatting>
  <conditionalFormatting sqref="O26:P26">
    <cfRule type="expression" dxfId="163" priority="73" stopIfTrue="1">
      <formula>LEN(TRIM(O26))=0</formula>
    </cfRule>
  </conditionalFormatting>
  <conditionalFormatting sqref="O29:P29">
    <cfRule type="expression" dxfId="162" priority="57" stopIfTrue="1">
      <formula>LEN(TRIM(O29))=0</formula>
    </cfRule>
  </conditionalFormatting>
  <conditionalFormatting sqref="O32:P32">
    <cfRule type="expression" dxfId="161" priority="45" stopIfTrue="1">
      <formula>LEN(TRIM(O32))=0</formula>
    </cfRule>
  </conditionalFormatting>
  <conditionalFormatting sqref="O17:Q17 Q18:Q34">
    <cfRule type="expression" dxfId="160" priority="107" stopIfTrue="1">
      <formula>LEN(TRIM(O17))=0</formula>
    </cfRule>
  </conditionalFormatting>
  <conditionalFormatting sqref="R12:R34">
    <cfRule type="expression" dxfId="159" priority="47" stopIfTrue="1">
      <formula>OR(R12="Incomplete",R12="Incorrect")</formula>
    </cfRule>
    <cfRule type="cellIs" dxfId="158" priority="50" stopIfTrue="1" operator="equal">
      <formula>"OK"</formula>
    </cfRule>
  </conditionalFormatting>
  <conditionalFormatting sqref="R14:R34">
    <cfRule type="cellIs" dxfId="157" priority="48" stopIfTrue="1" operator="equal">
      <formula>"OK (Plausibility unclear)"</formula>
    </cfRule>
    <cfRule type="cellIs" dxfId="156" priority="49" stopIfTrue="1" operator="equal">
      <formula>"Target value not met"</formula>
    </cfRule>
  </conditionalFormatting>
  <conditionalFormatting sqref="R11:T11">
    <cfRule type="cellIs" dxfId="155" priority="140" stopIfTrue="1" operator="equal">
      <formula>"OK"</formula>
    </cfRule>
    <cfRule type="expression" dxfId="154" priority="137" stopIfTrue="1">
      <formula>OR(R11="Incomplete",R11="Incorrect")</formula>
    </cfRule>
  </conditionalFormatting>
  <conditionalFormatting sqref="S14">
    <cfRule type="expression" dxfId="153" priority="39" stopIfTrue="1">
      <formula>OR(S14="Unvollständig",S14="Unvollständig")</formula>
    </cfRule>
    <cfRule type="cellIs" dxfId="152" priority="40" stopIfTrue="1" operator="equal">
      <formula>"I.O."</formula>
    </cfRule>
  </conditionalFormatting>
  <conditionalFormatting sqref="S17">
    <cfRule type="expression" dxfId="151" priority="37" stopIfTrue="1">
      <formula>OR(S17="Unvollständig",S17="Unvollständig")</formula>
    </cfRule>
    <cfRule type="cellIs" dxfId="150" priority="38" stopIfTrue="1" operator="equal">
      <formula>"I.O."</formula>
    </cfRule>
  </conditionalFormatting>
  <conditionalFormatting sqref="S20">
    <cfRule type="expression" dxfId="149" priority="35" stopIfTrue="1">
      <formula>OR(S20="Unvollständig",S20="Unvollständig")</formula>
    </cfRule>
    <cfRule type="cellIs" dxfId="148" priority="36" stopIfTrue="1" operator="equal">
      <formula>"I.O."</formula>
    </cfRule>
  </conditionalFormatting>
  <conditionalFormatting sqref="S23">
    <cfRule type="expression" dxfId="147" priority="33" stopIfTrue="1">
      <formula>OR(S23="Unvollständig",S23="Unvollständig")</formula>
    </cfRule>
    <cfRule type="cellIs" dxfId="146" priority="34" stopIfTrue="1" operator="equal">
      <formula>"I.O."</formula>
    </cfRule>
  </conditionalFormatting>
  <conditionalFormatting sqref="S26">
    <cfRule type="expression" dxfId="145" priority="31" stopIfTrue="1">
      <formula>OR(S26="Unvollständig",S26="Unvollständig")</formula>
    </cfRule>
    <cfRule type="cellIs" dxfId="144" priority="32" stopIfTrue="1" operator="equal">
      <formula>"I.O."</formula>
    </cfRule>
  </conditionalFormatting>
  <conditionalFormatting sqref="S29">
    <cfRule type="expression" dxfId="143" priority="29" stopIfTrue="1">
      <formula>OR(S29="Unvollständig",S29="Unvollständig")</formula>
    </cfRule>
    <cfRule type="cellIs" dxfId="142" priority="30" stopIfTrue="1" operator="equal">
      <formula>"I.O."</formula>
    </cfRule>
  </conditionalFormatting>
  <conditionalFormatting sqref="S32">
    <cfRule type="cellIs" dxfId="141" priority="28" stopIfTrue="1" operator="equal">
      <formula>"I.O."</formula>
    </cfRule>
    <cfRule type="expression" dxfId="140" priority="27" stopIfTrue="1">
      <formula>OR(S32="Unvollständig",S32="Unvollständig")</formula>
    </cfRule>
  </conditionalFormatting>
  <conditionalFormatting sqref="T11">
    <cfRule type="cellIs" dxfId="139" priority="138" stopIfTrue="1" operator="equal">
      <formula>"OK (Plausibility unclear)"</formula>
    </cfRule>
    <cfRule type="cellIs" dxfId="138" priority="139" stopIfTrue="1" operator="equal">
      <formula>"Target value not met"</formula>
    </cfRule>
  </conditionalFormatting>
  <conditionalFormatting sqref="T14">
    <cfRule type="cellIs" dxfId="137" priority="132" stopIfTrue="1" operator="equal">
      <formula>"OK (Plausibility unclear)"</formula>
    </cfRule>
    <cfRule type="cellIs" dxfId="136" priority="133" stopIfTrue="1" operator="equal">
      <formula>"Target value not met"</formula>
    </cfRule>
    <cfRule type="cellIs" dxfId="135" priority="134" stopIfTrue="1" operator="equal">
      <formula>"OK"</formula>
    </cfRule>
  </conditionalFormatting>
  <conditionalFormatting sqref="T14:T32">
    <cfRule type="expression" dxfId="134" priority="65" stopIfTrue="1">
      <formula>OR(T14="Incomplete",T14="Incorrect")</formula>
    </cfRule>
  </conditionalFormatting>
  <conditionalFormatting sqref="T17">
    <cfRule type="cellIs" dxfId="133" priority="128" stopIfTrue="1" operator="equal">
      <formula>"OK (Plausibility unclear)"</formula>
    </cfRule>
    <cfRule type="cellIs" dxfId="132" priority="129" stopIfTrue="1" operator="equal">
      <formula>"Target value not met"</formula>
    </cfRule>
    <cfRule type="cellIs" dxfId="131" priority="130" stopIfTrue="1" operator="equal">
      <formula>"OK"</formula>
    </cfRule>
  </conditionalFormatting>
  <conditionalFormatting sqref="T20">
    <cfRule type="cellIs" dxfId="130" priority="124" stopIfTrue="1" operator="equal">
      <formula>"OK (Plausibility unclear)"</formula>
    </cfRule>
    <cfRule type="cellIs" dxfId="129" priority="125" stopIfTrue="1" operator="equal">
      <formula>"Target value not met"</formula>
    </cfRule>
    <cfRule type="cellIs" dxfId="128" priority="126" stopIfTrue="1" operator="equal">
      <formula>"OK"</formula>
    </cfRule>
  </conditionalFormatting>
  <conditionalFormatting sqref="T23 T26">
    <cfRule type="cellIs" dxfId="127" priority="92" stopIfTrue="1" operator="equal">
      <formula>"OK (Plausibility unclear)"</formula>
    </cfRule>
    <cfRule type="cellIs" dxfId="126" priority="93" stopIfTrue="1" operator="equal">
      <formula>"Target value not met"</formula>
    </cfRule>
    <cfRule type="cellIs" dxfId="125" priority="94" stopIfTrue="1" operator="equal">
      <formula>"OK"</formula>
    </cfRule>
  </conditionalFormatting>
  <conditionalFormatting sqref="T29 T32">
    <cfRule type="cellIs" dxfId="124" priority="68" stopIfTrue="1" operator="equal">
      <formula>"OK"</formula>
    </cfRule>
    <cfRule type="cellIs" dxfId="123" priority="66" stopIfTrue="1" operator="equal">
      <formula>"OK (Plausibility unclear)"</formula>
    </cfRule>
    <cfRule type="cellIs" dxfId="122" priority="67" stopIfTrue="1" operator="equal">
      <formula>"Target value not met"</formula>
    </cfRule>
  </conditionalFormatting>
  <conditionalFormatting sqref="U11:U13">
    <cfRule type="expression" dxfId="121" priority="144" stopIfTrue="1">
      <formula>OR($R11="Incomplete",$R11="Target value not met")</formula>
    </cfRule>
  </conditionalFormatting>
  <conditionalFormatting sqref="U11:U25">
    <cfRule type="notContainsBlanks" dxfId="120" priority="24" stopIfTrue="1">
      <formula>LEN(TRIM(U11))&gt;0</formula>
    </cfRule>
  </conditionalFormatting>
  <conditionalFormatting sqref="U14:U16">
    <cfRule type="expression" dxfId="119" priority="96" stopIfTrue="1">
      <formula>OR($R14="Incomplete",$R14="Target value not met")</formula>
    </cfRule>
  </conditionalFormatting>
  <conditionalFormatting sqref="U17:U19">
    <cfRule type="expression" dxfId="118" priority="145" stopIfTrue="1">
      <formula>OR($R17="Incomplete",$R17="Target value not met",R17="OK (Plausibility unclear)")</formula>
    </cfRule>
  </conditionalFormatting>
  <conditionalFormatting sqref="U20:U22">
    <cfRule type="expression" dxfId="117" priority="90" stopIfTrue="1">
      <formula>OR($R20="Incomplete",$R20="Target value not met")</formula>
    </cfRule>
  </conditionalFormatting>
  <conditionalFormatting sqref="U23:U25">
    <cfRule type="expression" dxfId="116" priority="25" stopIfTrue="1">
      <formula>OR($R23="Incomplete",$R23="Target value not met",R23="OK (Plausibility unclear)")</formula>
    </cfRule>
  </conditionalFormatting>
  <conditionalFormatting sqref="U26:U28">
    <cfRule type="expression" dxfId="115" priority="23">
      <formula>OR($R26="Incomplete",$R26="Target value not met",R26="OK (Plausibility unclear)")</formula>
    </cfRule>
    <cfRule type="notContainsBlanks" dxfId="114" priority="22">
      <formula>LEN(TRIM(U26))&gt;0</formula>
    </cfRule>
  </conditionalFormatting>
  <conditionalFormatting sqref="U29:U34">
    <cfRule type="expression" dxfId="113" priority="52" stopIfTrue="1">
      <formula>OR($R29="Incomplete",$R29="Target value not met")</formula>
    </cfRule>
    <cfRule type="notContainsBlanks" dxfId="112" priority="51" stopIfTrue="1">
      <formula>LEN(TRIM(U29))&gt;0</formula>
    </cfRule>
  </conditionalFormatting>
  <dataValidations xWindow="804" yWindow="527" count="15">
    <dataValidation type="whole" allowBlank="1" showInputMessage="1" showErrorMessage="1" errorTitle="Eingabefehler" error="1. Denominator has to be a positive whole number_x000a_2. Denominator cannot be smaller than numerator" sqref="P24" xr:uid="{00000000-0002-0000-0600-000000000000}">
      <formula1>O24</formula1>
      <formula2>10000</formula2>
    </dataValidation>
    <dataValidation allowBlank="1" showInputMessage="1" showErrorMessage="1" errorTitle="Eingabefehler" error="Ganze Zahl zwischen 0 und 10000 eingeben." sqref="Q17:Q34" xr:uid="{00000000-0002-0000-0600-000001000000}"/>
    <dataValidation type="whole" allowBlank="1" showInputMessage="1" showErrorMessage="1" errorTitle="Eingabefehler" error="Ganze Zahl zwischen 0 und 10000 eingeben." sqref="P11:Q16" xr:uid="{00000000-0002-0000-0600-000002000000}">
      <formula1>0</formula1>
      <formula2>10000</formula2>
    </dataValidation>
    <dataValidation type="textLength" allowBlank="1" showInputMessage="1" showErrorMessage="1" errorTitle="Hinweis" error="Nur Texteingabe bis 100 Zeichen möglich." sqref="N14:N16 L14:L16" xr:uid="{00000000-0002-0000-0600-000003000000}">
      <formula1>0</formula1>
      <formula2>100</formula2>
    </dataValidation>
    <dataValidation type="textLength" allowBlank="1" showInputMessage="1" showErrorMessage="1" errorTitle="Eingabefehler" error="Nur Texteingabe bis 100 Zeichen möglich." promptTitle="Remark" prompt="Columns K to O must be completed for each health care provider." sqref="K16" xr:uid="{00000000-0002-0000-0600-000004000000}">
      <formula1>0</formula1>
      <formula2>100</formula2>
    </dataValidation>
    <dataValidation type="textLength" allowBlank="1" showInputMessage="1" showErrorMessage="1" errorTitle="Characters" error="Minimum 30 characters and maximum 500 characters." sqref="U11:V34" xr:uid="{00000000-0002-0000-0600-000005000000}">
      <formula1>30</formula1>
      <formula2>500</formula2>
    </dataValidation>
    <dataValidation type="textLength" allowBlank="1" showInputMessage="1" showErrorMessage="1" errorTitle="Hinweis" error="Nur Texteingabe bis 10 Zeichen möglich." sqref="M14:M16" xr:uid="{00000000-0002-0000-0600-000006000000}">
      <formula1>0</formula1>
      <formula2>10</formula2>
    </dataValidation>
    <dataValidation errorStyle="information" allowBlank="1" showInputMessage="1" showErrorMessage="1" errorTitle="Kennzahl" promptTitle="Kennzahl" sqref="A9:B10" xr:uid="{00000000-0002-0000-0600-000007000000}"/>
    <dataValidation type="textLength" allowBlank="1" showInputMessage="1" showErrorMessage="1" errorTitle="Input data error" error="Text up to 100 characters." promptTitle="Remark" prompt="Columns K to O must be completed for each health care provider. " sqref="K11 K17 K20 K26 K23 K29 K32 K12 K13 K22 K24 K25" xr:uid="{00000000-0002-0000-0600-000008000000}">
      <formula1>0</formula1>
      <formula2>100</formula2>
    </dataValidation>
    <dataValidation type="textLength" allowBlank="1" showInputMessage="1" showErrorMessage="1" errorTitle="Input data error" error="Text up to 100 characters." sqref="L11:L13 N11:N13 L17:L34 N17:N34" xr:uid="{00000000-0002-0000-0600-000009000000}">
      <formula1>0</formula1>
      <formula2>100</formula2>
    </dataValidation>
    <dataValidation type="textLength" allowBlank="1" showInputMessage="1" showErrorMessage="1" errorTitle="Input data error" error="Text up to 100 characters." sqref="M11:M13 M17:M34" xr:uid="{00000000-0002-0000-0600-00000A000000}">
      <formula1>0</formula1>
      <formula2>10</formula2>
    </dataValidation>
    <dataValidation type="textLength" allowBlank="1" showInputMessage="1" showErrorMessage="1" errorTitle="Input data error" error="Text up to 100 characters." promptTitle="Remark" prompt="Columns K to O must be completed for each health care provider." sqref="K18:K19 K21 K27:K28 K30:K31 K33:K34" xr:uid="{00000000-0002-0000-0600-00000B000000}">
      <formula1>0</formula1>
      <formula2>100</formula2>
    </dataValidation>
    <dataValidation type="whole" allowBlank="1" showInputMessage="1" showErrorMessage="1" errorTitle="Input data error" error="Whole number between 0 and 10000." sqref="O11:O34" xr:uid="{00000000-0002-0000-0600-00000C000000}">
      <formula1>0</formula1>
      <formula2>10000</formula2>
    </dataValidation>
    <dataValidation type="whole" allowBlank="1" showInputMessage="1" showErrorMessage="1" errorTitle="Input data error" error="1. Denominator has to be a positive whole number_x000a_2. Denominator cannot be smaller than numerator" sqref="P17:P23 P25:P34" xr:uid="{00000000-0002-0000-0600-00000D000000}">
      <formula1>O17</formula1>
      <formula2>10000</formula2>
    </dataValidation>
    <dataValidation type="textLength" allowBlank="1" showInputMessage="1" showErrorMessage="1" errorTitle="Eingabefehler" error="Nur Texteingabe bis 100 Zeichen möglich." promptTitle="Remark" prompt="Columns K to O must be completed for each health care provider. " sqref="K14 K15" xr:uid="{00000000-0002-0000-0600-00000E000000}">
      <formula1>0</formula1>
      <formula2>100</formula2>
    </dataValidation>
  </dataValidations>
  <pageMargins left="0.39370078740157483" right="3.937007874015748E-2" top="0.59055118110236227" bottom="0.39370078740157483" header="0.11811023622047245" footer="0.11811023622047245"/>
  <pageSetup paperSize="9" scale="73" orientation="landscape" r:id="rId1"/>
  <headerFooter>
    <oddFooter>&amp;L&amp;"Arial,Regular"&amp;7&amp;F&amp;C&amp;"Arial,Regular"&amp;7© DKG  All rights reserved&amp;R&amp;"Arial,Regular"&amp;7&amp;P</oddFooter>
  </headerFooter>
  <rowBreaks count="1" manualBreakCount="1">
    <brk id="28" max="19"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57D69-0547-487B-977F-858045FDD7FF}">
  <dimension ref="B1:D87"/>
  <sheetViews>
    <sheetView showGridLines="0" zoomScaleNormal="100" workbookViewId="0">
      <selection activeCell="AC87" sqref="AC87"/>
    </sheetView>
  </sheetViews>
  <sheetFormatPr defaultColWidth="11.42578125" defaultRowHeight="12" x14ac:dyDescent="0.2"/>
  <cols>
    <col min="1" max="1" width="1" style="351" customWidth="1"/>
    <col min="2" max="2" width="8.5703125" style="352" customWidth="1"/>
    <col min="3" max="3" width="7.42578125" style="351" customWidth="1"/>
    <col min="4" max="4" width="77.140625" style="351" customWidth="1"/>
    <col min="5" max="16384" width="11.42578125" style="351"/>
  </cols>
  <sheetData>
    <row r="1" spans="2:4" ht="5.25" customHeight="1" x14ac:dyDescent="0.2"/>
    <row r="2" spans="2:4" ht="12.75" x14ac:dyDescent="0.2">
      <c r="B2" s="526" t="s">
        <v>1030</v>
      </c>
      <c r="C2" s="353"/>
    </row>
    <row r="3" spans="2:4" ht="33.75" customHeight="1" x14ac:dyDescent="0.2">
      <c r="B3" s="677"/>
      <c r="C3" s="678"/>
      <c r="D3" s="678"/>
    </row>
    <row r="4" spans="2:4" ht="33" customHeight="1" x14ac:dyDescent="0.2">
      <c r="B4" s="679" t="s">
        <v>1054</v>
      </c>
      <c r="C4" s="680"/>
      <c r="D4" s="680"/>
    </row>
    <row r="5" spans="2:4" ht="8.25" customHeight="1" x14ac:dyDescent="0.2">
      <c r="B5" s="527"/>
      <c r="C5" s="528"/>
      <c r="D5" s="528"/>
    </row>
    <row r="6" spans="2:4" ht="27.75" customHeight="1" x14ac:dyDescent="0.2">
      <c r="B6" s="681" t="s">
        <v>1055</v>
      </c>
      <c r="C6" s="681"/>
      <c r="D6" s="681"/>
    </row>
    <row r="7" spans="2:4" ht="8.25" customHeight="1" thickBot="1" x14ac:dyDescent="0.25">
      <c r="B7" s="527"/>
      <c r="C7" s="528"/>
      <c r="D7" s="528"/>
    </row>
    <row r="8" spans="2:4" ht="21.75" customHeight="1" thickBot="1" x14ac:dyDescent="0.25">
      <c r="B8" s="682" t="s">
        <v>438</v>
      </c>
      <c r="C8" s="683"/>
      <c r="D8" s="684"/>
    </row>
    <row r="9" spans="2:4" ht="18" customHeight="1" x14ac:dyDescent="0.2">
      <c r="B9" s="685" t="s">
        <v>1056</v>
      </c>
      <c r="C9" s="686"/>
      <c r="D9" s="687"/>
    </row>
    <row r="10" spans="2:4" ht="18" customHeight="1" x14ac:dyDescent="0.2">
      <c r="B10" s="529" t="s">
        <v>439</v>
      </c>
      <c r="C10" s="675" t="s">
        <v>1057</v>
      </c>
      <c r="D10" s="676"/>
    </row>
    <row r="11" spans="2:4" ht="18" customHeight="1" x14ac:dyDescent="0.2">
      <c r="B11" s="529" t="s">
        <v>440</v>
      </c>
      <c r="C11" s="675" t="s">
        <v>1058</v>
      </c>
      <c r="D11" s="676"/>
    </row>
    <row r="12" spans="2:4" ht="18" customHeight="1" x14ac:dyDescent="0.2">
      <c r="B12" s="529" t="s">
        <v>441</v>
      </c>
      <c r="C12" s="675" t="s">
        <v>1059</v>
      </c>
      <c r="D12" s="676"/>
    </row>
    <row r="13" spans="2:4" ht="18" customHeight="1" x14ac:dyDescent="0.2">
      <c r="B13" s="529" t="s">
        <v>442</v>
      </c>
      <c r="C13" s="675" t="s">
        <v>1060</v>
      </c>
      <c r="D13" s="676"/>
    </row>
    <row r="14" spans="2:4" ht="25.5" customHeight="1" x14ac:dyDescent="0.2">
      <c r="B14" s="529" t="s">
        <v>480</v>
      </c>
      <c r="C14" s="688" t="s">
        <v>1061</v>
      </c>
      <c r="D14" s="689"/>
    </row>
    <row r="15" spans="2:4" ht="26.1" customHeight="1" x14ac:dyDescent="0.2">
      <c r="B15" s="529" t="s">
        <v>443</v>
      </c>
      <c r="C15" s="688" t="s">
        <v>1062</v>
      </c>
      <c r="D15" s="689"/>
    </row>
    <row r="16" spans="2:4" ht="26.1" customHeight="1" x14ac:dyDescent="0.2">
      <c r="B16" s="529" t="s">
        <v>1063</v>
      </c>
      <c r="C16" s="688" t="s">
        <v>1064</v>
      </c>
      <c r="D16" s="689"/>
    </row>
    <row r="17" spans="2:4" ht="26.1" customHeight="1" x14ac:dyDescent="0.2">
      <c r="B17" s="529" t="s">
        <v>1065</v>
      </c>
      <c r="C17" s="688" t="s">
        <v>1066</v>
      </c>
      <c r="D17" s="689"/>
    </row>
    <row r="18" spans="2:4" ht="26.1" customHeight="1" x14ac:dyDescent="0.2">
      <c r="B18" s="529" t="s">
        <v>1067</v>
      </c>
      <c r="C18" s="688" t="s">
        <v>1068</v>
      </c>
      <c r="D18" s="689"/>
    </row>
    <row r="19" spans="2:4" ht="18" customHeight="1" x14ac:dyDescent="0.2">
      <c r="B19" s="529" t="s">
        <v>444</v>
      </c>
      <c r="C19" s="675" t="s">
        <v>1069</v>
      </c>
      <c r="D19" s="676"/>
    </row>
    <row r="20" spans="2:4" ht="18" customHeight="1" x14ac:dyDescent="0.2">
      <c r="B20" s="529" t="s">
        <v>445</v>
      </c>
      <c r="C20" s="675" t="s">
        <v>1070</v>
      </c>
      <c r="D20" s="676"/>
    </row>
    <row r="21" spans="2:4" ht="26.1" customHeight="1" x14ac:dyDescent="0.2">
      <c r="B21" s="529" t="s">
        <v>446</v>
      </c>
      <c r="C21" s="688" t="s">
        <v>1071</v>
      </c>
      <c r="D21" s="689"/>
    </row>
    <row r="22" spans="2:4" ht="18" customHeight="1" x14ac:dyDescent="0.2">
      <c r="B22" s="529" t="s">
        <v>447</v>
      </c>
      <c r="C22" s="675" t="s">
        <v>1072</v>
      </c>
      <c r="D22" s="676"/>
    </row>
    <row r="23" spans="2:4" ht="18" customHeight="1" x14ac:dyDescent="0.2">
      <c r="B23" s="529" t="s">
        <v>448</v>
      </c>
      <c r="C23" s="675" t="s">
        <v>1073</v>
      </c>
      <c r="D23" s="676"/>
    </row>
    <row r="24" spans="2:4" ht="26.1" customHeight="1" x14ac:dyDescent="0.2">
      <c r="B24" s="529" t="s">
        <v>449</v>
      </c>
      <c r="C24" s="688" t="s">
        <v>1074</v>
      </c>
      <c r="D24" s="689"/>
    </row>
    <row r="25" spans="2:4" ht="18" customHeight="1" x14ac:dyDescent="0.2">
      <c r="B25" s="529" t="s">
        <v>450</v>
      </c>
      <c r="C25" s="675" t="s">
        <v>1075</v>
      </c>
      <c r="D25" s="676"/>
    </row>
    <row r="26" spans="2:4" ht="18" customHeight="1" x14ac:dyDescent="0.2">
      <c r="B26" s="529" t="s">
        <v>451</v>
      </c>
      <c r="C26" s="675" t="s">
        <v>1076</v>
      </c>
      <c r="D26" s="676"/>
    </row>
    <row r="27" spans="2:4" ht="18" customHeight="1" x14ac:dyDescent="0.2">
      <c r="B27" s="529" t="s">
        <v>452</v>
      </c>
      <c r="C27" s="675" t="s">
        <v>1077</v>
      </c>
      <c r="D27" s="676"/>
    </row>
    <row r="28" spans="2:4" ht="18" customHeight="1" x14ac:dyDescent="0.2">
      <c r="B28" s="690" t="s">
        <v>1078</v>
      </c>
      <c r="C28" s="691"/>
      <c r="D28" s="692"/>
    </row>
    <row r="29" spans="2:4" ht="18" customHeight="1" x14ac:dyDescent="0.2">
      <c r="B29" s="529" t="s">
        <v>453</v>
      </c>
      <c r="C29" s="675" t="s">
        <v>1079</v>
      </c>
      <c r="D29" s="676"/>
    </row>
    <row r="30" spans="2:4" ht="18" customHeight="1" x14ac:dyDescent="0.2">
      <c r="B30" s="529" t="s">
        <v>454</v>
      </c>
      <c r="C30" s="675" t="s">
        <v>1080</v>
      </c>
      <c r="D30" s="676"/>
    </row>
    <row r="31" spans="2:4" ht="18" customHeight="1" x14ac:dyDescent="0.2">
      <c r="B31" s="529" t="s">
        <v>455</v>
      </c>
      <c r="C31" s="675" t="s">
        <v>1081</v>
      </c>
      <c r="D31" s="676"/>
    </row>
    <row r="32" spans="2:4" ht="18" customHeight="1" x14ac:dyDescent="0.2">
      <c r="B32" s="529" t="s">
        <v>456</v>
      </c>
      <c r="C32" s="675" t="s">
        <v>1082</v>
      </c>
      <c r="D32" s="676"/>
    </row>
    <row r="33" spans="2:4" ht="18" customHeight="1" x14ac:dyDescent="0.2">
      <c r="B33" s="529" t="s">
        <v>457</v>
      </c>
      <c r="C33" s="675" t="s">
        <v>1083</v>
      </c>
      <c r="D33" s="676"/>
    </row>
    <row r="34" spans="2:4" ht="18" customHeight="1" x14ac:dyDescent="0.2">
      <c r="B34" s="529" t="s">
        <v>458</v>
      </c>
      <c r="C34" s="675" t="s">
        <v>1084</v>
      </c>
      <c r="D34" s="676"/>
    </row>
    <row r="35" spans="2:4" ht="18" customHeight="1" x14ac:dyDescent="0.2">
      <c r="B35" s="529" t="s">
        <v>459</v>
      </c>
      <c r="C35" s="675" t="s">
        <v>1085</v>
      </c>
      <c r="D35" s="676"/>
    </row>
    <row r="36" spans="2:4" ht="18" customHeight="1" x14ac:dyDescent="0.2">
      <c r="B36" s="529" t="s">
        <v>460</v>
      </c>
      <c r="C36" s="675" t="s">
        <v>1086</v>
      </c>
      <c r="D36" s="676"/>
    </row>
    <row r="37" spans="2:4" ht="18" customHeight="1" x14ac:dyDescent="0.2">
      <c r="B37" s="690" t="s">
        <v>1087</v>
      </c>
      <c r="C37" s="691"/>
      <c r="D37" s="692"/>
    </row>
    <row r="38" spans="2:4" ht="18" customHeight="1" x14ac:dyDescent="0.2">
      <c r="B38" s="529" t="s">
        <v>461</v>
      </c>
      <c r="C38" s="675" t="s">
        <v>1088</v>
      </c>
      <c r="D38" s="676"/>
    </row>
    <row r="39" spans="2:4" ht="18" customHeight="1" x14ac:dyDescent="0.2">
      <c r="B39" s="529" t="s">
        <v>462</v>
      </c>
      <c r="C39" s="675" t="s">
        <v>1089</v>
      </c>
      <c r="D39" s="676"/>
    </row>
    <row r="40" spans="2:4" ht="18" customHeight="1" x14ac:dyDescent="0.2">
      <c r="B40" s="529" t="s">
        <v>463</v>
      </c>
      <c r="C40" s="675" t="s">
        <v>1090</v>
      </c>
      <c r="D40" s="676"/>
    </row>
    <row r="41" spans="2:4" ht="18" customHeight="1" x14ac:dyDescent="0.2">
      <c r="B41" s="529" t="s">
        <v>464</v>
      </c>
      <c r="C41" s="675" t="s">
        <v>1091</v>
      </c>
      <c r="D41" s="676"/>
    </row>
    <row r="42" spans="2:4" ht="18" customHeight="1" x14ac:dyDescent="0.2">
      <c r="B42" s="529" t="s">
        <v>465</v>
      </c>
      <c r="C42" s="675" t="s">
        <v>1092</v>
      </c>
      <c r="D42" s="676"/>
    </row>
    <row r="43" spans="2:4" ht="18" customHeight="1" x14ac:dyDescent="0.2">
      <c r="B43" s="529" t="s">
        <v>466</v>
      </c>
      <c r="C43" s="675" t="s">
        <v>1093</v>
      </c>
      <c r="D43" s="676"/>
    </row>
    <row r="44" spans="2:4" ht="18" customHeight="1" x14ac:dyDescent="0.2">
      <c r="B44" s="529" t="s">
        <v>467</v>
      </c>
      <c r="C44" s="675" t="s">
        <v>1094</v>
      </c>
      <c r="D44" s="676"/>
    </row>
    <row r="45" spans="2:4" ht="18" customHeight="1" x14ac:dyDescent="0.2">
      <c r="B45" s="529" t="s">
        <v>468</v>
      </c>
      <c r="C45" s="675" t="s">
        <v>1095</v>
      </c>
      <c r="D45" s="676"/>
    </row>
    <row r="46" spans="2:4" ht="18" customHeight="1" x14ac:dyDescent="0.2">
      <c r="B46" s="529" t="s">
        <v>469</v>
      </c>
      <c r="C46" s="675" t="s">
        <v>1096</v>
      </c>
      <c r="D46" s="676"/>
    </row>
    <row r="47" spans="2:4" ht="18" customHeight="1" x14ac:dyDescent="0.2">
      <c r="B47" s="690" t="s">
        <v>1097</v>
      </c>
      <c r="C47" s="691"/>
      <c r="D47" s="692"/>
    </row>
    <row r="48" spans="2:4" ht="18" customHeight="1" x14ac:dyDescent="0.2">
      <c r="B48" s="529" t="s">
        <v>470</v>
      </c>
      <c r="C48" s="675" t="s">
        <v>1098</v>
      </c>
      <c r="D48" s="676"/>
    </row>
    <row r="49" spans="2:4" ht="18" customHeight="1" x14ac:dyDescent="0.2">
      <c r="B49" s="529" t="s">
        <v>471</v>
      </c>
      <c r="C49" s="675" t="s">
        <v>1099</v>
      </c>
      <c r="D49" s="676"/>
    </row>
    <row r="50" spans="2:4" ht="18" customHeight="1" x14ac:dyDescent="0.2">
      <c r="B50" s="529" t="s">
        <v>472</v>
      </c>
      <c r="C50" s="675" t="s">
        <v>1100</v>
      </c>
      <c r="D50" s="676"/>
    </row>
    <row r="51" spans="2:4" ht="18" customHeight="1" x14ac:dyDescent="0.2">
      <c r="B51" s="529" t="s">
        <v>473</v>
      </c>
      <c r="C51" s="675" t="s">
        <v>1101</v>
      </c>
      <c r="D51" s="676"/>
    </row>
    <row r="52" spans="2:4" ht="18" customHeight="1" x14ac:dyDescent="0.2">
      <c r="B52" s="529" t="s">
        <v>474</v>
      </c>
      <c r="C52" s="675" t="s">
        <v>1102</v>
      </c>
      <c r="D52" s="676"/>
    </row>
    <row r="53" spans="2:4" ht="18" customHeight="1" x14ac:dyDescent="0.2">
      <c r="B53" s="529" t="s">
        <v>475</v>
      </c>
      <c r="C53" s="675" t="s">
        <v>1103</v>
      </c>
      <c r="D53" s="676"/>
    </row>
    <row r="54" spans="2:4" ht="18" customHeight="1" x14ac:dyDescent="0.2">
      <c r="B54" s="529" t="s">
        <v>476</v>
      </c>
      <c r="C54" s="675" t="s">
        <v>1104</v>
      </c>
      <c r="D54" s="676"/>
    </row>
    <row r="55" spans="2:4" ht="18" customHeight="1" x14ac:dyDescent="0.2">
      <c r="B55" s="529" t="s">
        <v>477</v>
      </c>
      <c r="C55" s="675" t="s">
        <v>1095</v>
      </c>
      <c r="D55" s="676"/>
    </row>
    <row r="56" spans="2:4" ht="18" customHeight="1" thickBot="1" x14ac:dyDescent="0.25">
      <c r="B56" s="530" t="s">
        <v>478</v>
      </c>
      <c r="C56" s="693" t="s">
        <v>1096</v>
      </c>
      <c r="D56" s="694"/>
    </row>
    <row r="87" spans="3:3" x14ac:dyDescent="0.2">
      <c r="C87" s="351" t="s">
        <v>479</v>
      </c>
    </row>
  </sheetData>
  <sheetProtection algorithmName="SHA-512" hashValue="kRqIbA5Xww0i9aHb2qmUmyIg1ow0Lpsw/2hbfLD0U6khfvvKRmgY2ePIWPwfImkXJftMUAALIf5MsCJ8upbQcQ==" saltValue="1kYBB3A06nSZXvwgsjno6w==" spinCount="100000" sheet="1" objects="1"/>
  <mergeCells count="52">
    <mergeCell ref="C53:D53"/>
    <mergeCell ref="C54:D54"/>
    <mergeCell ref="C55:D55"/>
    <mergeCell ref="C56:D56"/>
    <mergeCell ref="B47:D47"/>
    <mergeCell ref="C48:D48"/>
    <mergeCell ref="C49:D49"/>
    <mergeCell ref="C50:D50"/>
    <mergeCell ref="C51:D51"/>
    <mergeCell ref="C52:D52"/>
    <mergeCell ref="C46:D46"/>
    <mergeCell ref="C35:D35"/>
    <mergeCell ref="C36:D36"/>
    <mergeCell ref="B37:D37"/>
    <mergeCell ref="C38:D38"/>
    <mergeCell ref="C39:D39"/>
    <mergeCell ref="C40:D40"/>
    <mergeCell ref="C41:D41"/>
    <mergeCell ref="C42:D42"/>
    <mergeCell ref="C43:D43"/>
    <mergeCell ref="C44:D44"/>
    <mergeCell ref="C45:D45"/>
    <mergeCell ref="C34:D34"/>
    <mergeCell ref="C23:D23"/>
    <mergeCell ref="C24:D24"/>
    <mergeCell ref="C25:D25"/>
    <mergeCell ref="C26:D26"/>
    <mergeCell ref="C27:D27"/>
    <mergeCell ref="B28:D28"/>
    <mergeCell ref="C29:D29"/>
    <mergeCell ref="C30:D30"/>
    <mergeCell ref="C31:D31"/>
    <mergeCell ref="C32:D32"/>
    <mergeCell ref="C33:D33"/>
    <mergeCell ref="C22:D22"/>
    <mergeCell ref="C11:D11"/>
    <mergeCell ref="C12:D12"/>
    <mergeCell ref="C13:D13"/>
    <mergeCell ref="C14:D14"/>
    <mergeCell ref="C15:D15"/>
    <mergeCell ref="C16:D16"/>
    <mergeCell ref="C17:D17"/>
    <mergeCell ref="C18:D18"/>
    <mergeCell ref="C19:D19"/>
    <mergeCell ref="C20:D20"/>
    <mergeCell ref="C21:D21"/>
    <mergeCell ref="C10:D10"/>
    <mergeCell ref="B3:D3"/>
    <mergeCell ref="B4:D4"/>
    <mergeCell ref="B6:D6"/>
    <mergeCell ref="B8:D8"/>
    <mergeCell ref="B9:D9"/>
  </mergeCells>
  <pageMargins left="0.70866141732283472" right="0.70866141732283472" top="0.78740157480314965" bottom="0.78740157480314965" header="0.31496062992125984" footer="0.31496062992125984"/>
  <pageSetup scale="90" orientation="portrait" r:id="rId1"/>
  <headerFooter>
    <oddFooter>&amp;L&amp;"Arial,Regular"&amp;7&amp;F&amp;C&amp;"Arial,Regular"&amp;7 © DKG  Alle Rechte vorbehalten&amp;R&amp;"Arial,Regular"&amp;7&amp;P</oddFooter>
  </headerFooter>
  <rowBreaks count="1" manualBreakCount="1">
    <brk id="36" max="3" man="1"/>
  </row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60"/>
  <sheetViews>
    <sheetView showGridLines="0" zoomScaleNormal="100" workbookViewId="0">
      <selection activeCell="A11" sqref="A11"/>
    </sheetView>
  </sheetViews>
  <sheetFormatPr defaultColWidth="9.140625" defaultRowHeight="15" x14ac:dyDescent="0.25"/>
  <cols>
    <col min="1" max="1" width="46.7109375" customWidth="1"/>
    <col min="2" max="2" width="40.7109375" customWidth="1"/>
    <col min="3" max="6" width="21.140625" customWidth="1"/>
    <col min="9" max="9" width="9.140625" hidden="1" customWidth="1"/>
    <col min="10" max="11" width="9.140625" style="497" hidden="1" customWidth="1"/>
    <col min="12" max="12" width="9.140625" style="497" customWidth="1"/>
  </cols>
  <sheetData>
    <row r="1" spans="1:11" ht="7.5" customHeight="1" x14ac:dyDescent="0.25"/>
    <row r="2" spans="1:11" x14ac:dyDescent="0.25">
      <c r="A2" s="353" t="str">
        <f>'Basic Data'!A2</f>
        <v>Annex CR Version J2.1 (Audit year 2026 / Indicator year 2025)</v>
      </c>
    </row>
    <row r="3" spans="1:11" ht="15.75" x14ac:dyDescent="0.25">
      <c r="A3" s="425" t="s">
        <v>1003</v>
      </c>
    </row>
    <row r="4" spans="1:11" ht="15.95" customHeight="1" thickBot="1" x14ac:dyDescent="0.3"/>
    <row r="5" spans="1:11" ht="18" customHeight="1" thickBot="1" x14ac:dyDescent="0.3">
      <c r="E5" s="498" t="s">
        <v>1002</v>
      </c>
      <c r="F5" s="499">
        <f>SUM(K11:K60)</f>
        <v>0</v>
      </c>
    </row>
    <row r="7" spans="1:11" ht="48" customHeight="1" x14ac:dyDescent="0.25">
      <c r="A7" s="695" t="s">
        <v>1004</v>
      </c>
      <c r="B7" s="696"/>
      <c r="C7" s="696"/>
      <c r="D7" s="696"/>
      <c r="E7" s="696"/>
      <c r="F7" s="696"/>
    </row>
    <row r="8" spans="1:11" ht="9" customHeight="1" thickBot="1" x14ac:dyDescent="0.3"/>
    <row r="9" spans="1:11" ht="23.25" customHeight="1" x14ac:dyDescent="0.25">
      <c r="A9" s="697" t="s">
        <v>1005</v>
      </c>
      <c r="B9" s="699" t="s">
        <v>1006</v>
      </c>
      <c r="C9" s="699" t="s">
        <v>1007</v>
      </c>
      <c r="D9" s="699"/>
      <c r="E9" s="701"/>
      <c r="F9" s="702"/>
    </row>
    <row r="10" spans="1:11" ht="68.25" customHeight="1" thickBot="1" x14ac:dyDescent="0.3">
      <c r="A10" s="698"/>
      <c r="B10" s="700"/>
      <c r="C10" s="510" t="s">
        <v>1026</v>
      </c>
      <c r="D10" s="510" t="s">
        <v>1027</v>
      </c>
      <c r="E10" s="511" t="s">
        <v>1028</v>
      </c>
      <c r="F10" s="512" t="s">
        <v>1029</v>
      </c>
      <c r="I10" s="497"/>
    </row>
    <row r="11" spans="1:11" s="497" customFormat="1" ht="26.1" customHeight="1" x14ac:dyDescent="0.25">
      <c r="A11" s="500"/>
      <c r="B11" s="501"/>
      <c r="C11" s="502"/>
      <c r="D11" s="502"/>
      <c r="E11" s="503"/>
      <c r="F11" s="504"/>
      <c r="G11"/>
      <c r="H11"/>
      <c r="I11" s="497">
        <f t="shared" ref="I11:J11" si="0">IF(A11&lt;&gt;"",1,0)</f>
        <v>0</v>
      </c>
      <c r="J11" s="497">
        <f t="shared" si="0"/>
        <v>0</v>
      </c>
      <c r="K11" s="497" t="str">
        <f>IF(AND(SUM($C$11:$C$60)&gt;=1,SUM(I11:J11)=2),SUM(C11:F11),"")</f>
        <v/>
      </c>
    </row>
    <row r="12" spans="1:11" s="497" customFormat="1" ht="26.1" customHeight="1" x14ac:dyDescent="0.25">
      <c r="A12" s="520"/>
      <c r="B12" s="521"/>
      <c r="C12" s="522"/>
      <c r="D12" s="522"/>
      <c r="E12" s="523"/>
      <c r="F12" s="524"/>
      <c r="G12"/>
      <c r="H12"/>
      <c r="I12" s="497">
        <f t="shared" ref="I12:I60" si="1">IF(A12&lt;&gt;"",1,0)</f>
        <v>0</v>
      </c>
      <c r="J12" s="497">
        <f t="shared" ref="J12:J60" si="2">IF(B12&lt;&gt;"",1,0)</f>
        <v>0</v>
      </c>
      <c r="K12" s="497" t="str">
        <f t="shared" ref="K12:K60" si="3">IF(AND(SUM($C$11:$C$60)&gt;=1,SUM(I12:J12)=2),SUM(C12:F12),"")</f>
        <v/>
      </c>
    </row>
    <row r="13" spans="1:11" s="497" customFormat="1" ht="26.1" customHeight="1" x14ac:dyDescent="0.25">
      <c r="A13" s="520"/>
      <c r="B13" s="521"/>
      <c r="C13" s="522"/>
      <c r="D13" s="522"/>
      <c r="E13" s="523"/>
      <c r="F13" s="524"/>
      <c r="G13"/>
      <c r="H13"/>
      <c r="I13" s="497">
        <f t="shared" si="1"/>
        <v>0</v>
      </c>
      <c r="J13" s="497">
        <f t="shared" si="2"/>
        <v>0</v>
      </c>
      <c r="K13" s="497" t="str">
        <f t="shared" si="3"/>
        <v/>
      </c>
    </row>
    <row r="14" spans="1:11" s="497" customFormat="1" ht="26.1" customHeight="1" x14ac:dyDescent="0.25">
      <c r="A14" s="520"/>
      <c r="B14" s="521"/>
      <c r="C14" s="522"/>
      <c r="D14" s="522"/>
      <c r="E14" s="523"/>
      <c r="F14" s="524"/>
      <c r="G14"/>
      <c r="H14"/>
      <c r="I14" s="497">
        <f t="shared" si="1"/>
        <v>0</v>
      </c>
      <c r="J14" s="497">
        <f t="shared" si="2"/>
        <v>0</v>
      </c>
      <c r="K14" s="497" t="str">
        <f t="shared" si="3"/>
        <v/>
      </c>
    </row>
    <row r="15" spans="1:11" s="497" customFormat="1" ht="26.1" customHeight="1" x14ac:dyDescent="0.25">
      <c r="A15" s="520"/>
      <c r="B15" s="521"/>
      <c r="C15" s="522"/>
      <c r="D15" s="522"/>
      <c r="E15" s="523"/>
      <c r="F15" s="524"/>
      <c r="G15"/>
      <c r="H15"/>
      <c r="I15" s="497">
        <f t="shared" si="1"/>
        <v>0</v>
      </c>
      <c r="J15" s="497">
        <f t="shared" si="2"/>
        <v>0</v>
      </c>
      <c r="K15" s="497" t="str">
        <f t="shared" si="3"/>
        <v/>
      </c>
    </row>
    <row r="16" spans="1:11" s="497" customFormat="1" ht="26.1" customHeight="1" x14ac:dyDescent="0.25">
      <c r="A16" s="520"/>
      <c r="B16" s="521"/>
      <c r="C16" s="522"/>
      <c r="D16" s="522"/>
      <c r="E16" s="523"/>
      <c r="F16" s="524"/>
      <c r="G16"/>
      <c r="H16"/>
      <c r="I16" s="497">
        <f t="shared" si="1"/>
        <v>0</v>
      </c>
      <c r="J16" s="497">
        <f t="shared" si="2"/>
        <v>0</v>
      </c>
      <c r="K16" s="497" t="str">
        <f t="shared" si="3"/>
        <v/>
      </c>
    </row>
    <row r="17" spans="1:11" s="497" customFormat="1" ht="26.1" customHeight="1" x14ac:dyDescent="0.25">
      <c r="A17" s="520"/>
      <c r="B17" s="521"/>
      <c r="C17" s="522"/>
      <c r="D17" s="522"/>
      <c r="E17" s="523"/>
      <c r="F17" s="524"/>
      <c r="G17"/>
      <c r="H17"/>
      <c r="I17" s="497">
        <f t="shared" si="1"/>
        <v>0</v>
      </c>
      <c r="J17" s="497">
        <f t="shared" si="2"/>
        <v>0</v>
      </c>
      <c r="K17" s="497" t="str">
        <f t="shared" si="3"/>
        <v/>
      </c>
    </row>
    <row r="18" spans="1:11" s="497" customFormat="1" ht="26.1" customHeight="1" x14ac:dyDescent="0.25">
      <c r="A18" s="520"/>
      <c r="B18" s="521"/>
      <c r="C18" s="522"/>
      <c r="D18" s="522"/>
      <c r="E18" s="523"/>
      <c r="F18" s="524"/>
      <c r="G18"/>
      <c r="H18"/>
      <c r="I18" s="497">
        <f t="shared" si="1"/>
        <v>0</v>
      </c>
      <c r="J18" s="497">
        <f t="shared" si="2"/>
        <v>0</v>
      </c>
      <c r="K18" s="497" t="str">
        <f t="shared" si="3"/>
        <v/>
      </c>
    </row>
    <row r="19" spans="1:11" s="497" customFormat="1" ht="26.1" customHeight="1" x14ac:dyDescent="0.25">
      <c r="A19" s="520"/>
      <c r="B19" s="521"/>
      <c r="C19" s="522"/>
      <c r="D19" s="522"/>
      <c r="E19" s="523"/>
      <c r="F19" s="524"/>
      <c r="G19"/>
      <c r="H19"/>
      <c r="I19" s="497">
        <f t="shared" si="1"/>
        <v>0</v>
      </c>
      <c r="J19" s="497">
        <f t="shared" si="2"/>
        <v>0</v>
      </c>
      <c r="K19" s="497" t="str">
        <f t="shared" si="3"/>
        <v/>
      </c>
    </row>
    <row r="20" spans="1:11" s="497" customFormat="1" ht="26.1" customHeight="1" x14ac:dyDescent="0.25">
      <c r="A20" s="520"/>
      <c r="B20" s="521"/>
      <c r="C20" s="522"/>
      <c r="D20" s="522"/>
      <c r="E20" s="523"/>
      <c r="F20" s="524"/>
      <c r="G20"/>
      <c r="H20"/>
      <c r="I20" s="497">
        <f t="shared" si="1"/>
        <v>0</v>
      </c>
      <c r="J20" s="497">
        <f t="shared" si="2"/>
        <v>0</v>
      </c>
      <c r="K20" s="497" t="str">
        <f t="shared" si="3"/>
        <v/>
      </c>
    </row>
    <row r="21" spans="1:11" s="497" customFormat="1" ht="26.1" customHeight="1" x14ac:dyDescent="0.25">
      <c r="A21" s="520"/>
      <c r="B21" s="521"/>
      <c r="C21" s="522"/>
      <c r="D21" s="522"/>
      <c r="E21" s="523"/>
      <c r="F21" s="524"/>
      <c r="G21"/>
      <c r="H21"/>
      <c r="I21" s="497">
        <f t="shared" si="1"/>
        <v>0</v>
      </c>
      <c r="J21" s="497">
        <f t="shared" si="2"/>
        <v>0</v>
      </c>
      <c r="K21" s="497" t="str">
        <f t="shared" si="3"/>
        <v/>
      </c>
    </row>
    <row r="22" spans="1:11" s="497" customFormat="1" ht="26.1" customHeight="1" x14ac:dyDescent="0.25">
      <c r="A22" s="520"/>
      <c r="B22" s="521"/>
      <c r="C22" s="522"/>
      <c r="D22" s="522"/>
      <c r="E22" s="523"/>
      <c r="F22" s="524"/>
      <c r="G22"/>
      <c r="H22"/>
      <c r="I22" s="497">
        <f t="shared" si="1"/>
        <v>0</v>
      </c>
      <c r="J22" s="497">
        <f t="shared" si="2"/>
        <v>0</v>
      </c>
      <c r="K22" s="497" t="str">
        <f t="shared" si="3"/>
        <v/>
      </c>
    </row>
    <row r="23" spans="1:11" s="497" customFormat="1" ht="26.1" customHeight="1" x14ac:dyDescent="0.25">
      <c r="A23" s="520"/>
      <c r="B23" s="521"/>
      <c r="C23" s="522"/>
      <c r="D23" s="522"/>
      <c r="E23" s="523"/>
      <c r="F23" s="524"/>
      <c r="G23"/>
      <c r="H23"/>
      <c r="I23" s="497">
        <f t="shared" si="1"/>
        <v>0</v>
      </c>
      <c r="J23" s="497">
        <f t="shared" si="2"/>
        <v>0</v>
      </c>
      <c r="K23" s="497" t="str">
        <f t="shared" si="3"/>
        <v/>
      </c>
    </row>
    <row r="24" spans="1:11" s="497" customFormat="1" ht="26.1" customHeight="1" x14ac:dyDescent="0.25">
      <c r="A24" s="520"/>
      <c r="B24" s="521"/>
      <c r="C24" s="522"/>
      <c r="D24" s="522"/>
      <c r="E24" s="523"/>
      <c r="F24" s="524"/>
      <c r="G24"/>
      <c r="H24"/>
      <c r="I24" s="497">
        <f t="shared" si="1"/>
        <v>0</v>
      </c>
      <c r="J24" s="497">
        <f t="shared" si="2"/>
        <v>0</v>
      </c>
      <c r="K24" s="497" t="str">
        <f t="shared" si="3"/>
        <v/>
      </c>
    </row>
    <row r="25" spans="1:11" s="497" customFormat="1" ht="26.1" customHeight="1" x14ac:dyDescent="0.25">
      <c r="A25" s="520"/>
      <c r="B25" s="521"/>
      <c r="C25" s="522"/>
      <c r="D25" s="522"/>
      <c r="E25" s="523"/>
      <c r="F25" s="524"/>
      <c r="G25"/>
      <c r="H25"/>
      <c r="I25" s="497">
        <f t="shared" si="1"/>
        <v>0</v>
      </c>
      <c r="J25" s="497">
        <f t="shared" si="2"/>
        <v>0</v>
      </c>
      <c r="K25" s="497" t="str">
        <f t="shared" si="3"/>
        <v/>
      </c>
    </row>
    <row r="26" spans="1:11" s="497" customFormat="1" ht="26.1" customHeight="1" x14ac:dyDescent="0.25">
      <c r="A26" s="520"/>
      <c r="B26" s="521"/>
      <c r="C26" s="522"/>
      <c r="D26" s="522"/>
      <c r="E26" s="523"/>
      <c r="F26" s="524"/>
      <c r="G26"/>
      <c r="H26"/>
      <c r="I26" s="497">
        <f t="shared" si="1"/>
        <v>0</v>
      </c>
      <c r="J26" s="497">
        <f t="shared" si="2"/>
        <v>0</v>
      </c>
      <c r="K26" s="497" t="str">
        <f t="shared" si="3"/>
        <v/>
      </c>
    </row>
    <row r="27" spans="1:11" s="497" customFormat="1" ht="26.1" customHeight="1" x14ac:dyDescent="0.25">
      <c r="A27" s="520"/>
      <c r="B27" s="521"/>
      <c r="C27" s="522"/>
      <c r="D27" s="522"/>
      <c r="E27" s="523"/>
      <c r="F27" s="524"/>
      <c r="G27"/>
      <c r="H27"/>
      <c r="I27" s="497">
        <f t="shared" si="1"/>
        <v>0</v>
      </c>
      <c r="J27" s="497">
        <f t="shared" si="2"/>
        <v>0</v>
      </c>
      <c r="K27" s="497" t="str">
        <f t="shared" si="3"/>
        <v/>
      </c>
    </row>
    <row r="28" spans="1:11" s="497" customFormat="1" ht="26.1" customHeight="1" x14ac:dyDescent="0.25">
      <c r="A28" s="520"/>
      <c r="B28" s="521"/>
      <c r="C28" s="522"/>
      <c r="D28" s="522"/>
      <c r="E28" s="523"/>
      <c r="F28" s="524"/>
      <c r="G28"/>
      <c r="H28"/>
      <c r="I28" s="497">
        <f t="shared" si="1"/>
        <v>0</v>
      </c>
      <c r="J28" s="497">
        <f t="shared" si="2"/>
        <v>0</v>
      </c>
      <c r="K28" s="497" t="str">
        <f t="shared" si="3"/>
        <v/>
      </c>
    </row>
    <row r="29" spans="1:11" s="497" customFormat="1" ht="26.1" customHeight="1" x14ac:dyDescent="0.25">
      <c r="A29" s="520"/>
      <c r="B29" s="521"/>
      <c r="C29" s="522"/>
      <c r="D29" s="522"/>
      <c r="E29" s="523"/>
      <c r="F29" s="524"/>
      <c r="G29"/>
      <c r="H29"/>
      <c r="I29" s="497">
        <f t="shared" si="1"/>
        <v>0</v>
      </c>
      <c r="J29" s="497">
        <f t="shared" si="2"/>
        <v>0</v>
      </c>
      <c r="K29" s="497" t="str">
        <f t="shared" si="3"/>
        <v/>
      </c>
    </row>
    <row r="30" spans="1:11" s="497" customFormat="1" ht="26.1" customHeight="1" x14ac:dyDescent="0.25">
      <c r="A30" s="520"/>
      <c r="B30" s="521"/>
      <c r="C30" s="522"/>
      <c r="D30" s="522"/>
      <c r="E30" s="523"/>
      <c r="F30" s="524"/>
      <c r="G30"/>
      <c r="H30"/>
      <c r="I30" s="497">
        <f t="shared" si="1"/>
        <v>0</v>
      </c>
      <c r="J30" s="497">
        <f t="shared" si="2"/>
        <v>0</v>
      </c>
      <c r="K30" s="497" t="str">
        <f t="shared" si="3"/>
        <v/>
      </c>
    </row>
    <row r="31" spans="1:11" s="497" customFormat="1" ht="26.1" customHeight="1" x14ac:dyDescent="0.25">
      <c r="A31" s="520"/>
      <c r="B31" s="521"/>
      <c r="C31" s="522"/>
      <c r="D31" s="522"/>
      <c r="E31" s="523"/>
      <c r="F31" s="524"/>
      <c r="G31"/>
      <c r="H31"/>
      <c r="I31" s="497">
        <f t="shared" si="1"/>
        <v>0</v>
      </c>
      <c r="J31" s="497">
        <f t="shared" si="2"/>
        <v>0</v>
      </c>
      <c r="K31" s="497" t="str">
        <f t="shared" si="3"/>
        <v/>
      </c>
    </row>
    <row r="32" spans="1:11" s="497" customFormat="1" ht="26.1" customHeight="1" x14ac:dyDescent="0.25">
      <c r="A32" s="520"/>
      <c r="B32" s="521"/>
      <c r="C32" s="522"/>
      <c r="D32" s="522"/>
      <c r="E32" s="523"/>
      <c r="F32" s="524"/>
      <c r="G32"/>
      <c r="H32"/>
      <c r="I32" s="497">
        <f t="shared" si="1"/>
        <v>0</v>
      </c>
      <c r="J32" s="497">
        <f t="shared" si="2"/>
        <v>0</v>
      </c>
      <c r="K32" s="497" t="str">
        <f t="shared" si="3"/>
        <v/>
      </c>
    </row>
    <row r="33" spans="1:11" s="497" customFormat="1" ht="26.1" customHeight="1" x14ac:dyDescent="0.25">
      <c r="A33" s="520"/>
      <c r="B33" s="521"/>
      <c r="C33" s="522"/>
      <c r="D33" s="522"/>
      <c r="E33" s="523"/>
      <c r="F33" s="524"/>
      <c r="G33"/>
      <c r="H33"/>
      <c r="I33" s="497">
        <f t="shared" si="1"/>
        <v>0</v>
      </c>
      <c r="J33" s="497">
        <f t="shared" si="2"/>
        <v>0</v>
      </c>
      <c r="K33" s="497" t="str">
        <f t="shared" si="3"/>
        <v/>
      </c>
    </row>
    <row r="34" spans="1:11" s="497" customFormat="1" ht="26.1" customHeight="1" x14ac:dyDescent="0.25">
      <c r="A34" s="520"/>
      <c r="B34" s="521"/>
      <c r="C34" s="522"/>
      <c r="D34" s="522"/>
      <c r="E34" s="523"/>
      <c r="F34" s="524"/>
      <c r="G34"/>
      <c r="H34"/>
      <c r="I34" s="497">
        <f t="shared" si="1"/>
        <v>0</v>
      </c>
      <c r="J34" s="497">
        <f t="shared" si="2"/>
        <v>0</v>
      </c>
      <c r="K34" s="497" t="str">
        <f t="shared" si="3"/>
        <v/>
      </c>
    </row>
    <row r="35" spans="1:11" s="497" customFormat="1" ht="26.1" customHeight="1" x14ac:dyDescent="0.25">
      <c r="A35" s="520"/>
      <c r="B35" s="521"/>
      <c r="C35" s="522"/>
      <c r="D35" s="522"/>
      <c r="E35" s="523"/>
      <c r="F35" s="524"/>
      <c r="G35"/>
      <c r="H35"/>
      <c r="I35" s="497">
        <f t="shared" si="1"/>
        <v>0</v>
      </c>
      <c r="J35" s="497">
        <f t="shared" si="2"/>
        <v>0</v>
      </c>
      <c r="K35" s="497" t="str">
        <f t="shared" si="3"/>
        <v/>
      </c>
    </row>
    <row r="36" spans="1:11" s="497" customFormat="1" ht="26.1" customHeight="1" x14ac:dyDescent="0.25">
      <c r="A36" s="520"/>
      <c r="B36" s="521"/>
      <c r="C36" s="522"/>
      <c r="D36" s="522"/>
      <c r="E36" s="523"/>
      <c r="F36" s="524"/>
      <c r="G36"/>
      <c r="H36"/>
      <c r="I36" s="497">
        <f t="shared" si="1"/>
        <v>0</v>
      </c>
      <c r="J36" s="497">
        <f t="shared" si="2"/>
        <v>0</v>
      </c>
      <c r="K36" s="497" t="str">
        <f t="shared" si="3"/>
        <v/>
      </c>
    </row>
    <row r="37" spans="1:11" s="497" customFormat="1" ht="26.1" customHeight="1" x14ac:dyDescent="0.25">
      <c r="A37" s="520"/>
      <c r="B37" s="521"/>
      <c r="C37" s="522"/>
      <c r="D37" s="522"/>
      <c r="E37" s="523"/>
      <c r="F37" s="524"/>
      <c r="G37"/>
      <c r="H37"/>
      <c r="I37" s="497">
        <f t="shared" si="1"/>
        <v>0</v>
      </c>
      <c r="J37" s="497">
        <f t="shared" si="2"/>
        <v>0</v>
      </c>
      <c r="K37" s="497" t="str">
        <f t="shared" si="3"/>
        <v/>
      </c>
    </row>
    <row r="38" spans="1:11" s="497" customFormat="1" ht="26.1" customHeight="1" x14ac:dyDescent="0.25">
      <c r="A38" s="520"/>
      <c r="B38" s="521"/>
      <c r="C38" s="522"/>
      <c r="D38" s="522"/>
      <c r="E38" s="523"/>
      <c r="F38" s="524"/>
      <c r="G38"/>
      <c r="H38"/>
      <c r="I38" s="497">
        <f t="shared" si="1"/>
        <v>0</v>
      </c>
      <c r="J38" s="497">
        <f t="shared" si="2"/>
        <v>0</v>
      </c>
      <c r="K38" s="497" t="str">
        <f t="shared" si="3"/>
        <v/>
      </c>
    </row>
    <row r="39" spans="1:11" s="497" customFormat="1" ht="26.1" customHeight="1" x14ac:dyDescent="0.25">
      <c r="A39" s="520"/>
      <c r="B39" s="521"/>
      <c r="C39" s="522"/>
      <c r="D39" s="522"/>
      <c r="E39" s="523"/>
      <c r="F39" s="524"/>
      <c r="G39"/>
      <c r="H39"/>
      <c r="I39" s="497">
        <f t="shared" si="1"/>
        <v>0</v>
      </c>
      <c r="J39" s="497">
        <f t="shared" si="2"/>
        <v>0</v>
      </c>
      <c r="K39" s="497" t="str">
        <f t="shared" si="3"/>
        <v/>
      </c>
    </row>
    <row r="40" spans="1:11" s="497" customFormat="1" ht="26.1" customHeight="1" x14ac:dyDescent="0.25">
      <c r="A40" s="520"/>
      <c r="B40" s="521"/>
      <c r="C40" s="522"/>
      <c r="D40" s="522"/>
      <c r="E40" s="523"/>
      <c r="F40" s="524"/>
      <c r="G40"/>
      <c r="H40"/>
      <c r="I40" s="497">
        <f t="shared" si="1"/>
        <v>0</v>
      </c>
      <c r="J40" s="497">
        <f t="shared" si="2"/>
        <v>0</v>
      </c>
      <c r="K40" s="497" t="str">
        <f t="shared" si="3"/>
        <v/>
      </c>
    </row>
    <row r="41" spans="1:11" s="497" customFormat="1" ht="26.1" customHeight="1" x14ac:dyDescent="0.25">
      <c r="A41" s="520"/>
      <c r="B41" s="521"/>
      <c r="C41" s="522"/>
      <c r="D41" s="522"/>
      <c r="E41" s="523"/>
      <c r="F41" s="524"/>
      <c r="G41"/>
      <c r="H41"/>
      <c r="I41" s="497">
        <f t="shared" si="1"/>
        <v>0</v>
      </c>
      <c r="J41" s="497">
        <f t="shared" si="2"/>
        <v>0</v>
      </c>
      <c r="K41" s="497" t="str">
        <f t="shared" si="3"/>
        <v/>
      </c>
    </row>
    <row r="42" spans="1:11" s="497" customFormat="1" ht="26.1" customHeight="1" x14ac:dyDescent="0.25">
      <c r="A42" s="520"/>
      <c r="B42" s="521"/>
      <c r="C42" s="522"/>
      <c r="D42" s="522"/>
      <c r="E42" s="523"/>
      <c r="F42" s="524"/>
      <c r="G42"/>
      <c r="H42"/>
      <c r="I42" s="497">
        <f t="shared" si="1"/>
        <v>0</v>
      </c>
      <c r="J42" s="497">
        <f t="shared" si="2"/>
        <v>0</v>
      </c>
      <c r="K42" s="497" t="str">
        <f t="shared" si="3"/>
        <v/>
      </c>
    </row>
    <row r="43" spans="1:11" s="497" customFormat="1" ht="26.1" customHeight="1" x14ac:dyDescent="0.25">
      <c r="A43" s="520"/>
      <c r="B43" s="521"/>
      <c r="C43" s="522"/>
      <c r="D43" s="522"/>
      <c r="E43" s="523"/>
      <c r="F43" s="524"/>
      <c r="G43"/>
      <c r="H43"/>
      <c r="I43" s="497">
        <f t="shared" si="1"/>
        <v>0</v>
      </c>
      <c r="J43" s="497">
        <f t="shared" si="2"/>
        <v>0</v>
      </c>
      <c r="K43" s="497" t="str">
        <f t="shared" si="3"/>
        <v/>
      </c>
    </row>
    <row r="44" spans="1:11" s="497" customFormat="1" ht="26.1" customHeight="1" x14ac:dyDescent="0.25">
      <c r="A44" s="520"/>
      <c r="B44" s="521"/>
      <c r="C44" s="522"/>
      <c r="D44" s="522"/>
      <c r="E44" s="523"/>
      <c r="F44" s="524"/>
      <c r="G44"/>
      <c r="H44"/>
      <c r="I44" s="497">
        <f t="shared" si="1"/>
        <v>0</v>
      </c>
      <c r="J44" s="497">
        <f t="shared" si="2"/>
        <v>0</v>
      </c>
      <c r="K44" s="497" t="str">
        <f t="shared" si="3"/>
        <v/>
      </c>
    </row>
    <row r="45" spans="1:11" s="497" customFormat="1" ht="26.1" customHeight="1" x14ac:dyDescent="0.25">
      <c r="A45" s="520"/>
      <c r="B45" s="521"/>
      <c r="C45" s="522"/>
      <c r="D45" s="522"/>
      <c r="E45" s="523"/>
      <c r="F45" s="524"/>
      <c r="G45"/>
      <c r="H45"/>
      <c r="I45" s="497">
        <f t="shared" si="1"/>
        <v>0</v>
      </c>
      <c r="J45" s="497">
        <f t="shared" si="2"/>
        <v>0</v>
      </c>
      <c r="K45" s="497" t="str">
        <f t="shared" si="3"/>
        <v/>
      </c>
    </row>
    <row r="46" spans="1:11" s="497" customFormat="1" ht="26.1" customHeight="1" x14ac:dyDescent="0.25">
      <c r="A46" s="520"/>
      <c r="B46" s="521"/>
      <c r="C46" s="522"/>
      <c r="D46" s="522"/>
      <c r="E46" s="523"/>
      <c r="F46" s="524"/>
      <c r="G46"/>
      <c r="H46"/>
      <c r="I46" s="497">
        <f t="shared" si="1"/>
        <v>0</v>
      </c>
      <c r="J46" s="497">
        <f t="shared" si="2"/>
        <v>0</v>
      </c>
      <c r="K46" s="497" t="str">
        <f t="shared" si="3"/>
        <v/>
      </c>
    </row>
    <row r="47" spans="1:11" s="497" customFormat="1" ht="26.1" customHeight="1" x14ac:dyDescent="0.25">
      <c r="A47" s="520"/>
      <c r="B47" s="521"/>
      <c r="C47" s="522"/>
      <c r="D47" s="522"/>
      <c r="E47" s="523"/>
      <c r="F47" s="524"/>
      <c r="G47"/>
      <c r="H47"/>
      <c r="I47" s="497">
        <f t="shared" si="1"/>
        <v>0</v>
      </c>
      <c r="J47" s="497">
        <f t="shared" si="2"/>
        <v>0</v>
      </c>
      <c r="K47" s="497" t="str">
        <f t="shared" si="3"/>
        <v/>
      </c>
    </row>
    <row r="48" spans="1:11" s="497" customFormat="1" ht="26.1" customHeight="1" x14ac:dyDescent="0.25">
      <c r="A48" s="520"/>
      <c r="B48" s="521"/>
      <c r="C48" s="522"/>
      <c r="D48" s="522"/>
      <c r="E48" s="523"/>
      <c r="F48" s="524"/>
      <c r="G48"/>
      <c r="H48"/>
      <c r="I48" s="497">
        <f t="shared" si="1"/>
        <v>0</v>
      </c>
      <c r="J48" s="497">
        <f t="shared" si="2"/>
        <v>0</v>
      </c>
      <c r="K48" s="497" t="str">
        <f t="shared" si="3"/>
        <v/>
      </c>
    </row>
    <row r="49" spans="1:11" s="497" customFormat="1" ht="26.1" customHeight="1" x14ac:dyDescent="0.25">
      <c r="A49" s="520"/>
      <c r="B49" s="521"/>
      <c r="C49" s="522"/>
      <c r="D49" s="522"/>
      <c r="E49" s="523"/>
      <c r="F49" s="524"/>
      <c r="G49"/>
      <c r="H49"/>
      <c r="I49" s="497">
        <f t="shared" si="1"/>
        <v>0</v>
      </c>
      <c r="J49" s="497">
        <f t="shared" si="2"/>
        <v>0</v>
      </c>
      <c r="K49" s="497" t="str">
        <f t="shared" si="3"/>
        <v/>
      </c>
    </row>
    <row r="50" spans="1:11" s="497" customFormat="1" ht="26.1" customHeight="1" x14ac:dyDescent="0.25">
      <c r="A50" s="520"/>
      <c r="B50" s="521"/>
      <c r="C50" s="522"/>
      <c r="D50" s="522"/>
      <c r="E50" s="523"/>
      <c r="F50" s="524"/>
      <c r="G50"/>
      <c r="H50"/>
      <c r="I50" s="497">
        <f t="shared" si="1"/>
        <v>0</v>
      </c>
      <c r="J50" s="497">
        <f t="shared" si="2"/>
        <v>0</v>
      </c>
      <c r="K50" s="497" t="str">
        <f t="shared" si="3"/>
        <v/>
      </c>
    </row>
    <row r="51" spans="1:11" s="497" customFormat="1" ht="26.1" customHeight="1" x14ac:dyDescent="0.25">
      <c r="A51" s="520"/>
      <c r="B51" s="521"/>
      <c r="C51" s="522"/>
      <c r="D51" s="522"/>
      <c r="E51" s="523"/>
      <c r="F51" s="524"/>
      <c r="G51"/>
      <c r="H51"/>
      <c r="I51" s="497">
        <f t="shared" si="1"/>
        <v>0</v>
      </c>
      <c r="J51" s="497">
        <f t="shared" si="2"/>
        <v>0</v>
      </c>
      <c r="K51" s="497" t="str">
        <f t="shared" si="3"/>
        <v/>
      </c>
    </row>
    <row r="52" spans="1:11" s="497" customFormat="1" ht="26.1" customHeight="1" x14ac:dyDescent="0.25">
      <c r="A52" s="520"/>
      <c r="B52" s="521"/>
      <c r="C52" s="522"/>
      <c r="D52" s="522"/>
      <c r="E52" s="523"/>
      <c r="F52" s="524"/>
      <c r="G52"/>
      <c r="H52"/>
      <c r="I52" s="497">
        <f t="shared" si="1"/>
        <v>0</v>
      </c>
      <c r="J52" s="497">
        <f t="shared" si="2"/>
        <v>0</v>
      </c>
      <c r="K52" s="497" t="str">
        <f t="shared" si="3"/>
        <v/>
      </c>
    </row>
    <row r="53" spans="1:11" s="497" customFormat="1" ht="26.1" customHeight="1" x14ac:dyDescent="0.25">
      <c r="A53" s="520"/>
      <c r="B53" s="521"/>
      <c r="C53" s="522"/>
      <c r="D53" s="522"/>
      <c r="E53" s="523"/>
      <c r="F53" s="524"/>
      <c r="G53"/>
      <c r="H53"/>
      <c r="I53" s="497">
        <f t="shared" si="1"/>
        <v>0</v>
      </c>
      <c r="J53" s="497">
        <f t="shared" si="2"/>
        <v>0</v>
      </c>
      <c r="K53" s="497" t="str">
        <f t="shared" si="3"/>
        <v/>
      </c>
    </row>
    <row r="54" spans="1:11" s="497" customFormat="1" ht="26.1" customHeight="1" x14ac:dyDescent="0.25">
      <c r="A54" s="520"/>
      <c r="B54" s="521"/>
      <c r="C54" s="522"/>
      <c r="D54" s="522"/>
      <c r="E54" s="523"/>
      <c r="F54" s="524"/>
      <c r="G54"/>
      <c r="H54"/>
      <c r="I54" s="497">
        <f t="shared" si="1"/>
        <v>0</v>
      </c>
      <c r="J54" s="497">
        <f t="shared" si="2"/>
        <v>0</v>
      </c>
      <c r="K54" s="497" t="str">
        <f t="shared" si="3"/>
        <v/>
      </c>
    </row>
    <row r="55" spans="1:11" s="497" customFormat="1" ht="26.1" customHeight="1" x14ac:dyDescent="0.25">
      <c r="A55" s="520"/>
      <c r="B55" s="521"/>
      <c r="C55" s="522"/>
      <c r="D55" s="522"/>
      <c r="E55" s="523"/>
      <c r="F55" s="524"/>
      <c r="G55"/>
      <c r="H55"/>
      <c r="I55" s="497">
        <f t="shared" si="1"/>
        <v>0</v>
      </c>
      <c r="J55" s="497">
        <f t="shared" si="2"/>
        <v>0</v>
      </c>
      <c r="K55" s="497" t="str">
        <f t="shared" si="3"/>
        <v/>
      </c>
    </row>
    <row r="56" spans="1:11" s="497" customFormat="1" ht="26.1" customHeight="1" x14ac:dyDescent="0.25">
      <c r="A56" s="520"/>
      <c r="B56" s="521"/>
      <c r="C56" s="522"/>
      <c r="D56" s="522"/>
      <c r="E56" s="523"/>
      <c r="F56" s="524"/>
      <c r="G56"/>
      <c r="H56"/>
      <c r="I56" s="497">
        <f t="shared" si="1"/>
        <v>0</v>
      </c>
      <c r="J56" s="497">
        <f t="shared" si="2"/>
        <v>0</v>
      </c>
      <c r="K56" s="497" t="str">
        <f t="shared" si="3"/>
        <v/>
      </c>
    </row>
    <row r="57" spans="1:11" s="497" customFormat="1" ht="26.1" customHeight="1" x14ac:dyDescent="0.25">
      <c r="A57" s="520"/>
      <c r="B57" s="521"/>
      <c r="C57" s="522"/>
      <c r="D57" s="522"/>
      <c r="E57" s="523"/>
      <c r="F57" s="524"/>
      <c r="G57"/>
      <c r="H57"/>
      <c r="I57" s="497">
        <f t="shared" si="1"/>
        <v>0</v>
      </c>
      <c r="J57" s="497">
        <f t="shared" si="2"/>
        <v>0</v>
      </c>
      <c r="K57" s="497" t="str">
        <f t="shared" si="3"/>
        <v/>
      </c>
    </row>
    <row r="58" spans="1:11" s="497" customFormat="1" ht="26.1" customHeight="1" x14ac:dyDescent="0.25">
      <c r="A58" s="520"/>
      <c r="B58" s="521"/>
      <c r="C58" s="522"/>
      <c r="D58" s="522"/>
      <c r="E58" s="523"/>
      <c r="F58" s="524"/>
      <c r="G58"/>
      <c r="H58"/>
      <c r="I58" s="497">
        <f t="shared" si="1"/>
        <v>0</v>
      </c>
      <c r="J58" s="497">
        <f t="shared" si="2"/>
        <v>0</v>
      </c>
      <c r="K58" s="497" t="str">
        <f t="shared" si="3"/>
        <v/>
      </c>
    </row>
    <row r="59" spans="1:11" s="497" customFormat="1" ht="26.1" customHeight="1" x14ac:dyDescent="0.25">
      <c r="A59" s="520"/>
      <c r="B59" s="521"/>
      <c r="C59" s="522"/>
      <c r="D59" s="522"/>
      <c r="E59" s="523"/>
      <c r="F59" s="524"/>
      <c r="G59"/>
      <c r="H59"/>
      <c r="I59" s="497">
        <f t="shared" si="1"/>
        <v>0</v>
      </c>
      <c r="J59" s="497">
        <f t="shared" si="2"/>
        <v>0</v>
      </c>
      <c r="K59" s="497" t="str">
        <f t="shared" si="3"/>
        <v/>
      </c>
    </row>
    <row r="60" spans="1:11" s="497" customFormat="1" ht="26.1" customHeight="1" thickBot="1" x14ac:dyDescent="0.3">
      <c r="A60" s="505"/>
      <c r="B60" s="506"/>
      <c r="C60" s="507"/>
      <c r="D60" s="507"/>
      <c r="E60" s="508"/>
      <c r="F60" s="509"/>
      <c r="G60"/>
      <c r="H60"/>
      <c r="I60" s="497">
        <f t="shared" si="1"/>
        <v>0</v>
      </c>
      <c r="J60" s="497">
        <f t="shared" si="2"/>
        <v>0</v>
      </c>
      <c r="K60" s="497" t="str">
        <f t="shared" si="3"/>
        <v/>
      </c>
    </row>
  </sheetData>
  <sheetProtection password="CA09" sheet="1" objects="1" scenarios="1" selectLockedCells="1"/>
  <mergeCells count="4">
    <mergeCell ref="A7:F7"/>
    <mergeCell ref="A9:A10"/>
    <mergeCell ref="B9:B10"/>
    <mergeCell ref="C9:F9"/>
  </mergeCells>
  <phoneticPr fontId="164" type="noConversion"/>
  <conditionalFormatting sqref="A11:F60">
    <cfRule type="expression" dxfId="111" priority="2" stopIfTrue="1">
      <formula>LEN(TRIM(A11))=0</formula>
    </cfRule>
  </conditionalFormatting>
  <conditionalFormatting sqref="B11:B60">
    <cfRule type="duplicateValues" dxfId="110" priority="1"/>
  </conditionalFormatting>
  <dataValidations count="3">
    <dataValidation type="textLength" showInputMessage="1" showErrorMessage="1" errorTitle="Character length" error="Only text input up to 200 characters possible." sqref="A11:B60" xr:uid="{00000000-0002-0000-0700-000000000000}">
      <formula1>2</formula1>
      <formula2>200</formula2>
    </dataValidation>
    <dataValidation type="whole" allowBlank="1" showInputMessage="1" showErrorMessage="1" errorTitle="Input data error" error="Whole number between 0 and 5000._x000a_" sqref="C11:C60" xr:uid="{00000000-0002-0000-0700-000001000000}">
      <formula1>0</formula1>
      <formula2>5000</formula2>
    </dataValidation>
    <dataValidation type="whole" showInputMessage="1" showErrorMessage="1" errorTitle="Input data error" error="Whole number between 0 and 5000._x000a_" sqref="D11:F60" xr:uid="{00000000-0002-0000-0700-000002000000}">
      <formula1>0</formula1>
      <formula2>5000</formula2>
    </dataValidation>
  </dataValidations>
  <pageMargins left="0.7" right="0.7" top="0.75" bottom="0.75" header="0.3" footer="0.3"/>
  <pageSetup scale="52" fitToHeight="0" orientation="portrait" r:id="rId1"/>
  <headerFooter>
    <oddFooter>&amp;L&amp;"Arial,Regular"&amp;7&amp;F&amp;C&amp;"Arial,Regular"&amp;7© DKG  All rights reserved&amp;R&amp;"Arial,Regular"&amp;7&amp;P</oddFooter>
  </headerFooter>
  <colBreaks count="1" manualBreakCount="1">
    <brk id="6" max="1048575" man="1"/>
  </colBreak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22</vt:i4>
      </vt:variant>
      <vt:variant>
        <vt:lpstr>Named Ranges</vt:lpstr>
      </vt:variant>
      <vt:variant>
        <vt:i4>18</vt:i4>
      </vt:variant>
    </vt:vector>
  </HeadingPairs>
  <TitlesOfParts>
    <vt:vector size="40" baseType="lpstr">
      <vt:lpstr>Basic Data</vt:lpstr>
      <vt:lpstr>Expertise_Lung</vt:lpstr>
      <vt:lpstr>HilfstabelleSD</vt:lpstr>
      <vt:lpstr>HilfstabelleB</vt:lpstr>
      <vt:lpstr>Datenquelle</vt:lpstr>
      <vt:lpstr>HilfstabelleL</vt:lpstr>
      <vt:lpstr>Expertise_TSUR_multi-site Lung</vt:lpstr>
      <vt:lpstr>OPS-Codes IN 12_Lung</vt:lpstr>
      <vt:lpstr>Studies_Lung</vt:lpstr>
      <vt:lpstr>HilfstabelleStudien_Lunge</vt:lpstr>
      <vt:lpstr>Indicator sheet_(IS)</vt:lpstr>
      <vt:lpstr>Berechnung1</vt:lpstr>
      <vt:lpstr>Sheet1</vt:lpstr>
      <vt:lpstr>HilfstabelleKB</vt:lpstr>
      <vt:lpstr>Datendefizite_KB</vt:lpstr>
      <vt:lpstr>Hilfstabelle DatendefKB</vt:lpstr>
      <vt:lpstr>Matrix</vt:lpstr>
      <vt:lpstr>HilfstabelleM</vt:lpstr>
      <vt:lpstr>Berechnung2</vt:lpstr>
      <vt:lpstr>Berechnung3</vt:lpstr>
      <vt:lpstr>Datendefizite_Matrix</vt:lpstr>
      <vt:lpstr>HilfstabelleDM</vt:lpstr>
      <vt:lpstr>Keine_Zusammenarbeit</vt:lpstr>
      <vt:lpstr>KrebsregisterZusammenarbeit</vt:lpstr>
      <vt:lpstr>myCategory</vt:lpstr>
      <vt:lpstr>OncoBox</vt:lpstr>
      <vt:lpstr>'Basic Data'!Print_Area</vt:lpstr>
      <vt:lpstr>Expertise_Lung!Print_Area</vt:lpstr>
      <vt:lpstr>'Expertise_TSUR_multi-site Lung'!Print_Area</vt:lpstr>
      <vt:lpstr>'Indicator sheet_(IS)'!Print_Area</vt:lpstr>
      <vt:lpstr>'OPS-Codes IN 12_Lung'!Print_Area</vt:lpstr>
      <vt:lpstr>Studies_Lung!Print_Area</vt:lpstr>
      <vt:lpstr>Datendefizite_KB!Print_Titles</vt:lpstr>
      <vt:lpstr>Datendefizite_Matrix!Print_Titles</vt:lpstr>
      <vt:lpstr>Expertise_Lung!Print_Titles</vt:lpstr>
      <vt:lpstr>'Expertise_TSUR_multi-site Lung'!Print_Titles</vt:lpstr>
      <vt:lpstr>'Indicator sheet_(IS)'!Print_Titles</vt:lpstr>
      <vt:lpstr>'OPS-Codes IN 12_Lung'!Print_Titles</vt:lpstr>
      <vt:lpstr>Tumordokumentation</vt:lpstr>
      <vt:lpstr>Zentrum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Roxana Rentea</cp:lastModifiedBy>
  <cp:lastPrinted>2025-12-11T11:43:24Z</cp:lastPrinted>
  <dcterms:created xsi:type="dcterms:W3CDTF">2012-04-12T09:13:43Z</dcterms:created>
  <dcterms:modified xsi:type="dcterms:W3CDTF">2025-12-11T11:43:53Z</dcterms:modified>
</cp:coreProperties>
</file>