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viszeral\pankreas\"/>
    </mc:Choice>
  </mc:AlternateContent>
  <xr:revisionPtr revIDLastSave="0" documentId="13_ncr:1_{F5A9A7BD-E8AB-43DA-BFEE-48F677D8055E}" xr6:coauthVersionLast="47" xr6:coauthVersionMax="47" xr10:uidLastSave="{00000000-0000-0000-0000-000000000000}"/>
  <workbookProtection workbookAlgorithmName="SHA-512" workbookHashValue="q1dQGN35/hoWw8Se3zujrCPbQNyfd7r6/m2PXbFa2qi5UN8qLPkILS5wzuhKxtYP9Knsx/zZlrTACnkBgMxa/w==" workbookSaltValue="Xf7g9+e2qBb8E7/skq+BtQ==" workbookSpinCount="100000" lockStructure="1"/>
  <bookViews>
    <workbookView xWindow="-120" yWindow="-120" windowWidth="29040" windowHeight="15840" tabRatio="770" xr2:uid="{00000000-000D-0000-FFFF-FFFF00000000}"/>
  </bookViews>
  <sheets>
    <sheet name="Basic data" sheetId="1" r:id="rId1"/>
    <sheet name="Datenquelle" sheetId="16" state="hidden" r:id="rId2"/>
    <sheet name="HilfstabelleSD" sheetId="8" state="hidden" r:id="rId3"/>
    <sheet name="HilfstabelleB" sheetId="25" state="hidden" r:id="rId4"/>
    <sheet name="Studies" sheetId="29" r:id="rId5"/>
    <sheet name="HilfstabelleStudien" sheetId="30" state="hidden" r:id="rId6"/>
    <sheet name="Examiner" sheetId="31" r:id="rId7"/>
    <sheet name="Surgeons" sheetId="32" r:id="rId8"/>
    <sheet name="Indicator sheet" sheetId="18" r:id="rId9"/>
    <sheet name="Berechnung1" sheetId="11" state="hidden" r:id="rId10"/>
    <sheet name="HilfstabelleKB" sheetId="24" state="hidden" r:id="rId11"/>
    <sheet name="Hilfstabelle Datendef KB" sheetId="28" state="hidden" r:id="rId12"/>
    <sheet name="Datendefizite_KB" sheetId="3" state="hidden" r:id="rId13"/>
    <sheet name="Matrix" sheetId="22" state="hidden" r:id="rId14"/>
    <sheet name="HilfstabelleM" sheetId="9" state="hidden" r:id="rId15"/>
    <sheet name="Berechnung2" sheetId="12" state="hidden" r:id="rId16"/>
    <sheet name="Berechnung3" sheetId="26" state="hidden" r:id="rId17"/>
    <sheet name="Datendefizite_Matrix" sheetId="5" state="hidden" r:id="rId18"/>
    <sheet name="HilfstabelleDM" sheetId="27" state="hidden" r:id="rId19"/>
  </sheets>
  <definedNames>
    <definedName name="_xlnm._FilterDatabase" localSheetId="15" hidden="1">Berechnung2!#REF!</definedName>
    <definedName name="_xlnm._FilterDatabase" localSheetId="1" hidden="1">Datenquelle!$A$111:$J$286</definedName>
    <definedName name="AngabeKKR">Datenquelle!$B$101:$B$105</definedName>
    <definedName name="KlinischesKrebsregister">Datenquelle!$B$72:$B$92</definedName>
    <definedName name="KrebsregisterZusammenarbeit" localSheetId="5">#REF!</definedName>
    <definedName name="myCategory">Datenquelle!$A$72:$S$72</definedName>
    <definedName name="myItem" localSheetId="5">OFFSET([0]!myItemList,0,0,COUNTA([0]!myItemList),1)</definedName>
    <definedName name="myItem">OFFSET(myItemList,0,0,COUNTA(myItemList),1)</definedName>
    <definedName name="myItemList">INDEX(Datenquelle!$A$73:$S$93,0,MATCH(Datenquelle!$F$109,Datenquelle!$A$72:$S$72,0))</definedName>
    <definedName name="OncoBox" localSheetId="5">#REF!</definedName>
    <definedName name="_xlnm.Print_Area" localSheetId="0">'Basic data'!$A$1:$J$61</definedName>
    <definedName name="_xlnm.Print_Area" localSheetId="12">OFFSET(Datendefizite_KB!$A$1,0,0,SUMPRODUCT((Datendefizite_KB!$A$14:$A$31&lt;&gt;"")+0)+13,11)</definedName>
    <definedName name="_xlnm.Print_Area" localSheetId="6">Examiner!$A$1:$H$24</definedName>
    <definedName name="_xlnm.Print_Area" localSheetId="8">'Indicator sheet'!$A$1:$S$100</definedName>
    <definedName name="_xlnm.Print_Area" localSheetId="13">Matrix!$A$1:$AA$45</definedName>
    <definedName name="_xlnm.Print_Area" localSheetId="4">Studies!$A$1:$E$60</definedName>
    <definedName name="_xlnm.Print_Area" localSheetId="7">Surgeons!$A$1:$G$23</definedName>
    <definedName name="_xlnm.Print_Titles" localSheetId="12">Datendefizite_KB!$12:$13</definedName>
    <definedName name="_xlnm.Print_Titles" localSheetId="17">Datendefizite_Matrix!$15:$16</definedName>
    <definedName name="_xlnm.Print_Titles" localSheetId="8">'Indicator sheet'!$7:$8</definedName>
    <definedName name="RedZyk">Datenquelle!$E$1:$E$2</definedName>
    <definedName name="Tumordokumentation" localSheetId="5">#REF!</definedName>
    <definedName name="Tumordokumentation">Datenquelle!$B$1:$B$53</definedName>
    <definedName name="Universitätsstatus">Datenquelle!$B$96:$B$97</definedName>
    <definedName name="Z_AD479C9E_06F7_4C03_8179_295428B49475_.wvu.PrintArea" localSheetId="0" hidden="1">'Basic data'!$A$1:$H$43</definedName>
    <definedName name="Z_AD479C9E_06F7_4C03_8179_295428B49475_.wvu.PrintTitles" localSheetId="12" hidden="1">Datendefizite_KB!$12:$13</definedName>
    <definedName name="Z_AD479C9E_06F7_4C03_8179_295428B49475_.wvu.PrintTitles" localSheetId="17" hidden="1">Datendefizite_Matrix!$15:$16</definedName>
    <definedName name="Z_AD479C9E_06F7_4C03_8179_295428B49475_.wvu.PrintTitles" localSheetId="8" hidden="1">'Indicator sheet'!$7:$8</definedName>
    <definedName name="Z_DAA0C1F4_4D8F_4BD8_91F9_40281B589772_.wvu.PrintArea" localSheetId="0" hidden="1">'Basic data'!$A$1:$H$43</definedName>
    <definedName name="Z_DAA0C1F4_4D8F_4BD8_91F9_40281B589772_.wvu.PrintTitles" localSheetId="12" hidden="1">Datendefizite_KB!$12:$13</definedName>
    <definedName name="Z_DAA0C1F4_4D8F_4BD8_91F9_40281B589772_.wvu.PrintTitles" localSheetId="17" hidden="1">Datendefizite_Matrix!$15:$16</definedName>
    <definedName name="Z_DAA0C1F4_4D8F_4BD8_91F9_40281B589772_.wvu.PrintTitles" localSheetId="8" hidden="1">'Indicator sheet'!$7:$8</definedName>
    <definedName name="Z_DAA0C1F4_4D8F_4BD8_91F9_40281B589772_.wvu.Rows" localSheetId="9" hidden="1">Berechnung1!$102:$124</definedName>
    <definedName name="Zentrum" localSheetId="5">#REF!</definedName>
    <definedName name="ZentrumRegNr">Datenquelle!$A$112:$A$286</definedName>
  </definedNames>
  <calcPr calcId="191029"/>
  <customWorkbookViews>
    <customWorkbookView name="OnkoZert - Persönliche Ansicht" guid="{DAA0C1F4-4D8F-4BD8-91F9-40281B589772}" mergeInterval="0" personalView="1" maximized="1" windowWidth="1280" windowHeight="778" activeSheetId="1"/>
    <customWorkbookView name="New Name - Persönliche Ansicht" guid="{AD479C9E-06F7-4C03-8179-295428B49475}" mergeInterval="0" personalView="1" maximized="1" windowWidth="1280" windowHeight="798"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68" i="18" l="1"/>
  <c r="R76" i="18" l="1"/>
  <c r="C34" i="24" s="1"/>
  <c r="B34" i="24"/>
  <c r="B35" i="24"/>
  <c r="F34" i="24"/>
  <c r="G34" i="24"/>
  <c r="F35" i="24"/>
  <c r="G35" i="24"/>
  <c r="O99" i="11"/>
  <c r="H34" i="24" s="1"/>
  <c r="O102" i="11"/>
  <c r="H35" i="24" s="1"/>
  <c r="G15" i="24"/>
  <c r="F15" i="24"/>
  <c r="B15" i="24"/>
  <c r="O42" i="11"/>
  <c r="H15" i="24" s="1"/>
  <c r="R19" i="18"/>
  <c r="C15" i="24" s="1"/>
  <c r="R77" i="18" l="1"/>
  <c r="S75" i="18" s="1"/>
  <c r="R20" i="18"/>
  <c r="D15" i="24" s="1"/>
  <c r="D34" i="24" l="1"/>
  <c r="L99" i="11"/>
  <c r="S18" i="18"/>
  <c r="M42" i="11" s="1"/>
  <c r="N42" i="11" s="1"/>
  <c r="E15" i="24" s="1"/>
  <c r="L42" i="11"/>
  <c r="B1" i="8" l="1"/>
  <c r="F6" i="8"/>
  <c r="E6" i="8"/>
  <c r="B2" i="18"/>
  <c r="F24" i="31" l="1"/>
  <c r="G24" i="31"/>
  <c r="E24" i="31"/>
  <c r="A2" i="32"/>
  <c r="A2" i="31"/>
  <c r="A2" i="29"/>
  <c r="F23" i="32"/>
  <c r="J60" i="29"/>
  <c r="I60" i="29"/>
  <c r="J59" i="29"/>
  <c r="I59" i="29"/>
  <c r="K59" i="29" s="1"/>
  <c r="B50" i="30" s="1"/>
  <c r="J58" i="29"/>
  <c r="I58" i="29"/>
  <c r="J57" i="29"/>
  <c r="I57" i="29"/>
  <c r="J56" i="29"/>
  <c r="I56" i="29"/>
  <c r="J55" i="29"/>
  <c r="I55" i="29"/>
  <c r="J54" i="29"/>
  <c r="I54" i="29"/>
  <c r="J53" i="29"/>
  <c r="I53" i="29"/>
  <c r="J52" i="29"/>
  <c r="I52" i="29"/>
  <c r="J51" i="29"/>
  <c r="I51" i="29"/>
  <c r="K51" i="29" s="1"/>
  <c r="B42" i="30" s="1"/>
  <c r="J50" i="29"/>
  <c r="I50" i="29"/>
  <c r="K50" i="29" s="1"/>
  <c r="C41" i="30" s="1"/>
  <c r="J49" i="29"/>
  <c r="I49" i="29"/>
  <c r="K49" i="29" s="1"/>
  <c r="D40" i="30" s="1"/>
  <c r="J48" i="29"/>
  <c r="I48" i="29"/>
  <c r="J47" i="29"/>
  <c r="I47" i="29"/>
  <c r="K47" i="29" s="1"/>
  <c r="B38" i="30" s="1"/>
  <c r="J46" i="29"/>
  <c r="I46" i="29"/>
  <c r="K46" i="29" s="1"/>
  <c r="C37" i="30" s="1"/>
  <c r="J45" i="29"/>
  <c r="I45" i="29"/>
  <c r="K45" i="29" s="1"/>
  <c r="D36" i="30" s="1"/>
  <c r="J44" i="29"/>
  <c r="I44" i="29"/>
  <c r="J43" i="29"/>
  <c r="I43" i="29"/>
  <c r="K43" i="29" s="1"/>
  <c r="B34" i="30" s="1"/>
  <c r="J42" i="29"/>
  <c r="I42" i="29"/>
  <c r="K42" i="29" s="1"/>
  <c r="C33" i="30" s="1"/>
  <c r="J41" i="29"/>
  <c r="I41" i="29"/>
  <c r="J40" i="29"/>
  <c r="I40" i="29"/>
  <c r="J39" i="29"/>
  <c r="I39" i="29"/>
  <c r="J38" i="29"/>
  <c r="I38" i="29"/>
  <c r="J37" i="29"/>
  <c r="K37" i="29" s="1"/>
  <c r="D28" i="30" s="1"/>
  <c r="I37" i="29"/>
  <c r="J36" i="29"/>
  <c r="I36" i="29"/>
  <c r="J35" i="29"/>
  <c r="I35" i="29"/>
  <c r="J34" i="29"/>
  <c r="I34" i="29"/>
  <c r="K34" i="29" s="1"/>
  <c r="J33" i="29"/>
  <c r="I33" i="29"/>
  <c r="J32" i="29"/>
  <c r="I32" i="29"/>
  <c r="J31" i="29"/>
  <c r="I31" i="29"/>
  <c r="J30" i="29"/>
  <c r="I30" i="29"/>
  <c r="K30" i="29" s="1"/>
  <c r="J29" i="29"/>
  <c r="I29" i="29"/>
  <c r="J28" i="29"/>
  <c r="I28" i="29"/>
  <c r="J27" i="29"/>
  <c r="I27" i="29"/>
  <c r="J26" i="29"/>
  <c r="I26" i="29"/>
  <c r="K26" i="29" s="1"/>
  <c r="J25" i="29"/>
  <c r="K25" i="29" s="1"/>
  <c r="D16" i="30" s="1"/>
  <c r="I25" i="29"/>
  <c r="J24" i="29"/>
  <c r="I24" i="29"/>
  <c r="J23" i="29"/>
  <c r="I23" i="29"/>
  <c r="J22" i="29"/>
  <c r="I22" i="29"/>
  <c r="K21" i="29"/>
  <c r="D12" i="30" s="1"/>
  <c r="J21" i="29"/>
  <c r="I21" i="29"/>
  <c r="J20" i="29"/>
  <c r="I20" i="29"/>
  <c r="J19" i="29"/>
  <c r="I19" i="29"/>
  <c r="K19" i="29" s="1"/>
  <c r="J18" i="29"/>
  <c r="I18" i="29"/>
  <c r="J17" i="29"/>
  <c r="I17" i="29"/>
  <c r="K17" i="29" s="1"/>
  <c r="D8" i="30" s="1"/>
  <c r="J16" i="29"/>
  <c r="K16" i="29" s="1"/>
  <c r="I16" i="29"/>
  <c r="J15" i="29"/>
  <c r="I15" i="29"/>
  <c r="K15" i="29" s="1"/>
  <c r="J14" i="29"/>
  <c r="I14" i="29"/>
  <c r="J13" i="29"/>
  <c r="I13" i="29"/>
  <c r="J12" i="29"/>
  <c r="I12" i="29"/>
  <c r="J11" i="29"/>
  <c r="I11" i="29"/>
  <c r="K13" i="29" l="1"/>
  <c r="D4" i="30" s="1"/>
  <c r="K12" i="29"/>
  <c r="A3" i="30" s="1"/>
  <c r="D42" i="30"/>
  <c r="C36" i="30"/>
  <c r="C42" i="30"/>
  <c r="B36" i="30"/>
  <c r="K32" i="29"/>
  <c r="A23" i="30" s="1"/>
  <c r="K53" i="29"/>
  <c r="D44" i="30" s="1"/>
  <c r="K57" i="29"/>
  <c r="D48" i="30" s="1"/>
  <c r="A42" i="30"/>
  <c r="B40" i="30"/>
  <c r="E38" i="30"/>
  <c r="B37" i="30"/>
  <c r="A36" i="30"/>
  <c r="A34" i="30"/>
  <c r="E40" i="30"/>
  <c r="C38" i="30"/>
  <c r="D34" i="30"/>
  <c r="K41" i="29"/>
  <c r="D32" i="30" s="1"/>
  <c r="C40" i="30"/>
  <c r="A38" i="30"/>
  <c r="C34" i="30"/>
  <c r="K27" i="29"/>
  <c r="B18" i="30" s="1"/>
  <c r="K29" i="29"/>
  <c r="D20" i="30" s="1"/>
  <c r="K31" i="29"/>
  <c r="C22" i="30" s="1"/>
  <c r="K33" i="29"/>
  <c r="D24" i="30" s="1"/>
  <c r="K35" i="29"/>
  <c r="E26" i="30" s="1"/>
  <c r="K48" i="29"/>
  <c r="E39" i="30" s="1"/>
  <c r="E42" i="30"/>
  <c r="B41" i="30"/>
  <c r="A40" i="30"/>
  <c r="D38" i="30"/>
  <c r="E36" i="30"/>
  <c r="E34" i="30"/>
  <c r="B33" i="30"/>
  <c r="E50" i="30"/>
  <c r="A50" i="30"/>
  <c r="D50" i="30"/>
  <c r="E41" i="30"/>
  <c r="A41" i="30"/>
  <c r="E37" i="30"/>
  <c r="A37" i="30"/>
  <c r="E33" i="30"/>
  <c r="A33" i="30"/>
  <c r="C50" i="30"/>
  <c r="D41" i="30"/>
  <c r="D37" i="30"/>
  <c r="D33" i="30"/>
  <c r="K14" i="29"/>
  <c r="C5" i="30" s="1"/>
  <c r="K18" i="29"/>
  <c r="A9" i="30" s="1"/>
  <c r="K22" i="29"/>
  <c r="E13" i="30" s="1"/>
  <c r="K39" i="29"/>
  <c r="B30" i="30" s="1"/>
  <c r="K54" i="29"/>
  <c r="K58" i="29"/>
  <c r="K23" i="29"/>
  <c r="B14" i="30" s="1"/>
  <c r="K38" i="29"/>
  <c r="B29" i="30" s="1"/>
  <c r="K55" i="29"/>
  <c r="K20" i="29"/>
  <c r="B11" i="30" s="1"/>
  <c r="K36" i="29"/>
  <c r="A27" i="30" s="1"/>
  <c r="K52" i="29"/>
  <c r="K24" i="29"/>
  <c r="E15" i="30" s="1"/>
  <c r="K40" i="29"/>
  <c r="E31" i="30" s="1"/>
  <c r="K56" i="29"/>
  <c r="K28" i="29"/>
  <c r="E19" i="30" s="1"/>
  <c r="K44" i="29"/>
  <c r="K60" i="29"/>
  <c r="K11" i="29"/>
  <c r="E2" i="30" s="1"/>
  <c r="A18" i="30"/>
  <c r="B6" i="30"/>
  <c r="C6" i="30"/>
  <c r="E6" i="30"/>
  <c r="A6" i="30"/>
  <c r="D6" i="30"/>
  <c r="E3" i="30"/>
  <c r="D3" i="30"/>
  <c r="C3" i="30"/>
  <c r="B3" i="30"/>
  <c r="E7" i="30"/>
  <c r="A7" i="30"/>
  <c r="D7" i="30"/>
  <c r="B7" i="30"/>
  <c r="C7" i="30"/>
  <c r="E23" i="30"/>
  <c r="C23" i="30"/>
  <c r="C25" i="30"/>
  <c r="D25" i="30"/>
  <c r="B25" i="30"/>
  <c r="E25" i="30"/>
  <c r="A25" i="30"/>
  <c r="B10" i="30"/>
  <c r="E10" i="30"/>
  <c r="A10" i="30"/>
  <c r="C10" i="30"/>
  <c r="D10" i="30"/>
  <c r="C17" i="30"/>
  <c r="D17" i="30"/>
  <c r="B17" i="30"/>
  <c r="E17" i="30"/>
  <c r="A17" i="30"/>
  <c r="D26" i="30"/>
  <c r="C26" i="30"/>
  <c r="C21" i="30"/>
  <c r="B21" i="30"/>
  <c r="D21" i="30"/>
  <c r="E21" i="30"/>
  <c r="A21" i="30"/>
  <c r="A8" i="30"/>
  <c r="A12" i="30"/>
  <c r="E16" i="30"/>
  <c r="E24" i="30"/>
  <c r="A28" i="30"/>
  <c r="E28" i="30"/>
  <c r="B4" i="30"/>
  <c r="B8" i="30"/>
  <c r="B12" i="30"/>
  <c r="B16" i="30"/>
  <c r="B24" i="30"/>
  <c r="B28" i="30"/>
  <c r="A4" i="30"/>
  <c r="A16" i="30"/>
  <c r="C4" i="30"/>
  <c r="C8" i="30"/>
  <c r="C12" i="30"/>
  <c r="C16" i="30"/>
  <c r="C24" i="30"/>
  <c r="C28" i="30"/>
  <c r="E4" i="30"/>
  <c r="E8" i="30"/>
  <c r="E12" i="30"/>
  <c r="A24" i="30"/>
  <c r="C20" i="30" l="1"/>
  <c r="D22" i="30"/>
  <c r="A13" i="30"/>
  <c r="B22" i="30"/>
  <c r="A48" i="30"/>
  <c r="E9" i="30"/>
  <c r="E48" i="30"/>
  <c r="A22" i="30"/>
  <c r="E22" i="30"/>
  <c r="B9" i="30"/>
  <c r="B48" i="30"/>
  <c r="B26" i="30"/>
  <c r="B23" i="30"/>
  <c r="E29" i="30"/>
  <c r="C18" i="30"/>
  <c r="A32" i="30"/>
  <c r="E44" i="30"/>
  <c r="B32" i="30"/>
  <c r="E5" i="30"/>
  <c r="A5" i="30"/>
  <c r="B5" i="30"/>
  <c r="A20" i="30"/>
  <c r="A30" i="30"/>
  <c r="D19" i="30"/>
  <c r="A26" i="30"/>
  <c r="D23" i="30"/>
  <c r="C29" i="30"/>
  <c r="E18" i="30"/>
  <c r="E32" i="30"/>
  <c r="C32" i="30"/>
  <c r="C48" i="30"/>
  <c r="A39" i="30"/>
  <c r="C39" i="30"/>
  <c r="D39" i="30"/>
  <c r="B20" i="30"/>
  <c r="E20" i="30"/>
  <c r="D30" i="30"/>
  <c r="C19" i="30"/>
  <c r="D29" i="30"/>
  <c r="B39" i="30"/>
  <c r="E30" i="30"/>
  <c r="D14" i="30"/>
  <c r="A29" i="30"/>
  <c r="D27" i="30"/>
  <c r="D18" i="30"/>
  <c r="A44" i="30"/>
  <c r="B44" i="30"/>
  <c r="C44" i="30"/>
  <c r="A47" i="30"/>
  <c r="E47" i="30"/>
  <c r="B47" i="30"/>
  <c r="C47" i="30"/>
  <c r="D47" i="30"/>
  <c r="B27" i="30"/>
  <c r="A14" i="30"/>
  <c r="D13" i="30"/>
  <c r="A51" i="30"/>
  <c r="E51" i="30"/>
  <c r="B51" i="30"/>
  <c r="C51" i="30"/>
  <c r="D51" i="30"/>
  <c r="C49" i="30"/>
  <c r="D49" i="30"/>
  <c r="A49" i="30"/>
  <c r="E49" i="30"/>
  <c r="B49" i="30"/>
  <c r="E14" i="30"/>
  <c r="E27" i="30"/>
  <c r="B13" i="30"/>
  <c r="D9" i="30"/>
  <c r="C9" i="30"/>
  <c r="A35" i="30"/>
  <c r="E35" i="30"/>
  <c r="B35" i="30"/>
  <c r="C35" i="30"/>
  <c r="D35" i="30"/>
  <c r="B46" i="30"/>
  <c r="C46" i="30"/>
  <c r="D46" i="30"/>
  <c r="A46" i="30"/>
  <c r="E46" i="30"/>
  <c r="C45" i="30"/>
  <c r="D45" i="30"/>
  <c r="A45" i="30"/>
  <c r="E45" i="30"/>
  <c r="B45" i="30"/>
  <c r="C14" i="30"/>
  <c r="C27" i="30"/>
  <c r="C13" i="30"/>
  <c r="D5" i="30"/>
  <c r="A43" i="30"/>
  <c r="E43" i="30"/>
  <c r="B43" i="30"/>
  <c r="C43" i="30"/>
  <c r="D43" i="30"/>
  <c r="B2" i="30"/>
  <c r="C15" i="30"/>
  <c r="C30" i="30"/>
  <c r="D31" i="30"/>
  <c r="A11" i="30"/>
  <c r="B31" i="30"/>
  <c r="C11" i="30"/>
  <c r="E11" i="30"/>
  <c r="E5" i="29"/>
  <c r="R30" i="18" s="1"/>
  <c r="A31" i="30"/>
  <c r="D11" i="30"/>
  <c r="C31" i="30"/>
  <c r="C2" i="30"/>
  <c r="A19" i="30"/>
  <c r="B15" i="30"/>
  <c r="D15" i="30"/>
  <c r="B19" i="30"/>
  <c r="A15" i="30"/>
  <c r="D2" i="30"/>
  <c r="A2" i="30"/>
  <c r="D5" i="18"/>
  <c r="G5" i="18" l="1"/>
  <c r="B26" i="24" l="1"/>
  <c r="F26" i="24"/>
  <c r="G26" i="24"/>
  <c r="O75" i="11" l="1"/>
  <c r="H26" i="24" s="1"/>
  <c r="C26" i="24"/>
  <c r="R53" i="18" l="1"/>
  <c r="L75" i="11" s="1"/>
  <c r="S51" i="18" l="1"/>
  <c r="M75" i="11" s="1"/>
  <c r="N75" i="11" s="1"/>
  <c r="E26" i="24" s="1"/>
  <c r="D26" i="24"/>
  <c r="R74" i="18"/>
  <c r="S72" i="18" s="1"/>
  <c r="M96" i="11" s="1"/>
  <c r="D33" i="24" l="1"/>
  <c r="G33" i="24" l="1"/>
  <c r="G32" i="24"/>
  <c r="F33" i="24"/>
  <c r="F32" i="24"/>
  <c r="C33" i="24"/>
  <c r="B33" i="24"/>
  <c r="B32" i="24"/>
  <c r="O96" i="11" l="1"/>
  <c r="H33" i="24" s="1"/>
  <c r="O93" i="11"/>
  <c r="H32" i="24" s="1"/>
  <c r="N96" i="11" l="1"/>
  <c r="E33" i="24" s="1"/>
  <c r="R70" i="18" l="1"/>
  <c r="R71" i="18" l="1"/>
  <c r="D32" i="24" s="1"/>
  <c r="C32" i="24"/>
  <c r="S69" i="18" l="1"/>
  <c r="M93" i="11" s="1"/>
  <c r="L96" i="11"/>
  <c r="B13" i="24"/>
  <c r="S12" i="18"/>
  <c r="G13" i="24"/>
  <c r="F13" i="24"/>
  <c r="L36" i="11"/>
  <c r="O36" i="11"/>
  <c r="H13" i="24" s="1"/>
  <c r="M36" i="11" l="1"/>
  <c r="N36" i="11" s="1"/>
  <c r="E13" i="24" l="1"/>
  <c r="J31" i="1"/>
  <c r="J37" i="1" s="1"/>
  <c r="R31" i="18" s="1"/>
  <c r="R32" i="18" s="1"/>
  <c r="B7" i="26" l="1"/>
  <c r="B6" i="26"/>
  <c r="B5" i="26"/>
  <c r="B4" i="26"/>
  <c r="B3" i="26"/>
  <c r="B2" i="26"/>
  <c r="Q22" i="22" l="1"/>
  <c r="A6" i="25" l="1"/>
  <c r="R97" i="18" l="1"/>
  <c r="R96" i="18"/>
  <c r="L95" i="18"/>
  <c r="M95" i="18"/>
  <c r="N95" i="18"/>
  <c r="O95" i="18"/>
  <c r="P95" i="18"/>
  <c r="Q95" i="18"/>
  <c r="M94" i="18"/>
  <c r="N94" i="18"/>
  <c r="O94" i="18"/>
  <c r="P94" i="18"/>
  <c r="Q94" i="18"/>
  <c r="L94" i="18"/>
  <c r="D99" i="18"/>
  <c r="D98" i="18"/>
  <c r="D97" i="18"/>
  <c r="D96" i="18"/>
  <c r="D94" i="18"/>
  <c r="D95" i="18"/>
  <c r="H8" i="25" l="1"/>
  <c r="H7" i="25"/>
  <c r="A10" i="25"/>
  <c r="A9" i="25"/>
  <c r="A8" i="25"/>
  <c r="A7" i="25"/>
  <c r="R9" i="18" l="1"/>
  <c r="R94" i="18"/>
  <c r="J32" i="1"/>
  <c r="R25" i="18" l="1"/>
  <c r="R28" i="18" s="1"/>
  <c r="R79" i="18"/>
  <c r="R80" i="18" s="1"/>
  <c r="J38" i="1"/>
  <c r="V61" i="18" s="1"/>
  <c r="R61" i="18"/>
  <c r="R95" i="18"/>
  <c r="V58" i="18"/>
  <c r="H9" i="25"/>
  <c r="R98" i="18"/>
  <c r="Q21" i="22"/>
  <c r="Q20" i="22"/>
  <c r="Q19" i="22"/>
  <c r="D35" i="24" l="1"/>
  <c r="L102" i="11"/>
  <c r="C35" i="24"/>
  <c r="S78" i="18"/>
  <c r="M102" i="11" s="1"/>
  <c r="N102" i="11" s="1"/>
  <c r="E35" i="24" s="1"/>
  <c r="H10" i="25"/>
  <c r="R99" i="18"/>
  <c r="R22" i="18"/>
  <c r="R55" i="18"/>
  <c r="R39" i="18"/>
  <c r="K22" i="22"/>
  <c r="O22" i="22" s="1"/>
  <c r="K21" i="22"/>
  <c r="O21" i="22" s="1"/>
  <c r="K20" i="22"/>
  <c r="O20" i="22" s="1"/>
  <c r="K19" i="22"/>
  <c r="O19" i="22" s="1"/>
  <c r="K23" i="22"/>
  <c r="I24" i="22"/>
  <c r="H24" i="22"/>
  <c r="G24" i="22"/>
  <c r="F24" i="22"/>
  <c r="E24" i="22"/>
  <c r="D24" i="22"/>
  <c r="B6" i="9" l="1"/>
  <c r="R35" i="18" l="1"/>
  <c r="S33" i="18" s="1"/>
  <c r="R37" i="18"/>
  <c r="C21" i="24" s="1"/>
  <c r="C18" i="24"/>
  <c r="R65" i="18"/>
  <c r="S63" i="18" s="1"/>
  <c r="A18" i="28" s="1"/>
  <c r="I18" i="28" s="1"/>
  <c r="C25" i="24"/>
  <c r="R46" i="18"/>
  <c r="C24" i="24" s="1"/>
  <c r="R42" i="18"/>
  <c r="S42" i="18" s="1"/>
  <c r="A11" i="28" s="1"/>
  <c r="H11" i="28" s="1"/>
  <c r="B2" i="8"/>
  <c r="M85" i="11"/>
  <c r="M86" i="11"/>
  <c r="M88" i="11"/>
  <c r="M89" i="11"/>
  <c r="I7" i="9"/>
  <c r="H7" i="9"/>
  <c r="G7" i="9"/>
  <c r="F7" i="9"/>
  <c r="E7" i="9"/>
  <c r="N7" i="9"/>
  <c r="F31" i="24"/>
  <c r="L93" i="18"/>
  <c r="M93" i="18"/>
  <c r="N93" i="18"/>
  <c r="O93" i="18"/>
  <c r="P93" i="18"/>
  <c r="Q93" i="18"/>
  <c r="R93" i="18"/>
  <c r="D93" i="18"/>
  <c r="R100" i="18"/>
  <c r="D100" i="18"/>
  <c r="B31" i="24"/>
  <c r="C31" i="24"/>
  <c r="G31" i="24"/>
  <c r="G30" i="24"/>
  <c r="G29" i="24"/>
  <c r="F30" i="24"/>
  <c r="F29" i="24"/>
  <c r="C30" i="24"/>
  <c r="B30" i="24"/>
  <c r="C29" i="24"/>
  <c r="B29" i="24"/>
  <c r="S66" i="18"/>
  <c r="M90" i="11" s="1"/>
  <c r="N90" i="11" s="1"/>
  <c r="R62" i="18"/>
  <c r="S60" i="18" s="1"/>
  <c r="A17" i="28" s="1"/>
  <c r="R59" i="18"/>
  <c r="O90" i="11"/>
  <c r="O87" i="11"/>
  <c r="O84" i="11"/>
  <c r="R1" i="9"/>
  <c r="Q1" i="9"/>
  <c r="P1" i="9"/>
  <c r="M1" i="9"/>
  <c r="O1" i="9"/>
  <c r="L1" i="9"/>
  <c r="K1" i="9"/>
  <c r="K2" i="9"/>
  <c r="J1" i="9"/>
  <c r="F1" i="9"/>
  <c r="G1" i="9"/>
  <c r="H1" i="9"/>
  <c r="I1" i="9"/>
  <c r="D1" i="9"/>
  <c r="E1" i="9"/>
  <c r="B7" i="9"/>
  <c r="D3" i="9"/>
  <c r="E3" i="9"/>
  <c r="F3" i="9"/>
  <c r="G3" i="9"/>
  <c r="H3" i="9"/>
  <c r="I3" i="9"/>
  <c r="K3" i="9"/>
  <c r="L3" i="9"/>
  <c r="M3" i="9"/>
  <c r="P3" i="9"/>
  <c r="Q3" i="9"/>
  <c r="R3" i="9"/>
  <c r="S3" i="9"/>
  <c r="T3" i="9"/>
  <c r="U3" i="9"/>
  <c r="V3" i="9"/>
  <c r="W3" i="9"/>
  <c r="D4" i="9"/>
  <c r="E4" i="9"/>
  <c r="F4" i="9"/>
  <c r="G4" i="9"/>
  <c r="H4" i="9"/>
  <c r="I4" i="9"/>
  <c r="K4" i="9"/>
  <c r="L4" i="9"/>
  <c r="M4" i="9"/>
  <c r="P4" i="9"/>
  <c r="Q4" i="9"/>
  <c r="R4" i="9"/>
  <c r="S4" i="9"/>
  <c r="T4" i="9"/>
  <c r="U4" i="9"/>
  <c r="V4" i="9"/>
  <c r="W4" i="9"/>
  <c r="D5" i="9"/>
  <c r="E5" i="9"/>
  <c r="F5" i="9"/>
  <c r="G5" i="9"/>
  <c r="H5" i="9"/>
  <c r="I5" i="9"/>
  <c r="K5" i="9"/>
  <c r="L5" i="9"/>
  <c r="M5" i="9"/>
  <c r="P5" i="9"/>
  <c r="Q5" i="9"/>
  <c r="R5" i="9"/>
  <c r="S5" i="9"/>
  <c r="T5" i="9"/>
  <c r="U5" i="9"/>
  <c r="V5" i="9"/>
  <c r="W5" i="9"/>
  <c r="D6" i="9"/>
  <c r="E6" i="9"/>
  <c r="F6" i="9"/>
  <c r="G6" i="9"/>
  <c r="H6" i="9"/>
  <c r="I6" i="9"/>
  <c r="K6" i="9"/>
  <c r="L6" i="9"/>
  <c r="M6" i="9"/>
  <c r="P6" i="9"/>
  <c r="Q6" i="9"/>
  <c r="R6" i="9"/>
  <c r="S6" i="9"/>
  <c r="T6" i="9"/>
  <c r="U6" i="9"/>
  <c r="V6" i="9"/>
  <c r="W6" i="9"/>
  <c r="J7" i="9"/>
  <c r="K7" i="9"/>
  <c r="L7" i="9"/>
  <c r="M7" i="9"/>
  <c r="O7" i="9"/>
  <c r="P7" i="9"/>
  <c r="Q7" i="9"/>
  <c r="R7" i="9"/>
  <c r="S7" i="9"/>
  <c r="T7" i="9"/>
  <c r="U7" i="9"/>
  <c r="V7" i="9"/>
  <c r="W7" i="9"/>
  <c r="W2" i="9"/>
  <c r="V2" i="9"/>
  <c r="U2" i="9"/>
  <c r="T2" i="9"/>
  <c r="S2" i="9"/>
  <c r="P2" i="9"/>
  <c r="Q2" i="9"/>
  <c r="R2" i="9"/>
  <c r="L2" i="9"/>
  <c r="M2" i="9"/>
  <c r="I2" i="9"/>
  <c r="H2" i="9"/>
  <c r="G2" i="9"/>
  <c r="F2" i="9"/>
  <c r="E2" i="9"/>
  <c r="D2" i="9"/>
  <c r="W1" i="9"/>
  <c r="V1" i="9"/>
  <c r="S1" i="9"/>
  <c r="T1" i="9"/>
  <c r="U1" i="9"/>
  <c r="N1" i="9"/>
  <c r="B1" i="9"/>
  <c r="A1" i="9"/>
  <c r="G19" i="24"/>
  <c r="F19" i="24"/>
  <c r="G12" i="24"/>
  <c r="G14" i="24"/>
  <c r="G16" i="24"/>
  <c r="G17" i="24"/>
  <c r="G18" i="24"/>
  <c r="G20" i="24"/>
  <c r="G21" i="24"/>
  <c r="G22" i="24"/>
  <c r="G23" i="24"/>
  <c r="G24" i="24"/>
  <c r="G25" i="24"/>
  <c r="G27" i="24"/>
  <c r="G28" i="24"/>
  <c r="F28" i="24"/>
  <c r="F27" i="24"/>
  <c r="F25" i="24"/>
  <c r="F24" i="24"/>
  <c r="F23" i="24"/>
  <c r="F22" i="24"/>
  <c r="F21" i="24"/>
  <c r="F20" i="24"/>
  <c r="F18" i="24"/>
  <c r="F17" i="24"/>
  <c r="F16" i="24"/>
  <c r="F14" i="24"/>
  <c r="F12" i="24"/>
  <c r="O63" i="11"/>
  <c r="J2" i="9"/>
  <c r="Q23" i="22"/>
  <c r="O6" i="9" s="1"/>
  <c r="O4" i="9"/>
  <c r="S8" i="22"/>
  <c r="J6" i="9"/>
  <c r="J4" i="9"/>
  <c r="C22" i="22"/>
  <c r="C5" i="9" s="1"/>
  <c r="C21" i="22"/>
  <c r="C4" i="9" s="1"/>
  <c r="C20" i="22"/>
  <c r="C19" i="22"/>
  <c r="C23" i="22"/>
  <c r="C6" i="9" s="1"/>
  <c r="B50" i="22"/>
  <c r="C50" i="22"/>
  <c r="D50" i="22"/>
  <c r="E50" i="22"/>
  <c r="G50" i="22"/>
  <c r="H50" i="22"/>
  <c r="I50" i="22"/>
  <c r="J50" i="22"/>
  <c r="K50" i="22"/>
  <c r="R50" i="22"/>
  <c r="S50" i="22"/>
  <c r="Y50" i="22"/>
  <c r="Z50" i="22"/>
  <c r="P50" i="22"/>
  <c r="B51" i="22"/>
  <c r="C51" i="22"/>
  <c r="D51" i="22"/>
  <c r="E51" i="22"/>
  <c r="F51" i="22"/>
  <c r="G51" i="22"/>
  <c r="H51" i="22"/>
  <c r="I51" i="22"/>
  <c r="J51" i="22"/>
  <c r="K51" i="22"/>
  <c r="R51" i="22"/>
  <c r="S51" i="22"/>
  <c r="Y51" i="22"/>
  <c r="Z51" i="22"/>
  <c r="P51" i="22"/>
  <c r="B52" i="22"/>
  <c r="C52" i="22"/>
  <c r="D52" i="22"/>
  <c r="E52" i="22"/>
  <c r="F52" i="22"/>
  <c r="G52" i="22"/>
  <c r="H52" i="22"/>
  <c r="I52" i="22"/>
  <c r="J52" i="22"/>
  <c r="K52" i="22"/>
  <c r="R52" i="22"/>
  <c r="S52" i="22"/>
  <c r="Y52" i="22"/>
  <c r="Z52" i="22"/>
  <c r="P52" i="22"/>
  <c r="B53" i="22"/>
  <c r="C53" i="22"/>
  <c r="D53" i="22"/>
  <c r="E53" i="22"/>
  <c r="F53" i="22"/>
  <c r="G53" i="22"/>
  <c r="I53" i="22"/>
  <c r="J53" i="22"/>
  <c r="K53" i="22"/>
  <c r="R53" i="22"/>
  <c r="S53" i="22"/>
  <c r="Y53" i="22"/>
  <c r="Z53" i="22"/>
  <c r="P53" i="22"/>
  <c r="B54" i="22"/>
  <c r="C54" i="22"/>
  <c r="D54" i="22"/>
  <c r="E54" i="22"/>
  <c r="F54" i="22"/>
  <c r="G54" i="22"/>
  <c r="I54" i="22"/>
  <c r="J54" i="22"/>
  <c r="K54" i="22"/>
  <c r="R54" i="22"/>
  <c r="S54" i="22"/>
  <c r="Y54" i="22"/>
  <c r="Z54" i="22"/>
  <c r="P54" i="22"/>
  <c r="B55" i="22"/>
  <c r="C55" i="22"/>
  <c r="D55" i="22"/>
  <c r="E55" i="22"/>
  <c r="F55" i="22"/>
  <c r="G55" i="22"/>
  <c r="H55" i="22"/>
  <c r="I55" i="22"/>
  <c r="J55" i="22"/>
  <c r="K55" i="22"/>
  <c r="R55" i="22"/>
  <c r="S55" i="22"/>
  <c r="Y55" i="22"/>
  <c r="Z55" i="22"/>
  <c r="P55" i="22"/>
  <c r="B56" i="22"/>
  <c r="C56" i="22"/>
  <c r="D56" i="22"/>
  <c r="E56" i="22"/>
  <c r="F56" i="22"/>
  <c r="G56" i="22"/>
  <c r="H56" i="22"/>
  <c r="I56" i="22"/>
  <c r="J56" i="22"/>
  <c r="K56" i="22"/>
  <c r="R56" i="22"/>
  <c r="S56" i="22"/>
  <c r="Y56" i="22"/>
  <c r="Z56" i="22"/>
  <c r="P56" i="22"/>
  <c r="B57" i="22"/>
  <c r="C57" i="22"/>
  <c r="D57" i="22"/>
  <c r="E57" i="22"/>
  <c r="F57" i="22"/>
  <c r="G57" i="22"/>
  <c r="H57" i="22"/>
  <c r="I57" i="22"/>
  <c r="J57" i="22"/>
  <c r="K57" i="22"/>
  <c r="R57" i="22"/>
  <c r="S57" i="22"/>
  <c r="Y57" i="22"/>
  <c r="Z57" i="22"/>
  <c r="P57" i="22"/>
  <c r="B58" i="22"/>
  <c r="C58" i="22"/>
  <c r="D58" i="22"/>
  <c r="E58" i="22"/>
  <c r="F58" i="22"/>
  <c r="G58" i="22"/>
  <c r="H58" i="22"/>
  <c r="I58" i="22"/>
  <c r="J58" i="22"/>
  <c r="K58" i="22"/>
  <c r="R58" i="22"/>
  <c r="S58" i="22"/>
  <c r="Y58" i="22"/>
  <c r="Z58" i="22"/>
  <c r="P58" i="22"/>
  <c r="B59" i="22"/>
  <c r="C59" i="22"/>
  <c r="D59" i="22"/>
  <c r="E59" i="22"/>
  <c r="F59" i="22"/>
  <c r="G59" i="22"/>
  <c r="H59" i="22"/>
  <c r="I59" i="22"/>
  <c r="J59" i="22"/>
  <c r="K59" i="22"/>
  <c r="R59" i="22"/>
  <c r="S59" i="22"/>
  <c r="Y59" i="22"/>
  <c r="Z59" i="22"/>
  <c r="P59" i="22"/>
  <c r="B60" i="22"/>
  <c r="C60" i="22"/>
  <c r="D60" i="22"/>
  <c r="E60" i="22"/>
  <c r="F60" i="22"/>
  <c r="G60" i="22"/>
  <c r="H60" i="22"/>
  <c r="I60" i="22"/>
  <c r="J60" i="22"/>
  <c r="K60" i="22"/>
  <c r="R60" i="22"/>
  <c r="S60" i="22"/>
  <c r="Y60" i="22"/>
  <c r="Z60" i="22"/>
  <c r="P60" i="22"/>
  <c r="B61" i="22"/>
  <c r="C61" i="22"/>
  <c r="D61" i="22"/>
  <c r="E61" i="22"/>
  <c r="F61" i="22"/>
  <c r="G61" i="22"/>
  <c r="H61" i="22"/>
  <c r="I61" i="22"/>
  <c r="J61" i="22"/>
  <c r="K61" i="22"/>
  <c r="R61" i="22"/>
  <c r="S61" i="22"/>
  <c r="Y61" i="22"/>
  <c r="Z61" i="22"/>
  <c r="P61" i="22"/>
  <c r="B62" i="22"/>
  <c r="C62" i="22"/>
  <c r="D62" i="22"/>
  <c r="E62" i="22"/>
  <c r="F62" i="22"/>
  <c r="G62" i="22"/>
  <c r="H62" i="22"/>
  <c r="I62" i="22"/>
  <c r="J62" i="22"/>
  <c r="K62" i="22"/>
  <c r="R62" i="22"/>
  <c r="S62" i="22"/>
  <c r="Y62" i="22"/>
  <c r="Z62" i="22"/>
  <c r="P62" i="22"/>
  <c r="B63" i="22"/>
  <c r="C63" i="22"/>
  <c r="D63" i="22"/>
  <c r="E63" i="22"/>
  <c r="F63" i="22"/>
  <c r="G63" i="22"/>
  <c r="H63" i="22"/>
  <c r="I63" i="22"/>
  <c r="J63" i="22"/>
  <c r="K63" i="22"/>
  <c r="R63" i="22"/>
  <c r="S63" i="22"/>
  <c r="Y63" i="22"/>
  <c r="Z63" i="22"/>
  <c r="P63" i="22"/>
  <c r="B64" i="22"/>
  <c r="C64" i="22"/>
  <c r="D64" i="22"/>
  <c r="E64" i="22"/>
  <c r="F64" i="22"/>
  <c r="G64" i="22"/>
  <c r="H64" i="22"/>
  <c r="I64" i="22"/>
  <c r="J64" i="22"/>
  <c r="K64" i="22"/>
  <c r="R64" i="22"/>
  <c r="S64" i="22"/>
  <c r="Y64" i="22"/>
  <c r="Z64" i="22"/>
  <c r="P64" i="22"/>
  <c r="B65" i="22"/>
  <c r="C65" i="22"/>
  <c r="D65" i="22"/>
  <c r="E65" i="22"/>
  <c r="F65" i="22"/>
  <c r="G65" i="22"/>
  <c r="H65" i="22"/>
  <c r="I65" i="22"/>
  <c r="J65" i="22"/>
  <c r="K65" i="22"/>
  <c r="R65" i="22"/>
  <c r="S65" i="22"/>
  <c r="Y65" i="22"/>
  <c r="Z65" i="22"/>
  <c r="P65" i="22"/>
  <c r="B66" i="22"/>
  <c r="C66" i="22"/>
  <c r="D66" i="22"/>
  <c r="E66" i="22"/>
  <c r="F66" i="22"/>
  <c r="G66" i="22"/>
  <c r="H66" i="22"/>
  <c r="I66" i="22"/>
  <c r="J66" i="22"/>
  <c r="K66" i="22"/>
  <c r="R66" i="22"/>
  <c r="S66" i="22"/>
  <c r="Y66" i="22"/>
  <c r="Z66" i="22"/>
  <c r="P66" i="22"/>
  <c r="B67" i="22"/>
  <c r="C67" i="22"/>
  <c r="D67" i="22"/>
  <c r="E67" i="22"/>
  <c r="F67" i="22"/>
  <c r="G67" i="22"/>
  <c r="H67" i="22"/>
  <c r="I67" i="22"/>
  <c r="J67" i="22"/>
  <c r="K67" i="22"/>
  <c r="R67" i="22"/>
  <c r="S67" i="22"/>
  <c r="Y67" i="22"/>
  <c r="Z67" i="22"/>
  <c r="P67" i="22"/>
  <c r="B68" i="22"/>
  <c r="C68" i="22"/>
  <c r="D68" i="22"/>
  <c r="E68" i="22"/>
  <c r="F68" i="22"/>
  <c r="G68" i="22"/>
  <c r="H68" i="22"/>
  <c r="I68" i="22"/>
  <c r="J68" i="22"/>
  <c r="K68" i="22"/>
  <c r="R68" i="22"/>
  <c r="S68" i="22"/>
  <c r="Y68" i="22"/>
  <c r="Z68" i="22"/>
  <c r="P68" i="22"/>
  <c r="B69" i="22"/>
  <c r="C69" i="22"/>
  <c r="D69" i="22"/>
  <c r="E69" i="22"/>
  <c r="F69" i="22"/>
  <c r="G69" i="22"/>
  <c r="H69" i="22"/>
  <c r="I69" i="22"/>
  <c r="J69" i="22"/>
  <c r="K69" i="22"/>
  <c r="R69" i="22"/>
  <c r="S69" i="22"/>
  <c r="Y69" i="22"/>
  <c r="Z69" i="22"/>
  <c r="P69" i="22"/>
  <c r="B70" i="22"/>
  <c r="C70" i="22"/>
  <c r="D70" i="22"/>
  <c r="E70" i="22"/>
  <c r="F70" i="22"/>
  <c r="G70" i="22"/>
  <c r="H70" i="22"/>
  <c r="I70" i="22"/>
  <c r="J70" i="22"/>
  <c r="K70" i="22"/>
  <c r="R70" i="22"/>
  <c r="S70" i="22"/>
  <c r="Y70" i="22"/>
  <c r="Z70" i="22"/>
  <c r="P70" i="22"/>
  <c r="B71" i="22"/>
  <c r="C71" i="22"/>
  <c r="D71" i="22"/>
  <c r="E71" i="22"/>
  <c r="F71" i="22"/>
  <c r="G71" i="22"/>
  <c r="H71" i="22"/>
  <c r="I71" i="22"/>
  <c r="J71" i="22"/>
  <c r="K71" i="22"/>
  <c r="R71" i="22"/>
  <c r="S71" i="22"/>
  <c r="Y71" i="22"/>
  <c r="Z71" i="22"/>
  <c r="P71" i="22"/>
  <c r="B72" i="22"/>
  <c r="C72" i="22"/>
  <c r="D72" i="22"/>
  <c r="E72" i="22"/>
  <c r="F72" i="22"/>
  <c r="G72" i="22"/>
  <c r="H72" i="22"/>
  <c r="I72" i="22"/>
  <c r="J72" i="22"/>
  <c r="K72" i="22"/>
  <c r="R72" i="22"/>
  <c r="S72" i="22"/>
  <c r="Y72" i="22"/>
  <c r="Z72" i="22"/>
  <c r="P72" i="22"/>
  <c r="B73" i="22"/>
  <c r="C73" i="22"/>
  <c r="D73" i="22"/>
  <c r="E73" i="22"/>
  <c r="F73" i="22"/>
  <c r="G73" i="22"/>
  <c r="H73" i="22"/>
  <c r="I73" i="22"/>
  <c r="J73" i="22"/>
  <c r="K73" i="22"/>
  <c r="R73" i="22"/>
  <c r="S73" i="22"/>
  <c r="Y73" i="22"/>
  <c r="Z73" i="22"/>
  <c r="P73" i="22"/>
  <c r="B74" i="22"/>
  <c r="C74" i="22"/>
  <c r="D74" i="22"/>
  <c r="E74" i="22"/>
  <c r="F74" i="22"/>
  <c r="G74" i="22"/>
  <c r="H74" i="22"/>
  <c r="I74" i="22"/>
  <c r="J74" i="22"/>
  <c r="K74" i="22"/>
  <c r="R74" i="22"/>
  <c r="S74" i="22"/>
  <c r="Y74" i="22"/>
  <c r="Z74" i="22"/>
  <c r="P74" i="22"/>
  <c r="B75" i="22"/>
  <c r="C75" i="22"/>
  <c r="D75" i="22"/>
  <c r="E75" i="22"/>
  <c r="F75" i="22"/>
  <c r="G75" i="22"/>
  <c r="H75" i="22"/>
  <c r="I75" i="22"/>
  <c r="J75" i="22"/>
  <c r="K75" i="22"/>
  <c r="R75" i="22"/>
  <c r="S75" i="22"/>
  <c r="Y75" i="22"/>
  <c r="Z75" i="22"/>
  <c r="P75" i="22"/>
  <c r="B76" i="22"/>
  <c r="C76" i="22"/>
  <c r="D76" i="22"/>
  <c r="E76" i="22"/>
  <c r="F76" i="22"/>
  <c r="G76" i="22"/>
  <c r="H76" i="22"/>
  <c r="I76" i="22"/>
  <c r="J76" i="22"/>
  <c r="K76" i="22"/>
  <c r="R76" i="22"/>
  <c r="S76" i="22"/>
  <c r="Y76" i="22"/>
  <c r="Z76" i="22"/>
  <c r="P76" i="22"/>
  <c r="A76" i="22"/>
  <c r="A66" i="22"/>
  <c r="A67" i="22"/>
  <c r="A68" i="22"/>
  <c r="A69" i="22"/>
  <c r="A70" i="22"/>
  <c r="A71" i="22"/>
  <c r="A72" i="22"/>
  <c r="A73" i="22"/>
  <c r="A74" i="22"/>
  <c r="A75" i="22"/>
  <c r="A51" i="22"/>
  <c r="A52" i="22"/>
  <c r="A53" i="22"/>
  <c r="A54" i="22"/>
  <c r="A55" i="22"/>
  <c r="A56" i="22"/>
  <c r="A57" i="22"/>
  <c r="A58" i="22"/>
  <c r="A59" i="22"/>
  <c r="A60" i="22"/>
  <c r="A61" i="22"/>
  <c r="A62" i="22"/>
  <c r="A63" i="22"/>
  <c r="A64" i="22"/>
  <c r="A65" i="22"/>
  <c r="A50" i="22"/>
  <c r="B68" i="1"/>
  <c r="B69" i="1"/>
  <c r="B70" i="1"/>
  <c r="C70" i="1"/>
  <c r="D70" i="1"/>
  <c r="E70" i="1"/>
  <c r="F70" i="1"/>
  <c r="G70" i="1"/>
  <c r="H70" i="1"/>
  <c r="C67" i="1"/>
  <c r="D67" i="1"/>
  <c r="E67" i="1"/>
  <c r="F67" i="1"/>
  <c r="G67" i="1"/>
  <c r="H67" i="1"/>
  <c r="I67" i="1"/>
  <c r="B67" i="1"/>
  <c r="D24" i="11"/>
  <c r="C69" i="1" s="1"/>
  <c r="E24" i="11"/>
  <c r="D69" i="1" s="1"/>
  <c r="F24" i="11"/>
  <c r="E69" i="1" s="1"/>
  <c r="G24" i="11"/>
  <c r="F69" i="1" s="1"/>
  <c r="H24" i="11"/>
  <c r="G69" i="1" s="1"/>
  <c r="I24" i="11"/>
  <c r="H69" i="1" s="1"/>
  <c r="E23" i="11"/>
  <c r="D68" i="1" s="1"/>
  <c r="F23" i="11"/>
  <c r="E68" i="1" s="1"/>
  <c r="G23" i="11"/>
  <c r="F68" i="1" s="1"/>
  <c r="H23" i="11"/>
  <c r="G68" i="1" s="1"/>
  <c r="I23" i="11"/>
  <c r="H68" i="1" s="1"/>
  <c r="D23" i="11"/>
  <c r="C68" i="1" s="1"/>
  <c r="J8" i="3"/>
  <c r="C8" i="22"/>
  <c r="C8" i="3"/>
  <c r="H11" i="25"/>
  <c r="C6" i="25"/>
  <c r="D6" i="25"/>
  <c r="E6" i="25"/>
  <c r="F6" i="25"/>
  <c r="G6" i="25"/>
  <c r="B6" i="25"/>
  <c r="C5" i="25"/>
  <c r="D5" i="25"/>
  <c r="E5" i="25"/>
  <c r="F5" i="25"/>
  <c r="G5" i="25"/>
  <c r="B5" i="25"/>
  <c r="A4" i="25"/>
  <c r="A5" i="25"/>
  <c r="H4" i="25"/>
  <c r="G4" i="25"/>
  <c r="C4" i="25"/>
  <c r="D4" i="25"/>
  <c r="E4" i="25"/>
  <c r="F4" i="25"/>
  <c r="B4" i="25"/>
  <c r="B3" i="9"/>
  <c r="B4" i="9"/>
  <c r="B5" i="9"/>
  <c r="B2" i="9"/>
  <c r="B3" i="24"/>
  <c r="B2" i="24"/>
  <c r="B16" i="24"/>
  <c r="C28" i="24"/>
  <c r="B28" i="24"/>
  <c r="B27" i="24"/>
  <c r="B25" i="24"/>
  <c r="B24" i="24"/>
  <c r="B21" i="24"/>
  <c r="C20" i="24"/>
  <c r="B20" i="24"/>
  <c r="B19" i="24"/>
  <c r="B18" i="24"/>
  <c r="B17" i="24"/>
  <c r="B14" i="24"/>
  <c r="D6" i="8"/>
  <c r="C6" i="8"/>
  <c r="B6" i="8"/>
  <c r="G8" i="5"/>
  <c r="O72" i="11"/>
  <c r="O78" i="11"/>
  <c r="O81" i="11"/>
  <c r="O69" i="11"/>
  <c r="O66" i="11"/>
  <c r="O45" i="11"/>
  <c r="O48" i="11"/>
  <c r="O51" i="11"/>
  <c r="O54" i="11"/>
  <c r="O57" i="11"/>
  <c r="O60" i="11"/>
  <c r="O39" i="11"/>
  <c r="O33" i="11"/>
  <c r="R50" i="18"/>
  <c r="J25" i="11"/>
  <c r="I70" i="1" s="1"/>
  <c r="A109" i="16"/>
  <c r="I109" i="16" s="1"/>
  <c r="H53" i="22"/>
  <c r="H54" i="22"/>
  <c r="C8" i="5"/>
  <c r="R26" i="18"/>
  <c r="S24" i="18" s="1"/>
  <c r="M48" i="11" s="1"/>
  <c r="D22" i="12"/>
  <c r="C22" i="12" s="1"/>
  <c r="E22" i="12"/>
  <c r="C17" i="24"/>
  <c r="N6" i="9"/>
  <c r="R38" i="18" l="1"/>
  <c r="S36" i="18" s="1"/>
  <c r="A9" i="28" s="1"/>
  <c r="N48" i="11"/>
  <c r="S57" i="18"/>
  <c r="I17" i="28"/>
  <c r="E17" i="28"/>
  <c r="R29" i="18"/>
  <c r="H23" i="24"/>
  <c r="H24" i="24"/>
  <c r="H19" i="24"/>
  <c r="E31" i="24"/>
  <c r="H31" i="24"/>
  <c r="H28" i="24"/>
  <c r="H20" i="24"/>
  <c r="H27" i="24"/>
  <c r="H18" i="24"/>
  <c r="H16" i="24"/>
  <c r="H29" i="24"/>
  <c r="H12" i="24"/>
  <c r="H30" i="24"/>
  <c r="H14" i="24"/>
  <c r="H21" i="24"/>
  <c r="H25" i="24"/>
  <c r="H17" i="24"/>
  <c r="H22" i="24"/>
  <c r="R47" i="18"/>
  <c r="S45" i="18" s="1"/>
  <c r="R16" i="18"/>
  <c r="S9" i="18"/>
  <c r="M66" i="11"/>
  <c r="N66" i="11" s="1"/>
  <c r="B23" i="24"/>
  <c r="L66" i="11"/>
  <c r="O5" i="9"/>
  <c r="N3" i="9"/>
  <c r="O3" i="9"/>
  <c r="O2" i="9"/>
  <c r="C2" i="9"/>
  <c r="C3" i="9"/>
  <c r="M87" i="11"/>
  <c r="N87" i="11" s="1"/>
  <c r="D29" i="24"/>
  <c r="D7" i="9"/>
  <c r="C24" i="22"/>
  <c r="C7" i="9" s="1"/>
  <c r="L87" i="11"/>
  <c r="J5" i="9"/>
  <c r="D31" i="24"/>
  <c r="L84" i="11"/>
  <c r="H6" i="25"/>
  <c r="J24" i="11"/>
  <c r="I69" i="1" s="1"/>
  <c r="F109" i="16"/>
  <c r="A6" i="8" s="1"/>
  <c r="L72" i="11"/>
  <c r="S48" i="18"/>
  <c r="L90" i="11"/>
  <c r="H17" i="28"/>
  <c r="C18" i="28"/>
  <c r="H18" i="28"/>
  <c r="D30" i="24"/>
  <c r="J3" i="9"/>
  <c r="H109" i="16"/>
  <c r="B109" i="16"/>
  <c r="G109" i="16"/>
  <c r="I14" i="1" s="1"/>
  <c r="B3" i="8" s="1"/>
  <c r="E18" i="28"/>
  <c r="L18" i="28"/>
  <c r="J18" i="28"/>
  <c r="K18" i="28"/>
  <c r="G18" i="28"/>
  <c r="D18" i="28"/>
  <c r="A19" i="28"/>
  <c r="I19" i="28" s="1"/>
  <c r="K17" i="28"/>
  <c r="L17" i="28"/>
  <c r="F17" i="28"/>
  <c r="D17" i="28"/>
  <c r="C17" i="28"/>
  <c r="J17" i="28"/>
  <c r="G17" i="28"/>
  <c r="M17" i="28"/>
  <c r="M84" i="11"/>
  <c r="N84" i="11" s="1"/>
  <c r="E109" i="16"/>
  <c r="J109" i="16"/>
  <c r="C109" i="16"/>
  <c r="D109" i="16"/>
  <c r="K11" i="28"/>
  <c r="J11" i="28"/>
  <c r="C11" i="28"/>
  <c r="I11" i="28"/>
  <c r="D11" i="28"/>
  <c r="E11" i="28"/>
  <c r="G11" i="28"/>
  <c r="M11" i="28"/>
  <c r="J23" i="11"/>
  <c r="I68" i="1" s="1"/>
  <c r="G33" i="12"/>
  <c r="F50" i="22" s="1"/>
  <c r="H5" i="25"/>
  <c r="L11" i="28"/>
  <c r="F11" i="28"/>
  <c r="L48" i="11"/>
  <c r="D17" i="24"/>
  <c r="D20" i="24"/>
  <c r="L57" i="11"/>
  <c r="D25" i="24"/>
  <c r="D28" i="24"/>
  <c r="L81" i="11"/>
  <c r="F18" i="28"/>
  <c r="M18" i="28"/>
  <c r="A13" i="28" l="1"/>
  <c r="K13" i="28" s="1"/>
  <c r="L60" i="11"/>
  <c r="D21" i="24"/>
  <c r="A5" i="28"/>
  <c r="C5" i="28" s="1"/>
  <c r="S27" i="18"/>
  <c r="M51" i="11" s="1"/>
  <c r="N51" i="11" s="1"/>
  <c r="M60" i="11"/>
  <c r="N60" i="11" s="1"/>
  <c r="E21" i="24" s="1"/>
  <c r="E9" i="28"/>
  <c r="I9" i="28"/>
  <c r="L9" i="28"/>
  <c r="H9" i="28"/>
  <c r="J9" i="28"/>
  <c r="D9" i="28"/>
  <c r="C9" i="28"/>
  <c r="M9" i="28"/>
  <c r="K9" i="28"/>
  <c r="G9" i="28"/>
  <c r="F9" i="28"/>
  <c r="L69" i="11"/>
  <c r="D24" i="24"/>
  <c r="L51" i="11"/>
  <c r="D18" i="24"/>
  <c r="E29" i="24"/>
  <c r="E30" i="24"/>
  <c r="E17" i="24"/>
  <c r="E23" i="24"/>
  <c r="C27" i="24"/>
  <c r="R56" i="18"/>
  <c r="C14" i="24"/>
  <c r="R17" i="18"/>
  <c r="C16" i="24"/>
  <c r="R23" i="18"/>
  <c r="N2" i="9"/>
  <c r="N5" i="9"/>
  <c r="N4" i="9"/>
  <c r="S39" i="18"/>
  <c r="B22" i="24"/>
  <c r="L63" i="11"/>
  <c r="C19" i="28"/>
  <c r="H19" i="28"/>
  <c r="I13" i="28"/>
  <c r="H13" i="28"/>
  <c r="A27" i="12"/>
  <c r="B27" i="12" s="1"/>
  <c r="C6" i="22"/>
  <c r="C6" i="5"/>
  <c r="C6" i="3"/>
  <c r="J19" i="28"/>
  <c r="G19" i="28"/>
  <c r="L19" i="28"/>
  <c r="M19" i="28"/>
  <c r="D19" i="28"/>
  <c r="E19" i="28"/>
  <c r="K19" i="28"/>
  <c r="F19" i="28"/>
  <c r="C19" i="24"/>
  <c r="A8" i="28"/>
  <c r="M57" i="11"/>
  <c r="N57" i="11" s="1"/>
  <c r="M69" i="11"/>
  <c r="N69" i="11" s="1"/>
  <c r="A12" i="28"/>
  <c r="A16" i="28"/>
  <c r="M81" i="11"/>
  <c r="N81" i="11" s="1"/>
  <c r="M72" i="11"/>
  <c r="N72" i="11" s="1"/>
  <c r="A14" i="28"/>
  <c r="L33" i="11"/>
  <c r="B12" i="24"/>
  <c r="D13" i="28"/>
  <c r="L13" i="28"/>
  <c r="M13" i="28"/>
  <c r="F13" i="28"/>
  <c r="E13" i="28"/>
  <c r="G13" i="28" l="1"/>
  <c r="J13" i="28"/>
  <c r="C13" i="28"/>
  <c r="M5" i="28"/>
  <c r="G5" i="28"/>
  <c r="D5" i="28"/>
  <c r="K5" i="28"/>
  <c r="E5" i="28"/>
  <c r="E18" i="24"/>
  <c r="F5" i="28"/>
  <c r="L5" i="28"/>
  <c r="H5" i="28"/>
  <c r="J5" i="28"/>
  <c r="I5" i="28"/>
  <c r="A6" i="28"/>
  <c r="D6" i="28" s="1"/>
  <c r="N93" i="11"/>
  <c r="E32" i="24" s="1"/>
  <c r="E25" i="24"/>
  <c r="E28" i="24"/>
  <c r="E24" i="24"/>
  <c r="E20" i="24"/>
  <c r="S21" i="18"/>
  <c r="D16" i="24"/>
  <c r="L45" i="11"/>
  <c r="S15" i="18"/>
  <c r="D14" i="24"/>
  <c r="L39" i="11"/>
  <c r="S30" i="18"/>
  <c r="L54" i="11"/>
  <c r="D19" i="24"/>
  <c r="D27" i="24"/>
  <c r="L78" i="11"/>
  <c r="S54" i="18"/>
  <c r="A7" i="26"/>
  <c r="A24" i="22"/>
  <c r="A7" i="9" s="1"/>
  <c r="A10" i="28"/>
  <c r="M63" i="11"/>
  <c r="N63" i="11" s="1"/>
  <c r="I8" i="28"/>
  <c r="H8" i="28"/>
  <c r="I14" i="28"/>
  <c r="H14" i="28"/>
  <c r="H16" i="28"/>
  <c r="I16" i="28"/>
  <c r="H12" i="28"/>
  <c r="I12" i="28"/>
  <c r="A6" i="26"/>
  <c r="A2" i="26"/>
  <c r="A21" i="22"/>
  <c r="A22" i="22"/>
  <c r="O27" i="22" s="1"/>
  <c r="A4" i="26"/>
  <c r="H30" i="26" s="1"/>
  <c r="A19" i="22"/>
  <c r="A3" i="26"/>
  <c r="H29" i="26" s="1"/>
  <c r="A23" i="22"/>
  <c r="A20" i="22"/>
  <c r="A5" i="26"/>
  <c r="H31" i="26" s="1"/>
  <c r="M33" i="11"/>
  <c r="N33" i="11" s="1"/>
  <c r="A2" i="28"/>
  <c r="H2" i="28" s="1"/>
  <c r="D16" i="28"/>
  <c r="E16" i="28"/>
  <c r="C16" i="28"/>
  <c r="M16" i="28"/>
  <c r="G16" i="28"/>
  <c r="J16" i="28"/>
  <c r="L16" i="28"/>
  <c r="F16" i="28"/>
  <c r="K16" i="28"/>
  <c r="F8" i="28"/>
  <c r="L8" i="28"/>
  <c r="K8" i="28"/>
  <c r="G8" i="28"/>
  <c r="D8" i="28"/>
  <c r="E8" i="28"/>
  <c r="C8" i="28"/>
  <c r="J8" i="28"/>
  <c r="M8" i="28"/>
  <c r="K14" i="28"/>
  <c r="D14" i="28"/>
  <c r="M14" i="28"/>
  <c r="G14" i="28"/>
  <c r="E14" i="28"/>
  <c r="L14" i="28"/>
  <c r="F14" i="28"/>
  <c r="J14" i="28"/>
  <c r="C14" i="28"/>
  <c r="D12" i="28"/>
  <c r="J12" i="28"/>
  <c r="L12" i="28"/>
  <c r="G12" i="28"/>
  <c r="C12" i="28"/>
  <c r="K12" i="28"/>
  <c r="E12" i="28"/>
  <c r="M12" i="28"/>
  <c r="F12" i="28"/>
  <c r="I6" i="28" l="1"/>
  <c r="K6" i="28"/>
  <c r="E6" i="28"/>
  <c r="J6" i="28"/>
  <c r="H6" i="28"/>
  <c r="F6" i="28"/>
  <c r="L6" i="28"/>
  <c r="M6" i="28"/>
  <c r="C6" i="28"/>
  <c r="G6" i="28"/>
  <c r="H5" i="11"/>
  <c r="H8" i="11" s="1"/>
  <c r="C5" i="11"/>
  <c r="G5" i="11"/>
  <c r="F5" i="11"/>
  <c r="D5" i="11"/>
  <c r="E5" i="11"/>
  <c r="L93" i="11"/>
  <c r="E22" i="24"/>
  <c r="E12" i="24"/>
  <c r="H3" i="26"/>
  <c r="E3" i="26" s="1"/>
  <c r="E29" i="26"/>
  <c r="H4" i="26"/>
  <c r="E4" i="26" s="1"/>
  <c r="E30" i="26"/>
  <c r="H13" i="26"/>
  <c r="E13" i="26" s="1"/>
  <c r="H5" i="26"/>
  <c r="E5" i="26" s="1"/>
  <c r="E31" i="26"/>
  <c r="H27" i="26"/>
  <c r="H20" i="26"/>
  <c r="E20" i="26" s="1"/>
  <c r="H7" i="26"/>
  <c r="E7" i="26" s="1"/>
  <c r="H19" i="26"/>
  <c r="E19" i="26" s="1"/>
  <c r="H26" i="26"/>
  <c r="E26" i="26" s="1"/>
  <c r="A7" i="28"/>
  <c r="M54" i="11"/>
  <c r="N54" i="11" s="1"/>
  <c r="M78" i="11"/>
  <c r="N78" i="11" s="1"/>
  <c r="A15" i="28"/>
  <c r="A3" i="28"/>
  <c r="M39" i="11"/>
  <c r="N39" i="11" s="1"/>
  <c r="A4" i="28"/>
  <c r="M45" i="11"/>
  <c r="N45" i="11" s="1"/>
  <c r="H8" i="26"/>
  <c r="E8" i="26" s="1"/>
  <c r="H2" i="26"/>
  <c r="E2" i="26" s="1"/>
  <c r="A4" i="9"/>
  <c r="A3" i="9"/>
  <c r="A6" i="9"/>
  <c r="A2" i="9"/>
  <c r="F10" i="28"/>
  <c r="E10" i="28"/>
  <c r="I10" i="28"/>
  <c r="J10" i="28"/>
  <c r="C10" i="28"/>
  <c r="H10" i="28"/>
  <c r="L10" i="28"/>
  <c r="G10" i="28"/>
  <c r="K10" i="28"/>
  <c r="M10" i="28"/>
  <c r="D10" i="28"/>
  <c r="H10" i="26"/>
  <c r="E10" i="26" s="1"/>
  <c r="H6" i="26"/>
  <c r="E6" i="26" s="1"/>
  <c r="H21" i="26"/>
  <c r="E21" i="26" s="1"/>
  <c r="H14" i="26"/>
  <c r="E14" i="26" s="1"/>
  <c r="H15" i="26"/>
  <c r="E15" i="26" s="1"/>
  <c r="H12" i="26"/>
  <c r="E12" i="26" s="1"/>
  <c r="A5" i="9"/>
  <c r="H25" i="26"/>
  <c r="E25" i="26" s="1"/>
  <c r="H18" i="26"/>
  <c r="E18" i="26" s="1"/>
  <c r="H23" i="26"/>
  <c r="E23" i="26" s="1"/>
  <c r="H16" i="26"/>
  <c r="E16" i="26" s="1"/>
  <c r="H17" i="26"/>
  <c r="E17" i="26" s="1"/>
  <c r="H24" i="26"/>
  <c r="E24" i="26" s="1"/>
  <c r="H11" i="26"/>
  <c r="E11" i="26" s="1"/>
  <c r="H9" i="26"/>
  <c r="E9" i="26" s="1"/>
  <c r="H22" i="26"/>
  <c r="E22" i="26" s="1"/>
  <c r="C2" i="28"/>
  <c r="J2" i="28"/>
  <c r="L2" i="28"/>
  <c r="M2" i="28"/>
  <c r="K2" i="28"/>
  <c r="F2" i="28"/>
  <c r="D2" i="28"/>
  <c r="G2" i="28"/>
  <c r="I2" i="28"/>
  <c r="E2" i="28"/>
  <c r="H9" i="11" l="1"/>
  <c r="K5" i="11"/>
  <c r="D6" i="11"/>
  <c r="E10" i="11"/>
  <c r="D9" i="11"/>
  <c r="D8" i="11"/>
  <c r="K8" i="11" s="1"/>
  <c r="C8" i="11"/>
  <c r="E8" i="11"/>
  <c r="E9" i="11"/>
  <c r="E27" i="24"/>
  <c r="E16" i="24"/>
  <c r="E19" i="24"/>
  <c r="E14" i="24"/>
  <c r="G8" i="11"/>
  <c r="G9" i="11"/>
  <c r="F8" i="11"/>
  <c r="J4" i="26"/>
  <c r="G4" i="26"/>
  <c r="I13" i="26"/>
  <c r="F4" i="26"/>
  <c r="J13" i="26"/>
  <c r="J5" i="26"/>
  <c r="F13" i="26"/>
  <c r="G13" i="26"/>
  <c r="F5" i="26"/>
  <c r="G5" i="26"/>
  <c r="E6" i="11"/>
  <c r="J8" i="26"/>
  <c r="F26" i="26"/>
  <c r="F7" i="26"/>
  <c r="J7" i="26"/>
  <c r="G26" i="26"/>
  <c r="J26" i="26"/>
  <c r="F19" i="26"/>
  <c r="I19" i="26"/>
  <c r="J19" i="26"/>
  <c r="G7" i="26"/>
  <c r="G8" i="26"/>
  <c r="G19" i="26"/>
  <c r="I8" i="26"/>
  <c r="H3" i="28"/>
  <c r="M3" i="28"/>
  <c r="I3" i="28"/>
  <c r="K3" i="28"/>
  <c r="C3" i="28"/>
  <c r="F3" i="28"/>
  <c r="J3" i="28"/>
  <c r="D3" i="28"/>
  <c r="L3" i="28"/>
  <c r="G3" i="28"/>
  <c r="E3" i="28"/>
  <c r="K15" i="28"/>
  <c r="H15" i="28"/>
  <c r="I15" i="28"/>
  <c r="F15" i="28"/>
  <c r="D15" i="28"/>
  <c r="J15" i="28"/>
  <c r="M15" i="28"/>
  <c r="E15" i="28"/>
  <c r="G15" i="28"/>
  <c r="C15" i="28"/>
  <c r="L15" i="28"/>
  <c r="G6" i="11"/>
  <c r="G7" i="11" s="1"/>
  <c r="I5" i="11"/>
  <c r="J4" i="28"/>
  <c r="G4" i="28"/>
  <c r="K4" i="28"/>
  <c r="E4" i="28"/>
  <c r="I4" i="28"/>
  <c r="H4" i="28"/>
  <c r="F4" i="28"/>
  <c r="M4" i="28"/>
  <c r="C4" i="28"/>
  <c r="D4" i="28"/>
  <c r="L4" i="28"/>
  <c r="K7" i="28"/>
  <c r="C7" i="28"/>
  <c r="D7" i="28"/>
  <c r="J7" i="28"/>
  <c r="M7" i="28"/>
  <c r="E7" i="28"/>
  <c r="L7" i="28"/>
  <c r="G7" i="28"/>
  <c r="H7" i="28"/>
  <c r="F7" i="28"/>
  <c r="I7" i="28"/>
  <c r="F8" i="26"/>
  <c r="F6" i="26"/>
  <c r="G6" i="26"/>
  <c r="G30" i="26"/>
  <c r="F30" i="26"/>
  <c r="G10" i="26"/>
  <c r="G14" i="26"/>
  <c r="G2" i="26"/>
  <c r="F25" i="26"/>
  <c r="G17" i="26"/>
  <c r="J17" i="26"/>
  <c r="J12" i="26"/>
  <c r="F14" i="26"/>
  <c r="J21" i="26"/>
  <c r="I12" i="26"/>
  <c r="G27" i="26"/>
  <c r="J30" i="26"/>
  <c r="J6" i="26"/>
  <c r="J23" i="26"/>
  <c r="F12" i="26"/>
  <c r="G24" i="26"/>
  <c r="F21" i="26"/>
  <c r="F23" i="26"/>
  <c r="I18" i="26"/>
  <c r="J25" i="26"/>
  <c r="J18" i="26"/>
  <c r="J10" i="26"/>
  <c r="G21" i="26"/>
  <c r="G18" i="26"/>
  <c r="I15" i="26"/>
  <c r="F18" i="26"/>
  <c r="J15" i="26"/>
  <c r="F10" i="26"/>
  <c r="G12" i="26"/>
  <c r="G11" i="26"/>
  <c r="G16" i="26"/>
  <c r="F15" i="26"/>
  <c r="G15" i="26"/>
  <c r="G25" i="26"/>
  <c r="F16" i="26"/>
  <c r="F2" i="26"/>
  <c r="G23" i="26"/>
  <c r="J2" i="26"/>
  <c r="J29" i="26"/>
  <c r="G29" i="26"/>
  <c r="F29" i="26"/>
  <c r="J14" i="26"/>
  <c r="I14" i="26"/>
  <c r="D21" i="12"/>
  <c r="J31" i="26"/>
  <c r="F31" i="26"/>
  <c r="E21" i="12"/>
  <c r="B21" i="12"/>
  <c r="C21" i="12" s="1"/>
  <c r="B17" i="12"/>
  <c r="C17" i="12" s="1"/>
  <c r="E17" i="12"/>
  <c r="F17" i="26"/>
  <c r="D16" i="12"/>
  <c r="F24" i="26"/>
  <c r="B19" i="12"/>
  <c r="C19" i="12" s="1"/>
  <c r="B15" i="12"/>
  <c r="C15" i="12" s="1"/>
  <c r="D17" i="12"/>
  <c r="G3" i="26"/>
  <c r="J24" i="26"/>
  <c r="G22" i="26"/>
  <c r="F3" i="26"/>
  <c r="D19" i="12"/>
  <c r="J22" i="26"/>
  <c r="J16" i="26"/>
  <c r="E15" i="12"/>
  <c r="F11" i="26"/>
  <c r="E16" i="12"/>
  <c r="G31" i="26"/>
  <c r="E19" i="12"/>
  <c r="G9" i="26"/>
  <c r="J9" i="26"/>
  <c r="J11" i="26"/>
  <c r="D15" i="12"/>
  <c r="F9" i="26"/>
  <c r="J3" i="26"/>
  <c r="B16" i="12"/>
  <c r="C16" i="12" s="1"/>
  <c r="F22" i="26"/>
  <c r="E18" i="12"/>
  <c r="G20" i="26"/>
  <c r="F20" i="26"/>
  <c r="D18" i="12"/>
  <c r="C18" i="12" s="1"/>
  <c r="J20" i="26"/>
  <c r="J39" i="26" s="1"/>
  <c r="D6" i="12" s="1"/>
  <c r="N28" i="26" a="1"/>
  <c r="T8" i="28" a="1"/>
  <c r="P13" i="28" a="1"/>
  <c r="O31" i="26" a="1"/>
  <c r="O3" i="28" a="1"/>
  <c r="O12" i="26" a="1"/>
  <c r="Y5" i="28" a="1"/>
  <c r="Q3" i="28" a="1"/>
  <c r="R9" i="28" a="1"/>
  <c r="V9" i="28" a="1"/>
  <c r="O7" i="26" a="1"/>
  <c r="O4" i="26" a="1"/>
  <c r="O19" i="26" a="1"/>
  <c r="O23" i="26" a="1"/>
  <c r="X18" i="28" a="1"/>
  <c r="W15" i="28" a="1"/>
  <c r="U11" i="28" a="1"/>
  <c r="G87" i="18" l="1"/>
  <c r="G83" i="18"/>
  <c r="G86" i="18"/>
  <c r="G84" i="18"/>
  <c r="H83" i="18"/>
  <c r="H86" i="18"/>
  <c r="H85" i="18"/>
  <c r="G10" i="11"/>
  <c r="I10" i="11" s="1"/>
  <c r="Q3" i="28"/>
  <c r="E7" i="11"/>
  <c r="I9" i="11"/>
  <c r="I6" i="11"/>
  <c r="E20" i="12"/>
  <c r="F27" i="26"/>
  <c r="D20" i="12"/>
  <c r="C20" i="12" s="1"/>
  <c r="H21" i="12" s="1" a="1"/>
  <c r="H21" i="12" s="1"/>
  <c r="C23" i="5" s="1"/>
  <c r="J27" i="26"/>
  <c r="J38" i="26" s="1"/>
  <c r="C6" i="12" s="1"/>
  <c r="D13" i="5" s="1"/>
  <c r="J36" i="26"/>
  <c r="F6" i="12" s="1"/>
  <c r="V13" i="22" s="1"/>
  <c r="O7" i="26"/>
  <c r="C7" i="27" s="1"/>
  <c r="E27" i="26"/>
  <c r="O4" i="26"/>
  <c r="C4" i="27" s="1"/>
  <c r="O12" i="26"/>
  <c r="C12" i="27" s="1"/>
  <c r="O19" i="26"/>
  <c r="C19" i="27" s="1"/>
  <c r="O31" i="26"/>
  <c r="C31" i="27" s="1"/>
  <c r="O23" i="26"/>
  <c r="C23" i="27" s="1"/>
  <c r="J37" i="26"/>
  <c r="E6" i="12" s="1"/>
  <c r="P13" i="22" s="1"/>
  <c r="N28" i="26"/>
  <c r="B28" i="27" s="1"/>
  <c r="R9" i="28"/>
  <c r="D21" i="3" s="1"/>
  <c r="O3" i="28"/>
  <c r="A15" i="3" s="1"/>
  <c r="W15" i="28"/>
  <c r="I27" i="3" s="1"/>
  <c r="T8" i="28"/>
  <c r="F20" i="3" s="1"/>
  <c r="X18" i="28"/>
  <c r="J30" i="3" s="1"/>
  <c r="P13" i="28"/>
  <c r="B25" i="3" s="1"/>
  <c r="Y5" i="28"/>
  <c r="K17" i="3" s="1"/>
  <c r="U11" i="28"/>
  <c r="G23" i="3" s="1"/>
  <c r="V9" i="28"/>
  <c r="H21" i="3" s="1"/>
  <c r="K13" i="22"/>
  <c r="E13" i="5"/>
  <c r="R7" i="28" a="1"/>
  <c r="P17" i="28" a="1"/>
  <c r="Q15" i="28" a="1"/>
  <c r="Y13" i="28" a="1"/>
  <c r="Q2" i="28"/>
  <c r="W7" i="28" a="1"/>
  <c r="S8" i="28" a="1"/>
  <c r="U4" i="28" a="1"/>
  <c r="U15" i="28" a="1"/>
  <c r="R10" i="28" a="1"/>
  <c r="U10" i="28" a="1"/>
  <c r="O18" i="28" a="1"/>
  <c r="Q8" i="28" a="1"/>
  <c r="P16" i="28" a="1"/>
  <c r="P3" i="28" a="1"/>
  <c r="W8" i="28" a="1"/>
  <c r="I7" i="11" l="1"/>
  <c r="M99" i="11"/>
  <c r="N99" i="11" s="1"/>
  <c r="E34" i="24" s="1"/>
  <c r="I85" i="18"/>
  <c r="Q15" i="28"/>
  <c r="C27" i="3" s="1"/>
  <c r="P3" i="28"/>
  <c r="B15" i="3" s="1"/>
  <c r="P16" i="28"/>
  <c r="B28" i="3" s="1"/>
  <c r="R7" i="28"/>
  <c r="D19" i="3" s="1"/>
  <c r="P17" i="28"/>
  <c r="B29" i="3" s="1"/>
  <c r="U4" i="28"/>
  <c r="G16" i="3" s="1"/>
  <c r="W8" i="28"/>
  <c r="I20" i="3" s="1"/>
  <c r="U15" i="28"/>
  <c r="G27" i="3" s="1"/>
  <c r="S8" i="28"/>
  <c r="E20" i="3" s="1"/>
  <c r="Y13" i="28"/>
  <c r="K25" i="3" s="1"/>
  <c r="O18" i="28"/>
  <c r="A30" i="3" s="1"/>
  <c r="Q8" i="28"/>
  <c r="C20" i="3" s="1"/>
  <c r="R10" i="28"/>
  <c r="D22" i="3" s="1"/>
  <c r="W7" i="28"/>
  <c r="I19" i="3" s="1"/>
  <c r="U10" i="28"/>
  <c r="G22" i="3" s="1"/>
  <c r="G13" i="5"/>
  <c r="H17" i="12" a="1"/>
  <c r="H17" i="12" s="1"/>
  <c r="C19" i="5" s="1"/>
  <c r="G22" i="12" a="1"/>
  <c r="G22" i="12" s="1"/>
  <c r="G21" i="12" a="1"/>
  <c r="G21" i="12" s="1"/>
  <c r="B23" i="5" s="1"/>
  <c r="G17" i="12" a="1"/>
  <c r="G17" i="12" s="1"/>
  <c r="B19" i="5" s="1"/>
  <c r="G20" i="12" a="1"/>
  <c r="G20" i="12" s="1"/>
  <c r="B22" i="5" s="1"/>
  <c r="I16" i="12" a="1"/>
  <c r="I16" i="12" s="1"/>
  <c r="J16" i="12" s="1"/>
  <c r="H16" i="12" a="1"/>
  <c r="H16" i="12" s="1"/>
  <c r="C18" i="5" s="1"/>
  <c r="H19" i="12" a="1"/>
  <c r="H19" i="12" s="1"/>
  <c r="C21" i="5" s="1"/>
  <c r="H15" i="12" a="1"/>
  <c r="H15" i="12" s="1"/>
  <c r="C17" i="5" s="1"/>
  <c r="H18" i="12" a="1"/>
  <c r="H18" i="12" s="1"/>
  <c r="C20" i="5" s="1"/>
  <c r="I22" i="12" a="1"/>
  <c r="I22" i="12" s="1"/>
  <c r="J22" i="12" s="1"/>
  <c r="H22" i="12" a="1"/>
  <c r="H22" i="12" s="1"/>
  <c r="B6" i="12"/>
  <c r="A13" i="22" s="1"/>
  <c r="A12" i="22" s="1"/>
  <c r="I18" i="12" a="1"/>
  <c r="I18" i="12" s="1"/>
  <c r="J18" i="12" s="1"/>
  <c r="I20" i="12" a="1"/>
  <c r="I20" i="12" s="1"/>
  <c r="J20" i="12" s="1"/>
  <c r="H20" i="12" a="1"/>
  <c r="H20" i="12" s="1"/>
  <c r="C22" i="5" s="1"/>
  <c r="I17" i="12" a="1"/>
  <c r="I17" i="12" s="1"/>
  <c r="J17" i="12" s="1"/>
  <c r="G16" i="12" a="1"/>
  <c r="G16" i="12" s="1"/>
  <c r="B18" i="5" s="1"/>
  <c r="I19" i="12" a="1"/>
  <c r="I19" i="12" s="1"/>
  <c r="J19" i="12" s="1"/>
  <c r="G19" i="12" a="1"/>
  <c r="G19" i="12" s="1"/>
  <c r="B21" i="5" s="1"/>
  <c r="I21" i="12" a="1"/>
  <c r="I21" i="12" s="1"/>
  <c r="J21" i="12" s="1"/>
  <c r="G18" i="12" a="1"/>
  <c r="G18" i="12" s="1"/>
  <c r="B20" i="5" s="1"/>
  <c r="I15" i="12" a="1"/>
  <c r="I15" i="12" s="1"/>
  <c r="G15" i="12" a="1"/>
  <c r="G15" i="12" s="1"/>
  <c r="B17" i="5" s="1"/>
  <c r="F13" i="5"/>
  <c r="E13" i="22"/>
  <c r="I29" i="26" l="1"/>
  <c r="I21" i="26"/>
  <c r="I16" i="26"/>
  <c r="I9" i="26"/>
  <c r="I22" i="26"/>
  <c r="I11" i="26"/>
  <c r="I30" i="26"/>
  <c r="I10" i="26"/>
  <c r="I31" i="26"/>
  <c r="I25" i="26"/>
  <c r="B13" i="5"/>
  <c r="B12" i="5" s="1"/>
  <c r="I24" i="26"/>
  <c r="I23" i="26"/>
  <c r="J15" i="12"/>
  <c r="I4" i="26" s="1"/>
  <c r="I26" i="26"/>
  <c r="I2" i="26" l="1"/>
  <c r="I27" i="26"/>
  <c r="I3" i="26"/>
  <c r="I20" i="26"/>
  <c r="I17" i="26"/>
  <c r="I5" i="26"/>
  <c r="I6" i="26"/>
  <c r="I7" i="26"/>
  <c r="C15" i="3" l="1"/>
  <c r="C14" i="3"/>
  <c r="P5" i="28" a="1"/>
  <c r="W16" i="28" a="1"/>
  <c r="O8" i="26" a="1"/>
  <c r="M18" i="26" a="1"/>
  <c r="P9" i="26" a="1"/>
  <c r="M30" i="26" a="1"/>
  <c r="N31" i="26" a="1"/>
  <c r="O7" i="28" a="1"/>
  <c r="L12" i="26" a="1"/>
  <c r="T14" i="28" a="1"/>
  <c r="P2" i="26" a="1"/>
  <c r="U18" i="28" a="1"/>
  <c r="T19" i="28" a="1"/>
  <c r="O15" i="26" a="1"/>
  <c r="U13" i="28" a="1"/>
  <c r="P33" i="26" a="1"/>
  <c r="W5" i="28" a="1"/>
  <c r="Y4" i="28" a="1"/>
  <c r="R12" i="28" a="1"/>
  <c r="Q9" i="28" a="1"/>
  <c r="V8" i="28" a="1"/>
  <c r="R14" i="28" a="1"/>
  <c r="L9" i="26" a="1"/>
  <c r="R13" i="28" a="1"/>
  <c r="W6" i="28" a="1"/>
  <c r="P15" i="26" a="1"/>
  <c r="S7" i="28" a="1"/>
  <c r="Q19" i="28" a="1"/>
  <c r="L14" i="26" a="1"/>
  <c r="X11" i="28" a="1"/>
  <c r="Y6" i="28" a="1"/>
  <c r="R17" i="28" a="1"/>
  <c r="Q10" i="28" a="1"/>
  <c r="X19" i="28" a="1"/>
  <c r="P14" i="28" a="1"/>
  <c r="Q14" i="28" a="1"/>
  <c r="P11" i="28" a="1"/>
  <c r="O3" i="26" a="1"/>
  <c r="O6" i="26" a="1"/>
  <c r="Q16" i="28" a="1"/>
  <c r="N18" i="26" a="1"/>
  <c r="O29" i="26" a="1"/>
  <c r="O30" i="26" a="1"/>
  <c r="X15" i="28" a="1"/>
  <c r="S17" i="28" a="1"/>
  <c r="R8" i="28" a="1"/>
  <c r="P2" i="28" a="1"/>
  <c r="W4" i="28" a="1"/>
  <c r="Q5" i="28" a="1"/>
  <c r="M21" i="26" a="1"/>
  <c r="O12" i="28" a="1"/>
  <c r="P12" i="28" a="1"/>
  <c r="M23" i="26" a="1"/>
  <c r="X16" i="28" a="1"/>
  <c r="U9" i="28" a="1"/>
  <c r="O11" i="28" a="1"/>
  <c r="N12" i="26" a="1"/>
  <c r="M20" i="26" a="1"/>
  <c r="N25" i="26" a="1"/>
  <c r="M29" i="26" a="1"/>
  <c r="L2" i="26" a="1"/>
  <c r="O8" i="28" a="1"/>
  <c r="Y8" i="28" a="1"/>
  <c r="M11" i="26" a="1"/>
  <c r="U2" i="28" a="1"/>
  <c r="N27" i="26" a="1"/>
  <c r="M2" i="26" a="1"/>
  <c r="U14" i="28" a="1"/>
  <c r="M26" i="26" a="1"/>
  <c r="T13" i="28" a="1"/>
  <c r="X6" i="28" a="1"/>
  <c r="O17" i="26" a="1"/>
  <c r="U3" i="28" a="1"/>
  <c r="W11" i="28" a="1"/>
  <c r="W2" i="28" a="1"/>
  <c r="P12" i="26" a="1"/>
  <c r="W19" i="28" a="1"/>
  <c r="P13" i="26" a="1"/>
  <c r="N13" i="26" a="1"/>
  <c r="M3" i="26" a="1"/>
  <c r="S14" i="28" a="1"/>
  <c r="P18" i="26" a="1"/>
  <c r="V15" i="28" a="1"/>
  <c r="O4" i="28" a="1"/>
  <c r="X10" i="28" a="1"/>
  <c r="P25" i="26" a="1"/>
  <c r="V2" i="28" a="1"/>
  <c r="P15" i="28" a="1"/>
  <c r="O2" i="26" a="1"/>
  <c r="M17" i="26" a="1"/>
  <c r="P32" i="26" a="1"/>
  <c r="N29" i="26" a="1"/>
  <c r="N22" i="26" a="1"/>
  <c r="V4" i="28" a="1"/>
  <c r="X14" i="28" a="1"/>
  <c r="P7" i="28" a="1"/>
  <c r="N17" i="26" a="1"/>
  <c r="M34" i="26" a="1"/>
  <c r="O17" i="28" a="1"/>
  <c r="O9" i="26" a="1"/>
  <c r="S11" i="28" a="1"/>
  <c r="N5" i="26" a="1"/>
  <c r="L8" i="26" a="1"/>
  <c r="Y15" i="28" a="1"/>
  <c r="W18" i="28" a="1"/>
  <c r="M7" i="26" a="1"/>
  <c r="L10" i="26" a="1"/>
  <c r="T7" i="28" a="1"/>
  <c r="L24" i="26" a="1"/>
  <c r="V17" i="28" a="1"/>
  <c r="T15" i="28" a="1"/>
  <c r="S16" i="28" a="1"/>
  <c r="P20" i="26" a="1"/>
  <c r="X2" i="28" a="1"/>
  <c r="N4" i="26" a="1"/>
  <c r="O16" i="28" a="1"/>
  <c r="X3" i="28" a="1"/>
  <c r="R19" i="28" a="1"/>
  <c r="X17" i="28" a="1"/>
  <c r="P6" i="28" a="1"/>
  <c r="T9" i="28" a="1"/>
  <c r="R11" i="28" a="1"/>
  <c r="O13" i="26" a="1"/>
  <c r="V18" i="28" a="1"/>
  <c r="M8" i="26" a="1"/>
  <c r="U17" i="28" a="1"/>
  <c r="L25" i="26" a="1"/>
  <c r="Q7" i="28" a="1"/>
  <c r="S9" i="28" a="1"/>
  <c r="O34" i="26" a="1"/>
  <c r="S13" i="28" a="1"/>
  <c r="P31" i="26" a="1"/>
  <c r="P21" i="26" a="1"/>
  <c r="N33" i="26" a="1"/>
  <c r="Q6" i="28" a="1"/>
  <c r="T11" i="28" a="1"/>
  <c r="L31" i="26" a="1"/>
  <c r="O6" i="28" a="1"/>
  <c r="L20" i="26" a="1"/>
  <c r="N6" i="26" a="1"/>
  <c r="S15" i="28" a="1"/>
  <c r="Y7" i="28" a="1"/>
  <c r="Y10" i="28" a="1"/>
  <c r="O5" i="26" a="1"/>
  <c r="Q4" i="28" a="1"/>
  <c r="Y14" i="28" a="1"/>
  <c r="N21" i="26" a="1"/>
  <c r="M14" i="26" a="1"/>
  <c r="L13" i="26" a="1"/>
  <c r="P11" i="26" a="1"/>
  <c r="N34" i="26" a="1"/>
  <c r="S2" i="28" a="1"/>
  <c r="S5" i="28" a="1"/>
  <c r="L19" i="26" a="1"/>
  <c r="L27" i="26" a="1"/>
  <c r="L5" i="26" a="1"/>
  <c r="P10" i="28" a="1"/>
  <c r="U19" i="28" a="1"/>
  <c r="N9" i="26" a="1"/>
  <c r="R2" i="28" a="1"/>
  <c r="M31" i="26" a="1"/>
  <c r="N7" i="26" a="1"/>
  <c r="Y18" i="28" a="1"/>
  <c r="W14" i="28" a="1"/>
  <c r="P5" i="26" a="1"/>
  <c r="T17" i="28" a="1"/>
  <c r="L22" i="26" a="1"/>
  <c r="O28" i="26" a="1"/>
  <c r="U6" i="28" a="1"/>
  <c r="S3" i="28" a="1"/>
  <c r="P26" i="26" a="1"/>
  <c r="V3" i="28" a="1"/>
  <c r="M32" i="26" a="1"/>
  <c r="V10" i="28" a="1"/>
  <c r="O19" i="28" a="1"/>
  <c r="Y17" i="28" a="1"/>
  <c r="Y9" i="28" a="1"/>
  <c r="M22" i="26" a="1"/>
  <c r="P34" i="26" a="1"/>
  <c r="L4" i="26" a="1"/>
  <c r="L18" i="26" a="1"/>
  <c r="T12" i="28" a="1"/>
  <c r="S12" i="28" a="1"/>
  <c r="P24" i="26" a="1"/>
  <c r="N24" i="26" a="1"/>
  <c r="M12" i="26" a="1"/>
  <c r="M16" i="26" a="1"/>
  <c r="L32" i="26" a="1"/>
  <c r="P4" i="28" a="1"/>
  <c r="W12" i="28" a="1"/>
  <c r="P7" i="26" a="1"/>
  <c r="P16" i="26" a="1"/>
  <c r="S4" i="28" a="1"/>
  <c r="P14" i="26" a="1"/>
  <c r="V7" i="28" a="1"/>
  <c r="T2" i="28" a="1"/>
  <c r="V11" i="28" a="1"/>
  <c r="N2" i="26" a="1"/>
  <c r="M10" i="26" a="1"/>
  <c r="L34" i="26" a="1"/>
  <c r="N26" i="26" a="1"/>
  <c r="O13" i="28" a="1"/>
  <c r="T5" i="28" a="1"/>
  <c r="R15" i="28" a="1"/>
  <c r="N32" i="26" a="1"/>
  <c r="P4" i="26" a="1"/>
  <c r="O32" i="26" a="1"/>
  <c r="Y11" i="28" a="1"/>
  <c r="T18" i="28" a="1"/>
  <c r="S19" i="28" a="1"/>
  <c r="V14" i="28" a="1"/>
  <c r="Q18" i="28" a="1"/>
  <c r="O21" i="26" a="1"/>
  <c r="O15" i="28" a="1"/>
  <c r="M4" i="26" a="1"/>
  <c r="R3" i="28" a="1"/>
  <c r="N30" i="26" a="1"/>
  <c r="Y12" i="28" a="1"/>
  <c r="P8" i="28" a="1"/>
  <c r="P29" i="26" a="1"/>
  <c r="P6" i="26" a="1"/>
  <c r="S18" i="28" a="1"/>
  <c r="O10" i="28" a="1"/>
  <c r="L23" i="26" a="1"/>
  <c r="L30" i="26" a="1"/>
  <c r="T10" i="28" a="1"/>
  <c r="N11" i="26" a="1"/>
  <c r="L26" i="26" a="1"/>
  <c r="L28" i="26" a="1"/>
  <c r="N23" i="26" a="1"/>
  <c r="M25" i="26" a="1"/>
  <c r="L11" i="26" a="1"/>
  <c r="M15" i="26" a="1"/>
  <c r="N16" i="26" a="1"/>
  <c r="T16" i="28" a="1"/>
  <c r="L6" i="26" a="1"/>
  <c r="O9" i="28" a="1"/>
  <c r="O16" i="26" a="1"/>
  <c r="P27" i="26" a="1"/>
  <c r="O22" i="26" a="1"/>
  <c r="U8" i="28" a="1"/>
  <c r="M33" i="26" a="1"/>
  <c r="R18" i="28" a="1"/>
  <c r="O10" i="26" a="1"/>
  <c r="U16" i="28" a="1"/>
  <c r="X4" i="28" a="1"/>
  <c r="N15" i="26" a="1"/>
  <c r="R6" i="28" a="1"/>
  <c r="P18" i="28" a="1"/>
  <c r="P30" i="26" a="1"/>
  <c r="M28" i="26" a="1"/>
  <c r="P28" i="26" a="1"/>
  <c r="O14" i="26" a="1"/>
  <c r="N3" i="26" a="1"/>
  <c r="O24" i="26" a="1"/>
  <c r="Y3" i="28" a="1"/>
  <c r="X7" i="28" a="1"/>
  <c r="W3" i="28" a="1"/>
  <c r="L17" i="26" a="1"/>
  <c r="P17" i="26" a="1"/>
  <c r="W17" i="28" a="1"/>
  <c r="W10" i="28" a="1"/>
  <c r="U7" i="28" a="1"/>
  <c r="T4" i="28" a="1"/>
  <c r="V12" i="28" a="1"/>
  <c r="X8" i="28" a="1"/>
  <c r="M27" i="26" a="1"/>
  <c r="O27" i="26" a="1"/>
  <c r="M9" i="26" a="1"/>
  <c r="V6" i="28" a="1"/>
  <c r="P23" i="26" a="1"/>
  <c r="X13" i="28" a="1"/>
  <c r="R5" i="28" a="1"/>
  <c r="O14" i="28" a="1"/>
  <c r="P9" i="28" a="1"/>
  <c r="T3" i="28" a="1"/>
  <c r="V13" i="28" a="1"/>
  <c r="N8" i="26" a="1"/>
  <c r="X5" i="28" a="1"/>
  <c r="W9" i="28" a="1"/>
  <c r="O5" i="28" a="1"/>
  <c r="O20" i="26" a="1"/>
  <c r="L33" i="26" a="1"/>
  <c r="S10" i="28" a="1"/>
  <c r="W13" i="28" a="1"/>
  <c r="Y16" i="28" a="1"/>
  <c r="P10" i="26" a="1"/>
  <c r="N10" i="26" a="1"/>
  <c r="O18" i="26" a="1"/>
  <c r="M24" i="26" a="1"/>
  <c r="O2" i="28" a="1"/>
  <c r="V5" i="28" a="1"/>
  <c r="L29" i="26" a="1"/>
  <c r="L3" i="26" a="1"/>
  <c r="M19" i="26" a="1"/>
  <c r="Y19" i="28" a="1"/>
  <c r="Y2" i="28" a="1"/>
  <c r="R4" i="28" a="1"/>
  <c r="L16" i="26" a="1"/>
  <c r="V19" i="28" a="1"/>
  <c r="X9" i="28" a="1"/>
  <c r="U5" i="28" a="1"/>
  <c r="M6" i="26" a="1"/>
  <c r="U12" i="28" a="1"/>
  <c r="N19" i="26" a="1"/>
  <c r="N14" i="26" a="1"/>
  <c r="M5" i="26" a="1"/>
  <c r="L15" i="26" a="1"/>
  <c r="Q17" i="28" a="1"/>
  <c r="L21" i="26" a="1"/>
  <c r="P19" i="28" a="1"/>
  <c r="O25" i="26" a="1"/>
  <c r="M13" i="26" a="1"/>
  <c r="O26" i="26" a="1"/>
  <c r="S6" i="28" a="1"/>
  <c r="L7" i="26" a="1"/>
  <c r="Q12" i="28" a="1"/>
  <c r="N20" i="26" a="1"/>
  <c r="P3" i="26" a="1"/>
  <c r="X12" i="28" a="1"/>
  <c r="Q11" i="28" a="1"/>
  <c r="P8" i="26" a="1"/>
  <c r="V16" i="28" a="1"/>
  <c r="P22" i="26" a="1"/>
  <c r="O33" i="26" a="1"/>
  <c r="P19" i="26" a="1"/>
  <c r="T6" i="28" a="1"/>
  <c r="Q13" i="28" a="1"/>
  <c r="R16" i="28" a="1"/>
  <c r="O11" i="26" a="1"/>
  <c r="O11" i="26" l="1"/>
  <c r="C11" i="27" s="1"/>
  <c r="R16" i="28"/>
  <c r="D28" i="3" s="1"/>
  <c r="Q13" i="28"/>
  <c r="C25" i="3" s="1"/>
  <c r="T6" i="28"/>
  <c r="F18" i="3" s="1"/>
  <c r="P19" i="26"/>
  <c r="D19" i="27" s="1"/>
  <c r="O33" i="26"/>
  <c r="C33" i="27" s="1"/>
  <c r="P22" i="26"/>
  <c r="D22" i="27" s="1"/>
  <c r="V16" i="28"/>
  <c r="H28" i="3" s="1"/>
  <c r="P8" i="26"/>
  <c r="D8" i="27" s="1"/>
  <c r="Q11" i="28"/>
  <c r="C23" i="3" s="1"/>
  <c r="X12" i="28"/>
  <c r="J24" i="3" s="1"/>
  <c r="P3" i="26"/>
  <c r="D3" i="27" s="1"/>
  <c r="N20" i="26"/>
  <c r="B20" i="27" s="1"/>
  <c r="Q12" i="28"/>
  <c r="C24" i="3" s="1"/>
  <c r="L7" i="26"/>
  <c r="A7" i="27" s="1"/>
  <c r="S6" i="28"/>
  <c r="E18" i="3" s="1"/>
  <c r="O26" i="26"/>
  <c r="C26" i="27" s="1"/>
  <c r="M13" i="26"/>
  <c r="O25" i="26"/>
  <c r="C25" i="27" s="1"/>
  <c r="P19" i="28"/>
  <c r="B31" i="3" s="1"/>
  <c r="L21" i="26"/>
  <c r="A21" i="27" s="1"/>
  <c r="Q17" i="28"/>
  <c r="C29" i="3" s="1"/>
  <c r="L15" i="26"/>
  <c r="A15" i="27" s="1"/>
  <c r="M5" i="26"/>
  <c r="N14" i="26"/>
  <c r="B14" i="27" s="1"/>
  <c r="N19" i="26"/>
  <c r="B19" i="27" s="1"/>
  <c r="U12" i="28"/>
  <c r="G24" i="3" s="1"/>
  <c r="M6" i="26"/>
  <c r="U5" i="28"/>
  <c r="G17" i="3" s="1"/>
  <c r="X9" i="28"/>
  <c r="J21" i="3" s="1"/>
  <c r="V19" i="28"/>
  <c r="H31" i="3" s="1"/>
  <c r="L16" i="26"/>
  <c r="A16" i="27" s="1"/>
  <c r="R4" i="28"/>
  <c r="D16" i="3" s="1"/>
  <c r="Y2" i="28"/>
  <c r="K14" i="3" s="1"/>
  <c r="Y19" i="28"/>
  <c r="K31" i="3" s="1"/>
  <c r="M19" i="26"/>
  <c r="L3" i="26"/>
  <c r="A3" i="27" s="1"/>
  <c r="L29" i="26"/>
  <c r="A29" i="27" s="1"/>
  <c r="V5" i="28"/>
  <c r="H17" i="3" s="1"/>
  <c r="O2" i="28"/>
  <c r="A14" i="3" s="1"/>
  <c r="M11" i="3" s="1" a="1"/>
  <c r="M11" i="3" s="1"/>
  <c r="M24" i="26"/>
  <c r="O18" i="26"/>
  <c r="C18" i="27" s="1"/>
  <c r="N10" i="26"/>
  <c r="B10" i="27" s="1"/>
  <c r="P10" i="26"/>
  <c r="D10" i="27" s="1"/>
  <c r="Y16" i="28"/>
  <c r="K28" i="3" s="1"/>
  <c r="W13" i="28"/>
  <c r="I25" i="3" s="1"/>
  <c r="S10" i="28"/>
  <c r="E22" i="3" s="1"/>
  <c r="L33" i="26"/>
  <c r="A33" i="27" s="1"/>
  <c r="O20" i="26"/>
  <c r="C20" i="27" s="1"/>
  <c r="O5" i="28"/>
  <c r="A17" i="3" s="1"/>
  <c r="W9" i="28"/>
  <c r="I21" i="3" s="1"/>
  <c r="X5" i="28"/>
  <c r="J17" i="3" s="1"/>
  <c r="N8" i="26"/>
  <c r="B8" i="27" s="1"/>
  <c r="V13" i="28"/>
  <c r="H25" i="3" s="1"/>
  <c r="T3" i="28"/>
  <c r="F15" i="3" s="1"/>
  <c r="P9" i="28"/>
  <c r="B21" i="3" s="1"/>
  <c r="O14" i="28"/>
  <c r="A26" i="3" s="1"/>
  <c r="R5" i="28"/>
  <c r="D17" i="3" s="1"/>
  <c r="X13" i="28"/>
  <c r="J25" i="3" s="1"/>
  <c r="P23" i="26"/>
  <c r="D23" i="27" s="1"/>
  <c r="V6" i="28"/>
  <c r="H18" i="3" s="1"/>
  <c r="M9" i="26"/>
  <c r="O27" i="26"/>
  <c r="C27" i="27" s="1"/>
  <c r="M27" i="26"/>
  <c r="X8" i="28"/>
  <c r="J20" i="3" s="1"/>
  <c r="V12" i="28"/>
  <c r="H24" i="3" s="1"/>
  <c r="T4" i="28"/>
  <c r="F16" i="3" s="1"/>
  <c r="U7" i="28"/>
  <c r="G19" i="3" s="1"/>
  <c r="W10" i="28"/>
  <c r="I22" i="3" s="1"/>
  <c r="W17" i="28"/>
  <c r="I29" i="3" s="1"/>
  <c r="P17" i="26"/>
  <c r="D17" i="27" s="1"/>
  <c r="L17" i="26"/>
  <c r="A17" i="27" s="1"/>
  <c r="W3" i="28"/>
  <c r="I15" i="3" s="1"/>
  <c r="X7" i="28"/>
  <c r="J19" i="3" s="1"/>
  <c r="Y3" i="28"/>
  <c r="K15" i="3" s="1"/>
  <c r="O24" i="26"/>
  <c r="C24" i="27" s="1"/>
  <c r="N3" i="26"/>
  <c r="B3" i="27" s="1"/>
  <c r="O14" i="26"/>
  <c r="C14" i="27" s="1"/>
  <c r="P28" i="26"/>
  <c r="D28" i="27" s="1"/>
  <c r="M28" i="26"/>
  <c r="P30" i="26"/>
  <c r="D30" i="27" s="1"/>
  <c r="P18" i="28"/>
  <c r="B30" i="3" s="1"/>
  <c r="R6" i="28"/>
  <c r="D18" i="3" s="1"/>
  <c r="N15" i="26"/>
  <c r="B15" i="27" s="1"/>
  <c r="X4" i="28"/>
  <c r="J16" i="3" s="1"/>
  <c r="U16" i="28"/>
  <c r="G28" i="3" s="1"/>
  <c r="O10" i="26"/>
  <c r="C10" i="27" s="1"/>
  <c r="R18" i="28"/>
  <c r="D30" i="3" s="1"/>
  <c r="M33" i="26"/>
  <c r="U8" i="28"/>
  <c r="G20" i="3" s="1"/>
  <c r="O22" i="26"/>
  <c r="C22" i="27" s="1"/>
  <c r="P27" i="26"/>
  <c r="D27" i="27" s="1"/>
  <c r="O16" i="26"/>
  <c r="C16" i="27" s="1"/>
  <c r="O9" i="28"/>
  <c r="A21" i="3" s="1"/>
  <c r="L6" i="26"/>
  <c r="A6" i="27" s="1"/>
  <c r="T16" i="28"/>
  <c r="F28" i="3" s="1"/>
  <c r="N16" i="26"/>
  <c r="B16" i="27" s="1"/>
  <c r="M15" i="26"/>
  <c r="L11" i="26"/>
  <c r="A11" i="27" s="1"/>
  <c r="M25" i="26"/>
  <c r="N23" i="26"/>
  <c r="B23" i="27" s="1"/>
  <c r="L28" i="26"/>
  <c r="A28" i="27" s="1"/>
  <c r="L26" i="26"/>
  <c r="A26" i="27" s="1"/>
  <c r="N11" i="26"/>
  <c r="B11" i="27" s="1"/>
  <c r="T10" i="28"/>
  <c r="F22" i="3" s="1"/>
  <c r="L30" i="26"/>
  <c r="A30" i="27" s="1"/>
  <c r="L23" i="26"/>
  <c r="A23" i="27" s="1"/>
  <c r="O10" i="28"/>
  <c r="A22" i="3" s="1"/>
  <c r="S18" i="28"/>
  <c r="E30" i="3" s="1"/>
  <c r="P6" i="26"/>
  <c r="D6" i="27" s="1"/>
  <c r="P29" i="26"/>
  <c r="D29" i="27" s="1"/>
  <c r="P8" i="28"/>
  <c r="B20" i="3" s="1"/>
  <c r="Y12" i="28"/>
  <c r="K24" i="3" s="1"/>
  <c r="N30" i="26"/>
  <c r="B30" i="27" s="1"/>
  <c r="R3" i="28"/>
  <c r="D15" i="3" s="1"/>
  <c r="M4" i="26"/>
  <c r="O15" i="28"/>
  <c r="A27" i="3" s="1"/>
  <c r="O21" i="26"/>
  <c r="C21" i="27" s="1"/>
  <c r="Q18" i="28"/>
  <c r="C30" i="3" s="1"/>
  <c r="V14" i="28"/>
  <c r="H26" i="3" s="1"/>
  <c r="S19" i="28"/>
  <c r="E31" i="3" s="1"/>
  <c r="T18" i="28"/>
  <c r="F30" i="3" s="1"/>
  <c r="Y11" i="28"/>
  <c r="K23" i="3" s="1"/>
  <c r="O32" i="26"/>
  <c r="C32" i="27" s="1"/>
  <c r="P4" i="26"/>
  <c r="D4" i="27" s="1"/>
  <c r="N32" i="26"/>
  <c r="B32" i="27" s="1"/>
  <c r="R15" i="28"/>
  <c r="D27" i="3" s="1"/>
  <c r="T5" i="28"/>
  <c r="F17" i="3" s="1"/>
  <c r="O13" i="28"/>
  <c r="A25" i="3" s="1"/>
  <c r="N26" i="26"/>
  <c r="B26" i="27" s="1"/>
  <c r="L34" i="26"/>
  <c r="A34" i="27" s="1"/>
  <c r="M10" i="26"/>
  <c r="N2" i="26"/>
  <c r="B2" i="27" s="1"/>
  <c r="V11" i="28"/>
  <c r="H23" i="3" s="1"/>
  <c r="T2" i="28"/>
  <c r="F14" i="3" s="1"/>
  <c r="V7" i="28"/>
  <c r="H19" i="3" s="1"/>
  <c r="P14" i="26"/>
  <c r="D14" i="27" s="1"/>
  <c r="S4" i="28"/>
  <c r="E16" i="3" s="1"/>
  <c r="P16" i="26"/>
  <c r="D16" i="27" s="1"/>
  <c r="P7" i="26"/>
  <c r="D7" i="27" s="1"/>
  <c r="W12" i="28"/>
  <c r="I24" i="3" s="1"/>
  <c r="P4" i="28"/>
  <c r="B16" i="3" s="1"/>
  <c r="L32" i="26"/>
  <c r="A32" i="27" s="1"/>
  <c r="M16" i="26"/>
  <c r="M12" i="26"/>
  <c r="N24" i="26"/>
  <c r="B24" i="27" s="1"/>
  <c r="P24" i="26"/>
  <c r="D24" i="27" s="1"/>
  <c r="S12" i="28"/>
  <c r="E24" i="3" s="1"/>
  <c r="T12" i="28"/>
  <c r="F24" i="3" s="1"/>
  <c r="L18" i="26"/>
  <c r="A18" i="27" s="1"/>
  <c r="L4" i="26"/>
  <c r="A4" i="27" s="1"/>
  <c r="P34" i="26"/>
  <c r="D34" i="27" s="1"/>
  <c r="M22" i="26"/>
  <c r="Y9" i="28"/>
  <c r="K21" i="3" s="1"/>
  <c r="Y17" i="28"/>
  <c r="K29" i="3" s="1"/>
  <c r="O19" i="28"/>
  <c r="A31" i="3" s="1"/>
  <c r="V10" i="28"/>
  <c r="H22" i="3" s="1"/>
  <c r="M32" i="26"/>
  <c r="V3" i="28"/>
  <c r="H15" i="3" s="1"/>
  <c r="P26" i="26"/>
  <c r="D26" i="27" s="1"/>
  <c r="S3" i="28"/>
  <c r="E15" i="3" s="1"/>
  <c r="U6" i="28"/>
  <c r="G18" i="3" s="1"/>
  <c r="O28" i="26"/>
  <c r="C28" i="27" s="1"/>
  <c r="L22" i="26"/>
  <c r="A22" i="27" s="1"/>
  <c r="T17" i="28"/>
  <c r="F29" i="3" s="1"/>
  <c r="P5" i="26"/>
  <c r="D5" i="27" s="1"/>
  <c r="W14" i="28"/>
  <c r="I26" i="3" s="1"/>
  <c r="Y18" i="28"/>
  <c r="K30" i="3" s="1"/>
  <c r="N7" i="26"/>
  <c r="B7" i="27" s="1"/>
  <c r="M31" i="26"/>
  <c r="R2" i="28"/>
  <c r="D14" i="3" s="1"/>
  <c r="N9" i="26"/>
  <c r="B9" i="27" s="1"/>
  <c r="U19" i="28"/>
  <c r="G31" i="3" s="1"/>
  <c r="P10" i="28"/>
  <c r="B22" i="3" s="1"/>
  <c r="L5" i="26"/>
  <c r="A5" i="27" s="1"/>
  <c r="L27" i="26"/>
  <c r="A27" i="27" s="1"/>
  <c r="L19" i="26"/>
  <c r="A19" i="27" s="1"/>
  <c r="S5" i="28"/>
  <c r="E17" i="3" s="1"/>
  <c r="S2" i="28"/>
  <c r="E14" i="3" s="1"/>
  <c r="N34" i="26"/>
  <c r="B34" i="27" s="1"/>
  <c r="P11" i="26"/>
  <c r="D11" i="27" s="1"/>
  <c r="L13" i="26"/>
  <c r="A13" i="27" s="1"/>
  <c r="M14" i="26"/>
  <c r="N21" i="26"/>
  <c r="B21" i="27" s="1"/>
  <c r="Y14" i="28"/>
  <c r="K26" i="3" s="1"/>
  <c r="Q4" i="28"/>
  <c r="C16" i="3" s="1"/>
  <c r="O5" i="26"/>
  <c r="C5" i="27" s="1"/>
  <c r="Y10" i="28"/>
  <c r="K22" i="3" s="1"/>
  <c r="Y7" i="28"/>
  <c r="K19" i="3" s="1"/>
  <c r="S15" i="28"/>
  <c r="E27" i="3" s="1"/>
  <c r="N6" i="26"/>
  <c r="B6" i="27" s="1"/>
  <c r="L20" i="26"/>
  <c r="A20" i="27" s="1"/>
  <c r="O6" i="28"/>
  <c r="A18" i="3" s="1"/>
  <c r="L31" i="26"/>
  <c r="A31" i="27" s="1"/>
  <c r="T11" i="28"/>
  <c r="F23" i="3" s="1"/>
  <c r="Q6" i="28"/>
  <c r="C18" i="3" s="1"/>
  <c r="N33" i="26"/>
  <c r="B33" i="27" s="1"/>
  <c r="P21" i="26"/>
  <c r="D21" i="27" s="1"/>
  <c r="P31" i="26"/>
  <c r="D31" i="27" s="1"/>
  <c r="S13" i="28"/>
  <c r="E25" i="3" s="1"/>
  <c r="O34" i="26"/>
  <c r="C34" i="27" s="1"/>
  <c r="S9" i="28"/>
  <c r="E21" i="3" s="1"/>
  <c r="Q7" i="28"/>
  <c r="C19" i="3" s="1"/>
  <c r="L25" i="26"/>
  <c r="A25" i="27" s="1"/>
  <c r="U17" i="28"/>
  <c r="G29" i="3" s="1"/>
  <c r="M8" i="26"/>
  <c r="V18" i="28"/>
  <c r="H30" i="3" s="1"/>
  <c r="O13" i="26"/>
  <c r="C13" i="27" s="1"/>
  <c r="R11" i="28"/>
  <c r="D23" i="3" s="1"/>
  <c r="T9" i="28"/>
  <c r="F21" i="3" s="1"/>
  <c r="P6" i="28"/>
  <c r="B18" i="3" s="1"/>
  <c r="X17" i="28"/>
  <c r="J29" i="3" s="1"/>
  <c r="R19" i="28"/>
  <c r="D31" i="3" s="1"/>
  <c r="X3" i="28"/>
  <c r="J15" i="3" s="1"/>
  <c r="O16" i="28"/>
  <c r="A28" i="3" s="1"/>
  <c r="N4" i="26"/>
  <c r="B4" i="27" s="1"/>
  <c r="X2" i="28"/>
  <c r="J14" i="3" s="1"/>
  <c r="P20" i="26"/>
  <c r="D20" i="27" s="1"/>
  <c r="S16" i="28"/>
  <c r="E28" i="3" s="1"/>
  <c r="T15" i="28"/>
  <c r="F27" i="3" s="1"/>
  <c r="V17" i="28"/>
  <c r="H29" i="3" s="1"/>
  <c r="L24" i="26"/>
  <c r="A24" i="27" s="1"/>
  <c r="T7" i="28"/>
  <c r="F19" i="3" s="1"/>
  <c r="L10" i="26"/>
  <c r="A10" i="27" s="1"/>
  <c r="M7" i="26"/>
  <c r="W18" i="28"/>
  <c r="I30" i="3" s="1"/>
  <c r="Y15" i="28"/>
  <c r="K27" i="3" s="1"/>
  <c r="L8" i="26"/>
  <c r="A8" i="27" s="1"/>
  <c r="N5" i="26"/>
  <c r="B5" i="27" s="1"/>
  <c r="S11" i="28"/>
  <c r="E23" i="3" s="1"/>
  <c r="O9" i="26"/>
  <c r="C9" i="27" s="1"/>
  <c r="O17" i="28"/>
  <c r="A29" i="3" s="1"/>
  <c r="M34" i="26"/>
  <c r="N17" i="26"/>
  <c r="B17" i="27" s="1"/>
  <c r="P7" i="28"/>
  <c r="B19" i="3" s="1"/>
  <c r="X14" i="28"/>
  <c r="J26" i="3" s="1"/>
  <c r="V4" i="28"/>
  <c r="H16" i="3" s="1"/>
  <c r="N22" i="26"/>
  <c r="B22" i="27" s="1"/>
  <c r="N29" i="26"/>
  <c r="B29" i="27" s="1"/>
  <c r="P32" i="26"/>
  <c r="D32" i="27" s="1"/>
  <c r="M17" i="26"/>
  <c r="O2" i="26"/>
  <c r="C2" i="27" s="1"/>
  <c r="P15" i="28"/>
  <c r="B27" i="3" s="1"/>
  <c r="V2" i="28"/>
  <c r="H14" i="3" s="1"/>
  <c r="P25" i="26"/>
  <c r="D25" i="27" s="1"/>
  <c r="X10" i="28"/>
  <c r="J22" i="3" s="1"/>
  <c r="O4" i="28"/>
  <c r="A16" i="3" s="1"/>
  <c r="V15" i="28"/>
  <c r="H27" i="3" s="1"/>
  <c r="P18" i="26"/>
  <c r="D18" i="27" s="1"/>
  <c r="S14" i="28"/>
  <c r="E26" i="3" s="1"/>
  <c r="M3" i="26"/>
  <c r="N13" i="26"/>
  <c r="B13" i="27" s="1"/>
  <c r="P13" i="26"/>
  <c r="D13" i="27" s="1"/>
  <c r="W19" i="28"/>
  <c r="I31" i="3" s="1"/>
  <c r="P12" i="26"/>
  <c r="D12" i="27" s="1"/>
  <c r="W2" i="28"/>
  <c r="I14" i="3" s="1"/>
  <c r="W11" i="28"/>
  <c r="I23" i="3" s="1"/>
  <c r="U3" i="28"/>
  <c r="G15" i="3" s="1"/>
  <c r="O17" i="26"/>
  <c r="C17" i="27" s="1"/>
  <c r="X6" i="28"/>
  <c r="J18" i="3" s="1"/>
  <c r="T13" i="28"/>
  <c r="F25" i="3" s="1"/>
  <c r="M26" i="26"/>
  <c r="U14" i="28"/>
  <c r="G26" i="3" s="1"/>
  <c r="M2" i="26"/>
  <c r="N27" i="26"/>
  <c r="B27" i="27" s="1"/>
  <c r="U2" i="28"/>
  <c r="G14" i="3" s="1"/>
  <c r="M11" i="26"/>
  <c r="Y8" i="28"/>
  <c r="K20" i="3" s="1"/>
  <c r="O8" i="28"/>
  <c r="A20" i="3" s="1"/>
  <c r="L2" i="26"/>
  <c r="A2" i="27" s="1"/>
  <c r="M29" i="26"/>
  <c r="N25" i="26"/>
  <c r="B25" i="27" s="1"/>
  <c r="M20" i="26"/>
  <c r="N12" i="26"/>
  <c r="B12" i="27" s="1"/>
  <c r="O11" i="28"/>
  <c r="A23" i="3" s="1"/>
  <c r="U9" i="28"/>
  <c r="G21" i="3" s="1"/>
  <c r="X16" i="28"/>
  <c r="J28" i="3" s="1"/>
  <c r="M23" i="26"/>
  <c r="P12" i="28"/>
  <c r="B24" i="3" s="1"/>
  <c r="O12" i="28"/>
  <c r="A24" i="3" s="1"/>
  <c r="M21" i="26"/>
  <c r="Q5" i="28"/>
  <c r="C17" i="3" s="1"/>
  <c r="W4" i="28"/>
  <c r="I16" i="3" s="1"/>
  <c r="P2" i="28"/>
  <c r="B14" i="3" s="1"/>
  <c r="R8" i="28"/>
  <c r="D20" i="3" s="1"/>
  <c r="S17" i="28"/>
  <c r="E29" i="3" s="1"/>
  <c r="X15" i="28"/>
  <c r="J27" i="3" s="1"/>
  <c r="O30" i="26"/>
  <c r="C30" i="27" s="1"/>
  <c r="O29" i="26"/>
  <c r="C29" i="27" s="1"/>
  <c r="N18" i="26"/>
  <c r="B18" i="27" s="1"/>
  <c r="Q16" i="28"/>
  <c r="C28" i="3" s="1"/>
  <c r="O6" i="26"/>
  <c r="C6" i="27" s="1"/>
  <c r="O3" i="26"/>
  <c r="C3" i="27" s="1"/>
  <c r="P11" i="28"/>
  <c r="B23" i="3" s="1"/>
  <c r="Q14" i="28"/>
  <c r="C26" i="3" s="1"/>
  <c r="P14" i="28"/>
  <c r="B26" i="3" s="1"/>
  <c r="X19" i="28"/>
  <c r="J31" i="3" s="1"/>
  <c r="Q10" i="28"/>
  <c r="C22" i="3" s="1"/>
  <c r="R17" i="28"/>
  <c r="D29" i="3" s="1"/>
  <c r="Y6" i="28"/>
  <c r="K18" i="3" s="1"/>
  <c r="X11" i="28"/>
  <c r="J23" i="3" s="1"/>
  <c r="L14" i="26"/>
  <c r="A14" i="27" s="1"/>
  <c r="Q19" i="28"/>
  <c r="C31" i="3" s="1"/>
  <c r="S7" i="28"/>
  <c r="E19" i="3" s="1"/>
  <c r="P15" i="26"/>
  <c r="D15" i="27" s="1"/>
  <c r="W6" i="28"/>
  <c r="I18" i="3" s="1"/>
  <c r="R13" i="28"/>
  <c r="D25" i="3" s="1"/>
  <c r="L9" i="26"/>
  <c r="A9" i="27" s="1"/>
  <c r="R14" i="28"/>
  <c r="D26" i="3" s="1"/>
  <c r="V8" i="28"/>
  <c r="H20" i="3" s="1"/>
  <c r="Q9" i="28"/>
  <c r="C21" i="3" s="1"/>
  <c r="R12" i="28"/>
  <c r="D24" i="3" s="1"/>
  <c r="Y4" i="28"/>
  <c r="K16" i="3" s="1"/>
  <c r="W5" i="28"/>
  <c r="I17" i="3" s="1"/>
  <c r="P33" i="26"/>
  <c r="D33" i="27" s="1"/>
  <c r="U13" i="28"/>
  <c r="G25" i="3" s="1"/>
  <c r="O15" i="26"/>
  <c r="C15" i="27" s="1"/>
  <c r="T19" i="28"/>
  <c r="F31" i="3" s="1"/>
  <c r="U18" i="28"/>
  <c r="G30" i="3" s="1"/>
  <c r="P2" i="26"/>
  <c r="D2" i="27" s="1"/>
  <c r="T14" i="28"/>
  <c r="F26" i="3" s="1"/>
  <c r="L12" i="26"/>
  <c r="A12" i="27" s="1"/>
  <c r="O7" i="28"/>
  <c r="A19" i="3" s="1"/>
  <c r="N31" i="26"/>
  <c r="B31" i="27" s="1"/>
  <c r="M30" i="26"/>
  <c r="P9" i="26"/>
  <c r="D9" i="27" s="1"/>
  <c r="M18" i="26"/>
  <c r="O8" i="26"/>
  <c r="C8" i="27" s="1"/>
  <c r="W16" i="28"/>
  <c r="I28" i="3" s="1"/>
  <c r="P5" i="28"/>
  <c r="B17" i="3" s="1"/>
  <c r="B11" i="3" l="1"/>
  <c r="D13" i="3"/>
  <c r="G13" i="3"/>
  <c r="C12" i="3"/>
  <c r="J12" i="3"/>
  <c r="E13" i="3"/>
  <c r="F12" i="3"/>
  <c r="F13" i="3"/>
  <c r="I12" i="3"/>
  <c r="B10" i="3"/>
  <c r="J13" i="3"/>
  <c r="H13" i="3"/>
  <c r="B12" i="3"/>
  <c r="A12" i="3"/>
  <c r="B1" i="3" s="1"/>
  <c r="C13" i="3"/>
  <c r="K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a.sandor</author>
  </authors>
  <commentList>
    <comment ref="C6"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C12" authorId="0" shapeId="0" xr:uid="{00000000-0006-0000-0000-000003000000}">
      <text>
        <r>
          <rPr>
            <sz val="9"/>
            <color indexed="81"/>
            <rFont val="Arial"/>
            <family val="2"/>
          </rPr>
          <t>Institute code for settlement with the social insurance institutions (9-digit number sequence: 26XXXXXXX).
Processing is only required for centers located in Germany.</t>
        </r>
      </text>
    </comment>
    <comment ref="I12" authorId="0" shapeId="0" xr:uid="{00000000-0006-0000-0000-000004000000}">
      <text>
        <r>
          <rPr>
            <sz val="9"/>
            <color indexed="81"/>
            <rFont val="Arial"/>
            <family val="2"/>
          </rPr>
          <t>dd.mm.yyyy
Carry-over to other spreadsheets is automatic.</t>
        </r>
      </text>
    </comment>
    <comment ref="C14" authorId="0" shapeId="0" xr:uid="{E18728A1-749E-4233-AAB8-0CB3A5EB309B}">
      <text>
        <r>
          <rPr>
            <sz val="9"/>
            <color indexed="81"/>
            <rFont val="Arial"/>
            <family val="2"/>
          </rPr>
          <t>Identifier assigned by the Institute for the Hospital Remuneration System (InEK) (9-digit number sequence: 77XXXXXXX).
Processing is only required for centers located in Germany.</t>
        </r>
      </text>
    </comment>
    <comment ref="I14" authorId="0" shapeId="0" xr:uid="{00000000-0006-0000-0000-000005000000}">
      <text>
        <r>
          <rPr>
            <sz val="9"/>
            <color indexed="81"/>
            <rFont val="Arial"/>
            <family val="2"/>
          </rPr>
          <t>Selection by Reg. No.</t>
        </r>
      </text>
    </comment>
    <comment ref="C16" authorId="0" shapeId="0" xr:uid="{4C15D9EE-0524-414D-ABCE-66DAAC8828F5}">
      <text>
        <r>
          <rPr>
            <sz val="9"/>
            <color indexed="81"/>
            <rFont val="Arial"/>
            <family val="2"/>
          </rPr>
          <t>Name, first name</t>
        </r>
      </text>
    </comment>
    <comment ref="F24" authorId="0" shapeId="0" xr:uid="{00000000-0006-0000-0000-000006000000}">
      <text>
        <r>
          <rPr>
            <sz val="9"/>
            <color indexed="81"/>
            <rFont val="Arial"/>
            <family val="2"/>
          </rPr>
          <t>For the automatic generation of the Indicator Sheet and the matrix outcome quality colorectal, breast and prostate, an evaluation tool (XML-OncoBox) is available which can be integrated into different tumour documentation systems. Further information can be accessed on XML-OncoBox under www.onkozert.de in the section Remarks.
www.xml-oncobox.de</t>
        </r>
      </text>
    </comment>
    <comment ref="B27" authorId="0" shapeId="0" xr:uid="{00000000-0006-0000-0000-000007000000}">
      <text>
        <r>
          <rPr>
            <sz val="9"/>
            <color indexed="81"/>
            <rFont val="Arial"/>
            <family val="2"/>
          </rPr>
          <t>CR = Catalogue of Requirements
IS = Indicator Sheet
IN = Indicator</t>
        </r>
      </text>
    </comment>
    <comment ref="I31" authorId="1" shapeId="0" xr:uid="{00000000-0006-0000-0000-000008000000}">
      <text>
        <r>
          <rPr>
            <sz val="9"/>
            <color indexed="81"/>
            <rFont val="Arial"/>
            <family val="2"/>
          </rPr>
          <t>Denominator IN: 17</t>
        </r>
      </text>
    </comment>
    <comment ref="J32" authorId="1" shapeId="0" xr:uid="{00000000-0006-0000-0000-000009000000}">
      <text>
        <r>
          <rPr>
            <sz val="9"/>
            <color indexed="81"/>
            <rFont val="Arial"/>
            <family val="2"/>
          </rPr>
          <t>Denominator IN: 14</t>
        </r>
      </text>
    </comment>
    <comment ref="J37" authorId="0" shapeId="0" xr:uid="{00000000-0006-0000-0000-00000A000000}">
      <text>
        <r>
          <rPr>
            <sz val="9"/>
            <color indexed="81"/>
            <rFont val="Arial"/>
            <family val="2"/>
          </rPr>
          <t>Number IN: 1a
Denominator IN: 2, 6
Part of denominator IN: 4, 5, 20</t>
        </r>
      </text>
    </comment>
    <comment ref="J38" authorId="0" shapeId="0" xr:uid="{00000000-0006-0000-0000-00000B000000}">
      <text>
        <r>
          <rPr>
            <sz val="9"/>
            <color indexed="81"/>
            <rFont val="Arial"/>
            <family val="2"/>
          </rPr>
          <t>Number IN: 8
Denominator IN: 3, 12</t>
        </r>
      </text>
    </comment>
    <comment ref="J40" authorId="0" shapeId="0" xr:uid="{00000000-0006-0000-0000-00000C000000}">
      <text>
        <r>
          <rPr>
            <sz val="9"/>
            <color indexed="81"/>
            <rFont val="Arial"/>
            <family val="2"/>
          </rPr>
          <t>Number IN: 9
Denominator IN: 10, 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5" authorId="0" shapeId="0" xr:uid="{48C4B6B3-0E08-4AC0-9628-0B174E0D3EC3}">
      <text>
        <r>
          <rPr>
            <sz val="9"/>
            <color indexed="81"/>
            <rFont val="Arial"/>
            <family val="2"/>
          </rPr>
          <t>Numerator IN: 6</t>
        </r>
      </text>
    </comment>
    <comment ref="A9" authorId="0" shapeId="0" xr:uid="{47CF1ECD-73B9-4F60-BBA8-D7D687DD8FAF}">
      <text>
        <r>
          <rPr>
            <sz val="9"/>
            <color indexed="81"/>
            <rFont val="Arial"/>
            <family val="2"/>
          </rPr>
          <t>Responsible co-operation partner: Study unit/department responsible for the supervision of the study (e.g. Department of Radio-oncology; Haematology/Oncology Group Practice Dr Example; ...). Name of co-operation partner identical to www.oncomap.de, if listed.
·  External: Center (name as listed at www.oncomap.de) or clinic</t>
        </r>
      </text>
    </comment>
    <comment ref="D10" authorId="0" shapeId="0" xr:uid="{C7EC531E-7277-4EBC-B24C-45E98F50A28C}">
      <text>
        <r>
          <rPr>
            <sz val="9"/>
            <color indexed="81"/>
            <rFont val="Arial"/>
            <family val="2"/>
          </rPr>
          <t>Optional, see section 1.7.6</t>
        </r>
      </text>
    </comment>
    <comment ref="E10" authorId="0" shapeId="0" xr:uid="{91778F13-3E07-49BC-86BC-A6958C6BFDAC}">
      <text>
        <r>
          <rPr>
            <sz val="9"/>
            <color indexed="81"/>
            <rFont val="Arial"/>
            <family val="2"/>
          </rPr>
          <t>Optional, see section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7" authorId="0" shapeId="0" xr:uid="{EF6E2182-0A0F-46F5-9077-810EBA30F845}">
      <text>
        <r>
          <rPr>
            <sz val="9"/>
            <color indexed="81"/>
            <rFont val="Arial"/>
            <family val="2"/>
          </rPr>
          <t>Relevant for multi-site centres or in the event that an examiner is regularly active at several clinical sites/clinics or in several colonoscopy units (examiner experience must be differentiated per colonoscopy unit)</t>
        </r>
      </text>
    </comment>
    <comment ref="D7" authorId="0" shapeId="0" xr:uid="{C1B4756D-B245-4C2F-8116-D7D1DC91CD1A}">
      <text>
        <r>
          <rPr>
            <sz val="9"/>
            <color indexed="81"/>
            <rFont val="Arial"/>
            <family val="2"/>
          </rPr>
          <t>Period usually the previous calendar year (= indicator year); deviations e.g. in case of staff turnover, appointment of surgeons during the year; in case of unclear fulfilment, 1 surgeon can also be listed twice for 2 periods (e.g. last calendar year and current year until date of submission CR)</t>
        </r>
      </text>
    </comment>
    <comment ref="E7" authorId="0" shapeId="0" xr:uid="{3F33B904-FA68-4202-AABF-73105F4904EB}">
      <text>
        <r>
          <rPr>
            <sz val="9"/>
            <color indexed="81"/>
            <rFont val="Arial"/>
            <family val="2"/>
          </rPr>
          <t>according to the definition in the Catalouge of Requirement in section 2.1.13</t>
        </r>
      </text>
    </comment>
    <comment ref="F7" authorId="0" shapeId="0" xr:uid="{85A4924E-3498-4E6F-8307-7D286D05C869}">
      <text>
        <r>
          <rPr>
            <sz val="9"/>
            <color indexed="81"/>
            <rFont val="Arial"/>
            <family val="2"/>
          </rPr>
          <t>according to the definition in the Catalouge of Requirement in section 2.1.13</t>
        </r>
      </text>
    </comment>
    <comment ref="G7" authorId="0" shapeId="0" xr:uid="{ADDA3EC7-CA40-4E62-930F-959DC7ED8940}">
      <text>
        <r>
          <rPr>
            <sz val="9"/>
            <color indexed="81"/>
            <rFont val="Arial"/>
            <family val="2"/>
          </rPr>
          <t>according to the definition in the Catalouge of Requirement in section 2.1.13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27282D7C-3D45-4D2F-82B5-3ECCB209BA67}">
      <text>
        <r>
          <rPr>
            <sz val="9"/>
            <color indexed="81"/>
            <rFont val="Arial"/>
            <family val="2"/>
          </rPr>
          <t>Prerequisite: basic qualification (according to CR 5.2.5): specialist in visceral surgery with additional training in special visceral surgery (from the Specimen Training Regulations for Physicians 2003, as at 25 June 2010). Equivalent qualifications are specialist in visceral surgery according to the older Medical Licencing Regulations or the visceral surgery specialism according to the older Medical Licencing Regulations. The specialist in general surgery or specialist in visceral surgery without additional training according to the Medical Licencing Regulations as of 2010 or later is not recognised.</t>
        </r>
      </text>
    </comment>
    <comment ref="D6" authorId="0" shapeId="0" xr:uid="{35DF7E64-DB4C-4187-9040-62ECFDEAB14C}">
      <text>
        <r>
          <rPr>
            <sz val="9"/>
            <color indexed="81"/>
            <rFont val="Arial"/>
            <family val="2"/>
          </rPr>
          <t>This is relevant for centres with multiple clinical sites or in the event that a surgeon regularly works at multiple clinical sites/ centre (surgical expertise is to be shown separately for each clinical site/ centre)</t>
        </r>
      </text>
    </comment>
    <comment ref="E6" authorId="0" shapeId="0" xr:uid="{81FB58D5-9F06-455D-B3C5-1B784ADAA534}">
      <text>
        <r>
          <rPr>
            <sz val="9"/>
            <color indexed="81"/>
            <rFont val="Arial"/>
            <family val="2"/>
          </rPr>
          <t>Period usually the previous calendar year (= indicator year); deviations e.g. in case of staff turnover, appointment of operators during the year; in case of unclear fulfilment, 1 surgeon can also be listed twice for 2 periods (e.g. last calendar year and current year until date of submission CR)</t>
        </r>
      </text>
    </comment>
    <comment ref="F23" authorId="0" shapeId="0" xr:uid="{2405DE51-E34E-4647-A16E-0EF424743575}">
      <text>
        <r>
          <rPr>
            <sz val="9"/>
            <color indexed="81"/>
            <rFont val="Arial"/>
            <family val="2"/>
          </rPr>
          <t>Total ‘Primary surgical cases’ basic data may differ from the total number of surgeries per surgeon.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Florina</author>
    <author xml:space="preserve">OnkoZert </author>
    <author>a.sandor</author>
  </authors>
  <commentList>
    <comment ref="D5" authorId="0" shapeId="0" xr:uid="{534C205A-05B2-4651-9969-01425ECAAD17}">
      <text>
        <r>
          <rPr>
            <sz val="9"/>
            <color indexed="81"/>
            <rFont val="Arial"/>
            <family val="2"/>
          </rPr>
          <t>Carry-over from spreadsheet Basic data</t>
        </r>
      </text>
    </comment>
    <comment ref="G5" authorId="0" shapeId="0" xr:uid="{7855B61C-8F79-4E01-963A-491D0F1A76F4}">
      <text>
        <r>
          <rPr>
            <sz val="9"/>
            <color indexed="81"/>
            <rFont val="Arial"/>
            <family val="2"/>
          </rPr>
          <t>Carry-over from spreadsheet Basic data</t>
        </r>
      </text>
    </comment>
    <comment ref="B7" authorId="0" shapeId="0" xr:uid="{00000000-0006-0000-0400-000004000000}">
      <text>
        <r>
          <rPr>
            <sz val="9"/>
            <color indexed="81"/>
            <rFont val="Arial"/>
            <family val="2"/>
          </rPr>
          <t>IN = Indicator</t>
        </r>
      </text>
    </comment>
    <comment ref="D7" authorId="0" shapeId="0" xr:uid="{00000000-0006-0000-0400-000005000000}">
      <text>
        <r>
          <rPr>
            <sz val="9"/>
            <color indexed="81"/>
            <rFont val="Arial"/>
            <family val="2"/>
          </rPr>
          <t>CR = Catalogue of Requirements
GL QI = Guideline derived quality indicator</t>
        </r>
      </text>
    </comment>
    <comment ref="Q7" authorId="0" shapeId="0" xr:uid="{00000000-0006-0000-0400-000006000000}">
      <text>
        <r>
          <rPr>
            <sz val="9"/>
            <color indexed="81"/>
            <rFont val="Arial"/>
            <family val="2"/>
          </rPr>
          <t>Please first fully complete the spreadsheet Basic Data and then complete the grey fields current values.</t>
        </r>
      </text>
    </comment>
    <comment ref="T8" authorId="0" shapeId="0" xr:uid="{00000000-0006-0000-0400-000007000000}">
      <text>
        <r>
          <rPr>
            <sz val="9"/>
            <color indexed="81"/>
            <rFont val="Arial"/>
            <family val="2"/>
          </rPr>
          <t>If cell is grey, please give reasons.</t>
        </r>
      </text>
    </comment>
    <comment ref="R9" authorId="0" shapeId="0" xr:uid="{00000000-0006-0000-0400-000008000000}">
      <text>
        <r>
          <rPr>
            <sz val="9"/>
            <color indexed="81"/>
            <rFont val="Arial"/>
            <family val="2"/>
          </rPr>
          <t>Carry-over from spreadsheet Basic Data Cell J37</t>
        </r>
      </text>
    </comment>
    <comment ref="R16" authorId="0" shapeId="0" xr:uid="{00000000-0006-0000-0400-000009000000}">
      <text>
        <r>
          <rPr>
            <sz val="9"/>
            <color indexed="81"/>
            <rFont val="Arial"/>
            <family val="2"/>
          </rPr>
          <t>Carry-over from spreadsheet Basic Data Cell J37</t>
        </r>
      </text>
    </comment>
    <comment ref="R19" authorId="1" shapeId="0" xr:uid="{67DE157F-9DCA-48F1-A91A-C827560A3756}">
      <text>
        <r>
          <rPr>
            <sz val="9"/>
            <color indexed="81"/>
            <rFont val="Arial"/>
            <family val="2"/>
          </rPr>
          <t>Carry over from number IN 1b</t>
        </r>
      </text>
    </comment>
    <comment ref="R22" authorId="0" shapeId="0" xr:uid="{00000000-0006-0000-0400-00000A000000}">
      <text>
        <r>
          <rPr>
            <sz val="9"/>
            <color indexed="81"/>
            <rFont val="Arial"/>
            <family val="2"/>
          </rPr>
          <t>Carry-over from spreadsheet Basic Data Cell J38</t>
        </r>
      </text>
    </comment>
    <comment ref="E24" authorId="1" shapeId="0" xr:uid="{44EE35DE-A727-4C1C-93FA-88D2666C02C3}">
      <text>
        <r>
          <rPr>
            <sz val="9"/>
            <color indexed="81"/>
            <rFont val="Arial"/>
            <family val="2"/>
          </rPr>
          <t>Screening instruments can be found in the S3 guideline Psycho-oncological diagnosis, counselling and treatment of adult cancer patients.</t>
        </r>
      </text>
    </comment>
    <comment ref="H24" authorId="1" shapeId="0" xr:uid="{2FB1103B-4EC8-4914-B8D9-7D98CB7B5158}">
      <text>
        <r>
          <rPr>
            <sz val="9"/>
            <color indexed="81"/>
            <rFont val="Arial"/>
            <family val="2"/>
          </rPr>
          <t xml:space="preserve">Distress-screnning includes  the use of a valid distress instrument (analogous to the S3 guideline on psycho-oncological diagnosis, counselling and treatment of adult cancer patient).
</t>
        </r>
      </text>
    </comment>
    <comment ref="R25" authorId="2" shapeId="0" xr:uid="{00000000-0006-0000-0400-00000B000000}">
      <text>
        <r>
          <rPr>
            <sz val="9"/>
            <color indexed="81"/>
            <rFont val="Arial"/>
            <family val="2"/>
          </rPr>
          <t>Carry-over from Number IN 1a + Number IN 1b</t>
        </r>
      </text>
    </comment>
    <comment ref="R28" authorId="0" shapeId="0" xr:uid="{00000000-0006-0000-0400-00000C000000}">
      <text>
        <r>
          <rPr>
            <sz val="9"/>
            <color indexed="81"/>
            <rFont val="Arial"/>
            <family val="2"/>
          </rPr>
          <t>Denominator IN: 4</t>
        </r>
      </text>
    </comment>
    <comment ref="E30" authorId="1" shapeId="0" xr:uid="{5C969C13-D0AD-4CF7-8A98-F1E65F9FC0CD}">
      <text>
        <r>
          <rPr>
            <sz val="9"/>
            <color indexed="81"/>
            <rFont val="Arial"/>
            <family val="2"/>
          </rPr>
          <t>For further explanations see FAQ.</t>
        </r>
      </text>
    </comment>
    <comment ref="R30" authorId="3" shapeId="0" xr:uid="{00000000-0006-0000-0400-00000D000000}">
      <text>
        <r>
          <rPr>
            <sz val="9"/>
            <color indexed="81"/>
            <rFont val="Arial"/>
            <family val="2"/>
          </rPr>
          <t>The numerator is not a subset of the denominator.
Carry-over from spreadsheet Studies Cell E5.</t>
        </r>
      </text>
    </comment>
    <comment ref="R31" authorId="0" shapeId="0" xr:uid="{00000000-0006-0000-0400-00000E000000}">
      <text>
        <r>
          <rPr>
            <sz val="9"/>
            <color indexed="81"/>
            <rFont val="Arial"/>
            <family val="2"/>
          </rPr>
          <t>Carry-over from spreadsheet Basic Data Cell J37</t>
        </r>
      </text>
    </comment>
    <comment ref="E33" authorId="1" shapeId="0" xr:uid="{F4E2F0F8-BC23-4D5B-83D9-5775C5725E31}">
      <text>
        <r>
          <rPr>
            <sz val="9"/>
            <color indexed="81"/>
            <rFont val="Arial"/>
            <family val="2"/>
          </rPr>
          <t>For further explanations see FAQ.</t>
        </r>
      </text>
    </comment>
    <comment ref="R37" authorId="0" shapeId="0" xr:uid="{00000000-0006-0000-0400-00000F000000}">
      <text>
        <r>
          <rPr>
            <sz val="9"/>
            <color indexed="81"/>
            <rFont val="Arial"/>
            <family val="2"/>
          </rPr>
          <t>Denominator IN: 7a</t>
        </r>
      </text>
    </comment>
    <comment ref="R39" authorId="0" shapeId="0" xr:uid="{00000000-0006-0000-0400-000010000000}">
      <text>
        <r>
          <rPr>
            <sz val="9"/>
            <color indexed="81"/>
            <rFont val="Arial"/>
            <family val="2"/>
          </rPr>
          <t>Carry-over from spreadsheet Basic Data Cell J38</t>
        </r>
      </text>
    </comment>
    <comment ref="R42" authorId="0" shapeId="0" xr:uid="{00000000-0006-0000-0400-000011000000}">
      <text>
        <r>
          <rPr>
            <sz val="9"/>
            <color indexed="81"/>
            <rFont val="Arial"/>
            <family val="2"/>
          </rPr>
          <t>Carry-over from spreadsheet Basic Data Cell J40</t>
        </r>
      </text>
    </comment>
    <comment ref="R46" authorId="0" shapeId="0" xr:uid="{00000000-0006-0000-0400-000012000000}">
      <text>
        <r>
          <rPr>
            <sz val="9"/>
            <color indexed="81"/>
            <rFont val="Arial"/>
            <family val="2"/>
          </rPr>
          <t xml:space="preserve">Carry-over from spreadsheet Basic Data Cell J40 </t>
        </r>
      </text>
    </comment>
    <comment ref="E48" authorId="1" shapeId="0" xr:uid="{79D61DF7-9307-4CA7-81C9-F3E26CE0AC00}">
      <text>
        <r>
          <rPr>
            <sz val="9"/>
            <color indexed="81"/>
            <rFont val="Arial"/>
            <family val="2"/>
          </rPr>
          <t>See also the document "Information on Pancreas Coaching.”</t>
        </r>
      </text>
    </comment>
    <comment ref="R55" authorId="0" shapeId="0" xr:uid="{00000000-0006-0000-0400-000015000000}">
      <text>
        <r>
          <rPr>
            <sz val="9"/>
            <color indexed="81"/>
            <rFont val="Arial"/>
            <family val="2"/>
          </rPr>
          <t>Carry-over from spreadsheet Basic Data Cell J38</t>
        </r>
      </text>
    </comment>
    <comment ref="E60" authorId="1" shapeId="0" xr:uid="{38D951B9-7815-47B8-BDB3-397913DB5E12}">
      <text>
        <r>
          <rPr>
            <sz val="9"/>
            <color indexed="81"/>
            <rFont val="Arial"/>
            <family val="2"/>
          </rPr>
          <t>For further explanations see FAQ.</t>
        </r>
      </text>
    </comment>
    <comment ref="R61" authorId="4" shapeId="0" xr:uid="{00000000-0006-0000-0400-000016000000}">
      <text>
        <r>
          <rPr>
            <sz val="9"/>
            <color indexed="81"/>
            <rFont val="Arial"/>
            <family val="2"/>
          </rPr>
          <t>Carry-over from spreadsheet Basic Data Cell J32</t>
        </r>
      </text>
    </comment>
    <comment ref="R70" authorId="4" shapeId="0" xr:uid="{00000000-0006-0000-0400-000017000000}">
      <text>
        <r>
          <rPr>
            <sz val="9"/>
            <color indexed="81"/>
            <rFont val="Arial"/>
            <family val="2"/>
          </rPr>
          <t>Carry-over from spreadsheet Basic Data Cell I31</t>
        </r>
      </text>
    </comment>
    <comment ref="R76" authorId="1" shapeId="0" xr:uid="{80B8968B-0511-4781-B324-813B381F2D69}">
      <text>
        <r>
          <rPr>
            <sz val="9"/>
            <color indexed="81"/>
            <rFont val="Arial"/>
            <family val="2"/>
          </rPr>
          <t>Carry-over from spreadsheet Basic Data Cell J40</t>
        </r>
      </text>
    </comment>
    <comment ref="R79" authorId="1" shapeId="0" xr:uid="{422D6157-9152-432F-A032-89079912A141}">
      <text>
        <r>
          <rPr>
            <sz val="9"/>
            <color indexed="81"/>
            <rFont val="Arial"/>
            <family val="2"/>
          </rPr>
          <t>Carry-over from Number IN 1a + Number IN 1b</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J23" authorId="0" shapeId="0" xr:uid="{00000000-0006-0000-0600-000001000000}">
      <text>
        <r>
          <rPr>
            <sz val="9"/>
            <color indexed="81"/>
            <rFont val="Tahoma"/>
            <family val="2"/>
          </rPr>
          <t xml:space="preserve">für Matrix EQ
</t>
        </r>
      </text>
    </comment>
    <comment ref="H31" authorId="0" shapeId="0" xr:uid="{00000000-0006-0000-0600-000002000000}">
      <text>
        <r>
          <rPr>
            <b/>
            <sz val="9"/>
            <color indexed="81"/>
            <rFont val="Tahoma"/>
            <family val="2"/>
          </rPr>
          <t>OnkoZert - Christine Keller:</t>
        </r>
        <r>
          <rPr>
            <sz val="9"/>
            <color indexed="81"/>
            <rFont val="Tahoma"/>
            <family val="2"/>
          </rPr>
          <t xml:space="preserve">
Angabe aus KB übernommen.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800-000001000000}">
      <text>
        <r>
          <rPr>
            <sz val="9"/>
            <color indexed="81"/>
            <rFont val="Arial"/>
            <family val="2"/>
          </rPr>
          <t>Übertrag erfolgt aus Tabellenblatt Basisdaten</t>
        </r>
      </text>
    </comment>
    <comment ref="C8" authorId="0" shapeId="0" xr:uid="{00000000-0006-0000-0800-000002000000}">
      <text>
        <r>
          <rPr>
            <sz val="9"/>
            <color indexed="81"/>
            <rFont val="Arial"/>
            <family val="2"/>
          </rPr>
          <t>Übertrag erfolgt aus Tabellenblatt Basisdaten</t>
        </r>
      </text>
    </comment>
    <comment ref="J8" authorId="0" shapeId="0" xr:uid="{00000000-0006-0000-0800-000003000000}">
      <text>
        <r>
          <rPr>
            <sz val="9"/>
            <color indexed="81"/>
            <rFont val="Arial"/>
            <family val="2"/>
          </rPr>
          <t>Übertrag erfolgt aus Tabellenblatt Basisdaten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900-000001000000}">
      <text>
        <r>
          <rPr>
            <sz val="9"/>
            <color indexed="81"/>
            <rFont val="Arial"/>
            <family val="2"/>
          </rPr>
          <t>Übertrag erfolgt aus Tabellenblatt Basisdaten</t>
        </r>
      </text>
    </comment>
    <comment ref="C8" authorId="0" shapeId="0" xr:uid="{00000000-0006-0000-0900-000002000000}">
      <text>
        <r>
          <rPr>
            <sz val="9"/>
            <color indexed="81"/>
            <rFont val="Arial"/>
            <family val="2"/>
          </rPr>
          <t>Übertrag erfolgt aus Tabellenblatt Basisdaten</t>
        </r>
      </text>
    </comment>
    <comment ref="S8" authorId="0" shapeId="0" xr:uid="{00000000-0006-0000-0900-000003000000}">
      <text>
        <r>
          <rPr>
            <sz val="9"/>
            <color indexed="81"/>
            <rFont val="Arial"/>
            <family val="2"/>
          </rPr>
          <t>Übertrag erfolgt aus Tabellenblatt Basisdaten</t>
        </r>
      </text>
    </comment>
    <comment ref="O27" authorId="0" shapeId="0" xr:uid="{00000000-0006-0000-0900-000004000000}">
      <text>
        <r>
          <rPr>
            <sz val="9"/>
            <color indexed="81"/>
            <rFont val="Arial"/>
            <family val="2"/>
          </rPr>
          <t>Ø Follow-Up Quote der letzten 2-4 Jahre (Antrag REDZYK mind. 80,0%)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D00-000001000000}">
      <text>
        <r>
          <rPr>
            <sz val="9"/>
            <color indexed="81"/>
            <rFont val="Arial"/>
            <family val="2"/>
          </rPr>
          <t>Übertrag erfolgt aus Tabellenblatt Basisdaten</t>
        </r>
      </text>
    </comment>
    <comment ref="C8" authorId="0" shapeId="0" xr:uid="{00000000-0006-0000-0D00-000002000000}">
      <text>
        <r>
          <rPr>
            <sz val="9"/>
            <color indexed="81"/>
            <rFont val="Arial"/>
            <family val="2"/>
          </rPr>
          <t>Übertrag erfolgt aus Tabellenblatt Basisdaten</t>
        </r>
      </text>
    </comment>
    <comment ref="G8" authorId="0" shapeId="0" xr:uid="{00000000-0006-0000-0D00-000003000000}">
      <text>
        <r>
          <rPr>
            <sz val="9"/>
            <color indexed="81"/>
            <rFont val="Arial"/>
            <family val="2"/>
          </rPr>
          <t>Übertrag erfolgt aus Tabellenblatt Basisdaten</t>
        </r>
      </text>
    </comment>
    <comment ref="C15" authorId="0" shapeId="0" xr:uid="{00000000-0006-0000-0D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<sst xmlns="http://schemas.openxmlformats.org/spreadsheetml/2006/main" count="2069" uniqueCount="1403">
  <si>
    <t>Nr.</t>
  </si>
  <si>
    <t>Sollvorgabe</t>
  </si>
  <si>
    <t>Nenner</t>
  </si>
  <si>
    <t>Primärfälle</t>
  </si>
  <si>
    <t>Sollvorgabe nicht erfüllt</t>
  </si>
  <si>
    <t>F</t>
  </si>
  <si>
    <t>Jahr der Erstdiagnose</t>
  </si>
  <si>
    <t>Diagnose Zweitmalignom im Verlauf</t>
  </si>
  <si>
    <t>Summe</t>
  </si>
  <si>
    <t>Gesamt</t>
  </si>
  <si>
    <t>Quote</t>
  </si>
  <si>
    <t>Reg.-Nr.</t>
  </si>
  <si>
    <t>Bundesland</t>
  </si>
  <si>
    <t>Universitätsstatus</t>
  </si>
  <si>
    <t>Thüringen</t>
  </si>
  <si>
    <t>GTDS</t>
  </si>
  <si>
    <t>Tumorzentrum Erfurt</t>
  </si>
  <si>
    <t>Tumordokumentationssystem</t>
  </si>
  <si>
    <t>KIS-Erweiterung</t>
  </si>
  <si>
    <t>Comprehensive Cancer Center Tübingen</t>
  </si>
  <si>
    <t>Comprehensive Cancer Center Ulm</t>
  </si>
  <si>
    <t>Kassenärztliche Vereinigung Niedersachsen</t>
  </si>
  <si>
    <t>Onkol. Schwerpunkt Ludwigsburg-Bietigheim</t>
  </si>
  <si>
    <t>Onkologischer Schwerpunkt Konstanz-Singen</t>
  </si>
  <si>
    <t>Onkologischer Schwerpunkt Ortenaukreis</t>
  </si>
  <si>
    <t>Onkologischer Schwerpunkt Stuttgart</t>
  </si>
  <si>
    <t>Tumorzentrum Augsburg</t>
  </si>
  <si>
    <t>Tumorzentrum Erlangen-Nürnberg</t>
  </si>
  <si>
    <t>Tumorzentrum Gera</t>
  </si>
  <si>
    <t>Tumorzentrum Halle</t>
  </si>
  <si>
    <t>Tumorzentrum Jena</t>
  </si>
  <si>
    <t>Tumorzentrum Leipzig</t>
  </si>
  <si>
    <t>Tumorzentrum Magdeburg</t>
  </si>
  <si>
    <t>Tumorzentrum Marburg</t>
  </si>
  <si>
    <t>Tumorzentrum München</t>
  </si>
  <si>
    <t>Tumorzentrum Regensburg</t>
  </si>
  <si>
    <t>Tumorzentrum Rheinland-Pfalz</t>
  </si>
  <si>
    <t>Universitär</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</si>
  <si>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</si>
  <si>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</si>
  <si>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</si>
  <si>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</si>
  <si>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</si>
  <si>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</si>
  <si>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</si>
  <si>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</si>
  <si>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</si>
  <si>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</si>
  <si>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</si>
  <si>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</si>
  <si>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</si>
  <si>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</si>
  <si>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</si>
  <si>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</si>
  <si>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</si>
  <si>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</si>
  <si>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</si>
  <si>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</si>
  <si>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</si>
  <si>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</si>
  <si>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</si>
  <si>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</si>
  <si>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</si>
  <si>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</si>
  <si>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</si>
  <si>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</si>
  <si>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</si>
  <si>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</si>
  <si>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</si>
  <si>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Tumorzentrum Zwickau</t>
  </si>
  <si>
    <t>Italien</t>
  </si>
  <si>
    <t>Kennzahlenbogen</t>
  </si>
  <si>
    <t>Erstelldatum</t>
  </si>
  <si>
    <t>Plausibilität unklar</t>
  </si>
  <si>
    <t xml:space="preserve">Reg.-Nr. </t>
  </si>
  <si>
    <t>Erstzertifizierung</t>
  </si>
  <si>
    <t>Basisdaten</t>
  </si>
  <si>
    <t>L</t>
  </si>
  <si>
    <t>Follow-Up-Meldungen</t>
  </si>
  <si>
    <t>Pflicht Berechnung</t>
  </si>
  <si>
    <t>Optional Berechnung</t>
  </si>
  <si>
    <t>In Ordnung</t>
  </si>
  <si>
    <t>Inkorrekt</t>
  </si>
  <si>
    <t>Unvollständig</t>
  </si>
  <si>
    <t>11</t>
  </si>
  <si>
    <t>12</t>
  </si>
  <si>
    <t>kein Eintrag</t>
  </si>
  <si>
    <t>n.d.</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</si>
  <si>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</si>
  <si>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</si>
  <si>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</si>
  <si>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</si>
  <si>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</si>
  <si>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</si>
  <si>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</si>
  <si>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</si>
  <si>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</si>
  <si>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</si>
  <si>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</si>
  <si>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</si>
  <si>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untere Grenze</t>
  </si>
  <si>
    <t>obere Grenze</t>
  </si>
  <si>
    <t>Werte</t>
  </si>
  <si>
    <t>Texte</t>
  </si>
  <si>
    <t>von</t>
  </si>
  <si>
    <t>ART</t>
  </si>
  <si>
    <t>plausi</t>
  </si>
  <si>
    <t>sollvorgabe</t>
  </si>
  <si>
    <t>unvollständig</t>
  </si>
  <si>
    <t>Liste zum Übertragen</t>
  </si>
  <si>
    <t>Kalenderjahr(e) 
(Erstdiagnose)</t>
  </si>
  <si>
    <t>Länge</t>
  </si>
  <si>
    <t>Prüfung der Nenner</t>
  </si>
  <si>
    <t>Erläuterung</t>
  </si>
  <si>
    <t>relevant</t>
  </si>
  <si>
    <t>Zentrum</t>
  </si>
  <si>
    <t>Matrix kann eingereicht werden</t>
  </si>
  <si>
    <t>Einrichtung 1</t>
  </si>
  <si>
    <t>Status</t>
  </si>
  <si>
    <t>Land</t>
  </si>
  <si>
    <t>Nebenstandort</t>
  </si>
  <si>
    <t>Phase</t>
  </si>
  <si>
    <t>Audit Start</t>
  </si>
  <si>
    <t>Audit Ende</t>
  </si>
  <si>
    <t>Phase 2012</t>
  </si>
  <si>
    <t>Phase 2013</t>
  </si>
  <si>
    <t>Zellen müssen nicht ausgefüllt werden</t>
  </si>
  <si>
    <t>DFS auffällig niedrig</t>
  </si>
  <si>
    <t xml:space="preserve">OAS auffällig niedrig </t>
  </si>
  <si>
    <t>2</t>
  </si>
  <si>
    <t>3</t>
  </si>
  <si>
    <t>4</t>
  </si>
  <si>
    <t>5</t>
  </si>
  <si>
    <t>6</t>
  </si>
  <si>
    <t>7</t>
  </si>
  <si>
    <t>8</t>
  </si>
  <si>
    <t>9</t>
  </si>
  <si>
    <t>10</t>
  </si>
  <si>
    <t>Nicht universitär / Akademisches Lehrkrankenhaus</t>
  </si>
  <si>
    <t>Zähler/ Anzahl</t>
  </si>
  <si>
    <r>
      <rPr>
        <b/>
        <sz val="10"/>
        <color indexed="8"/>
        <rFont val="Wingdings"/>
        <charset val="2"/>
      </rPr>
      <t>ê</t>
    </r>
    <r>
      <rPr>
        <b/>
        <sz val="8"/>
        <color indexed="8"/>
        <rFont val="Arial"/>
        <family val="2"/>
      </rPr>
      <t>Datum EZ</t>
    </r>
  </si>
  <si>
    <t>Ja</t>
  </si>
  <si>
    <t>Nein</t>
  </si>
  <si>
    <t>KN mit Anzahl</t>
  </si>
  <si>
    <t>Texte Matrix Datenquali</t>
  </si>
  <si>
    <t>Fehlermeldungen Matrix</t>
  </si>
  <si>
    <t>Ganze Zahl zwischen 0 und 5000 eingeben.</t>
  </si>
  <si>
    <t>zu wenig Primärfälle angegeben</t>
  </si>
  <si>
    <t>DFS auffällig hoch</t>
  </si>
  <si>
    <t>OAS auffällig hoch</t>
  </si>
  <si>
    <t>D</t>
  </si>
  <si>
    <t>G</t>
  </si>
  <si>
    <t>M</t>
  </si>
  <si>
    <t>B</t>
  </si>
  <si>
    <t>Tabelle Plausibilitätsabfragen:</t>
  </si>
  <si>
    <t>Tumordoku. liegt größtenteils beim Krebsregister</t>
  </si>
  <si>
    <t>C</t>
  </si>
  <si>
    <t>IA</t>
  </si>
  <si>
    <t>IB</t>
  </si>
  <si>
    <t>IIA</t>
  </si>
  <si>
    <t>IIB</t>
  </si>
  <si>
    <t>III</t>
  </si>
  <si>
    <t>IV</t>
  </si>
  <si>
    <t>a</t>
  </si>
  <si>
    <t>b</t>
  </si>
  <si>
    <t>≥  25</t>
  </si>
  <si>
    <t>≥  95%</t>
  </si>
  <si>
    <t>≥  12</t>
  </si>
  <si>
    <t>≥  20</t>
  </si>
  <si>
    <t xml:space="preserve">≤ 5% </t>
  </si>
  <si>
    <t xml:space="preserve">≤  10% </t>
  </si>
  <si>
    <t xml:space="preserve">≤ 10% </t>
  </si>
  <si>
    <t>Nicht gelistet</t>
  </si>
  <si>
    <t>Keine Zusammenarbeit</t>
  </si>
  <si>
    <t>Unbekannt</t>
  </si>
  <si>
    <t>Operative Expertise</t>
  </si>
  <si>
    <t>Operierte Primärfälle</t>
  </si>
  <si>
    <t>Angaben Primärdiagnose</t>
  </si>
  <si>
    <t>A</t>
  </si>
  <si>
    <t>E</t>
  </si>
  <si>
    <t>K</t>
  </si>
  <si>
    <t>Q</t>
  </si>
  <si>
    <t>R</t>
  </si>
  <si>
    <t>S</t>
  </si>
  <si>
    <t>T</t>
  </si>
  <si>
    <t>U</t>
  </si>
  <si>
    <t>V</t>
  </si>
  <si>
    <t>Y</t>
  </si>
  <si>
    <t>Anzahl Primärpatienten</t>
  </si>
  <si>
    <t>DFS nach Kaplan-Meier
(Disease Free Survival) in %</t>
  </si>
  <si>
    <t>OAS nach Kaplan-Meier    
(Overall Survival) in %</t>
  </si>
  <si>
    <t>Spalte/ Zelle</t>
  </si>
  <si>
    <t>Bedingung Wert</t>
  </si>
  <si>
    <t>nicht relevant</t>
  </si>
  <si>
    <t>leere Zellen</t>
  </si>
  <si>
    <t>C &lt; 25</t>
  </si>
  <si>
    <t>Matrix - Ergebnisqualität Primärbehandlung (Pankreaskarzinompatienten)</t>
  </si>
  <si>
    <t>H</t>
  </si>
  <si>
    <t>N</t>
  </si>
  <si>
    <t>Tumorbedingt gestorben (bezüglich jeder Tumorentität)</t>
  </si>
  <si>
    <t>Nicht tumorbedingt gestorben bzw. Todesursache unbekannt</t>
  </si>
  <si>
    <t>Pankreaskarzinomzentrum-Ruhr</t>
  </si>
  <si>
    <t>Deutschland</t>
  </si>
  <si>
    <t>Charité - Campus Virchow-Klinikum</t>
  </si>
  <si>
    <t>Pankreaskarzinomzentrum Lippe</t>
  </si>
  <si>
    <t>Pankreaskarzinomzentrum Heilbronn-Franken</t>
  </si>
  <si>
    <t>Pankreaskarzinomzentrum Stuttgart am Marienhospital</t>
  </si>
  <si>
    <t>Marienhospital Stuttgart</t>
  </si>
  <si>
    <t>Pankreaskarzinomzentrum Reutlingen</t>
  </si>
  <si>
    <t>Pankreaskarzinomzentrum Klinikum Stuttgart</t>
  </si>
  <si>
    <t>Klinikum Stuttgart, Katharinenhospital</t>
  </si>
  <si>
    <t>Pankreaskarzinomzentrum Mülheim</t>
  </si>
  <si>
    <t>Pankreaskarzinomzentrum Klinikum Memmingen</t>
  </si>
  <si>
    <t>Klinikum Memmingen</t>
  </si>
  <si>
    <t>Pankreaskarzinomzentrum Barmherzige Brüder Regensburg</t>
  </si>
  <si>
    <t>Krankenhaus Barmherzige Brüder Regensburg</t>
  </si>
  <si>
    <t>Pankreaskarzinomzentrum Ludwigsburg</t>
  </si>
  <si>
    <t>Klinikum Ludwigsburg</t>
  </si>
  <si>
    <t>Universitäres Pankreaskarzinomzentrum Frankfurt</t>
  </si>
  <si>
    <t>Pankreaskarzinomzentrum Klinikum Kassel</t>
  </si>
  <si>
    <t>Pankreaskarzinomzentrum Greifswald</t>
  </si>
  <si>
    <t>Universitätsmedizin Greifswald</t>
  </si>
  <si>
    <t>Asklepios Klinik Barmbek</t>
  </si>
  <si>
    <t>Pankreaskarzinomzentrum Potsdam</t>
  </si>
  <si>
    <t>Klinikum Ernst von Bergmann Potsdam</t>
  </si>
  <si>
    <t>Pankreaskarzinomzentrum Juliusspital Würzburg</t>
  </si>
  <si>
    <t>Pankreaskarzinomzentrum Rheinpfalz am Klinikum der Stadt Ludwigshafen</t>
  </si>
  <si>
    <t>Pankreaskarzinomzentrum Sana Klinikum Lichtenberg</t>
  </si>
  <si>
    <t>Sana Klinikum Lichtenberg</t>
  </si>
  <si>
    <t>Pankreaskarzinomzentrum Minden</t>
  </si>
  <si>
    <t>Johannes Wesling Klinikum Minden</t>
  </si>
  <si>
    <t>Pankreaskarzinomzentrum Klinikum Osnabrück</t>
  </si>
  <si>
    <t>Pankreaskarzinomzentrum Erlangen</t>
  </si>
  <si>
    <t>Österreich</t>
  </si>
  <si>
    <t>Pankreaskrebszentrum Oldenburg, Pius-Hospital</t>
  </si>
  <si>
    <t>Pius-Hospital Oldenburg</t>
  </si>
  <si>
    <t>Pankreaskarzinomzentrum EVK Düsseldorf</t>
  </si>
  <si>
    <t>Evangelisches Krankenhaus Düsseldorf</t>
  </si>
  <si>
    <t>Universitätsklinikum Münster</t>
  </si>
  <si>
    <t>Pankreaskarzinomzentrum UKSH Kiel</t>
  </si>
  <si>
    <t>Universitätsklinikum Schleswig-Holstein, Campus Kiel</t>
  </si>
  <si>
    <t>KRAZTUR</t>
  </si>
  <si>
    <t>IndivuNET</t>
  </si>
  <si>
    <t>Oncolution</t>
  </si>
  <si>
    <t>OnkoManager</t>
  </si>
  <si>
    <t>Comprehensive Cancer Center Freiburg</t>
  </si>
  <si>
    <t>Bevölkerungsbezogenes Krebsregister Bayern</t>
  </si>
  <si>
    <t>Charité Comprehensive Cancer Center</t>
  </si>
  <si>
    <t>Gemeinsames Krebsregister Berlin-Brandenburg</t>
  </si>
  <si>
    <t>Krebsregister des Landes Bremen</t>
  </si>
  <si>
    <t>Hamburgisches Krebsregister</t>
  </si>
  <si>
    <t>Hessisches Krebsregister</t>
  </si>
  <si>
    <t>Tumorzentrum Neubrandenburg</t>
  </si>
  <si>
    <t>Epidemiologisches Krebsregister Niedersachsen</t>
  </si>
  <si>
    <t>Westdeutsches Tumorzentrum Essen</t>
  </si>
  <si>
    <t>Krebsregister Rheinland-Pfalz</t>
  </si>
  <si>
    <t>Epidemiologisches Krebsregister Saarland</t>
  </si>
  <si>
    <t>Tumorzentrum Chemnitz</t>
  </si>
  <si>
    <t>Tumorzentrum Anhalt</t>
  </si>
  <si>
    <t>klinisches Krebsregister Schleswig Holstein/Lübeck</t>
  </si>
  <si>
    <t>Tumorzentrum Altenburg</t>
  </si>
  <si>
    <t>Tumorzentrum Land Brandenburg</t>
  </si>
  <si>
    <t>Keine Anbindung an Klinisches Krebsregister</t>
  </si>
  <si>
    <t>Krebsregister Hessen</t>
  </si>
  <si>
    <t>Tumorzentrum Rostock</t>
  </si>
  <si>
    <t>Comprehensive Cancer Center Münster</t>
  </si>
  <si>
    <t>Tumorzentrum Koblenz</t>
  </si>
  <si>
    <t>Tumorzentrum Homburg</t>
  </si>
  <si>
    <t>Tumorzentrum Dresden</t>
  </si>
  <si>
    <t>Krebsregister Schleswig-Holstein</t>
  </si>
  <si>
    <t>Tumorzentrum Berlin-Buch</t>
  </si>
  <si>
    <t>GKR (Gemeinsames Krebsregister der Länder)</t>
  </si>
  <si>
    <t>Onkologischer Schwerpunkt Wiesbaden</t>
  </si>
  <si>
    <t>Tumorzentrum Schwerin</t>
  </si>
  <si>
    <t>Krebsregister Niedersachsen</t>
  </si>
  <si>
    <t xml:space="preserve">Epidemiologisches Krebsregister Münster </t>
  </si>
  <si>
    <t>Tumorzentrum Kiel</t>
  </si>
  <si>
    <t>Epidemiologisches Krebsregister Baden-Württemberg</t>
  </si>
  <si>
    <t>Tumorzentrum für Klinik &amp; Praxis in Berlin</t>
  </si>
  <si>
    <t>Tumorzentrum Kassel</t>
  </si>
  <si>
    <t>Tumorzentrum Vorpommern</t>
  </si>
  <si>
    <t>Tumorzentrum Göttingen</t>
  </si>
  <si>
    <t>Epidemiologisches Krebsregister NRW</t>
  </si>
  <si>
    <t>Tumorzentrum Südharz</t>
  </si>
  <si>
    <t>Krebsregister Baden-Württemberg</t>
  </si>
  <si>
    <t>Tumorzentrum Oberfranken</t>
  </si>
  <si>
    <t>Tumorzentrum Spandau</t>
  </si>
  <si>
    <t>Tumorzentrum Hannover</t>
  </si>
  <si>
    <t>Krebsregister NRW</t>
  </si>
  <si>
    <t>Tumorzentrum Suhl</t>
  </si>
  <si>
    <t>NCT Heidelberg</t>
  </si>
  <si>
    <t>Tumorzentrum Vivantes</t>
  </si>
  <si>
    <t>Onkologischer Schwerpunkt Hamm</t>
  </si>
  <si>
    <t>Onkol. Schwerpunkt Lörrach-Rheinfelden</t>
  </si>
  <si>
    <t>Tumorzentrum Würzburg</t>
  </si>
  <si>
    <t>Onkol. Schwerpunkt Villingen-Schwenningen</t>
  </si>
  <si>
    <t>Onkologischer Schwerpunkt Göppingen</t>
  </si>
  <si>
    <t>Onkologischer Schwerpunkt Heilbronn</t>
  </si>
  <si>
    <t>Onkologischer Schwerpunkt Karlsruhe</t>
  </si>
  <si>
    <t>Onkologischer Schwerpunkt Oberschwaben</t>
  </si>
  <si>
    <t>Onkologischer Schwerpunkt Ostwürttemberg</t>
  </si>
  <si>
    <t>Onkologischer Schwerpunkt Reutlingen</t>
  </si>
  <si>
    <t>-----</t>
  </si>
  <si>
    <t>7a</t>
  </si>
  <si>
    <t>7b</t>
  </si>
  <si>
    <t>zu viele Patienten im Follow-Up</t>
  </si>
  <si>
    <t>inkorrekt</t>
  </si>
  <si>
    <t>negative Werte tumorfrei</t>
  </si>
  <si>
    <t>&lt; 0,01%</t>
  </si>
  <si>
    <t>Kennzahlenbogen - Analyseprotokoll Datendefizite Pankreas</t>
  </si>
  <si>
    <t>Matrix - Analyseprotokoll Datendefizite (Pankreaskarzinompatienten)</t>
  </si>
  <si>
    <t>I</t>
  </si>
  <si>
    <t>O</t>
  </si>
  <si>
    <t>W</t>
  </si>
  <si>
    <t>Z</t>
  </si>
  <si>
    <t>Geringe Follow-Up Quote der Nachsorgejahre</t>
  </si>
  <si>
    <t>geringe Follow-Up Quote der Nachsorgejahre</t>
  </si>
  <si>
    <t>Spalte C - I</t>
  </si>
  <si>
    <t>Q &lt; 0</t>
  </si>
  <si>
    <t>Werte Spalte Q "Patienten tumorfrei" dürfen keine negativen Werte annehmen</t>
  </si>
  <si>
    <t>Anzahl Primärpatienten größer als im Basisdaten</t>
  </si>
  <si>
    <t>Primärfälle&gt;Basisdaten</t>
  </si>
  <si>
    <t>Anzahl Primärfälle zu gering</t>
  </si>
  <si>
    <t>&lt; Follow-Up Nachsorgejahre</t>
  </si>
  <si>
    <t>Sollvorgabe FU 3 Jahre</t>
  </si>
  <si>
    <t>plausi&gt;95% FU 3 Jahre</t>
  </si>
  <si>
    <t>negative Werte tumorfrei
inkorrekt</t>
  </si>
  <si>
    <t>zu viele Patienten im FU
inkorrekt</t>
  </si>
  <si>
    <t>Werte Spalte K "Patienten im Follow-Up" müssen kleiner gleich sein als Spalte I subtrahiert von Spalte C</t>
  </si>
  <si>
    <t>Anzahl Primärpatienten in der Matrix größer als Primärfälle Basisdaten</t>
  </si>
  <si>
    <t xml:space="preserve">                   Erstelldatum</t>
  </si>
  <si>
    <t xml:space="preserve">  Erstelldatum</t>
  </si>
  <si>
    <t>&lt; 30%</t>
  </si>
  <si>
    <t>&lt; 45%</t>
  </si>
  <si>
    <t>Nicht ausgefüllte Zellen von relevanten Nachsorgejahren</t>
  </si>
  <si>
    <t>Alle relevanten Nachsorgejahre sind zu bearbeiten, abhängig vom Datum der Erstzertifizierung</t>
  </si>
  <si>
    <t>die inkorrekten und unvollständigen Einträge beheben</t>
  </si>
  <si>
    <t>durchschnittliche Follow-Up Quote &gt; 95%</t>
  </si>
  <si>
    <t>geringe Follow-Up Quote</t>
  </si>
  <si>
    <t>Achieva</t>
  </si>
  <si>
    <t>CREDOS</t>
  </si>
  <si>
    <t>Onkomedia</t>
  </si>
  <si>
    <t>online Dokumentation IDZB</t>
  </si>
  <si>
    <t>WDC-Kolonakte</t>
  </si>
  <si>
    <t>Kennzahldefinition</t>
  </si>
  <si>
    <t>Für OAS und DFS sind keine Plausibilitätsabfragen hinterlegt, dies liegt daran, dass die einzelnen Kollektive der Kohortenjahre in der Regel zu wenige Patienten umfassen</t>
  </si>
  <si>
    <t>Begründung / Ursache</t>
  </si>
  <si>
    <t>Eingeleitete / geplante Aktionen</t>
  </si>
  <si>
    <t>Erläuterung hinsichtlich Datendefizit
Begründung / Ursachenanalyse / Aktionen</t>
  </si>
  <si>
    <t>Geringe / punktuelle Zusammenarbeit</t>
  </si>
  <si>
    <t>Intensive / regelmäßige Zusammenarbeit</t>
  </si>
  <si>
    <t>relevante Nachsorgejahre 
nicht / unvollständig bearbeitet</t>
  </si>
  <si>
    <t xml:space="preserve">  </t>
  </si>
  <si>
    <t>Ansprechpartner</t>
  </si>
  <si>
    <t>Achiever Medical System</t>
  </si>
  <si>
    <t>c37.CancerCenter</t>
  </si>
  <si>
    <t>CARAT</t>
  </si>
  <si>
    <t>H.I.T.</t>
  </si>
  <si>
    <t>Kolorekt</t>
  </si>
  <si>
    <t>Medbrix</t>
  </si>
  <si>
    <t>MR-TU-DO</t>
  </si>
  <si>
    <t>NUK</t>
  </si>
  <si>
    <t>onkodok (XAXOA)</t>
  </si>
  <si>
    <t>OnkoNet</t>
  </si>
  <si>
    <t>Tudok (Tumorzentrum Regensburg)</t>
  </si>
  <si>
    <t>Plausi unklar</t>
  </si>
  <si>
    <t>Tumorzentrum Weser-Ems</t>
  </si>
  <si>
    <t>Tumorzentrum Ostsachsen</t>
  </si>
  <si>
    <t>Pankreaskarzinomzentrum Gera</t>
  </si>
  <si>
    <t>SRH Wald-Klinikum Gera</t>
  </si>
  <si>
    <t>Allgemeine Feststellungen</t>
  </si>
  <si>
    <t>Allgemeine Hinweise</t>
  </si>
  <si>
    <t>Allgemeine Abweichungen</t>
  </si>
  <si>
    <t>Bewertung Ausschuss</t>
  </si>
  <si>
    <t>Anmerkung OnkoZert</t>
  </si>
  <si>
    <t>Feststellung</t>
  </si>
  <si>
    <t>Hinweis</t>
  </si>
  <si>
    <t>Abweichung</t>
  </si>
  <si>
    <t>ID_intern</t>
  </si>
  <si>
    <t>Erläuterung hinsichtlich Datendefizit</t>
  </si>
  <si>
    <t xml:space="preserve"> </t>
  </si>
  <si>
    <t>relevante Nachsorgejahre nicht / unvollständig bearbeitet</t>
  </si>
  <si>
    <t>ID: a</t>
  </si>
  <si>
    <t>ID:b</t>
  </si>
  <si>
    <t>ID:c</t>
  </si>
  <si>
    <t>Plausibilität unklar; durchschnittliche Follow-Up Quote &gt; 95%; ID: f</t>
  </si>
  <si>
    <t>ID: e</t>
  </si>
  <si>
    <t>ID: g</t>
  </si>
  <si>
    <t>Plausibilität unklar; Anzahl Primärpatienten in der Matrix größer als Primärfälle Basisdaten ; ID: h</t>
  </si>
  <si>
    <t>Datenverifizierung_ID</t>
  </si>
  <si>
    <t>Pankreaskarzinomzentrum Klinikum Hildesheim</t>
  </si>
  <si>
    <t>Pankreaskarzinomzentrum Coburg</t>
  </si>
  <si>
    <t>Pankreaskarzinomzentrum Kempten - Allgäu</t>
  </si>
  <si>
    <t>Pankreaszentrum Klinikum Bayreuth</t>
  </si>
  <si>
    <t>Klinikum Bayreuth</t>
  </si>
  <si>
    <t>Heartsoft Tumordatenbank</t>
  </si>
  <si>
    <t>QuaDoSta</t>
  </si>
  <si>
    <t>Für Übertragung in Datendefizite_KB:</t>
  </si>
  <si>
    <t>Alle KN leer:</t>
  </si>
  <si>
    <t>≥ 50%</t>
  </si>
  <si>
    <t>ixserv.4</t>
  </si>
  <si>
    <t>Universitätsklinikum „Carl Gustav Carus“ Dresden</t>
  </si>
  <si>
    <t>Unvollständige Jahre</t>
  </si>
  <si>
    <r>
      <rPr>
        <b/>
        <u/>
        <sz val="7"/>
        <color indexed="8"/>
        <rFont val="Arial"/>
        <family val="2"/>
      </rPr>
      <t xml:space="preserve">
Anmerkungen:</t>
    </r>
    <r>
      <rPr>
        <sz val="7"/>
        <color indexed="8"/>
        <rFont val="Arial"/>
        <family val="2"/>
      </rPr>
      <t xml:space="preserve">
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</si>
  <si>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KN</t>
  </si>
  <si>
    <t>Werte Spalte K "Patienten im Follow-Up" müssen kleiner gleich sein als Spalte I subtrahiert von Spalte C; siehe Fußnote 2</t>
  </si>
  <si>
    <t>Pankreaskarzinomzentrum Lüneburg</t>
  </si>
  <si>
    <t>St. Elisabeth-Krankenhaus Köln Hohenlind</t>
  </si>
  <si>
    <t>Universitätsklinikum Schleswig-Holstein, Campus Lübeck</t>
  </si>
  <si>
    <t>DONAUISAR Klinikum Deggendorf</t>
  </si>
  <si>
    <t>ambucare</t>
  </si>
  <si>
    <t>em.net</t>
  </si>
  <si>
    <t>FileTuDo</t>
  </si>
  <si>
    <t>MIQ-KRCA</t>
  </si>
  <si>
    <t>ORBIS-ODOK</t>
  </si>
  <si>
    <t>ONKOSTAR</t>
  </si>
  <si>
    <t>ONDIS</t>
  </si>
  <si>
    <t>Qualitätssicherung Kolorektalkarzinom</t>
  </si>
  <si>
    <t>SMATOS</t>
  </si>
  <si>
    <t>StuDoQ</t>
  </si>
  <si>
    <t>Tumordokumentation des Instituts für Krebsepidemiologie</t>
  </si>
  <si>
    <t>KR7</t>
  </si>
  <si>
    <t>≥  5%</t>
  </si>
  <si>
    <t>Klinikum Sindelfingen Böblingen</t>
  </si>
  <si>
    <t>Pankreaskarzinomzentrum des Tumorzentrums Freiburg - CCCF</t>
  </si>
  <si>
    <t>Universitätsklinikum Freiburg</t>
  </si>
  <si>
    <t>Pankreaskarzinomzentrum St. Anna Hospital Herne</t>
  </si>
  <si>
    <t>St. Elisabeth Gruppe - Katholische Kliniken Rhein-Ruhr</t>
  </si>
  <si>
    <t>Pankreaskarzinomzentrum Klinikum Robert Koch Gehrden</t>
  </si>
  <si>
    <t>Klinikum Robert Koch Gehrden</t>
  </si>
  <si>
    <t>Pankreaskarzinomzentrum der Universitätsmedizin Rostock</t>
  </si>
  <si>
    <t>Universitätsmedizin Rostock</t>
  </si>
  <si>
    <t>Pankreaskarzinomzentrum Frankfurt Höchst</t>
  </si>
  <si>
    <t>Klinikum Frankfurt Höchst</t>
  </si>
  <si>
    <t>Pankreaskarzinomzentrum Bremen-Mitte</t>
  </si>
  <si>
    <t>Pankreastumorzentrum Winterthur</t>
  </si>
  <si>
    <t>Kantonsspital Winterthur</t>
  </si>
  <si>
    <t>Universitätsklinikum Essen</t>
  </si>
  <si>
    <t>Pankreaskarzinomzentrum Triemli</t>
  </si>
  <si>
    <t>Datum Erstzertifizierung</t>
  </si>
  <si>
    <t>1.2.0</t>
  </si>
  <si>
    <t>1.7.6</t>
  </si>
  <si>
    <t>2.1</t>
  </si>
  <si>
    <t>5.2.4</t>
  </si>
  <si>
    <t>Krebsregister Schweiz</t>
  </si>
  <si>
    <t>Krebsregister Österreich</t>
  </si>
  <si>
    <t>Pankreaskarzinomzentrum am Klinikum Fulda</t>
  </si>
  <si>
    <t>Klinikum Fulda</t>
  </si>
  <si>
    <t>XML-OncoBox</t>
  </si>
  <si>
    <t>Krebsregister Italien</t>
  </si>
  <si>
    <t>Follow-Up Quote in %
= (L + M) / K</t>
  </si>
  <si>
    <t>O &lt; 70%</t>
  </si>
  <si>
    <t>durchschnittliche Follow-Up Quote &lt; 80%</t>
  </si>
  <si>
    <t>Sollvorgabe nicht erfüllt; durchschnittliche Follow-Up Quote &lt; 80%; ID: d</t>
  </si>
  <si>
    <t>KoReDos</t>
  </si>
  <si>
    <t>MaDoS</t>
  </si>
  <si>
    <t>UCC-TDS (Tumorzentrum Dresden)</t>
  </si>
  <si>
    <t>&gt; 10%</t>
  </si>
  <si>
    <t>Bauchspeicheldrüsenkrebszentrum Böblingen</t>
  </si>
  <si>
    <t>Pankreaskarzinomzentrum Südthüringen</t>
  </si>
  <si>
    <t>HELIOS Klinikum Meiningen</t>
  </si>
  <si>
    <t>Pankreaskrebszentrum des Universitätsklinikums Würzburg</t>
  </si>
  <si>
    <t>Universitätsklinikum Regensburg</t>
  </si>
  <si>
    <t>Städtisches Klinikum Lüneburg</t>
  </si>
  <si>
    <t>Pankreaskarzinomzentrum HELIOS Klinikum Pforzheim</t>
  </si>
  <si>
    <t xml:space="preserve">HELIOS Klinikum Pforzheim </t>
  </si>
  <si>
    <t>UKM - Pankreaskarzinomzentrum</t>
  </si>
  <si>
    <t>Pankreaskarzinomzentrum Braunschweig</t>
  </si>
  <si>
    <t>Städtisches Klinikum Braunschweig</t>
  </si>
  <si>
    <t>Gesundheit Nord, Standort Klinikum Bremen-Mitte</t>
  </si>
  <si>
    <t>Krebsregister gemäß KFRG noch nicht benannt</t>
  </si>
  <si>
    <t>Follow-Up Quote der letzten 2-4 Jahre (positive Unplausibilität)</t>
  </si>
  <si>
    <t>Follow-Up Quote der letzten 2-4 Jahre</t>
  </si>
  <si>
    <t>2-4 Jahre</t>
  </si>
  <si>
    <t>geringe Follow-Up Quote der letzten 2-4 Jahre</t>
  </si>
  <si>
    <t>zu hohe Follow-Up Quote der letzten 2-4 Jahre</t>
  </si>
  <si>
    <t>Pankreaskarzinomzentrum St. Claraspital Basel</t>
  </si>
  <si>
    <t>Pankreaskarzinomzentrum Universitätsklinikum Düsseldorf</t>
  </si>
  <si>
    <t xml:space="preserve">                     Ø Follow-Up Quote der letzten 2-4 Jahre</t>
  </si>
  <si>
    <t>OncoBox</t>
  </si>
  <si>
    <t>Zusammenarbeit mit KFRG-Krebsregister</t>
  </si>
  <si>
    <t>Katholisches Klinikum Bochum, St. Josef-Hospital, Universitätsklinikum der RUB</t>
  </si>
  <si>
    <t xml:space="preserve">Pankreaskarzinomzentrum Universitätsklinikum Ulm </t>
  </si>
  <si>
    <t xml:space="preserve">Universitätsklinikum Ulm </t>
  </si>
  <si>
    <t>Elbe Klinikum Stade</t>
  </si>
  <si>
    <t>Klinikum Kassel</t>
  </si>
  <si>
    <t>Pankreaskarzinomzentrum Marburg im Comprehensive Cancer Center (CCC) Marburg</t>
  </si>
  <si>
    <t>Universitätsklinikum Gießen und Marburg, Standort Marburg</t>
  </si>
  <si>
    <t>Pankreaskrebszentrum im Zentrum für Gastrointestinale Onkologie Tübingen</t>
  </si>
  <si>
    <t>Klinikum der Stadt Ludwigshafen am Rhein gGmbH</t>
  </si>
  <si>
    <t>Pankreaskarzinomzentrum Kaiserslautern am Westpfalz-Klinikum</t>
  </si>
  <si>
    <t>Westpfalz-Klinikum</t>
  </si>
  <si>
    <t>Pankreaskarzinomzentrum Berlin I Westend</t>
  </si>
  <si>
    <t>Pankreaskarzinomzentrum am KRH Klinikum Siloah</t>
  </si>
  <si>
    <t>Pankreaskarzinomzentrum Dresden-Friedrichstadt</t>
  </si>
  <si>
    <t>Zentrum für Bauchspeicheldrüsenkrebs am Johanna-Etienne-Krankenhaus Rhein-Kreis Neuss</t>
  </si>
  <si>
    <t>Johanna Etienne Krankenhaus Neuss</t>
  </si>
  <si>
    <t>Pankreaskarzinomzentrum Celle</t>
  </si>
  <si>
    <t>Allgemeines Krankenhaus Celle</t>
  </si>
  <si>
    <t>Pankreastumorzentrum am Westdeutschen Tumorzentrum - Universitätsmedizin Essen</t>
  </si>
  <si>
    <t>St. Claraspital Basel</t>
  </si>
  <si>
    <t>Pankreaskarzinomzentrum am Universitätsklinikum Gießen</t>
  </si>
  <si>
    <t>MADOS 4</t>
  </si>
  <si>
    <t>Pankreaskarzinomzentrum Elbe-Weser</t>
  </si>
  <si>
    <t>Pankreaskrebszentrum Westmünsterland am St. Agnes-Hospital Bocholt</t>
  </si>
  <si>
    <t>St. Agnes-Hospital Bocholt Klinikum Westmünsterland</t>
  </si>
  <si>
    <t>Pankreaskarzinomzentrum am DONAUISAR Klinikum Deggendorf</t>
  </si>
  <si>
    <t>Pankreaskarzinomzentrum Südwest</t>
  </si>
  <si>
    <t xml:space="preserve">Schwarzwald-Baar-Klinikum Villingen-Schwenningen </t>
  </si>
  <si>
    <t>Evangelisches Krankenhaus Mülheim</t>
  </si>
  <si>
    <t>Universitätsklinikum Würzburg, Chirurgische Klinik und Poliklinik (Chirurgische Klinik I)</t>
  </si>
  <si>
    <t>Pankreaskarzinomzentrum Rhein-Erft</t>
  </si>
  <si>
    <t>Dreifaltigkeits-Krankenhaus Wesseling</t>
  </si>
  <si>
    <t>Klinikum Osnabrück</t>
  </si>
  <si>
    <t>Pankreaskrebszentrum Kantonsspital Baden</t>
  </si>
  <si>
    <t>Kantonsspital Baden</t>
  </si>
  <si>
    <t>KRH Klinikum Siloah</t>
  </si>
  <si>
    <t>Pankreaskarzinomzentrum Klinikum Chemnitz</t>
  </si>
  <si>
    <t>Städtisches Klinikum Dresden, Standort Friedrichstadt</t>
  </si>
  <si>
    <t>Pankreaskarzinomzentrum am Kantonsspital Aarau</t>
  </si>
  <si>
    <t>Kantonsspital Aarau</t>
  </si>
  <si>
    <t>Pankreaskrebszentrum der Universitätsmedizin Mainz</t>
  </si>
  <si>
    <t>Universitätsmedizin der Johannes Gutenberg - Universität Mainz</t>
  </si>
  <si>
    <t>Universitätsmedizin Göttingen</t>
  </si>
  <si>
    <t>Pankreaskrebszentrum Winnenden</t>
  </si>
  <si>
    <t>Rems-Murr-Klinikum Winnenden</t>
  </si>
  <si>
    <t>Pankreaskarzinomzentrum Medizinische Hochschule Hannover</t>
  </si>
  <si>
    <t>Medizinische Hochschule Hannover</t>
  </si>
  <si>
    <t>Universitätsklinikum Gießen und Marburg, Standort Gießen</t>
  </si>
  <si>
    <t>Pankreaskarzinomzentrum St. Josefs-Hospital Wiesbaden</t>
  </si>
  <si>
    <t>St. Josefs-Hospital Wiesbaden</t>
  </si>
  <si>
    <t>Pankreaskarzinomzentrum am Krukenberg-Krebszentrum Halle der Universitätsmedizin Halle (Saale)</t>
  </si>
  <si>
    <t>Universitätsklinikum Halle (Saale)</t>
  </si>
  <si>
    <t>O27</t>
  </si>
  <si>
    <t>O27 &lt; 80%</t>
  </si>
  <si>
    <t>O27 &gt; 95%</t>
  </si>
  <si>
    <t>O20 - O22</t>
  </si>
  <si>
    <t xml:space="preserve">Operative Expertise - Anzahl Pankreasresektionen </t>
  </si>
  <si>
    <t xml:space="preserve"> Anlage EB Version I1-1 (Auditjahr 2019 / Kennzahlenjahr 2018)</t>
  </si>
  <si>
    <t>Auditjahr 2019 / Kennzahlenjahr 2018</t>
  </si>
  <si>
    <r>
      <t xml:space="preserve">UICC IA  </t>
    </r>
    <r>
      <rPr>
        <vertAlign val="superscript"/>
        <sz val="8"/>
        <rFont val="Arial"/>
        <family val="2"/>
      </rPr>
      <t>2)</t>
    </r>
  </si>
  <si>
    <r>
      <t xml:space="preserve">UICC IB  </t>
    </r>
    <r>
      <rPr>
        <vertAlign val="superscript"/>
        <sz val="8"/>
        <rFont val="Arial"/>
        <family val="2"/>
      </rPr>
      <t>2)</t>
    </r>
    <r>
      <rPr>
        <sz val="8"/>
        <rFont val="Arial"/>
        <family val="2"/>
      </rPr>
      <t xml:space="preserve"> </t>
    </r>
  </si>
  <si>
    <r>
      <t xml:space="preserve">UICC IIA </t>
    </r>
    <r>
      <rPr>
        <vertAlign val="superscript"/>
        <sz val="8"/>
        <rFont val="Arial"/>
        <family val="2"/>
      </rPr>
      <t xml:space="preserve"> 2) </t>
    </r>
  </si>
  <si>
    <r>
      <t xml:space="preserve">UICC IIB  </t>
    </r>
    <r>
      <rPr>
        <vertAlign val="superscript"/>
        <sz val="8"/>
        <rFont val="Arial"/>
        <family val="2"/>
      </rPr>
      <t>2)</t>
    </r>
  </si>
  <si>
    <r>
      <t xml:space="preserve">UICC III   </t>
    </r>
    <r>
      <rPr>
        <vertAlign val="superscript"/>
        <sz val="8"/>
        <rFont val="Arial"/>
        <family val="2"/>
      </rPr>
      <t>2)</t>
    </r>
  </si>
  <si>
    <r>
      <t xml:space="preserve">UICC IV  </t>
    </r>
    <r>
      <rPr>
        <vertAlign val="superscript"/>
        <sz val="8"/>
        <rFont val="Arial"/>
        <family val="2"/>
      </rPr>
      <t>2)</t>
    </r>
  </si>
  <si>
    <r>
      <t xml:space="preserve">Patienten  „im Follow-Up“
(aus Grundgesamtheit Primärpat.)  </t>
    </r>
    <r>
      <rPr>
        <vertAlign val="superscript"/>
        <sz val="8"/>
        <rFont val="Arial"/>
        <family val="2"/>
      </rPr>
      <t>3)</t>
    </r>
  </si>
  <si>
    <r>
      <t>Follow-Up-Daten vom Krebsregister  3</t>
    </r>
    <r>
      <rPr>
        <vertAlign val="superscript"/>
        <sz val="8"/>
        <rFont val="Arial"/>
        <family val="2"/>
      </rPr>
      <t>) 4) 5) 6)</t>
    </r>
  </si>
  <si>
    <r>
      <t>Follow-Up-Daten vom Zentrum 
(bzw. Quelle nicht bekannt)</t>
    </r>
    <r>
      <rPr>
        <vertAlign val="superscript"/>
        <sz val="8"/>
        <rFont val="Arial"/>
        <family val="2"/>
      </rPr>
      <t xml:space="preserve"> 3) 4)</t>
    </r>
  </si>
  <si>
    <r>
      <rPr>
        <sz val="8"/>
        <color indexed="8"/>
        <rFont val="Arial"/>
        <family val="2"/>
      </rPr>
      <t>Patienten tumorfrei</t>
    </r>
    <r>
      <rPr>
        <sz val="8"/>
        <color indexed="40"/>
        <rFont val="Arial"/>
        <family val="2"/>
      </rPr>
      <t xml:space="preserve"> </t>
    </r>
    <r>
      <rPr>
        <vertAlign val="superscript"/>
        <sz val="8"/>
        <rFont val="Arial"/>
        <family val="2"/>
      </rPr>
      <t>7)</t>
    </r>
  </si>
  <si>
    <r>
      <t xml:space="preserve">Patienten mit folgenden Ereignissen: 
Rezidiv, Fernmetastasen  </t>
    </r>
    <r>
      <rPr>
        <vertAlign val="superscript"/>
        <sz val="8"/>
        <rFont val="Arial"/>
        <family val="2"/>
      </rPr>
      <t>7)</t>
    </r>
  </si>
  <si>
    <r>
      <t xml:space="preserve">Patienten nicht tumorfrei  </t>
    </r>
    <r>
      <rPr>
        <vertAlign val="superscript"/>
        <sz val="8"/>
        <rFont val="Arial"/>
        <family val="2"/>
      </rPr>
      <t>7)</t>
    </r>
  </si>
  <si>
    <r>
      <t xml:space="preserve">Patienten mit Progress  </t>
    </r>
    <r>
      <rPr>
        <vertAlign val="superscript"/>
        <sz val="8"/>
        <rFont val="Arial"/>
        <family val="2"/>
      </rPr>
      <t>7)</t>
    </r>
  </si>
  <si>
    <r>
      <t>Auswertungen</t>
    </r>
    <r>
      <rPr>
        <vertAlign val="superscript"/>
        <sz val="8"/>
        <rFont val="Arial"/>
        <family val="2"/>
      </rPr>
      <t xml:space="preserve"> 8)</t>
    </r>
  </si>
  <si>
    <r>
      <t xml:space="preserve">Keine Rückmeldung  </t>
    </r>
    <r>
      <rPr>
        <vertAlign val="superscript"/>
        <sz val="8"/>
        <rFont val="Arial"/>
        <family val="2"/>
      </rPr>
      <t>3)</t>
    </r>
  </si>
  <si>
    <r>
      <t xml:space="preserve">2017  </t>
    </r>
    <r>
      <rPr>
        <vertAlign val="superscript"/>
        <sz val="7"/>
        <rFont val="Arial"/>
        <family val="2"/>
      </rPr>
      <t>9</t>
    </r>
    <r>
      <rPr>
        <vertAlign val="superscript"/>
        <sz val="8"/>
        <rFont val="Arial"/>
        <family val="2"/>
      </rPr>
      <t>)</t>
    </r>
  </si>
  <si>
    <r>
      <t xml:space="preserve">2018  </t>
    </r>
    <r>
      <rPr>
        <vertAlign val="superscript"/>
        <sz val="7"/>
        <rFont val="Arial"/>
        <family val="2"/>
      </rPr>
      <t>9</t>
    </r>
    <r>
      <rPr>
        <vertAlign val="superscript"/>
        <sz val="8"/>
        <rFont val="Arial"/>
        <family val="2"/>
      </rPr>
      <t>)</t>
    </r>
  </si>
  <si>
    <r>
      <t xml:space="preserve">Anzahl Primärpatienten </t>
    </r>
    <r>
      <rPr>
        <vertAlign val="superscript"/>
        <sz val="8"/>
        <rFont val="Arial"/>
        <family val="2"/>
      </rPr>
      <t>1)</t>
    </r>
  </si>
  <si>
    <t>1) Für die Jahre 2013-2016 sind alle Primärpatienten Pankreas (= Karzinome des exokrinen Pankreas und NET und NEC) zu betrachten; ab 2017 (= Jahr der Erstdiagnose) werden die Primärpatienten NET und NEC nicht mehr in der Matrix berücksichtigt.
2) Stratifizierung nach Tumorstatus (pathologisch) zum Zeitpunkt der Erstdiagnose; nach neoadjuvanter Vorbehandlung Berechnung des UICC-Stadiums mit dem klinischen Tumorstatus.
3) Pat., die in dieser Darstellung (Spalte K - W) nicht berücksichtigt werden dürfen, sind: Patienten mit Stadium UICC IV und Patienten mit vorausgegangenem Tumor (alle Entitäten).
4) Die Daten müssen patientenbezogen rückverfolgbar und zum Zeitpunkt der Auswertung nicht älter als 12 Monate sein. Unter Follow-Up ist Spalte K bis W zu verstehen (Aktives Follow-Up).
5) In der Regel werden die Follow-Up-Daten entweder extern (Krebsregister) oder durch das Zentrum eingeholt. Eine Kombination ist jedoch möglich (keine doppelte Zuordnung !).
6) Krebsregister können in der Regel keine Follow-Up-Daten zu Patienten außerhalb des Einzugsgebietes einholen.
7) Spalte Q: Patienten tumorfrei (=seit Abschluss Primärtherapie unverändert); Spalte S: Pat. nicht tumorfrei (=seit Abschluss Primärtherapie unverändert).
8) DFS und OAS sind nicht direkt aus dieser Matrix abzuleiten und können deshalb nach eigener Berechnung hier manuell eingetragen werden. Eine automatische Berechnung durch EXCEL erfolgt nicht. 
    Die Auswertungen der Kaplan-Meier-Kurven beziehen sich beim OAS auf die entsprechende Jahreskohorte ohne die in der Fußnote 2 genannten Patientengruppen. 
    Beim DFS werden nur die nach der Primärtherapie tumorfreien Patienten berücksichtigt.
9) Ausgelöst durch die Follow-Up-Strukturen der Krebsregister (Latenzzeit Vollzähligkeit der Registrierung von Zielereignissen) ist es für die letzten beiden Kalenderjahre ausreichend, die aufgeschlüsselten Primärfälle 
   (Spalte D-I) anzugeben.</t>
  </si>
  <si>
    <r>
      <rPr>
        <b/>
        <u/>
        <sz val="7"/>
        <color indexed="8"/>
        <rFont val="Arial"/>
        <family val="2"/>
      </rPr>
      <t xml:space="preserve">
Bearbeitungshinweise:
</t>
    </r>
    <r>
      <rPr>
        <sz val="7"/>
        <color indexed="8"/>
        <rFont val="Arial"/>
        <family val="2"/>
      </rPr>
      <t>Für Pankreaskarzinomzentren ist die Matrix Ergebnisqualität obligat zu bearbeiten.
Für die Bewertung der Matrix gelten folgende Regelungen:
              a) Alle Patienten ab dem Folgejahr der EZ sind im Follow-Up zu berücksichtigen; erstmalig ist die Matrix zum ÜA2 verbindlich zu bearbeiten.
              b) Nachsorgejahr "relevant" (Spalte A) =&gt; Sämtliche „hellgrau“ hinterlegte Felder sollten vollständig bearbeitet werden; dies gilt auch für Nullwerte (=0).
              c) Ausnahmen sind die optional anzugebenden Felder OAS und DFS (Spalten Y und Z). Dezimaltrennzeichen ist das Komma (nicht der Punkt). Rundung erfolgt auf zwei Nachkommastellen.
              d) Bei den „hellrot“ hinterlegten Feldern liegt eine Falscheingabe vor, diese ist zu korrigieren.
              e) Zahlen müssen manuell eingegeben werden, diese dürfen nicht kopiert werden.
              f) „Hellgrün“ hinterlegte Felder weisen auf Unplausibilitäten hin. Diese Werte sind zu analysieren und das Ergebnis ist auf dem Folgeblatt „Datendefizite_Matrix“ darzulegen.</t>
    </r>
  </si>
  <si>
    <t>Adjumed</t>
  </si>
  <si>
    <t>CaOnkoDok (Eigenentwicklung)</t>
  </si>
  <si>
    <t>Clinic WinData</t>
  </si>
  <si>
    <t>Eigenentwicklung auf Basis medico (Cerner)</t>
  </si>
  <si>
    <t>ODSeasy / ODSeasyNet</t>
  </si>
  <si>
    <t>Tumorregister München (TRM)</t>
  </si>
  <si>
    <t>Interdisziplinäres Pankreastumorzentrum im Charité Comprehensive Cancer Center</t>
  </si>
  <si>
    <t>Leipziger Pankreaskarzinomzentrum am HELIOS Park-Klinikum</t>
  </si>
  <si>
    <t>Pankreaskarzinomzentrum Klinikum Hanau</t>
  </si>
  <si>
    <t>Pankreaskarzinomzentrum Klinikum Dortmund</t>
  </si>
  <si>
    <t>Pankreaskarzinomzentrum Bonn/Rhein-Sieg</t>
  </si>
  <si>
    <t>Pankreaskarzinomzentrum Helios Kliniken Schwerin</t>
  </si>
  <si>
    <t>Pankreaskarzinomzentrum am Cancer Center UniversitätsSpital Zürich</t>
  </si>
  <si>
    <t>Pankreaskrebszentrum der Universitätsmedizin Göttingen</t>
  </si>
  <si>
    <t>Pankreaskrebszentrum Klinikum Wolfsburg</t>
  </si>
  <si>
    <t>Klinikum Aschaffenburg - Alzenau gemeinnützige GmbH Standort AB</t>
  </si>
  <si>
    <t xml:space="preserve">HELIOS Park-Klinikum Leipzig </t>
  </si>
  <si>
    <t>Klinikum Hanau</t>
  </si>
  <si>
    <t>Klinikum Dortmund</t>
  </si>
  <si>
    <t>Johanniter GmbH - Johanniter Krankenhaus Bonn</t>
  </si>
  <si>
    <t>Ordensklinikum Linz Barmherzige Schwestern</t>
  </si>
  <si>
    <t>Helios Kliniken Schwerin</t>
  </si>
  <si>
    <t>UniversitätsSpital Zürich</t>
  </si>
  <si>
    <t>Klinikum Wolfsburg</t>
  </si>
  <si>
    <t>Charité - Campus Benjamin-Franklin</t>
  </si>
  <si>
    <t>Pankreaskarzinomzentrum am Alfried Krupp Krankenhaus Rüttenscheid</t>
  </si>
  <si>
    <t>Pankreaskarzinomzentrum Rosenheim</t>
  </si>
  <si>
    <t>RoMed Klinikum Rosenheim</t>
  </si>
  <si>
    <t>Pankreaskarzinomzentrum Frankfurt Nordwest</t>
  </si>
  <si>
    <t>Krankenhaus Nordwest</t>
  </si>
  <si>
    <t>Pankreaskarzinomzentrum Bamberg</t>
  </si>
  <si>
    <t>Sozialstiftung Bamberg Klinikum am Bruderwald</t>
  </si>
  <si>
    <t>Pankreaskarzinomzentrum am Diakonissenkrankenhaus Dresden</t>
  </si>
  <si>
    <t>Diakonissenkrankenhaus Dresden</t>
  </si>
  <si>
    <t>Pankreaskarzinomzentrum am Luzerner Kantonsspital</t>
  </si>
  <si>
    <t>Luzerner Kantonsspital</t>
  </si>
  <si>
    <t>Pankreaskrebszentrum Berlin-Buch</t>
  </si>
  <si>
    <t>Helios Klinikum Berlin-Buch</t>
  </si>
  <si>
    <t>Pankreaskarzinomzentrum Krankenhaus der Barmherzigen Brüder St. Veit an der Glan</t>
  </si>
  <si>
    <t>Krankenhaus der Barmherzigen Brüder St. Veit an der Glan</t>
  </si>
  <si>
    <t>Pankreaskarzinomzentrum am Klinikum Südstadt Rostock</t>
  </si>
  <si>
    <t>Klinikum Südstadt Rostock</t>
  </si>
  <si>
    <t>In-house development (MS Excel, MS Access etc.)</t>
  </si>
  <si>
    <t xml:space="preserve">Not listed </t>
  </si>
  <si>
    <t>Unknown</t>
  </si>
  <si>
    <t>Not listed</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</si>
  <si>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</si>
  <si>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</si>
  <si>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</si>
  <si>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</si>
  <si>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</si>
  <si>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</si>
  <si>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</si>
  <si>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</si>
  <si>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</si>
  <si>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</si>
  <si>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</si>
  <si>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</si>
  <si>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</si>
  <si>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</si>
  <si>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</si>
  <si>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</si>
  <si>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</si>
  <si>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</si>
  <si>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</si>
  <si>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</si>
  <si>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</si>
  <si>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</si>
  <si>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</si>
  <si>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</si>
  <si>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</si>
  <si>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</si>
  <si>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</si>
  <si>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</si>
  <si>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</si>
  <si>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</si>
  <si>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</si>
  <si>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</si>
  <si>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</si>
  <si>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</si>
  <si>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</si>
  <si>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</si>
  <si>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</si>
  <si>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</si>
  <si>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</si>
  <si>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</si>
  <si>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</si>
  <si>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</si>
  <si>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</si>
  <si>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</si>
  <si>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</si>
  <si>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</si>
  <si>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</si>
  <si>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</si>
  <si>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</si>
  <si>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</si>
  <si>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</si>
  <si>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</si>
  <si>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</si>
  <si>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</si>
  <si>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</si>
  <si>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</si>
  <si>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</si>
  <si>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</si>
  <si>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</si>
  <si>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</si>
  <si>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</si>
  <si>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</si>
  <si>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</si>
  <si>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</si>
  <si>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</si>
  <si>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</si>
  <si>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</si>
  <si>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</si>
  <si>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</si>
  <si>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</si>
  <si>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</si>
  <si>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</si>
  <si>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</si>
  <si>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</si>
  <si>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</si>
  <si>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</si>
  <si>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</si>
  <si>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</si>
  <si>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</si>
  <si>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</si>
  <si>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</si>
  <si>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</si>
  <si>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</si>
  <si>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</si>
  <si>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</si>
  <si>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</si>
  <si>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</si>
  <si>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</si>
  <si>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</si>
  <si>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</si>
  <si>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</si>
  <si>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</si>
  <si>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</si>
  <si>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</si>
  <si>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</si>
  <si>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</si>
  <si>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</si>
  <si>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</si>
  <si>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</si>
  <si>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</si>
  <si>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</si>
  <si>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</si>
  <si>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</si>
  <si>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</si>
  <si>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</si>
  <si>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</si>
  <si>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</si>
  <si>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</si>
  <si>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</si>
  <si>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</si>
  <si>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</si>
  <si>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</si>
  <si>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</si>
  <si>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</si>
  <si>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</si>
  <si>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</si>
  <si>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</si>
  <si>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</si>
  <si>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</si>
  <si>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</si>
  <si>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</si>
  <si>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</si>
  <si>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</si>
  <si>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</si>
  <si>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</si>
  <si>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</si>
  <si>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</si>
  <si>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</si>
  <si>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</si>
  <si>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</si>
  <si>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</si>
  <si>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</si>
  <si>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</si>
  <si>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</si>
  <si>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</si>
  <si>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</si>
  <si>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</si>
  <si>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</si>
  <si>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</si>
  <si>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</si>
  <si>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</si>
  <si>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</si>
  <si>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</si>
  <si>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</si>
  <si>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</si>
  <si>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</si>
  <si>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</si>
  <si>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</si>
  <si>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</si>
  <si>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</si>
  <si>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</si>
  <si>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</si>
  <si>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</si>
  <si>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</si>
  <si>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</si>
  <si>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</si>
  <si>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</si>
  <si>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</si>
  <si>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</si>
  <si>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</si>
  <si>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</si>
  <si>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</si>
  <si>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</si>
  <si>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</si>
  <si>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</si>
  <si>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</si>
  <si>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</si>
  <si>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</si>
  <si>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</si>
  <si>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</si>
  <si>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</si>
  <si>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</si>
  <si>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</si>
  <si>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</si>
  <si>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</si>
  <si>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</si>
  <si>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</si>
  <si>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</si>
  <si>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</si>
  <si>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</si>
  <si>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</si>
  <si>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</si>
  <si>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</si>
  <si>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</si>
  <si>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</si>
  <si>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</si>
  <si>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</si>
  <si>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</si>
  <si>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</si>
  <si>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</si>
  <si>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</si>
  <si>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</si>
  <si>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</si>
  <si>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</si>
  <si>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</si>
  <si>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</si>
  <si>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 xml:space="preserve">   Reg.-No.</t>
  </si>
  <si>
    <t xml:space="preserve">   Centre</t>
  </si>
  <si>
    <t xml:space="preserve">   Location</t>
  </si>
  <si>
    <t xml:space="preserve">   Contact</t>
  </si>
  <si>
    <t xml:space="preserve">         Date recorded</t>
  </si>
  <si>
    <t xml:space="preserve">         Date first certification</t>
  </si>
  <si>
    <t xml:space="preserve">         Indicator year</t>
  </si>
  <si>
    <t>Not yet available</t>
  </si>
  <si>
    <r>
      <rPr>
        <b/>
        <sz val="10"/>
        <color indexed="8"/>
        <rFont val="Arial"/>
        <family val="2"/>
      </rPr>
      <t xml:space="preserve">Primary cases </t>
    </r>
    <r>
      <rPr>
        <sz val="10"/>
        <color indexed="8"/>
        <rFont val="Arial"/>
        <family val="2"/>
      </rPr>
      <t xml:space="preserve">
</t>
    </r>
    <r>
      <rPr>
        <b/>
        <sz val="10"/>
        <color indexed="8"/>
        <rFont val="Arial"/>
        <family val="2"/>
      </rPr>
      <t xml:space="preserve">Pancreatic cancer </t>
    </r>
    <r>
      <rPr>
        <sz val="10"/>
        <color indexed="8"/>
        <rFont val="Arial"/>
        <family val="2"/>
      </rPr>
      <t xml:space="preserve">
</t>
    </r>
    <r>
      <rPr>
        <sz val="8"/>
        <color indexed="8"/>
        <rFont val="Arial"/>
        <family val="2"/>
      </rPr>
      <t>Definition in accordance with CR 1.2.0</t>
    </r>
  </si>
  <si>
    <r>
      <rPr>
        <b/>
        <sz val="10"/>
        <rFont val="Arial"/>
        <family val="2"/>
      </rPr>
      <t xml:space="preserve">Primary cases pancreatic cancer </t>
    </r>
    <r>
      <rPr>
        <sz val="10"/>
        <rFont val="Arial"/>
        <family val="2"/>
      </rPr>
      <t xml:space="preserve">
</t>
    </r>
    <r>
      <rPr>
        <b/>
        <sz val="10"/>
        <rFont val="Arial"/>
        <family val="2"/>
      </rPr>
      <t xml:space="preserve">= exocrine pancreatic cancer </t>
    </r>
  </si>
  <si>
    <r>
      <rPr>
        <b/>
        <sz val="10"/>
        <color indexed="8"/>
        <rFont val="Arial"/>
        <family val="2"/>
      </rPr>
      <t>IA</t>
    </r>
  </si>
  <si>
    <r>
      <rPr>
        <b/>
        <sz val="10"/>
        <color indexed="8"/>
        <rFont val="Arial"/>
        <family val="2"/>
      </rPr>
      <t>IB</t>
    </r>
  </si>
  <si>
    <r>
      <rPr>
        <b/>
        <sz val="10"/>
        <color indexed="8"/>
        <rFont val="Arial"/>
        <family val="2"/>
      </rPr>
      <t>IIA</t>
    </r>
  </si>
  <si>
    <r>
      <rPr>
        <b/>
        <sz val="10"/>
        <color indexed="8"/>
        <rFont val="Arial"/>
        <family val="2"/>
      </rPr>
      <t>IIB</t>
    </r>
  </si>
  <si>
    <r>
      <rPr>
        <b/>
        <sz val="10"/>
        <color indexed="8"/>
        <rFont val="Arial"/>
        <family val="2"/>
      </rPr>
      <t>III</t>
    </r>
  </si>
  <si>
    <r>
      <rPr>
        <b/>
        <sz val="10"/>
        <color indexed="8"/>
        <rFont val="Arial"/>
        <family val="2"/>
      </rPr>
      <t>IV</t>
    </r>
  </si>
  <si>
    <r>
      <rPr>
        <b/>
        <sz val="10"/>
        <color indexed="8"/>
        <rFont val="Arial"/>
        <family val="2"/>
      </rPr>
      <t>Total</t>
    </r>
  </si>
  <si>
    <r>
      <rPr>
        <b/>
        <sz val="9"/>
        <color indexed="8"/>
        <rFont val="Arial"/>
        <family val="2"/>
      </rPr>
      <t>T1-N0-M0</t>
    </r>
  </si>
  <si>
    <r>
      <rPr>
        <b/>
        <sz val="9"/>
        <color indexed="8"/>
        <rFont val="Arial"/>
        <family val="2"/>
      </rPr>
      <t>T2-N0-M0</t>
    </r>
  </si>
  <si>
    <r>
      <rPr>
        <b/>
        <sz val="9"/>
        <color indexed="8"/>
        <rFont val="Arial"/>
        <family val="2"/>
      </rPr>
      <t>T3-N0-M0</t>
    </r>
  </si>
  <si>
    <r>
      <rPr>
        <b/>
        <sz val="9"/>
        <color indexed="8"/>
        <rFont val="Arial"/>
        <family val="2"/>
      </rPr>
      <t>T1-N1-M0</t>
    </r>
  </si>
  <si>
    <r>
      <rPr>
        <b/>
        <sz val="9"/>
        <rFont val="Arial"/>
        <family val="2"/>
      </rPr>
      <t xml:space="preserve">T4 each N-M0 </t>
    </r>
    <r>
      <rPr>
        <sz val="9"/>
        <rFont val="Arial"/>
        <family val="2"/>
      </rPr>
      <t xml:space="preserve">
</t>
    </r>
    <r>
      <rPr>
        <b/>
        <sz val="9"/>
        <rFont val="Arial"/>
        <family val="2"/>
      </rPr>
      <t>T1/T2/T3-N2- M0</t>
    </r>
  </si>
  <si>
    <r>
      <rPr>
        <b/>
        <sz val="9"/>
        <color indexed="8"/>
        <rFont val="Arial"/>
        <family val="2"/>
      </rPr>
      <t>Each T-each N-</t>
    </r>
    <r>
      <rPr>
        <sz val="9"/>
        <color indexed="8"/>
        <rFont val="Arial"/>
        <family val="2"/>
      </rPr>
      <t xml:space="preserve">
</t>
    </r>
    <r>
      <rPr>
        <b/>
        <sz val="9"/>
        <color indexed="8"/>
        <rFont val="Arial"/>
        <family val="2"/>
      </rPr>
      <t>M1</t>
    </r>
  </si>
  <si>
    <r>
      <rPr>
        <b/>
        <sz val="9"/>
        <color indexed="8"/>
        <rFont val="Arial"/>
        <family val="2"/>
      </rPr>
      <t>T2-N1-M0</t>
    </r>
  </si>
  <si>
    <r>
      <rPr>
        <b/>
        <sz val="9"/>
        <color indexed="8"/>
        <rFont val="Arial"/>
        <family val="2"/>
      </rPr>
      <t>T3-N1-M0</t>
    </r>
  </si>
  <si>
    <r>
      <t xml:space="preserve">     of which surgical primary cases NET and NEC</t>
    </r>
    <r>
      <rPr>
        <sz val="9"/>
        <rFont val="Arial"/>
        <family val="2"/>
      </rPr>
      <t xml:space="preserve">
</t>
    </r>
    <r>
      <rPr>
        <b/>
        <sz val="9"/>
        <rFont val="Arial"/>
        <family val="2"/>
      </rPr>
      <t xml:space="preserve">     (Only ICD-10 C25 in combination with OPS: 5-524*, 5-525*)</t>
    </r>
  </si>
  <si>
    <r>
      <rPr>
        <b/>
        <sz val="9"/>
        <rFont val="Arial"/>
        <family val="2"/>
      </rPr>
      <t>Primary cases total</t>
    </r>
  </si>
  <si>
    <t>Surgical primary cases total</t>
  </si>
  <si>
    <r>
      <rPr>
        <b/>
        <sz val="10"/>
        <rFont val="Arial"/>
        <family val="2"/>
      </rPr>
      <t xml:space="preserve">Surgical expertise - Number of pancreatic resections </t>
    </r>
    <r>
      <rPr>
        <sz val="9"/>
        <rFont val="Arial"/>
        <family val="2"/>
      </rPr>
      <t xml:space="preserve">
</t>
    </r>
    <r>
      <rPr>
        <b/>
        <sz val="8"/>
        <rFont val="Arial"/>
        <family val="2"/>
      </rPr>
      <t>(OPS: 5-524* and 5-525*, with and without ICD-10 C25)</t>
    </r>
  </si>
  <si>
    <r>
      <rPr>
        <b/>
        <u/>
        <sz val="8"/>
        <rFont val="Arial"/>
        <family val="2"/>
      </rPr>
      <t>Processing remarks:</t>
    </r>
    <r>
      <rPr>
        <sz val="8"/>
        <rFont val="Arial"/>
        <family val="2"/>
      </rPr>
      <t xml:space="preserve">
Some of 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copy/paste function; the exception are data which are entered by the OncoBox). Each change to the basic data leads to a change in the Indicator Sheet. The document "Specifications Data Quality" contains the main foundations for data assessment as part of the audit process. In particular details are given of how to deal with indicators where the target value is not achieved (download from www.onkozert.de; section Instructions).</t>
    </r>
  </si>
  <si>
    <t>Primary cases of neuroendocrine tumours (NETs) and neuroendocrine carcinomas (NECs)</t>
  </si>
  <si>
    <t>OK (Plausibility unclear)</t>
  </si>
  <si>
    <t>Target value not met</t>
  </si>
  <si>
    <t>Incorrect</t>
  </si>
  <si>
    <t>Incomplete</t>
  </si>
  <si>
    <t>Processing quality</t>
  </si>
  <si>
    <t>Data Sheet Pancreas</t>
  </si>
  <si>
    <r>
      <rPr>
        <b/>
        <sz val="9"/>
        <color indexed="8"/>
        <rFont val="Arial"/>
        <family val="2"/>
      </rPr>
      <t>IN</t>
    </r>
  </si>
  <si>
    <r>
      <rPr>
        <b/>
        <sz val="9"/>
        <color indexed="8"/>
        <rFont val="Arial"/>
        <family val="2"/>
      </rPr>
      <t>Indicator</t>
    </r>
    <r>
      <rPr>
        <sz val="9"/>
        <color indexed="8"/>
        <rFont val="Arial"/>
        <family val="2"/>
      </rPr>
      <t xml:space="preserve">
</t>
    </r>
    <r>
      <rPr>
        <b/>
        <sz val="9"/>
        <color indexed="8"/>
        <rFont val="Arial"/>
        <family val="2"/>
      </rPr>
      <t>definition</t>
    </r>
  </si>
  <si>
    <r>
      <rPr>
        <b/>
        <sz val="9"/>
        <color indexed="8"/>
        <rFont val="Arial"/>
        <family val="2"/>
      </rPr>
      <t>Indicator target</t>
    </r>
  </si>
  <si>
    <r>
      <rPr>
        <b/>
        <sz val="9"/>
        <color indexed="8"/>
        <rFont val="Arial"/>
        <family val="2"/>
      </rPr>
      <t>Numerator</t>
    </r>
  </si>
  <si>
    <r>
      <rPr>
        <b/>
        <sz val="9"/>
        <color indexed="8"/>
        <rFont val="Arial"/>
        <family val="2"/>
      </rPr>
      <t xml:space="preserve">Population </t>
    </r>
    <r>
      <rPr>
        <sz val="9"/>
        <color indexed="8"/>
        <rFont val="Arial"/>
        <family val="2"/>
      </rPr>
      <t xml:space="preserve">
</t>
    </r>
    <r>
      <rPr>
        <b/>
        <sz val="9"/>
        <color indexed="8"/>
        <rFont val="Arial"/>
        <family val="2"/>
      </rPr>
      <t>(= denominator)</t>
    </r>
  </si>
  <si>
    <r>
      <rPr>
        <b/>
        <sz val="8"/>
        <color indexed="8"/>
        <rFont val="Arial Narrow"/>
        <family val="2"/>
      </rPr>
      <t>Target value</t>
    </r>
  </si>
  <si>
    <r>
      <rPr>
        <b/>
        <sz val="9"/>
        <color indexed="8"/>
        <rFont val="Arial"/>
        <family val="2"/>
      </rPr>
      <t>Current value</t>
    </r>
  </si>
  <si>
    <r>
      <rPr>
        <b/>
        <sz val="9"/>
        <color indexed="8"/>
        <rFont val="Arial"/>
        <family val="2"/>
      </rPr>
      <t>Data quality</t>
    </r>
  </si>
  <si>
    <r>
      <rPr>
        <b/>
        <sz val="9"/>
        <color indexed="8"/>
        <rFont val="Arial"/>
        <family val="2"/>
      </rPr>
      <t>Verification Centre</t>
    </r>
  </si>
  <si>
    <t>If target value is not met please give reasons / cause
(min. 30 characters / max. 500 characters)</t>
  </si>
  <si>
    <r>
      <rPr>
        <b/>
        <sz val="8"/>
        <color indexed="8"/>
        <rFont val="Arial"/>
        <family val="2"/>
      </rPr>
      <t>Action taken/planned</t>
    </r>
    <r>
      <rPr>
        <sz val="8"/>
        <color indexed="8"/>
        <rFont val="Arial"/>
        <family val="2"/>
      </rPr>
      <t xml:space="preserve">
(if reasons are plausible, no action is required)</t>
    </r>
  </si>
  <si>
    <r>
      <rPr>
        <sz val="8"/>
        <color indexed="8"/>
        <rFont val="Arial"/>
        <family val="2"/>
      </rPr>
      <t>Primary cases Centre</t>
    </r>
  </si>
  <si>
    <r>
      <rPr>
        <sz val="8"/>
        <color indexed="8"/>
        <rFont val="Arial"/>
        <family val="2"/>
      </rPr>
      <t>See target value</t>
    </r>
  </si>
  <si>
    <r>
      <rPr>
        <sz val="8"/>
        <color indexed="8"/>
        <rFont val="Arial"/>
        <family val="2"/>
      </rPr>
      <t>Primary cases</t>
    </r>
  </si>
  <si>
    <r>
      <rPr>
        <sz val="8"/>
        <color indexed="8"/>
        <rFont val="Arial"/>
        <family val="2"/>
      </rPr>
      <t>-----</t>
    </r>
  </si>
  <si>
    <r>
      <rPr>
        <sz val="8"/>
        <color indexed="8"/>
        <rFont val="Arial"/>
        <family val="2"/>
      </rPr>
      <t>Inclusion of as many patients as possible in studies</t>
    </r>
  </si>
  <si>
    <r>
      <rPr>
        <sz val="8"/>
        <color indexed="8"/>
        <rFont val="Arial"/>
        <family val="2"/>
      </rPr>
      <t>Endoscopy complications</t>
    </r>
  </si>
  <si>
    <t>ERCPs of the denominator with specific complications</t>
  </si>
  <si>
    <r>
      <rPr>
        <sz val="8"/>
        <rFont val="Arial"/>
        <family val="2"/>
      </rPr>
      <t>Pancreatitis after ERCP
(CR 2.1)</t>
    </r>
  </si>
  <si>
    <r>
      <rPr>
        <sz val="8"/>
        <rFont val="Arial"/>
        <family val="2"/>
      </rPr>
      <t>ERCPs for each endoscopy unit</t>
    </r>
  </si>
  <si>
    <r>
      <rPr>
        <sz val="8"/>
        <rFont val="Arial"/>
        <family val="2"/>
      </rPr>
      <t>Bleeding and perforation after ERCP 
(CR 2.1)</t>
    </r>
  </si>
  <si>
    <r>
      <rPr>
        <sz val="8"/>
        <color indexed="8"/>
        <rFont val="Arial"/>
        <family val="2"/>
      </rPr>
      <t>Surgical primary cases pancreas 
(OPS: 5-524*, 5-525* only with ICD-10 C25) (Def. 5.2.4)</t>
    </r>
  </si>
  <si>
    <r>
      <rPr>
        <sz val="8"/>
        <color indexed="8"/>
        <rFont val="Arial"/>
        <family val="2"/>
      </rPr>
      <t xml:space="preserve">Overall surgical expertise pancreas </t>
    </r>
  </si>
  <si>
    <r>
      <rPr>
        <sz val="8"/>
        <color indexed="8"/>
        <rFont val="Arial"/>
        <family val="2"/>
      </rPr>
      <t xml:space="preserve">Revision surgeries pancreas </t>
    </r>
  </si>
  <si>
    <t>Primary cases of the denominator with local R0 resections after completion of surgical therapy</t>
  </si>
  <si>
    <r>
      <rPr>
        <sz val="8"/>
        <rFont val="Arial"/>
        <family val="2"/>
      </rPr>
      <t>At least 12 regional lymph nodes in the surgical specimen</t>
    </r>
  </si>
  <si>
    <r>
      <rPr>
        <sz val="8"/>
        <color indexed="8"/>
        <rFont val="Arial"/>
        <family val="2"/>
      </rPr>
      <t>Number</t>
    </r>
  </si>
  <si>
    <r>
      <rPr>
        <sz val="8"/>
        <color indexed="8"/>
        <rFont val="Arial"/>
        <family val="2"/>
      </rPr>
      <t>Numerator</t>
    </r>
  </si>
  <si>
    <r>
      <rPr>
        <sz val="8"/>
        <color indexed="8"/>
        <rFont val="Arial"/>
        <family val="2"/>
      </rPr>
      <t>Denominator</t>
    </r>
  </si>
  <si>
    <r>
      <rPr>
        <sz val="8"/>
        <color indexed="8"/>
        <rFont val="Arial"/>
        <family val="2"/>
      </rPr>
      <t>%</t>
    </r>
  </si>
  <si>
    <r>
      <rPr>
        <sz val="8"/>
        <rFont val="Arial"/>
        <family val="2"/>
      </rPr>
      <t>Denominator</t>
    </r>
  </si>
  <si>
    <r>
      <rPr>
        <sz val="8"/>
        <rFont val="Arial"/>
        <family val="2"/>
      </rPr>
      <t>Number</t>
    </r>
  </si>
  <si>
    <r>
      <rPr>
        <sz val="8"/>
        <rFont val="Arial"/>
        <family val="2"/>
      </rPr>
      <t>Numerator</t>
    </r>
  </si>
  <si>
    <r>
      <rPr>
        <sz val="8"/>
        <rFont val="Arial"/>
        <family val="2"/>
      </rPr>
      <t>%</t>
    </r>
  </si>
  <si>
    <t>No target value</t>
  </si>
  <si>
    <r>
      <rPr>
        <sz val="8"/>
        <color indexed="8"/>
        <rFont val="Arial"/>
        <family val="2"/>
      </rPr>
      <t>1) Plausibility unclear
In comparison to the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depict a negative care situation (e.g. surplus care). The result of this check is to be explained in more detail by the Centre in the Indicator Sheet in the column "Reasons/Cause". Where appropriate, specific actions should be defined and carried out in line with the procedure "Failure to meet the target value".
2) Target value not met
The relevant indicators are to be analysed. The result is to be documented in the spreadsheet Indicator Sheet (IS). The document "Specifications Data Quality" contains more detailed information about this.
3) Incomplete
If any indicators have the status "incomplete", then they are either to be supplied at a later stage or a clear statement is to be made about the possibility of future presentation ("incomplete indicators" always constitute a potential deviation).</t>
    </r>
  </si>
  <si>
    <t>optional - Target value not met</t>
  </si>
  <si>
    <t>optional - Incomplete</t>
  </si>
  <si>
    <t>optional - Incorrect</t>
  </si>
  <si>
    <t>Federal state / Country</t>
  </si>
  <si>
    <t>Tumour documentation system</t>
  </si>
  <si>
    <t>Primary cases 
(= Indicator 1)</t>
  </si>
  <si>
    <t>Pancreatic resections
(OPS: 5-524* and 5-525*, with and without ICD-10 C25) 
(= Indicator 9)</t>
  </si>
  <si>
    <t>OK</t>
  </si>
  <si>
    <t>optional - OK</t>
  </si>
  <si>
    <t>optional - OK (Plausibility unclear)</t>
  </si>
  <si>
    <t>Plausi-bility unclear</t>
  </si>
  <si>
    <t>CR/ GL</t>
  </si>
  <si>
    <t>1a</t>
  </si>
  <si>
    <t>1b</t>
  </si>
  <si>
    <t>Patients with new recurrence and/or distant metastases</t>
  </si>
  <si>
    <t>Number</t>
  </si>
  <si>
    <t>Pretherapeutic tumour board</t>
  </si>
  <si>
    <t>Pretherapeutic presentation of all primary cases in tumour board</t>
  </si>
  <si>
    <t>Primary cases of the denominator with pancreatic cancer that were presented at the pretherapeutic board</t>
  </si>
  <si>
    <t>Post-operative tumour board</t>
  </si>
  <si>
    <t>Post-operative presentation of all primary cases in tumour board</t>
  </si>
  <si>
    <t>Primary cases of the denominator presented in the post-operative tumor board</t>
  </si>
  <si>
    <t>Patients of the denominator who received counselling by social services in an inpatient or outpatient setting</t>
  </si>
  <si>
    <t>Rate of endoscopy-specific complications as low as possible</t>
  </si>
  <si>
    <t>Rate of revision surgeries after initial surgery as low as possible</t>
  </si>
  <si>
    <t>Rate of patients who die after surgical procedures as low as possible</t>
  </si>
  <si>
    <t>GL QI</t>
  </si>
  <si>
    <t>Rate of local 
R0 resections as high as possible</t>
  </si>
  <si>
    <t>Lymph node removal</t>
  </si>
  <si>
    <t>As often as possible complete pathology reports</t>
  </si>
  <si>
    <t>Local R0 resections pancreas</t>
  </si>
  <si>
    <t>Adjuvant chemotherapy</t>
  </si>
  <si>
    <t>Palliative chemotherapy</t>
  </si>
  <si>
    <t>Summe Plausibilität unklar</t>
  </si>
  <si>
    <t>Exception (Plausibility unclear)</t>
  </si>
  <si>
    <t>Note:</t>
  </si>
  <si>
    <t xml:space="preserve">For reasons of easy readability, the term “patient” expressly covers all gender attributions (female, male, other). </t>
  </si>
  <si>
    <t>Plausible</t>
  </si>
  <si>
    <t xml:space="preserve">Reg.-No. </t>
  </si>
  <si>
    <t>Primary cases of denominator with reports of findings with indication of: pT, pN, M; tumour grading: ratio of affected to removed lymph nodes</t>
  </si>
  <si>
    <t xml:space="preserve">As often as possible adjuvant chemotherapy </t>
  </si>
  <si>
    <t xml:space="preserve">Primary cases of the denominator with adjuvant chemotherapy </t>
  </si>
  <si>
    <t>Pat. of the denominator with palliative chemotherapy</t>
  </si>
  <si>
    <t>Primary resection for metastatic pancreatic cancer</t>
  </si>
  <si>
    <t>No primary tumour resection for pancreatic carcinoma with proven distant metastases</t>
  </si>
  <si>
    <t>Primary cases of the denominator with primary resection of the tumour</t>
  </si>
  <si>
    <t>Numerator</t>
  </si>
  <si>
    <t>Denominator</t>
  </si>
  <si>
    <t>%</t>
  </si>
  <si>
    <t>Second-line therapy</t>
  </si>
  <si>
    <t>Second-line therapy as often as possible in case of progression under first-line therapy and ECOG ≤ 2</t>
  </si>
  <si>
    <t>Pat. of the denominator with second-line therapy</t>
  </si>
  <si>
    <t>Patients with pancreatic cancer (without NET/NEC), ECOG 0-2 and progression under palliative first-line therapy</t>
  </si>
  <si>
    <t>Datenqualität Kennzahlen</t>
  </si>
  <si>
    <t xml:space="preserve">        Erroneous</t>
  </si>
  <si>
    <t>optional - Exception (Plausibility unclear)</t>
  </si>
  <si>
    <t>Pathology reports</t>
  </si>
  <si>
    <t xml:space="preserve">                  Target value not met</t>
  </si>
  <si>
    <t xml:space="preserve">                  OK</t>
  </si>
  <si>
    <t>Plausibility unclear</t>
  </si>
  <si>
    <r>
      <rPr>
        <b/>
        <u/>
        <sz val="8"/>
        <color indexed="8"/>
        <rFont val="Arial"/>
        <family val="2"/>
      </rPr>
      <t>Processing remarks:</t>
    </r>
    <r>
      <rPr>
        <sz val="8"/>
        <color indexed="8"/>
        <rFont val="Arial"/>
        <family val="2"/>
      </rPr>
      <t xml:space="preserve">
The numerator is always a subset of the denominator (exception: Indicator 6 - Share of study patients). </t>
    </r>
  </si>
  <si>
    <t>Basic data Pancreas</t>
  </si>
  <si>
    <t xml:space="preserve">Adequate rate of counselling by social services </t>
  </si>
  <si>
    <t>Patients who were included in a study with an ethical vote</t>
  </si>
  <si>
    <t>As often as possible palliative chemotherapy, ECOG 0-2</t>
  </si>
  <si>
    <t>*OPS-Code 5-524 correspondance to OPS (1) partial resection of the pancreas
**OPS-Code 5-525 correspondance to OPS (1) (total) pancreatectomy</t>
  </si>
  <si>
    <t>Centre</t>
  </si>
  <si>
    <t xml:space="preserve">Psycho-oncological distress screening </t>
  </si>
  <si>
    <t>Adequate rate of psycho-oncological distress screening</t>
  </si>
  <si>
    <t>Patients of the denominator who were psycho-oncologically screened</t>
  </si>
  <si>
    <t>≥  65%</t>
  </si>
  <si>
    <t>Social service counselling</t>
  </si>
  <si>
    <t>≥ 40%</t>
  </si>
  <si>
    <t>≥ 80%</t>
  </si>
  <si>
    <t>Patients enrolled in a study</t>
  </si>
  <si>
    <t xml:space="preserve">   Institution 
   identification (II) number</t>
  </si>
  <si>
    <t xml:space="preserve">   Clinical sites number</t>
  </si>
  <si>
    <r>
      <rPr>
        <b/>
        <sz val="10"/>
        <rFont val="Arial"/>
        <family val="2"/>
      </rPr>
      <t xml:space="preserve">    of which surgical primary cases of 
    pancreatic cancer</t>
    </r>
    <r>
      <rPr>
        <sz val="9"/>
        <rFont val="Arial"/>
        <family val="2"/>
      </rPr>
      <t xml:space="preserve">
</t>
    </r>
    <r>
      <rPr>
        <b/>
        <sz val="8"/>
        <rFont val="Arial"/>
        <family val="2"/>
      </rPr>
      <t xml:space="preserve">     (Only ICD-10 C25 in combination with OPS 
     (German procedure classification) </t>
    </r>
    <r>
      <rPr>
        <sz val="8"/>
        <rFont val="Arial"/>
        <family val="2"/>
      </rPr>
      <t xml:space="preserve">
</t>
    </r>
    <r>
      <rPr>
        <b/>
        <sz val="8"/>
        <rFont val="Arial"/>
        <family val="2"/>
      </rPr>
      <t xml:space="preserve">     5-524*, 5-525*)</t>
    </r>
  </si>
  <si>
    <t>List of studies</t>
  </si>
  <si>
    <t xml:space="preserve">                Total:</t>
  </si>
  <si>
    <r>
      <rPr>
        <u/>
        <sz val="8"/>
        <color theme="1"/>
        <rFont val="Arial"/>
        <family val="2"/>
      </rPr>
      <t>Please note</t>
    </r>
    <r>
      <rPr>
        <sz val="8"/>
        <color theme="1"/>
        <rFont val="Arial"/>
        <family val="2"/>
      </rPr>
      <t>: Study patients can be counted for 2 centres, provided that the sending centre itself conducts at least one study for patients of the Stomach Cancer Centre. If this method of counting is chosen (optional), the centre must show how many patients are included in studies in its own centre, sent to other centres/ clinics for study participation and transferred from other centres/ clinics for study participation.</t>
    </r>
  </si>
  <si>
    <t>Responsible co-operation partner</t>
  </si>
  <si>
    <t>Name of the study</t>
  </si>
  <si>
    <t>Number of study patients in the indicator year</t>
  </si>
  <si>
    <t>who were included in a study at their own centre</t>
  </si>
  <si>
    <t>who were included in a study at their own centre by other centres/ clinics</t>
  </si>
  <si>
    <t>who were included in a study in other centres/ clinics</t>
  </si>
  <si>
    <t>Verantwortlicher Kooperationspartner</t>
  </si>
  <si>
    <t>Name der Studie</t>
  </si>
  <si>
    <t>im eigenen Zentrum in eine Studie eingeschlossen wurden</t>
  </si>
  <si>
    <t>von anderen Zentren/ Kliniken in eine Studie im eigenen Zentrum eingeschlossen wurden</t>
  </si>
  <si>
    <t>in anderen Zentren/ Kliniken in eine Studie eingeschlossen wurden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</si>
  <si>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</si>
  <si>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</si>
  <si>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</si>
  <si>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</si>
  <si>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</si>
  <si>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</si>
  <si>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</si>
  <si>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</si>
  <si>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 xml:space="preserve">Table of examiners </t>
  </si>
  <si>
    <t>Designated examiner</t>
  </si>
  <si>
    <r>
      <rPr>
        <sz val="8"/>
        <color theme="1"/>
        <rFont val="Arial"/>
        <family val="2"/>
      </rPr>
      <t xml:space="preserve">
</t>
    </r>
    <r>
      <rPr>
        <u/>
        <sz val="8"/>
        <color theme="1"/>
        <rFont val="Arial"/>
        <family val="2"/>
      </rPr>
      <t>Please note:</t>
    </r>
    <r>
      <rPr>
        <sz val="8"/>
        <color theme="1"/>
        <rFont val="Arial"/>
        <family val="2"/>
      </rPr>
      <t xml:space="preserve"> If the pancreas and/or stomach and/or oesophagus modules are certified in parallel, the table of examiners can be fully completed in only one of the three Data Sheets. The other Data Sheets can then refer to the corresponding Data Sheet. If the table is completed separately in each Data Sheet, it must be ensured that the information matches. 
If the examiners did not perform any examinations during the period under review, enter ‘0’.</t>
    </r>
    <r>
      <rPr>
        <u/>
        <sz val="8"/>
        <color theme="1"/>
        <rFont val="Arial"/>
        <family val="2"/>
      </rPr>
      <t xml:space="preserve">
</t>
    </r>
  </si>
  <si>
    <t>Non-designated examiner</t>
  </si>
  <si>
    <t>Title, Surname, First Name</t>
  </si>
  <si>
    <t>Status examiner</t>
  </si>
  <si>
    <t>Examining unit
(practice/ clinic department)</t>
  </si>
  <si>
    <t>Time period from ... to in the indicator year</t>
  </si>
  <si>
    <t>Number of EUS
≥ 30 per year</t>
  </si>
  <si>
    <t>Number of FNPs
≥ 10 per year</t>
  </si>
  <si>
    <t>Number of ERCPs 
≥ 50 per year</t>
  </si>
  <si>
    <t>Reason/ cause</t>
  </si>
  <si>
    <t>Designated surgeon</t>
  </si>
  <si>
    <t>Yes</t>
  </si>
  <si>
    <t>Table of surgeons (qualification according to CR 5.2.5)</t>
  </si>
  <si>
    <t>Non-designated surgeon</t>
  </si>
  <si>
    <t>No</t>
  </si>
  <si>
    <r>
      <t>Please note:</t>
    </r>
    <r>
      <rPr>
        <sz val="8"/>
        <color theme="1"/>
        <rFont val="Arial"/>
        <family val="2"/>
      </rPr>
      <t xml:space="preserve"> If the surgeons did not perform any operations during the period under review, enter ‘0’.</t>
    </r>
  </si>
  <si>
    <t>Basic qualification fulfilled yes/ no</t>
  </si>
  <si>
    <t>Status of surgeon</t>
  </si>
  <si>
    <t>Clinical sites/ centre</t>
  </si>
  <si>
    <t>Number of surgeries
Stomach ≥ 10</t>
  </si>
  <si>
    <t xml:space="preserve">   Summe:</t>
  </si>
  <si>
    <t xml:space="preserve">Total: </t>
  </si>
  <si>
    <t xml:space="preserve">4
</t>
  </si>
  <si>
    <t xml:space="preserve">b
</t>
  </si>
  <si>
    <t>Marvin</t>
  </si>
  <si>
    <t>SHGHoncoDoc</t>
  </si>
  <si>
    <t xml:space="preserve">   Institution identification (II) number</t>
  </si>
  <si>
    <t>Primary cases (= Indicator 1a) + patients with new recurrence and/or distant metastases 
(= Indicator 1b)</t>
  </si>
  <si>
    <t>Surgical primary cases pancreas (OPS: 5-524*, 5-525* only with ICD-10 C25) 
(= Indicator 8)</t>
  </si>
  <si>
    <t>Primary cases of pancreatic carcinoma (without NET/NEC) with distant metastases (=organ metastases, peritoneal carcinomatosis, lymph node metastases considered as distant metastases (M1))</t>
  </si>
  <si>
    <t>Surgical primary cases pancreas (OPS: 5-524* and 
5-525* with ICD-10 C25)
(= Indicator 8)</t>
  </si>
  <si>
    <t>Surgical primary cases (OPS: 
5-524*, 5-525* only with ICD-10 C25) without NET and NEC, who have undergone 
a lymphadenectomy</t>
  </si>
  <si>
    <t>Surgical primary cases (OPS: 
5-524*, 5-525* exclusively with ICD-10 C25) without NET and NEC</t>
  </si>
  <si>
    <t>Surgical primary cases pancreatic cancer UICC 
stages I-III and R0 resection 
(without NET and NEC)</t>
  </si>
  <si>
    <t>Non-operative primary cases of pancreatic cancer and ECOG 
0-2 (without NET and NEC)
Pat. with pancreatic carcinoma with secondary metastasis (M1) without metastasectomy and ECOG 0-2 (without NET/NEC)</t>
  </si>
  <si>
    <t>Primary cases of the denominator  with ≥ 12 regional lymph nodes in the surgical specimen after conclusion of surgery</t>
  </si>
  <si>
    <t>Resections of the denominator with revision surgeries after 
peri-operative complications within 30d of surgery</t>
  </si>
  <si>
    <t>Pancreatic resections 
(left resection of the pancreas, pancreatic head resection, total pancreatectomy, OPS: 5-524* 
and 5-525*, with and without 
ICD-10 C25)</t>
  </si>
  <si>
    <t>Surgical primary cases pancreas 
(only ICD-10 C25 in combination with OPS: 5-524* and 5-525*)</t>
  </si>
  <si>
    <t>Annex CR Version P1.1 (Audit year 2026 / Indicator year 2025)</t>
  </si>
  <si>
    <t>D-Flow Onco (vormals OncoAssist)</t>
  </si>
  <si>
    <t>Stand: 02.10.2025</t>
  </si>
  <si>
    <t>Aktualisierung: 04.12.2025</t>
  </si>
  <si>
    <t>PAN-MF-001-2-V</t>
  </si>
  <si>
    <t>PAN-MF-001-3-V</t>
  </si>
  <si>
    <t>SLG St. Paulus GmbH, St. Josefs Hospital Dortmund</t>
  </si>
  <si>
    <t>PAN-MF-002-V</t>
  </si>
  <si>
    <t>PAN-MF-003-1-V</t>
  </si>
  <si>
    <t>PAN-MF-003-3-V</t>
  </si>
  <si>
    <t>PAN-MF-007-V</t>
  </si>
  <si>
    <t>PAN-MF-009-V</t>
  </si>
  <si>
    <t>Pankreaskarzinomzentrum Ammerland-Klinik Westerstede</t>
  </si>
  <si>
    <t>Ammerland-Klinik Westerstede</t>
  </si>
  <si>
    <t>PAN-MF-010-V</t>
  </si>
  <si>
    <t>Pankreaskrebszentrum St. Marien Amberg</t>
  </si>
  <si>
    <t>Klinikum St. Marien Amberg</t>
  </si>
  <si>
    <t>PAN-MF-013-V</t>
  </si>
  <si>
    <t>Pankreaskrebszentrum Klinikum Nürnberg</t>
  </si>
  <si>
    <t>Klinikum Nürnberg</t>
  </si>
  <si>
    <t>PAN-MF-018-V</t>
  </si>
  <si>
    <t>Alfried Krupp Krankenhaus Essen</t>
  </si>
  <si>
    <t>PAN-MF-022-V</t>
  </si>
  <si>
    <t>Pankreaskrebszentrum St. Elisabeth und St. Barbara Halle (Saale)</t>
  </si>
  <si>
    <t>Krankenhaus St. Elisabeth und St. Barbara Halle (Saale) GmbH</t>
  </si>
  <si>
    <t>PAN-MF-023-V</t>
  </si>
  <si>
    <t>Pankreaskrebszentrum Chiemgau am Klinikum Traunstein</t>
  </si>
  <si>
    <t>Klinikum Traunstein/Kliniken Südostbayern AG</t>
  </si>
  <si>
    <t>PAN-MF-027-V</t>
  </si>
  <si>
    <t>Pankreaskarzinomzentrum Leipziger Land Borna</t>
  </si>
  <si>
    <t>Sana Klinikum Borna</t>
  </si>
  <si>
    <t>PAN-MF-031-V</t>
  </si>
  <si>
    <t>Klinikum Lippe, Standort Detmold</t>
  </si>
  <si>
    <t>PAN-MF-032-V</t>
  </si>
  <si>
    <t>Klinikum am Gesundbrunnen / SLK-Kliniken Heilbronn</t>
  </si>
  <si>
    <t>PAN-MF-033-V</t>
  </si>
  <si>
    <t>Pankreaskrebszentrum Katholisches Krankenhaus Erfurt</t>
  </si>
  <si>
    <t>Katholisches Krankenhaus "St. Johann Nepomuk" Erfurt</t>
  </si>
  <si>
    <t>PAN-MF-037-V</t>
  </si>
  <si>
    <t>Helios Klinikum Hildesheim</t>
  </si>
  <si>
    <t>PAN-MF-040-V</t>
  </si>
  <si>
    <t>Pankreaskarzinomzentrum Berlin Köpenick</t>
  </si>
  <si>
    <t>DRK Kliniken Berlin Köpenick</t>
  </si>
  <si>
    <t>PAN-MF-043-V</t>
  </si>
  <si>
    <t>PAN-MF-044-V</t>
  </si>
  <si>
    <t>Sana Kliniken Oberfranken – Klinikum Coburg</t>
  </si>
  <si>
    <t>PAN-MF-046-V</t>
  </si>
  <si>
    <t>Pankreaskarzinomzentrum Speyer</t>
  </si>
  <si>
    <t xml:space="preserve">Diakonissen-Stiftungs-Krankenhaus Speyer </t>
  </si>
  <si>
    <t>PAN-MF-047-V</t>
  </si>
  <si>
    <t>Pankreaskarzinomzentrum München Klinik Bogenhausen</t>
  </si>
  <si>
    <t>München Klinik Bogenhausen</t>
  </si>
  <si>
    <t>PAN-MF-048-V</t>
  </si>
  <si>
    <t>Pankreaskarzinomzentrum München Klinik Neuperlach</t>
  </si>
  <si>
    <t>München Klinik Neuperlach</t>
  </si>
  <si>
    <t>PAN-MF-052-V</t>
  </si>
  <si>
    <t>Pankreaskarzinomzentrum am Klinikum Magdeburg</t>
  </si>
  <si>
    <t>Klinikum Magdeburg</t>
  </si>
  <si>
    <t>PAN-MF-055-V</t>
  </si>
  <si>
    <t>PAN-MF-057-V</t>
  </si>
  <si>
    <t>Pankreaskarzinomzentrum Lahr</t>
  </si>
  <si>
    <t>Ortenau Klinikum Lahr-Ettenheim</t>
  </si>
  <si>
    <t>PAN-MF-060-V</t>
  </si>
  <si>
    <t>PAN-MF-063-V</t>
  </si>
  <si>
    <t>PAN-MF-064-V</t>
  </si>
  <si>
    <t>PAN-MF-067-V</t>
  </si>
  <si>
    <t>PAN-MF-068-V</t>
  </si>
  <si>
    <t>Pankreaskarzinomzentrum Dachau</t>
  </si>
  <si>
    <t>Helios Amper–Klinikum Dachau</t>
  </si>
  <si>
    <t>PAN-MF-070-V</t>
  </si>
  <si>
    <t>PAN-MF-071-V</t>
  </si>
  <si>
    <t>Pankreaskarzinomzentrum Robert Bosch Krankenhaus</t>
  </si>
  <si>
    <t>Robert Bosch Krankenhaus Stuttgart</t>
  </si>
  <si>
    <t>PAN-MF-072-V</t>
  </si>
  <si>
    <t>PAN-MF-074-V</t>
  </si>
  <si>
    <t>PAN-MF-076-V</t>
  </si>
  <si>
    <t xml:space="preserve">Klinikum am Steinenberg, Kreiskliniken Reutlingen </t>
  </si>
  <si>
    <t>PAN-MF-083-V</t>
  </si>
  <si>
    <t>Pankreaskarzinomzentrum Aschaffenburg</t>
  </si>
  <si>
    <t>PAN-MF-087-V</t>
  </si>
  <si>
    <t>Pankreaskarzinomzentrum Vinzenzkrankenhaus Hannover</t>
  </si>
  <si>
    <t>Vinzenzkrankenhaus Hannover</t>
  </si>
  <si>
    <t>PAN-MF-090-V</t>
  </si>
  <si>
    <t>Pankreaskarzinomzentrum am AGAPLESION MARKUS KRANKENHAUS Frankfurt</t>
  </si>
  <si>
    <t>AGAPLESION MARKUS KRANKENHAUS</t>
  </si>
  <si>
    <t>PAN-MF-091-V</t>
  </si>
  <si>
    <t>PAN-MF-093-V</t>
  </si>
  <si>
    <t>PAN-MF-096-V</t>
  </si>
  <si>
    <t>PAN-MF-097-V</t>
  </si>
  <si>
    <t>PAN-MF-098-V</t>
  </si>
  <si>
    <t>PAN-MF-099-V</t>
  </si>
  <si>
    <t>PAN-MF-101-V</t>
  </si>
  <si>
    <t>PAN-MF-103-V</t>
  </si>
  <si>
    <t>Pankreaskrebszentrum Universitätsklinikum Regensburg</t>
  </si>
  <si>
    <t>PAN-MF-106</t>
  </si>
  <si>
    <t>Pankreaskarzinomzentrum am Krankenhaus der Barmherzigen Brüder Trier</t>
  </si>
  <si>
    <t>Krankenhaus der Barmherzigen Brüder Trier</t>
  </si>
  <si>
    <t>PAN-MF-107-V</t>
  </si>
  <si>
    <t>Pankreaskarzinomzentrum Main-Kinzig-Kliniken Gelnhausen</t>
  </si>
  <si>
    <t>Main-Kinzig-Kliniken Gelnhausen</t>
  </si>
  <si>
    <t>PAN-MF-108-V</t>
  </si>
  <si>
    <t>Universitätsmedizin Frankfurt</t>
  </si>
  <si>
    <t>PAN-MF-109-V</t>
  </si>
  <si>
    <t>PAN-MF-112-V</t>
  </si>
  <si>
    <t>Pankreaskarzinomzentrum am St. Joseph Krankenhaus Berlin - Tempelhof</t>
  </si>
  <si>
    <t>St. Joseph Krankenhaus</t>
  </si>
  <si>
    <t>PAN-MF-113-V</t>
  </si>
  <si>
    <t>PAN-MF-115-V</t>
  </si>
  <si>
    <t>Pankreaskrebszentrum am Klinikum Mutterhaus Trier</t>
  </si>
  <si>
    <t>Klinikum Mutterhaus der Borromäerinnen Trier</t>
  </si>
  <si>
    <t>PAN-MF-118-V</t>
  </si>
  <si>
    <t>PAN-MF-121-V</t>
  </si>
  <si>
    <t>Pankreaskarzinomzentrum am Onkologischen Zentrum Asklepios Klinik Barmbek</t>
  </si>
  <si>
    <t>PAN-MF-122-V</t>
  </si>
  <si>
    <t>PAN-MF-123-V</t>
  </si>
  <si>
    <t>PAN-MF-126-V</t>
  </si>
  <si>
    <t>Pankreaskarzinomzentrum Clemenshospital, Münster</t>
  </si>
  <si>
    <t>Ludgerus-Kliniken Münster, Standort Clemenshospital</t>
  </si>
  <si>
    <t>PAN-MF-131-V</t>
  </si>
  <si>
    <t>Pankreaskarzinomzentrum Bethanien Moers</t>
  </si>
  <si>
    <t>Krankenhaus Bethanien für die Grafschaft Moers</t>
  </si>
  <si>
    <t>PAN-MF-133-V</t>
  </si>
  <si>
    <t>PAN-MF-135-V</t>
  </si>
  <si>
    <t>PAN-MF-137-V</t>
  </si>
  <si>
    <t>Pankreaskarzinomzentrum Vivantes Klinikum im Friedrichshain</t>
  </si>
  <si>
    <t>Vivantes Klinikum Friedrichshain</t>
  </si>
  <si>
    <t>PAN-MF-141-V</t>
  </si>
  <si>
    <t>Pankreaskarzinomzentrum am Helios Universitätsklinikum Wuppertal</t>
  </si>
  <si>
    <t>Helios Universitätsklinikum Wuppertal</t>
  </si>
  <si>
    <t>PAN-MF-142-V</t>
  </si>
  <si>
    <t>PAN-MF-144-V</t>
  </si>
  <si>
    <t>CCC Tübingen-Stuttgart am Universitätsklinikum Tübingen</t>
  </si>
  <si>
    <t>PAN-MF-149-V</t>
  </si>
  <si>
    <t>Klinikum Würzburg Mitte, Standort Juliusspital</t>
  </si>
  <si>
    <t>PAN-MF-150-V</t>
  </si>
  <si>
    <t>Pankreaskrebszentrum am St. Bernward Krankenhaus Hildesheim</t>
  </si>
  <si>
    <t>St. Bernward Krankenhaus</t>
  </si>
  <si>
    <t>PAN-MF-154-V</t>
  </si>
  <si>
    <t>PAN-MF-160-V</t>
  </si>
  <si>
    <t>PAN-MF-162-V</t>
  </si>
  <si>
    <t>Pankreaskrebszentrum Ravensburg</t>
  </si>
  <si>
    <t>Oberschwabenklinik St. Elisabethen-Klinikum, Ravensburg</t>
  </si>
  <si>
    <t>PAN-MF-167-V</t>
  </si>
  <si>
    <t>Pankreaskarzinomzentrum Ingolstadt</t>
  </si>
  <si>
    <t>Klinikum Ingolstadt</t>
  </si>
  <si>
    <t>PAN-MF-173-V</t>
  </si>
  <si>
    <t>PAN-MF-174-V</t>
  </si>
  <si>
    <t>Pankreaskarzinomzentrum am LMU Klinikum</t>
  </si>
  <si>
    <t>LMU Klinikum</t>
  </si>
  <si>
    <t>PAN-MF-177-V</t>
  </si>
  <si>
    <t>Pankreaskarzinomzentrum des ALB FILS KLINIKUMS</t>
  </si>
  <si>
    <t>ALB FILS KLINIKUM Göppingen</t>
  </si>
  <si>
    <t>PAN-MF-178-V</t>
  </si>
  <si>
    <t>DRK Kliniken Berlin Westend</t>
  </si>
  <si>
    <t>PAN-MF-179-V</t>
  </si>
  <si>
    <t xml:space="preserve">Pankreaskarzinomzentrum Nordoberpfalz - Klinikum Weiden </t>
  </si>
  <si>
    <t>Kliniken Nordoberpfalz, Standort Klinikum Weiden</t>
  </si>
  <si>
    <t>PAN-MF-180-V</t>
  </si>
  <si>
    <t>PAN-MF-185-V</t>
  </si>
  <si>
    <t>Centrum für Integrierte Onkologie Aachen Bonn Köln Düsseldorf im Universitätsklinikum Düsseldorf</t>
  </si>
  <si>
    <t>PAN-MF-186-V</t>
  </si>
  <si>
    <t>PAN-MF-187-V</t>
  </si>
  <si>
    <t>PAN-MF-191-V</t>
  </si>
  <si>
    <t>Pankreaskarzinomzentrum Städtisches Klinikum Karlsruhe</t>
  </si>
  <si>
    <t>Städtisches Klinikum Karlsruhe</t>
  </si>
  <si>
    <t>PAN-MF-196-V</t>
  </si>
  <si>
    <t>Pankreaskarzinomzentrum St. Marienhospital Vechta</t>
  </si>
  <si>
    <t>St. Marienhospital Vechta</t>
  </si>
  <si>
    <t>PAN-MF-198-V</t>
  </si>
  <si>
    <t>Pankreaskarzinomzentrum am Marienhospital Osnabrück</t>
  </si>
  <si>
    <t>Marienhospital Osnabrück</t>
  </si>
  <si>
    <t>PAN-MF-202-V</t>
  </si>
  <si>
    <t xml:space="preserve">Pankreaskarzinomzentrum Nordostbrandenburg am GLG Werner Forßmann Klinikum Eberswalde </t>
  </si>
  <si>
    <t>GLG Werner Forßmann Klinikum Eberswalde</t>
  </si>
  <si>
    <t>PAN-MF-205-V</t>
  </si>
  <si>
    <t>PAN-MF-210-V</t>
  </si>
  <si>
    <t>PAN-MF-214-V</t>
  </si>
  <si>
    <t>Pankreaskarzinomzentrum Köln-Hohenlind</t>
  </si>
  <si>
    <t>PAN-MF-215-V</t>
  </si>
  <si>
    <t>PAN-MF-216-V</t>
  </si>
  <si>
    <t>Pankreaskarzinomzentrum Park-Klinik Weißensee Berlin</t>
  </si>
  <si>
    <t>Park-Klinik Weißensee</t>
  </si>
  <si>
    <t>PAN-MF-220-V</t>
  </si>
  <si>
    <t>Uniklinikum Erlangen</t>
  </si>
  <si>
    <t>PAN-MF-223-V</t>
  </si>
  <si>
    <t>PAN-MF-224-V</t>
  </si>
  <si>
    <t>Bauchspeicheldrüsenzentrum im Ordensklinikum Linz</t>
  </si>
  <si>
    <t>PAN-MF-225-V</t>
  </si>
  <si>
    <t>PAN-MF-226-V</t>
  </si>
  <si>
    <t>Pankreaskarzinomzentrum im CIO Köln</t>
  </si>
  <si>
    <t>Centrum für Integrierte Onkologie Aachen Bonn Köln Düsseldorf im Universitätsklinikum Köln</t>
  </si>
  <si>
    <t>PAN-MF-227-V</t>
  </si>
  <si>
    <t>Pankreaskarzinomzentrum an der Medizinischen Universität Lausitz- Carl Thiem | Cottbus</t>
  </si>
  <si>
    <t>Medizinische Universität Lausitz – Carl Thiem</t>
  </si>
  <si>
    <t>PAN-MF-228-V</t>
  </si>
  <si>
    <t>PAN-MF-231-V</t>
  </si>
  <si>
    <t>PAN-MF-232-V</t>
  </si>
  <si>
    <t>PAN-MF-234-V</t>
  </si>
  <si>
    <t>PAN-MF-235-V</t>
  </si>
  <si>
    <t>Pankreaskrebszentrum des Universitätsklinikums Jena</t>
  </si>
  <si>
    <t>Universitätsklinikum Jena</t>
  </si>
  <si>
    <t>PAN-MF-237-V</t>
  </si>
  <si>
    <t>Klinikum Chemnitz, Standort Flemmingstraße</t>
  </si>
  <si>
    <t>PAN-MF-239-V</t>
  </si>
  <si>
    <t>Pankreaskarzinomzentrum am Christlichen Klinikum Paderborn</t>
  </si>
  <si>
    <t>Christliches Klinikum Paderborn</t>
  </si>
  <si>
    <t>PAN-MF-243-V</t>
  </si>
  <si>
    <t>PAN-MF-244-V</t>
  </si>
  <si>
    <t>Pankreaskarzinomzentrum Helios Dr. Horst Schmidt Kliniken Wiesbaden</t>
  </si>
  <si>
    <t>Helios Dr. Horst Schmidt Kliniken Wiesbaden</t>
  </si>
  <si>
    <t>PAN-MF-245-V</t>
  </si>
  <si>
    <t>Pankreaskrebszentrum der ViDia Christliche Kliniken Karlsruhe</t>
  </si>
  <si>
    <t>ViDia Christliche Kliniken Karlsruhe</t>
  </si>
  <si>
    <t>PAN-MF-248-V</t>
  </si>
  <si>
    <t>PAN-MF-250-V</t>
  </si>
  <si>
    <t>PAN-MF-255-V</t>
  </si>
  <si>
    <t>Klinikverbund Allgäu gGmbH – Klinikum Kempten</t>
  </si>
  <si>
    <t>PAN-MF-256-V</t>
  </si>
  <si>
    <t>PAN-MF-257-V</t>
  </si>
  <si>
    <t>PAN-MF-259-V</t>
  </si>
  <si>
    <t>Pankreaskarzinomzentrum Winsen</t>
  </si>
  <si>
    <t>Krankenhaus Winsen (Luhe)</t>
  </si>
  <si>
    <t>PAN-MF-261-V</t>
  </si>
  <si>
    <t>PAN-MF-264-V</t>
  </si>
  <si>
    <t>PAN-MF-265-V</t>
  </si>
  <si>
    <t>PAN-MF-267-V</t>
  </si>
  <si>
    <t>PAN-MF-271-V</t>
  </si>
  <si>
    <t>PAN-MF-273-V</t>
  </si>
  <si>
    <t>PAN-MF-274-V</t>
  </si>
  <si>
    <t>Pankreaskrebszentrum Sana-Bethesda Duisburg</t>
  </si>
  <si>
    <t>Evangelisches Krankenhaus BETHESDA zu Duisburg GmbH</t>
  </si>
  <si>
    <t>PAN-MF-276-V</t>
  </si>
  <si>
    <t>PAN-MF-281-V</t>
  </si>
  <si>
    <t>PAN-MF-283-V</t>
  </si>
  <si>
    <t>PAN-MF-284-V</t>
  </si>
  <si>
    <t>PAN-MF-287-V</t>
  </si>
  <si>
    <t>PAN-MF-288-V</t>
  </si>
  <si>
    <t>Interdisziplinäres Pankreaszentrum am TUM Universitätsklinikum, Klinikum rechts der Isar</t>
  </si>
  <si>
    <t>TUM Klinikum Rechts der Isar</t>
  </si>
  <si>
    <t>PAN-MF-293-V</t>
  </si>
  <si>
    <t>Pankreaszentrum am Nationalen Centrum für Tumorerkrankungen Dresden (NCT/UCC)</t>
  </si>
  <si>
    <t>PAN-MF-295-V</t>
  </si>
  <si>
    <t>PAN-MF-296-V</t>
  </si>
  <si>
    <t>Pankreaskarzinomzentrum am Universitätsklinikum Hamburg - Eppendorf</t>
  </si>
  <si>
    <t>Universitätsklinikum Hamburg - Eppendorf</t>
  </si>
  <si>
    <t>PAN-MF-297-V</t>
  </si>
  <si>
    <t>Pankreaskarzinomzentrum am UKSH, Campus Lübeck</t>
  </si>
  <si>
    <t>PAN-MF-298-V</t>
  </si>
  <si>
    <t xml:space="preserve">Pankreaskarzinomzentrum in der Universitätsklinik für Allgemein- und Viszeralchirurgie - Klinikum Oldenburg </t>
  </si>
  <si>
    <t>Klinikum Oldenburg</t>
  </si>
  <si>
    <t>PAN-MF-300-V</t>
  </si>
  <si>
    <t>PAN-MF-302-V</t>
  </si>
  <si>
    <t>Pankreaskarzinomzentrum am Städtischen Krankenhaus Kiel</t>
  </si>
  <si>
    <t>Städtisches Krankenhaus Kiel</t>
  </si>
  <si>
    <t>PAN-MF-303-V</t>
  </si>
  <si>
    <t>Pankreaskarzinomzentrum Hof</t>
  </si>
  <si>
    <t>Sana Klinikum Hof</t>
  </si>
  <si>
    <t>PAN-MF-304-V</t>
  </si>
  <si>
    <t>PAN-MF-305-V</t>
  </si>
  <si>
    <t>Pankreaskarzinomzentrum Lingen</t>
  </si>
  <si>
    <t>Bonifatius Hospital Lingen</t>
  </si>
  <si>
    <t>PAN-MF-306-V</t>
  </si>
  <si>
    <t>PAN-MF-307-V</t>
  </si>
  <si>
    <t>Pankreaskarzinomzentrum am Klinikum St. Georg Leipzig</t>
  </si>
  <si>
    <t>Klinikum St. Georg Leipzig</t>
  </si>
  <si>
    <t>PAN-MF-308-V</t>
  </si>
  <si>
    <t>Stadtspital Zürich Triemli</t>
  </si>
  <si>
    <t>PAN-MF-310-V</t>
  </si>
  <si>
    <t>Pankreaskarzinomzentrum im CIO Bonn</t>
  </si>
  <si>
    <t>Centrum für Integrierte Onkologie Aachen Bonn Köln Düsseldorf im Universitätsklinikum Bonn</t>
  </si>
  <si>
    <t>PAN-MF-311-V</t>
  </si>
  <si>
    <t>Pankreaskrebszentrum der Universitätsmedizin Magdeburg</t>
  </si>
  <si>
    <t>Universitätsklinik Magdeburg</t>
  </si>
  <si>
    <t>PAN-MF-312-V</t>
  </si>
  <si>
    <t>PAN-MF-313-V</t>
  </si>
  <si>
    <t>Pankreaskarzinomzentrum Ruit</t>
  </si>
  <si>
    <t>medius KLINIK OSTFILDERN-RUIT</t>
  </si>
  <si>
    <t>PAN-MF-314-V</t>
  </si>
  <si>
    <t>Pankreaskarzinomzentrum im CIO Aachen</t>
  </si>
  <si>
    <t>Centrum für Integrierte Onkologie Aachen Bonn Köln Düsseldorf in der Uniklinik RWTH Aachen</t>
  </si>
  <si>
    <t>PAN-MF-321-V</t>
  </si>
  <si>
    <t>Pankreaskrebszentrum Kemperhof Koblenz</t>
  </si>
  <si>
    <t>Gemeinschaftsklinikum Mittelrhein, Kemperhof</t>
  </si>
  <si>
    <t>PAN-MF-324-V</t>
  </si>
  <si>
    <t>PAN-MF-325-V</t>
  </si>
  <si>
    <t>PAN-MF-326-V</t>
  </si>
  <si>
    <t>PAN-MF-327-V</t>
  </si>
  <si>
    <t>Pankreaskarzinomzentrum Klinikum Bielefeld Mitte</t>
  </si>
  <si>
    <t>Klinikum Bielefeld Mitte</t>
  </si>
  <si>
    <t>PAN-MF-330-V</t>
  </si>
  <si>
    <t>PAN-MF-331-V</t>
  </si>
  <si>
    <t>PAN-MF-334-V</t>
  </si>
  <si>
    <t>PAN-MF-336-V</t>
  </si>
  <si>
    <t>Pankreaskarzinomzentrum am Dietrich-Bonhoeffer-Klinikum Neubrandenburg</t>
  </si>
  <si>
    <t>Dietrich-Bonhoeffer-Klinikum Neubrandenburg</t>
  </si>
  <si>
    <t>PAN-MF-337-V</t>
  </si>
  <si>
    <t>PAN-MF-341-V</t>
  </si>
  <si>
    <t>PAN-MF-344-V</t>
  </si>
  <si>
    <t>PAN-MF-345-V</t>
  </si>
  <si>
    <t>Pankreaskarzinomzentrum Agatharied</t>
  </si>
  <si>
    <t>Krankenhaus Agatharied</t>
  </si>
  <si>
    <t>PAN-MF-348-V</t>
  </si>
  <si>
    <t>Pankreaskrebszentrum Klinik Hirslanden Zürich</t>
  </si>
  <si>
    <t>Klinik Hirslanden Zürich</t>
  </si>
  <si>
    <t>PAN-MF-352-V</t>
  </si>
  <si>
    <t>Pankreaskarzinomzentrum Vivantes Klinikum Neukölln</t>
  </si>
  <si>
    <t>Vivantes Klinikum Neukölln</t>
  </si>
  <si>
    <t>PAN-MF-354-V</t>
  </si>
  <si>
    <t>Pankreaskarzinomzentrum Helios Klinikum Emil von Behring Berlin-Zehlendorf</t>
  </si>
  <si>
    <t>Helios Klinikum Emil von Behring Berlin</t>
  </si>
  <si>
    <t>PAN-MF-355-V</t>
  </si>
  <si>
    <t>Pankreaskrebszentrum Klinikum Darmstadt</t>
  </si>
  <si>
    <t>Klinikum Darmstadt</t>
  </si>
  <si>
    <t>PAN-MF-356-V</t>
  </si>
  <si>
    <t>Pankreaskrebszentrum am Klinikum Klagenfurt</t>
  </si>
  <si>
    <t>Klinikum Klagenfurt am Wörthersee</t>
  </si>
  <si>
    <t>PAN-MF-362-V</t>
  </si>
  <si>
    <t>Pankreaskrebszentrum Waldfriede Berlin</t>
  </si>
  <si>
    <t>Krankenhaus Waldfriede</t>
  </si>
  <si>
    <t>PAN-MF-363-V</t>
  </si>
  <si>
    <t>Pankreaskarzinomzentrum Krankenhaus Reinbek St. Adolf-Stift</t>
  </si>
  <si>
    <t>Krankenhaus Reinbek St. Adolf-Stift</t>
  </si>
  <si>
    <t>PAN-MF-368-V</t>
  </si>
  <si>
    <t>Pankreaskrebszentrum Universitätsspital Basel</t>
  </si>
  <si>
    <t>Universitätspital Basel</t>
  </si>
  <si>
    <t>PAN-MF-371-V</t>
  </si>
  <si>
    <t>Pankreaskarzinomzentrum Augusta Bochum</t>
  </si>
  <si>
    <t>Augusta-Kranken-Anstalt Bochum</t>
  </si>
  <si>
    <t>PAN-MF-376-V</t>
  </si>
  <si>
    <t>Pankreaskarzinomzentrum am Vivantes Humboldt-Klinikum Berlin</t>
  </si>
  <si>
    <t>Vivantes Humboldt-Klinikum Berlin</t>
  </si>
  <si>
    <t>PAN-MF-377-V</t>
  </si>
  <si>
    <t>Pankreaskarzinomzentrum am Israelitischen Krankenhaus in Hamburg</t>
  </si>
  <si>
    <t>Israelitisches Krankenhaus in Hamburg</t>
  </si>
  <si>
    <t>PAN-MF-378-V</t>
  </si>
  <si>
    <t>Pankreaskarzinomzentrum Klinikum Saarbrücken</t>
  </si>
  <si>
    <t>Klinikum Saarbrücken</t>
  </si>
  <si>
    <t>PAN-MF-382-V</t>
  </si>
  <si>
    <t>Pankreaskarzinomzentrum Klinikum Leverkusen</t>
  </si>
  <si>
    <t>Klinikum Leverkusen</t>
  </si>
  <si>
    <t>PAN-MF-384-V</t>
  </si>
  <si>
    <t>Pankreaskarzinomzentrum St. Elisabeth-Krankenhaus Leipzig</t>
  </si>
  <si>
    <t>St. Elisabeth-Krankenhaus Leipzig</t>
  </si>
  <si>
    <t>PAN-MF-395-V</t>
  </si>
  <si>
    <t>Pankreaskrebszentrum Rheinland Klinikum Neuss - Lukaskrankenhaus</t>
  </si>
  <si>
    <t>Rheinland Klinikum Neuss</t>
  </si>
  <si>
    <t>PAN-MF-406-V</t>
  </si>
  <si>
    <t>Pankreaskrebszentrum am Universitätsklinikum des Saarlandes</t>
  </si>
  <si>
    <t>Universitätsklinikum des Saarlandes</t>
  </si>
  <si>
    <t>PAN-MF-407-V</t>
  </si>
  <si>
    <t>Pankreaskarzinomzentrum des Tumorzentrums Südostschweiz am Kantonsspital Graubünden</t>
  </si>
  <si>
    <t>Kantonsspital Graubünden</t>
  </si>
  <si>
    <t>PAN-MF-409-V</t>
  </si>
  <si>
    <t>Pankreaskarzinomzentrum Helios Hanseklinikum Stralsund</t>
  </si>
  <si>
    <t>Helios Hanseklinikum Stralsund</t>
  </si>
  <si>
    <t>b Optional</t>
  </si>
  <si>
    <t>Pretherapeutic presentation of patients with recurrence/metachronous metastasis</t>
  </si>
  <si>
    <t>Patients of the denominator that were presented at the pretherapeutic board</t>
  </si>
  <si>
    <t>Patients with newly occurring recurrence and/or distant metastases (= Indicator 1b)</t>
  </si>
  <si>
    <t>2a</t>
  </si>
  <si>
    <t>2b</t>
  </si>
  <si>
    <t>11a</t>
  </si>
  <si>
    <t>11b</t>
  </si>
  <si>
    <t>14</t>
  </si>
  <si>
    <t>16</t>
  </si>
  <si>
    <t>18</t>
  </si>
  <si>
    <t>30d-Post-operative mortality</t>
  </si>
  <si>
    <t>90d-Post-operative mortality</t>
  </si>
  <si>
    <t>Patients of the denominator who deceased 30 days post-operative</t>
  </si>
  <si>
    <t>Patients of the denominator who deceased 90 days post-operative</t>
  </si>
  <si>
    <t xml:space="preserve">Patients with 
pancreatic resection
(OPS: 5-524* and 5-525*, with and without ICD-10 C25)
</t>
  </si>
  <si>
    <t>Patients with 
pancreatic resection
(OPS: 5-524* and 5-525**, with and without ICD-10 C25)
(from the previous indicator year)</t>
  </si>
  <si>
    <t>≥ 90%</t>
  </si>
  <si>
    <t>19
Optional</t>
  </si>
  <si>
    <t>20
Optional</t>
  </si>
  <si>
    <t>MTL30 indicator (mortality, transfer, postoperative lying time)</t>
  </si>
  <si>
    <t>As few post-operative events as possible</t>
  </si>
  <si>
    <t>Patients of the denominator, who
• deceased within 30 days postoperatively (numerator indicator no. 11a) or
• were transferred to another acute care hospital or
• had a hospital stay &gt; 30 days after tumour resection</t>
  </si>
  <si>
    <t>Patients with pancreatic resection
(OPS: 5-524* and 5-525*, with and without ICD-10 C25)</t>
  </si>
  <si>
    <t>&gt; 25%</t>
  </si>
  <si>
    <t>Nutritional status</t>
  </si>
  <si>
    <t>Assessment of nutritional status in as many patients as possible</t>
  </si>
  <si>
    <t>Patients with determination of nutritional status according to Nutritional Risk Score and Body Mass Index</t>
  </si>
  <si>
    <t>Primary cases (= Indicator 1a) + patients with newly occurring recurrence and/or distant metastases
(= Indicator 1b)</t>
  </si>
  <si>
    <t>Ausnahme</t>
  </si>
  <si>
    <t>Ausnahme + Optional</t>
  </si>
  <si>
    <t>The Catalogue of Requirements is based on the TNM classification of malignant tumours, 8th edition 2017, ICD classification ICD-10-GM 2025 (BfARM) and the OPS classification OPS 2025 (BfARM).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</si>
</sst>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0.000%"/>
  </numFmts>
  <fonts count="134"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b/>
      <sz val="12"/>
      <color indexed="8"/>
      <name val="Arial"/>
      <family val="2"/>
    </font>
    <font>
      <b/>
      <sz val="7"/>
      <color indexed="8"/>
      <name val="Arial"/>
      <family val="2"/>
    </font>
    <font>
      <b/>
      <sz val="7"/>
      <color indexed="8"/>
      <name val="Calibri"/>
      <family val="2"/>
    </font>
    <font>
      <sz val="9"/>
      <color indexed="81"/>
      <name val="Arial"/>
      <family val="2"/>
    </font>
    <font>
      <b/>
      <sz val="16"/>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b/>
      <sz val="10"/>
      <color indexed="8"/>
      <name val="Wingdings"/>
      <charset val="2"/>
    </font>
    <font>
      <sz val="11"/>
      <name val="Calibri"/>
      <family val="2"/>
    </font>
    <font>
      <b/>
      <u/>
      <sz val="8"/>
      <color indexed="8"/>
      <name val="Arial"/>
      <family val="2"/>
    </font>
    <font>
      <sz val="8"/>
      <color indexed="81"/>
      <name val="Arial"/>
      <family val="2"/>
    </font>
    <font>
      <sz val="11"/>
      <color indexed="10"/>
      <name val="Arial"/>
      <family val="2"/>
    </font>
    <font>
      <vertAlign val="superscript"/>
      <sz val="8"/>
      <name val="Arial"/>
      <family val="2"/>
    </font>
    <font>
      <sz val="6"/>
      <name val="Arial"/>
      <family val="2"/>
    </font>
    <font>
      <sz val="7"/>
      <name val="Arial"/>
      <family val="2"/>
    </font>
    <font>
      <sz val="7"/>
      <color indexed="8"/>
      <name val="Calibri"/>
      <family val="2"/>
    </font>
    <font>
      <sz val="10"/>
      <name val="Arial"/>
      <family val="2"/>
    </font>
    <font>
      <b/>
      <sz val="7"/>
      <color indexed="10"/>
      <name val="Arial"/>
      <family val="2"/>
    </font>
    <font>
      <sz val="7"/>
      <color indexed="10"/>
      <name val="Calibri"/>
      <family val="2"/>
    </font>
    <font>
      <b/>
      <u/>
      <sz val="7"/>
      <color indexed="8"/>
      <name val="Arial"/>
      <family val="2"/>
    </font>
    <font>
      <sz val="8"/>
      <color indexed="40"/>
      <name val="Arial"/>
      <family val="2"/>
    </font>
    <font>
      <sz val="11"/>
      <color indexed="8"/>
      <name val="Calibri"/>
      <family val="2"/>
    </font>
    <font>
      <sz val="8"/>
      <color indexed="8"/>
      <name val="Arial"/>
      <family val="2"/>
    </font>
    <font>
      <sz val="11"/>
      <color indexed="8"/>
      <name val="Arial"/>
      <family val="2"/>
    </font>
    <font>
      <sz val="10"/>
      <color indexed="8"/>
      <name val="Arial"/>
      <family val="2"/>
    </font>
    <font>
      <b/>
      <sz val="10"/>
      <color indexed="10"/>
      <name val="Arial"/>
      <family val="2"/>
    </font>
    <font>
      <b/>
      <sz val="9"/>
      <color indexed="8"/>
      <name val="Arial"/>
      <family val="2"/>
    </font>
    <font>
      <sz val="9"/>
      <color indexed="8"/>
      <name val="Arial"/>
      <family val="2"/>
    </font>
    <font>
      <sz val="11"/>
      <name val="Calibri"/>
      <family val="2"/>
    </font>
    <font>
      <sz val="7"/>
      <color indexed="8"/>
      <name val="Arial"/>
      <family val="2"/>
    </font>
    <font>
      <sz val="7"/>
      <color indexed="8"/>
      <name val="Calibri"/>
      <family val="2"/>
    </font>
    <font>
      <sz val="9"/>
      <color indexed="9"/>
      <name val="Arial"/>
      <family val="2"/>
    </font>
    <font>
      <sz val="8"/>
      <color indexed="8"/>
      <name val="Arial Narrow"/>
      <family val="2"/>
    </font>
    <font>
      <sz val="8"/>
      <name val="Arial Narrow"/>
      <family val="2"/>
    </font>
    <font>
      <b/>
      <sz val="8"/>
      <color indexed="8"/>
      <name val="Arial Narrow"/>
      <family val="2"/>
    </font>
    <font>
      <sz val="8"/>
      <color indexed="23"/>
      <name val="Arial"/>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9"/>
      <color theme="1"/>
      <name val="Arial"/>
      <family val="2"/>
    </font>
    <font>
      <b/>
      <sz val="9"/>
      <color theme="1"/>
      <name val="Arial"/>
      <family val="2"/>
    </font>
    <font>
      <sz val="11"/>
      <color theme="1"/>
      <name val="Arial"/>
      <family val="2"/>
    </font>
    <font>
      <sz val="10"/>
      <color theme="1"/>
      <name val="Arial"/>
      <family val="2"/>
    </font>
    <font>
      <sz val="8"/>
      <color theme="1"/>
      <name val="Arial"/>
      <family val="2"/>
    </font>
    <font>
      <b/>
      <sz val="8"/>
      <color theme="1"/>
      <name val="Arial"/>
      <family val="2"/>
    </font>
    <font>
      <sz val="9"/>
      <color rgb="FFFF0000"/>
      <name val="Calibri"/>
      <family val="2"/>
      <scheme val="minor"/>
    </font>
    <font>
      <sz val="8"/>
      <color theme="1"/>
      <name val="Arial Narrow"/>
      <family val="2"/>
    </font>
    <font>
      <b/>
      <sz val="8"/>
      <color theme="1"/>
      <name val="Arial 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8"/>
      <color rgb="FFFF0000"/>
      <name val="Arial"/>
      <family val="2"/>
    </font>
    <font>
      <b/>
      <u/>
      <sz val="8"/>
      <name val="Arial"/>
      <family val="2"/>
    </font>
    <font>
      <b/>
      <sz val="9"/>
      <color rgb="FFFF0000"/>
      <name val="Arial"/>
      <family val="2"/>
    </font>
    <font>
      <vertAlign val="superscript"/>
      <sz val="7"/>
      <name val="Arial"/>
      <family val="2"/>
    </font>
    <font>
      <b/>
      <u/>
      <sz val="8"/>
      <color theme="1"/>
      <name val="Arial"/>
      <family val="2"/>
    </font>
    <font>
      <sz val="11"/>
      <color theme="0" tint="-0.499984740745262"/>
      <name val="Arial"/>
      <family val="2"/>
    </font>
    <font>
      <sz val="8"/>
      <name val="Calibri"/>
      <family val="2"/>
      <scheme val="minor"/>
    </font>
    <font>
      <b/>
      <sz val="12"/>
      <color theme="1"/>
      <name val="Arial"/>
      <family val="2"/>
    </font>
    <font>
      <b/>
      <sz val="10"/>
      <color theme="1"/>
      <name val="Arial"/>
      <family val="2"/>
    </font>
    <font>
      <u/>
      <sz val="8"/>
      <color theme="1"/>
      <name val="Arial"/>
      <family val="2"/>
    </font>
    <font>
      <sz val="8"/>
      <color theme="1" tint="0.34998626667073579"/>
      <name val="Arial"/>
      <family val="2"/>
    </font>
    <font>
      <sz val="8"/>
      <color theme="1" tint="0.34998626667073579"/>
      <name val="Arial Narrow"/>
      <family val="2"/>
    </font>
    <font>
      <b/>
      <sz val="8"/>
      <color theme="1" tint="0.34998626667073579"/>
      <name val="Arial"/>
      <family val="2"/>
    </font>
    <font>
      <sz val="6"/>
      <color theme="1" tint="0.34998626667073579"/>
      <name val="Arial"/>
      <family val="2"/>
    </font>
  </fonts>
  <fills count="89">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indexed="11"/>
        <bgColor indexed="64"/>
      </patternFill>
    </fill>
    <fill>
      <patternFill patternType="solid">
        <fgColor indexed="14"/>
        <bgColor indexed="64"/>
      </patternFill>
    </fill>
    <fill>
      <patternFill patternType="solid">
        <fgColor indexed="41"/>
        <bgColor indexed="64"/>
      </patternFill>
    </fill>
    <fill>
      <patternFill patternType="solid">
        <fgColor indexed="22"/>
        <bgColor indexed="64"/>
      </patternFill>
    </fill>
    <fill>
      <patternFill patternType="gray0625">
        <fgColor indexed="23"/>
        <bgColor indexed="9"/>
      </patternFill>
    </fill>
    <fill>
      <patternFill patternType="gray0625">
        <fgColor indexed="23"/>
      </patternFill>
    </fill>
    <fill>
      <patternFill patternType="gray0625"/>
    </fill>
    <fill>
      <patternFill patternType="solid">
        <fgColor indexed="41"/>
        <bgColor indexed="23"/>
      </patternFill>
    </fill>
    <fill>
      <patternFill patternType="solid">
        <fgColor indexed="47"/>
        <bgColor indexed="64"/>
      </patternFill>
    </fill>
    <fill>
      <patternFill patternType="solid">
        <fgColor indexed="65"/>
        <bgColor indexed="23"/>
      </patternFill>
    </fill>
    <fill>
      <patternFill patternType="gray0625">
        <bgColor indexed="9"/>
      </patternFill>
    </fill>
    <fill>
      <patternFill patternType="solid">
        <fgColor indexed="6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0" tint="-0.249977111117893"/>
        <bgColor indexed="64"/>
      </patternFill>
    </fill>
    <fill>
      <patternFill patternType="solid">
        <fgColor rgb="FFC1C1C1"/>
        <bgColor indexed="64"/>
      </patternFill>
    </fill>
    <fill>
      <patternFill patternType="solid">
        <fgColor theme="4" tint="0.79998168889431442"/>
        <bgColor indexed="9"/>
      </patternFill>
    </fill>
    <fill>
      <patternFill patternType="solid">
        <fgColor rgb="FFDCE6F1"/>
        <bgColor indexed="9"/>
      </patternFill>
    </fill>
    <fill>
      <patternFill patternType="solid">
        <fgColor theme="0" tint="-0.34998626667073579"/>
        <bgColor indexed="64"/>
      </patternFill>
    </fill>
  </fills>
  <borders count="115">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41"/>
      </bottom>
      <diagonal/>
    </border>
    <border>
      <left/>
      <right/>
      <top/>
      <bottom style="thick">
        <color indexed="44"/>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style="medium">
        <color indexed="64"/>
      </right>
      <top/>
      <bottom/>
      <diagonal/>
    </border>
    <border>
      <left style="thick">
        <color indexed="64"/>
      </left>
      <right style="thick">
        <color indexed="64"/>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thick">
        <color indexed="64"/>
      </right>
      <top style="medium">
        <color indexed="64"/>
      </top>
      <bottom style="medium">
        <color indexed="64"/>
      </bottom>
      <diagonal/>
    </border>
    <border>
      <left style="thick">
        <color indexed="64"/>
      </left>
      <right/>
      <top/>
      <bottom style="medium">
        <color indexed="64"/>
      </bottom>
      <diagonal/>
    </border>
    <border>
      <left style="thick">
        <color indexed="64"/>
      </left>
      <right/>
      <top/>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right style="thin">
        <color indexed="64"/>
      </right>
      <top style="thick">
        <color indexed="64"/>
      </top>
      <bottom/>
      <diagonal/>
    </border>
    <border>
      <left style="thin">
        <color indexed="64"/>
      </left>
      <right style="thick">
        <color indexed="64"/>
      </right>
      <top style="thick">
        <color indexed="64"/>
      </top>
      <bottom/>
      <diagonal/>
    </border>
    <border>
      <left style="medium">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bottom style="thick">
        <color indexed="64"/>
      </bottom>
      <diagonal/>
    </border>
    <border>
      <left style="thin">
        <color indexed="64"/>
      </left>
      <right/>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1756">
    <xf numFmtId="0" fontId="0" fillId="0" borderId="0"/>
    <xf numFmtId="0" fontId="82" fillId="2" borderId="0" applyNumberFormat="0" applyBorder="0" applyAlignment="0" applyProtection="0"/>
    <xf numFmtId="0" fontId="82" fillId="3" borderId="0" applyNumberFormat="0" applyBorder="0" applyAlignment="0" applyProtection="0"/>
    <xf numFmtId="0" fontId="82" fillId="2" borderId="0" applyNumberFormat="0" applyBorder="0" applyAlignment="0" applyProtection="0"/>
    <xf numFmtId="0" fontId="82" fillId="42" borderId="0" applyNumberFormat="0" applyBorder="0" applyAlignment="0" applyProtection="0"/>
    <xf numFmtId="0" fontId="82" fillId="4"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82" fillId="5" borderId="0" applyNumberFormat="0" applyBorder="0" applyAlignment="0" applyProtection="0"/>
    <xf numFmtId="0" fontId="82" fillId="6" borderId="0" applyNumberFormat="0" applyBorder="0" applyAlignment="0" applyProtection="0"/>
    <xf numFmtId="0" fontId="82" fillId="5" borderId="0" applyNumberFormat="0" applyBorder="0" applyAlignment="0" applyProtection="0"/>
    <xf numFmtId="0" fontId="82" fillId="43" borderId="0" applyNumberFormat="0" applyBorder="0" applyAlignment="0" applyProtection="0"/>
    <xf numFmtId="0" fontId="82" fillId="5"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82" fillId="7" borderId="0" applyNumberFormat="0" applyBorder="0" applyAlignment="0" applyProtection="0"/>
    <xf numFmtId="0" fontId="82" fillId="8" borderId="0" applyNumberFormat="0" applyBorder="0" applyAlignment="0" applyProtection="0"/>
    <xf numFmtId="0" fontId="82" fillId="7" borderId="0" applyNumberFormat="0" applyBorder="0" applyAlignment="0" applyProtection="0"/>
    <xf numFmtId="0" fontId="82" fillId="44" borderId="0" applyNumberFormat="0" applyBorder="0" applyAlignment="0" applyProtection="0"/>
    <xf numFmtId="0" fontId="82" fillId="7"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9" borderId="0" applyNumberFormat="0" applyBorder="0" applyAlignment="0" applyProtection="0"/>
    <xf numFmtId="0" fontId="82" fillId="45" borderId="0" applyNumberFormat="0" applyBorder="0" applyAlignment="0" applyProtection="0"/>
    <xf numFmtId="0" fontId="82" fillId="9"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82" fillId="2" borderId="0" applyNumberFormat="0" applyBorder="0" applyAlignment="0" applyProtection="0"/>
    <xf numFmtId="0" fontId="82" fillId="46" borderId="0" applyNumberFormat="0" applyBorder="0" applyAlignment="0" applyProtection="0"/>
    <xf numFmtId="0" fontId="82" fillId="4"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82" fillId="47"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82" fillId="2" borderId="0" applyNumberFormat="0" applyBorder="0" applyAlignment="0" applyProtection="0"/>
    <xf numFmtId="0" fontId="82" fillId="48"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82" fillId="49"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3" borderId="0" applyNumberFormat="0" applyBorder="0" applyAlignment="0" applyProtection="0"/>
    <xf numFmtId="0" fontId="82" fillId="50" borderId="0" applyNumberFormat="0" applyBorder="0" applyAlignment="0" applyProtection="0"/>
    <xf numFmtId="0" fontId="82" fillId="13"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82" fillId="15" borderId="0" applyNumberFormat="0" applyBorder="0" applyAlignment="0" applyProtection="0"/>
    <xf numFmtId="0" fontId="82" fillId="51" borderId="0" applyNumberFormat="0" applyBorder="0" applyAlignment="0" applyProtection="0"/>
    <xf numFmtId="0" fontId="82" fillId="15"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82" fillId="2" borderId="0" applyNumberFormat="0" applyBorder="0" applyAlignment="0" applyProtection="0"/>
    <xf numFmtId="0" fontId="82" fillId="5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82" fillId="5" borderId="0" applyNumberFormat="0" applyBorder="0" applyAlignment="0" applyProtection="0"/>
    <xf numFmtId="0" fontId="82" fillId="53" borderId="0" applyNumberFormat="0" applyBorder="0" applyAlignment="0" applyProtection="0"/>
    <xf numFmtId="0" fontId="82" fillId="5"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83" fillId="2" borderId="0" applyNumberFormat="0" applyBorder="0" applyAlignment="0" applyProtection="0"/>
    <xf numFmtId="0" fontId="83" fillId="54" borderId="0" applyNumberFormat="0" applyBorder="0" applyAlignment="0" applyProtection="0"/>
    <xf numFmtId="0" fontId="83" fillId="4"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83" fillId="55"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83" fillId="56"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83" fillId="15" borderId="0" applyNumberFormat="0" applyBorder="0" applyAlignment="0" applyProtection="0"/>
    <xf numFmtId="0" fontId="83" fillId="18" borderId="0" applyNumberFormat="0" applyBorder="0" applyAlignment="0" applyProtection="0"/>
    <xf numFmtId="0" fontId="83" fillId="15" borderId="0" applyNumberFormat="0" applyBorder="0" applyAlignment="0" applyProtection="0"/>
    <xf numFmtId="0" fontId="83" fillId="57" borderId="0" applyNumberFormat="0" applyBorder="0" applyAlignment="0" applyProtection="0"/>
    <xf numFmtId="0" fontId="83" fillId="15"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83" fillId="2" borderId="0" applyNumberFormat="0" applyBorder="0" applyAlignment="0" applyProtection="0"/>
    <xf numFmtId="0" fontId="83" fillId="58" borderId="0" applyNumberFormat="0" applyBorder="0" applyAlignment="0" applyProtection="0"/>
    <xf numFmtId="0" fontId="83" fillId="4"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83" fillId="5" borderId="0" applyNumberFormat="0" applyBorder="0" applyAlignment="0" applyProtection="0"/>
    <xf numFmtId="0" fontId="83" fillId="20" borderId="0" applyNumberFormat="0" applyBorder="0" applyAlignment="0" applyProtection="0"/>
    <xf numFmtId="0" fontId="83" fillId="5" borderId="0" applyNumberFormat="0" applyBorder="0" applyAlignment="0" applyProtection="0"/>
    <xf numFmtId="0" fontId="83" fillId="59" borderId="0" applyNumberFormat="0" applyBorder="0" applyAlignment="0" applyProtection="0"/>
    <xf numFmtId="0" fontId="83" fillId="5"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83" fillId="19" borderId="0" applyNumberFormat="0" applyBorder="0" applyAlignment="0" applyProtection="0"/>
    <xf numFmtId="0" fontId="36" fillId="21" borderId="0" applyNumberFormat="0" applyBorder="0" applyAlignment="0" applyProtection="0"/>
    <xf numFmtId="0" fontId="83" fillId="60" borderId="0" applyNumberFormat="0" applyBorder="0" applyAlignment="0" applyProtection="0"/>
    <xf numFmtId="0" fontId="83" fillId="19" borderId="0" applyNumberFormat="0" applyBorder="0" applyAlignment="0" applyProtection="0"/>
    <xf numFmtId="0" fontId="83" fillId="61" borderId="0" applyNumberFormat="0" applyBorder="0" applyAlignment="0" applyProtection="0"/>
    <xf numFmtId="0" fontId="36" fillId="22" borderId="0" applyNumberFormat="0" applyBorder="0" applyAlignment="0" applyProtection="0"/>
    <xf numFmtId="0" fontId="83" fillId="23" borderId="0" applyNumberFormat="0" applyBorder="0" applyAlignment="0" applyProtection="0"/>
    <xf numFmtId="0" fontId="36" fillId="24" borderId="0" applyNumberFormat="0" applyBorder="0" applyAlignment="0" applyProtection="0"/>
    <xf numFmtId="0" fontId="83" fillId="25" borderId="0" applyNumberFormat="0" applyBorder="0" applyAlignment="0" applyProtection="0"/>
    <xf numFmtId="0" fontId="36" fillId="18" borderId="0" applyNumberFormat="0" applyBorder="0" applyAlignment="0" applyProtection="0"/>
    <xf numFmtId="0" fontId="83" fillId="63" borderId="0" applyNumberFormat="0" applyBorder="0" applyAlignment="0" applyProtection="0"/>
    <xf numFmtId="0" fontId="83" fillId="25" borderId="0" applyNumberFormat="0" applyBorder="0" applyAlignment="0" applyProtection="0"/>
    <xf numFmtId="0" fontId="36" fillId="19" borderId="0" applyNumberFormat="0" applyBorder="0" applyAlignment="0" applyProtection="0"/>
    <xf numFmtId="0" fontId="36" fillId="23"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62"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64" borderId="0" applyNumberFormat="0" applyBorder="0" applyAlignment="0" applyProtection="0"/>
    <xf numFmtId="0" fontId="83" fillId="64" borderId="0" applyNumberFormat="0" applyBorder="0" applyAlignment="0" applyProtection="0"/>
    <xf numFmtId="0" fontId="83" fillId="64"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4" fillId="9" borderId="1" applyNumberFormat="0" applyAlignment="0" applyProtection="0"/>
    <xf numFmtId="0" fontId="84" fillId="15" borderId="1" applyNumberFormat="0" applyAlignment="0" applyProtection="0"/>
    <xf numFmtId="0" fontId="85" fillId="15" borderId="91" applyNumberFormat="0" applyAlignment="0" applyProtection="0"/>
    <xf numFmtId="0" fontId="84" fillId="9" borderId="1" applyNumberFormat="0" applyAlignment="0" applyProtection="0"/>
    <xf numFmtId="0" fontId="85" fillId="66" borderId="91" applyNumberFormat="0" applyAlignment="0" applyProtection="0"/>
    <xf numFmtId="0" fontId="85" fillId="9" borderId="91" applyNumberFormat="0" applyAlignment="0" applyProtection="0"/>
    <xf numFmtId="0" fontId="85" fillId="15" borderId="91" applyNumberFormat="0" applyAlignment="0" applyProtection="0"/>
    <xf numFmtId="0" fontId="84" fillId="15" borderId="1" applyNumberFormat="0" applyAlignment="0" applyProtection="0"/>
    <xf numFmtId="0" fontId="85" fillId="15" borderId="91" applyNumberFormat="0" applyAlignment="0" applyProtection="0"/>
    <xf numFmtId="0" fontId="37" fillId="15" borderId="2" applyNumberFormat="0" applyAlignment="0" applyProtection="0"/>
    <xf numFmtId="0" fontId="37" fillId="15" borderId="2" applyNumberFormat="0" applyAlignment="0" applyProtection="0"/>
    <xf numFmtId="0" fontId="37" fillId="15" borderId="2" applyNumberFormat="0" applyAlignment="0" applyProtection="0"/>
    <xf numFmtId="0" fontId="37" fillId="15" borderId="2" applyNumberFormat="0" applyAlignment="0" applyProtection="0"/>
    <xf numFmtId="0" fontId="37" fillId="15" borderId="2" applyNumberFormat="0" applyAlignment="0" applyProtection="0"/>
    <xf numFmtId="0" fontId="84" fillId="15" borderId="1" applyNumberFormat="0" applyAlignment="0" applyProtection="0"/>
    <xf numFmtId="0" fontId="85" fillId="15" borderId="91" applyNumberFormat="0" applyAlignment="0" applyProtection="0"/>
    <xf numFmtId="0" fontId="85" fillId="15" borderId="91" applyNumberFormat="0" applyAlignment="0" applyProtection="0"/>
    <xf numFmtId="0" fontId="85" fillId="15" borderId="91" applyNumberFormat="0" applyAlignment="0" applyProtection="0"/>
    <xf numFmtId="0" fontId="37" fillId="15" borderId="2" applyNumberFormat="0" applyAlignment="0" applyProtection="0"/>
    <xf numFmtId="0" fontId="49" fillId="6" borderId="0" applyNumberFormat="0" applyBorder="0" applyAlignment="0" applyProtection="0"/>
    <xf numFmtId="0" fontId="87" fillId="9" borderId="92" applyNumberFormat="0" applyAlignment="0" applyProtection="0"/>
    <xf numFmtId="0" fontId="87" fillId="15" borderId="92" applyNumberFormat="0" applyAlignment="0" applyProtection="0"/>
    <xf numFmtId="0" fontId="87" fillId="9" borderId="92" applyNumberFormat="0" applyAlignment="0" applyProtection="0"/>
    <xf numFmtId="0" fontId="87" fillId="66" borderId="92" applyNumberFormat="0" applyAlignment="0" applyProtection="0"/>
    <xf numFmtId="0" fontId="87" fillId="9" borderId="92" applyNumberFormat="0" applyAlignment="0" applyProtection="0"/>
    <xf numFmtId="0" fontId="87" fillId="15" borderId="92" applyNumberFormat="0" applyAlignment="0" applyProtection="0"/>
    <xf numFmtId="0" fontId="38" fillId="15" borderId="3" applyNumberFormat="0" applyAlignment="0" applyProtection="0"/>
    <xf numFmtId="0" fontId="38" fillId="15" borderId="3" applyNumberFormat="0" applyAlignment="0" applyProtection="0"/>
    <xf numFmtId="0" fontId="38" fillId="15" borderId="3" applyNumberFormat="0" applyAlignment="0" applyProtection="0"/>
    <xf numFmtId="0" fontId="38" fillId="15" borderId="3" applyNumberFormat="0" applyAlignment="0" applyProtection="0"/>
    <xf numFmtId="0" fontId="38" fillId="15" borderId="3" applyNumberFormat="0" applyAlignment="0" applyProtection="0"/>
    <xf numFmtId="0" fontId="87" fillId="15" borderId="92" applyNumberFormat="0" applyAlignment="0" applyProtection="0"/>
    <xf numFmtId="0" fontId="38" fillId="15" borderId="3" applyNumberFormat="0" applyAlignment="0" applyProtection="0"/>
    <xf numFmtId="0" fontId="38" fillId="15" borderId="3" applyNumberFormat="0" applyAlignment="0" applyProtection="0"/>
    <xf numFmtId="0" fontId="51" fillId="26" borderId="5" applyNumberFormat="0" applyAlignment="0" applyProtection="0"/>
    <xf numFmtId="0" fontId="88" fillId="68" borderId="93" applyNumberFormat="0" applyAlignment="0" applyProtection="0"/>
    <xf numFmtId="0" fontId="89" fillId="69" borderId="92"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90" fillId="0" borderId="6" applyNumberFormat="0" applyFill="0" applyAlignment="0" applyProtection="0"/>
    <xf numFmtId="0" fontId="90" fillId="0" borderId="7" applyNumberFormat="0" applyFill="0" applyAlignment="0" applyProtection="0"/>
    <xf numFmtId="0" fontId="90" fillId="0" borderId="7" applyNumberFormat="0" applyFill="0" applyAlignment="0" applyProtection="0"/>
    <xf numFmtId="0" fontId="90" fillId="0" borderId="7" applyNumberFormat="0" applyFill="0" applyAlignment="0" applyProtection="0"/>
    <xf numFmtId="0" fontId="90" fillId="0" borderId="6" applyNumberFormat="0" applyFill="0" applyAlignment="0" applyProtection="0"/>
    <xf numFmtId="0" fontId="90" fillId="0" borderId="94" applyNumberFormat="0" applyFill="0" applyAlignment="0" applyProtection="0"/>
    <xf numFmtId="0" fontId="90" fillId="0" borderId="6" applyNumberFormat="0" applyFill="0" applyAlignment="0" applyProtection="0"/>
    <xf numFmtId="0" fontId="90" fillId="0" borderId="7" applyNumberFormat="0" applyFill="0" applyAlignment="0" applyProtection="0"/>
    <xf numFmtId="0" fontId="90"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90"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90" fillId="0" borderId="7" applyNumberFormat="0" applyFill="0" applyAlignment="0" applyProtection="0"/>
    <xf numFmtId="0" fontId="12" fillId="0" borderId="7" applyNumberFormat="0" applyFill="0" applyAlignment="0" applyProtection="0"/>
    <xf numFmtId="0" fontId="9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8" fillId="8" borderId="0" applyNumberFormat="0" applyBorder="0" applyAlignment="0" applyProtection="0"/>
    <xf numFmtId="0" fontId="92" fillId="70" borderId="0" applyNumberFormat="0" applyBorder="0" applyAlignment="0" applyProtection="0"/>
    <xf numFmtId="0" fontId="92" fillId="70" borderId="0" applyNumberFormat="0" applyBorder="0" applyAlignment="0" applyProtection="0"/>
    <xf numFmtId="0" fontId="92" fillId="70" borderId="0" applyNumberFormat="0" applyBorder="0" applyAlignment="0" applyProtection="0"/>
    <xf numFmtId="0" fontId="93" fillId="0" borderId="8" applyNumberFormat="0" applyFill="0" applyAlignment="0" applyProtection="0"/>
    <xf numFmtId="0" fontId="94" fillId="0" borderId="95" applyNumberFormat="0" applyFill="0" applyAlignment="0" applyProtection="0"/>
    <xf numFmtId="0" fontId="93" fillId="0" borderId="8" applyNumberFormat="0" applyFill="0" applyAlignment="0" applyProtection="0"/>
    <xf numFmtId="0" fontId="95" fillId="0" borderId="9" applyNumberFormat="0" applyFill="0" applyAlignment="0" applyProtection="0"/>
    <xf numFmtId="0" fontId="96" fillId="0" borderId="96" applyNumberFormat="0" applyFill="0" applyAlignment="0" applyProtection="0"/>
    <xf numFmtId="0" fontId="95" fillId="0" borderId="10" applyNumberFormat="0" applyFill="0" applyAlignment="0" applyProtection="0"/>
    <xf numFmtId="0" fontId="97" fillId="0" borderId="11" applyNumberFormat="0" applyFill="0" applyAlignment="0" applyProtection="0"/>
    <xf numFmtId="0" fontId="98" fillId="0" borderId="97" applyNumberFormat="0" applyFill="0" applyAlignment="0" applyProtection="0"/>
    <xf numFmtId="0" fontId="97" fillId="0" borderId="12" applyNumberFormat="0" applyFill="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39" fillId="5" borderId="3" applyNumberFormat="0" applyAlignment="0" applyProtection="0"/>
    <xf numFmtId="0" fontId="50" fillId="0" borderId="13" applyNumberFormat="0" applyFill="0" applyAlignment="0" applyProtection="0"/>
    <xf numFmtId="0" fontId="100" fillId="71" borderId="0" applyNumberFormat="0" applyBorder="0" applyAlignment="0" applyProtection="0"/>
    <xf numFmtId="0" fontId="82" fillId="0" borderId="0"/>
    <xf numFmtId="0" fontId="67" fillId="72" borderId="99" applyNumberFormat="0" applyFont="0" applyAlignment="0" applyProtection="0"/>
    <xf numFmtId="0" fontId="3" fillId="7" borderId="14" applyNumberFormat="0" applyFont="0" applyAlignment="0" applyProtection="0"/>
    <xf numFmtId="0" fontId="3" fillId="7" borderId="14"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82" fillId="72" borderId="99" applyNumberFormat="0" applyFont="0" applyAlignment="0" applyProtection="0"/>
    <xf numFmtId="0" fontId="11" fillId="72" borderId="99" applyNumberFormat="0" applyFont="0" applyAlignment="0" applyProtection="0"/>
    <xf numFmtId="0" fontId="67" fillId="72" borderId="99" applyNumberFormat="0" applyFont="0" applyAlignment="0" applyProtection="0"/>
    <xf numFmtId="0" fontId="11"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67" fillId="72" borderId="99" applyNumberFormat="0" applyFont="0" applyAlignment="0" applyProtection="0"/>
    <xf numFmtId="0" fontId="2" fillId="72" borderId="99" applyNumberFormat="0" applyFont="0" applyAlignment="0" applyProtection="0"/>
    <xf numFmtId="0" fontId="82" fillId="72" borderId="99" applyNumberFormat="0" applyFont="0" applyAlignment="0" applyProtection="0"/>
    <xf numFmtId="0" fontId="67"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82" fillId="72" borderId="99" applyNumberFormat="0" applyFont="0" applyAlignment="0" applyProtection="0"/>
    <xf numFmtId="0" fontId="11"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11" fillId="72" borderId="99" applyNumberFormat="0" applyFont="0" applyAlignment="0" applyProtection="0"/>
    <xf numFmtId="0" fontId="11"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11"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11"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11"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37" fillId="15" borderId="2" applyNumberFormat="0" applyAlignment="0" applyProtection="0"/>
    <xf numFmtId="9" fontId="11" fillId="0" borderId="0" applyFont="0" applyFill="0" applyBorder="0" applyAlignment="0" applyProtection="0"/>
    <xf numFmtId="9" fontId="6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7"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6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7" fillId="0" borderId="0" applyFont="0" applyFill="0" applyBorder="0" applyAlignment="0" applyProtection="0"/>
    <xf numFmtId="9" fontId="2" fillId="0" borderId="0" applyFont="0" applyFill="0" applyBorder="0" applyAlignment="0" applyProtection="0"/>
    <xf numFmtId="9" fontId="82" fillId="0" borderId="0" applyFont="0" applyFill="0" applyBorder="0" applyAlignment="0" applyProtection="0"/>
    <xf numFmtId="9" fontId="6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86" fillId="67" borderId="0" applyNumberFormat="0" applyBorder="0" applyAlignment="0" applyProtection="0"/>
    <xf numFmtId="0" fontId="86" fillId="67" borderId="0" applyNumberFormat="0" applyBorder="0" applyAlignment="0" applyProtection="0"/>
    <xf numFmtId="0" fontId="86" fillId="67" borderId="0" applyNumberFormat="0" applyBorder="0" applyAlignment="0" applyProtection="0"/>
    <xf numFmtId="0" fontId="3" fillId="0" borderId="0"/>
    <xf numFmtId="0" fontId="82" fillId="0" borderId="0"/>
    <xf numFmtId="0" fontId="82" fillId="0" borderId="0"/>
    <xf numFmtId="0" fontId="101" fillId="0" borderId="0"/>
    <xf numFmtId="0" fontId="3" fillId="0" borderId="0"/>
    <xf numFmtId="0" fontId="82" fillId="0" borderId="0"/>
    <xf numFmtId="0" fontId="82" fillId="0" borderId="0"/>
    <xf numFmtId="0" fontId="101" fillId="0" borderId="0"/>
    <xf numFmtId="0" fontId="27" fillId="0" borderId="0"/>
    <xf numFmtId="0" fontId="3"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3" fillId="0" borderId="0"/>
    <xf numFmtId="0" fontId="3" fillId="0" borderId="0"/>
    <xf numFmtId="0" fontId="10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01" fillId="0" borderId="0"/>
    <xf numFmtId="0" fontId="82" fillId="0" borderId="0"/>
    <xf numFmtId="0" fontId="62" fillId="0" borderId="0"/>
    <xf numFmtId="0" fontId="3" fillId="0" borderId="0"/>
    <xf numFmtId="0" fontId="3" fillId="0" borderId="0"/>
    <xf numFmtId="0" fontId="102" fillId="0" borderId="0" applyNumberFormat="0" applyFill="0" applyBorder="0" applyAlignment="0" applyProtection="0"/>
    <xf numFmtId="0" fontId="103" fillId="0" borderId="0" applyNumberFormat="0" applyFill="0" applyBorder="0" applyAlignment="0" applyProtection="0"/>
    <xf numFmtId="0" fontId="102" fillId="0" borderId="0" applyNumberFormat="0" applyFill="0" applyBorder="0" applyAlignment="0" applyProtection="0"/>
    <xf numFmtId="0" fontId="12" fillId="0" borderId="7"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6" fillId="0" borderId="16" applyNumberFormat="0" applyFill="0" applyAlignment="0" applyProtection="0"/>
    <xf numFmtId="0" fontId="46" fillId="0" borderId="16" applyNumberFormat="0" applyFill="0" applyAlignment="0" applyProtection="0"/>
    <xf numFmtId="0" fontId="44" fillId="0" borderId="17" applyNumberFormat="0" applyFill="0" applyAlignment="0" applyProtection="0"/>
    <xf numFmtId="0" fontId="44" fillId="0" borderId="17"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99" fillId="0" borderId="98" applyNumberFormat="0" applyFill="0" applyAlignment="0" applyProtection="0"/>
    <xf numFmtId="0" fontId="99" fillId="0" borderId="98" applyNumberFormat="0" applyFill="0" applyAlignment="0" applyProtection="0"/>
    <xf numFmtId="0" fontId="99" fillId="0" borderId="98" applyNumberFormat="0" applyFill="0" applyAlignment="0" applyProtection="0"/>
    <xf numFmtId="0" fontId="104" fillId="0" borderId="0" applyNumberFormat="0" applyFill="0" applyBorder="0" applyAlignment="0" applyProtection="0"/>
    <xf numFmtId="0" fontId="41"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8" fillId="68" borderId="4" applyNumberFormat="0" applyAlignment="0" applyProtection="0"/>
    <xf numFmtId="0" fontId="88" fillId="68" borderId="4" applyNumberFormat="0" applyAlignment="0" applyProtection="0"/>
    <xf numFmtId="0" fontId="88" fillId="68" borderId="93" applyNumberFormat="0" applyAlignment="0" applyProtection="0"/>
    <xf numFmtId="0" fontId="88" fillId="68" borderId="93" applyNumberFormat="0" applyAlignment="0" applyProtection="0"/>
    <xf numFmtId="0" fontId="82" fillId="3" borderId="0"/>
    <xf numFmtId="0" fontId="82" fillId="3" borderId="0"/>
    <xf numFmtId="0" fontId="82" fillId="42" borderId="0"/>
    <xf numFmtId="0" fontId="82" fillId="42" borderId="0"/>
    <xf numFmtId="0" fontId="82" fillId="4" borderId="0"/>
    <xf numFmtId="0" fontId="82" fillId="2" borderId="0"/>
    <xf numFmtId="0" fontId="82" fillId="2"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82" fillId="6" borderId="0"/>
    <xf numFmtId="0" fontId="82" fillId="6" borderId="0"/>
    <xf numFmtId="0" fontId="82" fillId="43" borderId="0"/>
    <xf numFmtId="0" fontId="82" fillId="43" borderId="0"/>
    <xf numFmtId="0" fontId="82" fillId="5" borderId="0"/>
    <xf numFmtId="0" fontId="82" fillId="5" borderId="0"/>
    <xf numFmtId="0" fontId="82" fillId="5" borderId="0"/>
    <xf numFmtId="0" fontId="2" fillId="6" borderId="0"/>
    <xf numFmtId="0" fontId="2" fillId="6" borderId="0"/>
    <xf numFmtId="0" fontId="2" fillId="6" borderId="0"/>
    <xf numFmtId="0" fontId="2" fillId="6" borderId="0"/>
    <xf numFmtId="0" fontId="2" fillId="6" borderId="0"/>
    <xf numFmtId="0" fontId="2" fillId="6" borderId="0"/>
    <xf numFmtId="0" fontId="2" fillId="6" borderId="0"/>
    <xf numFmtId="0" fontId="2" fillId="6" borderId="0"/>
    <xf numFmtId="0" fontId="2" fillId="6" borderId="0"/>
    <xf numFmtId="0" fontId="82" fillId="8" borderId="0"/>
    <xf numFmtId="0" fontId="82" fillId="8" borderId="0"/>
    <xf numFmtId="0" fontId="82" fillId="44" borderId="0"/>
    <xf numFmtId="0" fontId="82" fillId="44" borderId="0"/>
    <xf numFmtId="0" fontId="82" fillId="7" borderId="0"/>
    <xf numFmtId="0" fontId="82" fillId="7" borderId="0"/>
    <xf numFmtId="0" fontId="82" fillId="7" borderId="0"/>
    <xf numFmtId="0" fontId="2" fillId="8" borderId="0"/>
    <xf numFmtId="0" fontId="2" fillId="8" borderId="0"/>
    <xf numFmtId="0" fontId="2" fillId="8" borderId="0"/>
    <xf numFmtId="0" fontId="2" fillId="8" borderId="0"/>
    <xf numFmtId="0" fontId="2" fillId="8" borderId="0"/>
    <xf numFmtId="0" fontId="2" fillId="8" borderId="0"/>
    <xf numFmtId="0" fontId="2" fillId="8" borderId="0"/>
    <xf numFmtId="0" fontId="2" fillId="8" borderId="0"/>
    <xf numFmtId="0" fontId="2" fillId="8" borderId="0"/>
    <xf numFmtId="0" fontId="82" fillId="10" borderId="0"/>
    <xf numFmtId="0" fontId="82" fillId="10" borderId="0"/>
    <xf numFmtId="0" fontId="82" fillId="45" borderId="0"/>
    <xf numFmtId="0" fontId="82" fillId="45" borderId="0"/>
    <xf numFmtId="0" fontId="82" fillId="9" borderId="0"/>
    <xf numFmtId="0" fontId="82" fillId="9" borderId="0"/>
    <xf numFmtId="0" fontId="82" fillId="9"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82" fillId="46" borderId="0"/>
    <xf numFmtId="0" fontId="82" fillId="46" borderId="0"/>
    <xf numFmtId="0" fontId="82" fillId="4" borderId="0"/>
    <xf numFmtId="0" fontId="82" fillId="2"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2" fillId="11" borderId="0"/>
    <xf numFmtId="0" fontId="82" fillId="47"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82" fillId="48" borderId="0"/>
    <xf numFmtId="0" fontId="82" fillId="48" borderId="0"/>
    <xf numFmtId="0" fontId="82" fillId="2"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82" fillId="49" borderId="0"/>
    <xf numFmtId="0" fontId="2" fillId="12" borderId="0"/>
    <xf numFmtId="0" fontId="2" fillId="12" borderId="0"/>
    <xf numFmtId="0" fontId="2" fillId="12" borderId="0"/>
    <xf numFmtId="0" fontId="2" fillId="12" borderId="0"/>
    <xf numFmtId="0" fontId="2" fillId="12" borderId="0"/>
    <xf numFmtId="0" fontId="2" fillId="12" borderId="0"/>
    <xf numFmtId="0" fontId="2" fillId="12" borderId="0"/>
    <xf numFmtId="0" fontId="2" fillId="12" borderId="0"/>
    <xf numFmtId="0" fontId="2" fillId="12" borderId="0"/>
    <xf numFmtId="0" fontId="82" fillId="14" borderId="0"/>
    <xf numFmtId="0" fontId="82" fillId="14" borderId="0"/>
    <xf numFmtId="0" fontId="82" fillId="50" borderId="0"/>
    <xf numFmtId="0" fontId="82" fillId="50" borderId="0"/>
    <xf numFmtId="0" fontId="82" fillId="13" borderId="0"/>
    <xf numFmtId="0" fontId="82" fillId="13" borderId="0"/>
    <xf numFmtId="0" fontId="82" fillId="13"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2" fillId="14" borderId="0"/>
    <xf numFmtId="0" fontId="82" fillId="51" borderId="0"/>
    <xf numFmtId="0" fontId="82" fillId="51" borderId="0"/>
    <xf numFmtId="0" fontId="82" fillId="15" borderId="0"/>
    <xf numFmtId="0" fontId="82" fillId="15"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2" fillId="10" borderId="0"/>
    <xf numFmtId="0" fontId="82" fillId="52" borderId="0"/>
    <xf numFmtId="0" fontId="82" fillId="52" borderId="0"/>
    <xf numFmtId="0" fontId="82" fillId="2"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2" fillId="4" borderId="0"/>
    <xf numFmtId="0" fontId="82" fillId="53" borderId="0"/>
    <xf numFmtId="0" fontId="82" fillId="53" borderId="0"/>
    <xf numFmtId="0" fontId="82" fillId="5" borderId="0"/>
    <xf numFmtId="0" fontId="82" fillId="5" borderId="0"/>
    <xf numFmtId="0" fontId="2" fillId="16" borderId="0"/>
    <xf numFmtId="0" fontId="2" fillId="16" borderId="0"/>
    <xf numFmtId="0" fontId="2" fillId="16" borderId="0"/>
    <xf numFmtId="0" fontId="2" fillId="16" borderId="0"/>
    <xf numFmtId="0" fontId="2" fillId="16" borderId="0"/>
    <xf numFmtId="0" fontId="2" fillId="16" borderId="0"/>
    <xf numFmtId="0" fontId="2" fillId="16" borderId="0"/>
    <xf numFmtId="0" fontId="2" fillId="16" borderId="0"/>
    <xf numFmtId="0" fontId="2" fillId="16" borderId="0"/>
    <xf numFmtId="0" fontId="83" fillId="54" borderId="0"/>
    <xf numFmtId="0" fontId="83" fillId="54" borderId="0"/>
    <xf numFmtId="0" fontId="83" fillId="4" borderId="0"/>
    <xf numFmtId="0" fontId="83" fillId="2" borderId="0"/>
    <xf numFmtId="0" fontId="36" fillId="17" borderId="0"/>
    <xf numFmtId="0" fontId="36" fillId="17" borderId="0"/>
    <xf numFmtId="0" fontId="36" fillId="17" borderId="0"/>
    <xf numFmtId="0" fontId="36" fillId="17" borderId="0"/>
    <xf numFmtId="0" fontId="83" fillId="55" borderId="0"/>
    <xf numFmtId="0" fontId="36" fillId="12" borderId="0"/>
    <xf numFmtId="0" fontId="36" fillId="12" borderId="0"/>
    <xf numFmtId="0" fontId="36" fillId="12" borderId="0"/>
    <xf numFmtId="0" fontId="36" fillId="12" borderId="0"/>
    <xf numFmtId="0" fontId="83" fillId="56" borderId="0"/>
    <xf numFmtId="0" fontId="36" fillId="14" borderId="0"/>
    <xf numFmtId="0" fontId="36" fillId="14" borderId="0"/>
    <xf numFmtId="0" fontId="36" fillId="14" borderId="0"/>
    <xf numFmtId="0" fontId="36" fillId="14" borderId="0"/>
    <xf numFmtId="0" fontId="83" fillId="18" borderId="0"/>
    <xf numFmtId="0" fontId="83" fillId="18" borderId="0"/>
    <xf numFmtId="0" fontId="83" fillId="57" borderId="0"/>
    <xf numFmtId="0" fontId="83" fillId="57" borderId="0"/>
    <xf numFmtId="0" fontId="83" fillId="15" borderId="0"/>
    <xf numFmtId="0" fontId="83" fillId="15" borderId="0"/>
    <xf numFmtId="0" fontId="83" fillId="15" borderId="0"/>
    <xf numFmtId="0" fontId="36" fillId="18" borderId="0"/>
    <xf numFmtId="0" fontId="36" fillId="18" borderId="0"/>
    <xf numFmtId="0" fontId="36" fillId="18" borderId="0"/>
    <xf numFmtId="0" fontId="36" fillId="18" borderId="0"/>
    <xf numFmtId="0" fontId="83" fillId="58" borderId="0"/>
    <xf numFmtId="0" fontId="83" fillId="58" borderId="0"/>
    <xf numFmtId="0" fontId="83" fillId="4" borderId="0"/>
    <xf numFmtId="0" fontId="83" fillId="2" borderId="0"/>
    <xf numFmtId="0" fontId="36" fillId="19" borderId="0"/>
    <xf numFmtId="0" fontId="36" fillId="19" borderId="0"/>
    <xf numFmtId="0" fontId="36" fillId="19" borderId="0"/>
    <xf numFmtId="0" fontId="36" fillId="19" borderId="0"/>
    <xf numFmtId="0" fontId="83" fillId="20" borderId="0"/>
    <xf numFmtId="0" fontId="83" fillId="20" borderId="0"/>
    <xf numFmtId="0" fontId="83" fillId="59" borderId="0"/>
    <xf numFmtId="0" fontId="83" fillId="59" borderId="0"/>
    <xf numFmtId="0" fontId="83" fillId="5" borderId="0"/>
    <xf numFmtId="0" fontId="83" fillId="5" borderId="0"/>
    <xf numFmtId="0" fontId="83" fillId="5" borderId="0"/>
    <xf numFmtId="0" fontId="36" fillId="20" borderId="0"/>
    <xf numFmtId="0" fontId="36" fillId="20" borderId="0"/>
    <xf numFmtId="0" fontId="36" fillId="20" borderId="0"/>
    <xf numFmtId="0" fontId="36" fillId="20" borderId="0"/>
    <xf numFmtId="0" fontId="83" fillId="21" borderId="0"/>
    <xf numFmtId="0" fontId="36" fillId="21" borderId="0"/>
    <xf numFmtId="0" fontId="83" fillId="60" borderId="0"/>
    <xf numFmtId="0" fontId="83" fillId="19" borderId="0"/>
    <xf numFmtId="0" fontId="83" fillId="19" borderId="0"/>
    <xf numFmtId="0" fontId="83" fillId="21" borderId="0"/>
    <xf numFmtId="0" fontId="83" fillId="22" borderId="0"/>
    <xf numFmtId="0" fontId="36" fillId="22" borderId="0"/>
    <xf numFmtId="0" fontId="83" fillId="23" borderId="0"/>
    <xf numFmtId="0" fontId="83" fillId="22" borderId="0"/>
    <xf numFmtId="0" fontId="83" fillId="62" borderId="0"/>
    <xf numFmtId="0" fontId="36" fillId="24" borderId="0"/>
    <xf numFmtId="0" fontId="83" fillId="18" borderId="0"/>
    <xf numFmtId="0" fontId="36" fillId="18" borderId="0"/>
    <xf numFmtId="0" fontId="83" fillId="63" borderId="0"/>
    <xf numFmtId="0" fontId="83" fillId="25" borderId="0"/>
    <xf numFmtId="0" fontId="83" fillId="25" borderId="0"/>
    <xf numFmtId="0" fontId="83" fillId="18" borderId="0"/>
    <xf numFmtId="0" fontId="83" fillId="64" borderId="0"/>
    <xf numFmtId="0" fontId="36" fillId="19" borderId="0"/>
    <xf numFmtId="0" fontId="83" fillId="65" borderId="0"/>
    <xf numFmtId="0" fontId="36" fillId="23" borderId="0"/>
    <xf numFmtId="0" fontId="83" fillId="21" borderId="0"/>
    <xf numFmtId="0" fontId="83" fillId="21" borderId="0"/>
    <xf numFmtId="0" fontId="83" fillId="22" borderId="0"/>
    <xf numFmtId="0" fontId="83" fillId="22" borderId="0"/>
    <xf numFmtId="0" fontId="83" fillId="62" borderId="0"/>
    <xf numFmtId="0" fontId="83" fillId="62" borderId="0"/>
    <xf numFmtId="0" fontId="83" fillId="18" borderId="0"/>
    <xf numFmtId="0" fontId="83" fillId="18" borderId="0"/>
    <xf numFmtId="0" fontId="83" fillId="64" borderId="0"/>
    <xf numFmtId="0" fontId="83" fillId="64" borderId="0"/>
    <xf numFmtId="0" fontId="83" fillId="65" borderId="0"/>
    <xf numFmtId="0" fontId="83" fillId="65" borderId="0"/>
    <xf numFmtId="0" fontId="85" fillId="15" borderId="91"/>
    <xf numFmtId="0" fontId="85" fillId="15" borderId="91"/>
    <xf numFmtId="0" fontId="85" fillId="15" borderId="91"/>
    <xf numFmtId="0" fontId="12" fillId="15" borderId="1"/>
    <xf numFmtId="0" fontId="12" fillId="15" borderId="1"/>
    <xf numFmtId="0" fontId="85" fillId="66" borderId="91"/>
    <xf numFmtId="0" fontId="85" fillId="66" borderId="91"/>
    <xf numFmtId="0" fontId="85" fillId="9" borderId="91"/>
    <xf numFmtId="0" fontId="12" fillId="9" borderId="1"/>
    <xf numFmtId="0" fontId="12" fillId="9" borderId="1"/>
    <xf numFmtId="0" fontId="85" fillId="15" borderId="91"/>
    <xf numFmtId="0" fontId="12" fillId="9" borderId="1"/>
    <xf numFmtId="0" fontId="12" fillId="9" borderId="1"/>
    <xf numFmtId="0" fontId="85" fillId="15" borderId="91"/>
    <xf numFmtId="0" fontId="85" fillId="15" borderId="91"/>
    <xf numFmtId="0" fontId="12" fillId="15" borderId="1"/>
    <xf numFmtId="0" fontId="12" fillId="15" borderId="1"/>
    <xf numFmtId="0" fontId="37" fillId="15" borderId="2"/>
    <xf numFmtId="0" fontId="37" fillId="15" borderId="2"/>
    <xf numFmtId="0" fontId="37" fillId="15" borderId="2"/>
    <xf numFmtId="0" fontId="85" fillId="15" borderId="91"/>
    <xf numFmtId="0" fontId="37" fillId="15" borderId="2"/>
    <xf numFmtId="0" fontId="12" fillId="15" borderId="1"/>
    <xf numFmtId="0" fontId="85" fillId="15" borderId="91"/>
    <xf numFmtId="0" fontId="12" fillId="15" borderId="1"/>
    <xf numFmtId="0" fontId="85" fillId="15" borderId="91"/>
    <xf numFmtId="0" fontId="85" fillId="15" borderId="91"/>
    <xf numFmtId="0" fontId="37" fillId="15" borderId="2"/>
    <xf numFmtId="0" fontId="86" fillId="67" borderId="0"/>
    <xf numFmtId="0" fontId="49" fillId="6" borderId="0"/>
    <xf numFmtId="0" fontId="87" fillId="15" borderId="92"/>
    <xf numFmtId="0" fontId="87" fillId="15" borderId="92"/>
    <xf numFmtId="0" fontId="87" fillId="66" borderId="92"/>
    <xf numFmtId="0" fontId="87" fillId="66" borderId="92"/>
    <xf numFmtId="0" fontId="87" fillId="9" borderId="92"/>
    <xf numFmtId="0" fontId="87" fillId="9" borderId="92"/>
    <xf numFmtId="0" fontId="87" fillId="9" borderId="92"/>
    <xf numFmtId="0" fontId="87" fillId="15" borderId="92"/>
    <xf numFmtId="0" fontId="38" fillId="15" borderId="3"/>
    <xf numFmtId="0" fontId="38" fillId="15" borderId="3"/>
    <xf numFmtId="0" fontId="38" fillId="15" borderId="3"/>
    <xf numFmtId="0" fontId="87" fillId="15" borderId="92"/>
    <xf numFmtId="0" fontId="38" fillId="15" borderId="3"/>
    <xf numFmtId="0" fontId="87" fillId="15" borderId="92"/>
    <xf numFmtId="0" fontId="38" fillId="15" borderId="3"/>
    <xf numFmtId="0" fontId="38" fillId="15" borderId="3"/>
    <xf numFmtId="0" fontId="88" fillId="68" borderId="93"/>
    <xf numFmtId="0" fontId="51" fillId="26" borderId="5"/>
    <xf numFmtId="0" fontId="88" fillId="68" borderId="93"/>
    <xf numFmtId="0" fontId="88" fillId="68" borderId="4"/>
    <xf numFmtId="164" fontId="2" fillId="0" borderId="0"/>
    <xf numFmtId="0" fontId="89" fillId="69" borderId="92"/>
    <xf numFmtId="0" fontId="39" fillId="5" borderId="3"/>
    <xf numFmtId="0" fontId="39" fillId="5" borderId="3"/>
    <xf numFmtId="0" fontId="39" fillId="5" borderId="3"/>
    <xf numFmtId="0" fontId="39" fillId="5" borderId="3"/>
    <xf numFmtId="0" fontId="39" fillId="5" borderId="3"/>
    <xf numFmtId="0" fontId="90" fillId="0" borderId="7"/>
    <xf numFmtId="0" fontId="90" fillId="0" borderId="7"/>
    <xf numFmtId="0" fontId="90" fillId="0" borderId="7"/>
    <xf numFmtId="0" fontId="90" fillId="0" borderId="7"/>
    <xf numFmtId="0" fontId="90" fillId="0" borderId="94"/>
    <xf numFmtId="0" fontId="90" fillId="0" borderId="94"/>
    <xf numFmtId="0" fontId="90" fillId="0" borderId="6"/>
    <xf numFmtId="0" fontId="90" fillId="0" borderId="6"/>
    <xf numFmtId="0" fontId="90" fillId="0" borderId="6"/>
    <xf numFmtId="0" fontId="90" fillId="0" borderId="7"/>
    <xf numFmtId="0" fontId="90" fillId="0" borderId="7"/>
    <xf numFmtId="0" fontId="12" fillId="0" borderId="7"/>
    <xf numFmtId="0" fontId="12" fillId="0" borderId="7"/>
    <xf numFmtId="0" fontId="90" fillId="0" borderId="7"/>
    <xf numFmtId="0" fontId="12" fillId="0" borderId="7"/>
    <xf numFmtId="0" fontId="12" fillId="0" borderId="7"/>
    <xf numFmtId="0" fontId="90" fillId="0" borderId="7"/>
    <xf numFmtId="0" fontId="12" fillId="0" borderId="7"/>
    <xf numFmtId="0" fontId="90" fillId="0" borderId="7"/>
    <xf numFmtId="0" fontId="12" fillId="0" borderId="7"/>
    <xf numFmtId="0" fontId="91" fillId="0" borderId="0"/>
    <xf numFmtId="0" fontId="40" fillId="0" borderId="0"/>
    <xf numFmtId="0" fontId="40" fillId="0" borderId="0"/>
    <xf numFmtId="0" fontId="40" fillId="0" borderId="0"/>
    <xf numFmtId="0" fontId="40" fillId="0" borderId="0"/>
    <xf numFmtId="0" fontId="92" fillId="70" borderId="0"/>
    <xf numFmtId="0" fontId="48" fillId="8" borderId="0"/>
    <xf numFmtId="0" fontId="92" fillId="70" borderId="0"/>
    <xf numFmtId="0" fontId="92" fillId="70" borderId="0"/>
    <xf numFmtId="0" fontId="43" fillId="0" borderId="15"/>
    <xf numFmtId="0" fontId="94" fillId="0" borderId="95"/>
    <xf numFmtId="0" fontId="115" fillId="0" borderId="8"/>
    <xf numFmtId="0" fontId="115" fillId="0" borderId="8"/>
    <xf numFmtId="0" fontId="43" fillId="0" borderId="15"/>
    <xf numFmtId="0" fontId="46" fillId="0" borderId="16"/>
    <xf numFmtId="0" fontId="96" fillId="0" borderId="96"/>
    <xf numFmtId="0" fontId="116" fillId="0" borderId="10"/>
    <xf numFmtId="0" fontId="116" fillId="0" borderId="9"/>
    <xf numFmtId="0" fontId="46" fillId="0" borderId="16"/>
    <xf numFmtId="0" fontId="44" fillId="0" borderId="17"/>
    <xf numFmtId="0" fontId="98" fillId="0" borderId="97"/>
    <xf numFmtId="0" fontId="117" fillId="0" borderId="12"/>
    <xf numFmtId="0" fontId="117" fillId="0" borderId="11"/>
    <xf numFmtId="0" fontId="44" fillId="0" borderId="17"/>
    <xf numFmtId="0" fontId="44" fillId="0" borderId="0"/>
    <xf numFmtId="0" fontId="98" fillId="0" borderId="0"/>
    <xf numFmtId="0" fontId="117" fillId="0" borderId="0"/>
    <xf numFmtId="0" fontId="117" fillId="0" borderId="0"/>
    <xf numFmtId="0" fontId="44" fillId="0" borderId="0"/>
    <xf numFmtId="0" fontId="39" fillId="5" borderId="3"/>
    <xf numFmtId="164" fontId="2" fillId="0" borderId="0"/>
    <xf numFmtId="0" fontId="99" fillId="0" borderId="98"/>
    <xf numFmtId="0" fontId="50" fillId="0" borderId="13"/>
    <xf numFmtId="0" fontId="100" fillId="71" borderId="0"/>
    <xf numFmtId="0" fontId="2" fillId="72" borderId="99"/>
    <xf numFmtId="0" fontId="3" fillId="7" borderId="14"/>
    <xf numFmtId="0" fontId="3" fillId="7" borderId="14"/>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2" fillId="72" borderId="99"/>
    <xf numFmtId="0" fontId="37" fillId="15" borderId="2"/>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 fillId="0" borderId="0"/>
    <xf numFmtId="9" fontId="3"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2" fillId="0" borderId="0"/>
    <xf numFmtId="9" fontId="3" fillId="0" borderId="0"/>
    <xf numFmtId="9" fontId="3" fillId="0" borderId="0"/>
    <xf numFmtId="9" fontId="3" fillId="0" borderId="0"/>
    <xf numFmtId="9" fontId="3" fillId="0" borderId="0"/>
    <xf numFmtId="9" fontId="2" fillId="0" borderId="0"/>
    <xf numFmtId="9" fontId="2" fillId="0" borderId="0"/>
    <xf numFmtId="9" fontId="2" fillId="0" borderId="0"/>
    <xf numFmtId="9" fontId="3" fillId="0" borderId="0"/>
    <xf numFmtId="9" fontId="2" fillId="0" borderId="0"/>
    <xf numFmtId="0" fontId="86" fillId="67" borderId="0"/>
    <xf numFmtId="0" fontId="86" fillId="67" borderId="0"/>
    <xf numFmtId="0" fontId="54" fillId="0" borderId="0"/>
    <xf numFmtId="0" fontId="54" fillId="0" borderId="0"/>
    <xf numFmtId="0" fontId="54" fillId="0" borderId="0"/>
    <xf numFmtId="0" fontId="45" fillId="0" borderId="0"/>
    <xf numFmtId="0" fontId="103" fillId="0" borderId="0"/>
    <xf numFmtId="0" fontId="118" fillId="0" borderId="0"/>
    <xf numFmtId="0" fontId="118" fillId="0" borderId="0"/>
    <xf numFmtId="0" fontId="45" fillId="0" borderId="0"/>
    <xf numFmtId="0" fontId="12" fillId="0" borderId="7"/>
    <xf numFmtId="0" fontId="43" fillId="0" borderId="15"/>
    <xf numFmtId="0" fontId="43" fillId="0" borderId="15"/>
    <xf numFmtId="0" fontId="46" fillId="0" borderId="16"/>
    <xf numFmtId="0" fontId="46" fillId="0" borderId="16"/>
    <xf numFmtId="0" fontId="44" fillId="0" borderId="17"/>
    <xf numFmtId="0" fontId="44" fillId="0" borderId="17"/>
    <xf numFmtId="0" fontId="44" fillId="0" borderId="0"/>
    <xf numFmtId="0" fontId="44" fillId="0" borderId="0"/>
    <xf numFmtId="0" fontId="45" fillId="0" borderId="0"/>
    <xf numFmtId="0" fontId="45" fillId="0" borderId="0"/>
    <xf numFmtId="0" fontId="99" fillId="0" borderId="98"/>
    <xf numFmtId="0" fontId="99" fillId="0" borderId="98"/>
    <xf numFmtId="0" fontId="41" fillId="0" borderId="0"/>
    <xf numFmtId="0" fontId="41" fillId="0" borderId="0"/>
    <xf numFmtId="0" fontId="104" fillId="0" borderId="0"/>
    <xf numFmtId="0" fontId="119" fillId="0" borderId="0"/>
    <xf numFmtId="0" fontId="41" fillId="0" borderId="0"/>
    <xf numFmtId="0" fontId="41" fillId="0" borderId="0"/>
    <xf numFmtId="0" fontId="41" fillId="0" borderId="0"/>
    <xf numFmtId="0" fontId="41" fillId="0" borderId="0"/>
    <xf numFmtId="0" fontId="88" fillId="68" borderId="4"/>
    <xf numFmtId="0" fontId="88" fillId="68" borderId="93"/>
    <xf numFmtId="0" fontId="88" fillId="68" borderId="93"/>
    <xf numFmtId="0" fontId="88" fillId="68" borderId="4"/>
    <xf numFmtId="0" fontId="83" fillId="62" borderId="0" applyNumberFormat="0" applyBorder="0" applyAlignment="0" applyProtection="0"/>
    <xf numFmtId="0" fontId="83" fillId="64" borderId="0" applyNumberFormat="0" applyBorder="0" applyAlignment="0" applyProtection="0"/>
    <xf numFmtId="0" fontId="83" fillId="65" borderId="0" applyNumberFormat="0" applyBorder="0" applyAlignment="0" applyProtection="0"/>
    <xf numFmtId="0" fontId="12" fillId="9" borderId="1" applyNumberFormat="0" applyAlignment="0" applyProtection="0"/>
    <xf numFmtId="0" fontId="12" fillId="15" borderId="1" applyNumberFormat="0" applyAlignment="0" applyProtection="0"/>
    <xf numFmtId="0" fontId="12" fillId="9" borderId="1" applyNumberFormat="0" applyAlignment="0" applyProtection="0"/>
    <xf numFmtId="0" fontId="12" fillId="15" borderId="1" applyNumberFormat="0" applyAlignment="0" applyProtection="0"/>
    <xf numFmtId="0" fontId="12" fillId="15" borderId="1" applyNumberFormat="0" applyAlignment="0" applyProtection="0"/>
    <xf numFmtId="0" fontId="92" fillId="70" borderId="0" applyNumberFormat="0" applyBorder="0" applyAlignment="0" applyProtection="0"/>
    <xf numFmtId="0" fontId="115" fillId="0" borderId="8" applyNumberFormat="0" applyFill="0" applyAlignment="0" applyProtection="0"/>
    <xf numFmtId="0" fontId="115" fillId="0" borderId="8" applyNumberFormat="0" applyFill="0" applyAlignment="0" applyProtection="0"/>
    <xf numFmtId="0" fontId="116" fillId="0" borderId="9" applyNumberFormat="0" applyFill="0" applyAlignment="0" applyProtection="0"/>
    <xf numFmtId="0" fontId="116" fillId="0" borderId="10" applyNumberFormat="0" applyFill="0" applyAlignment="0" applyProtection="0"/>
    <xf numFmtId="0" fontId="117" fillId="0" borderId="11" applyNumberFormat="0" applyFill="0" applyAlignment="0" applyProtection="0"/>
    <xf numFmtId="0" fontId="117" fillId="0" borderId="12"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86" fillId="67" borderId="0" applyNumberFormat="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99" fillId="0" borderId="98" applyNumberFormat="0" applyFill="0" applyAlignment="0" applyProtection="0"/>
    <xf numFmtId="0" fontId="119" fillId="0" borderId="0" applyNumberFormat="0" applyFill="0" applyBorder="0" applyAlignment="0" applyProtection="0"/>
    <xf numFmtId="0" fontId="88" fillId="68" borderId="4" applyNumberFormat="0" applyAlignment="0" applyProtection="0"/>
    <xf numFmtId="0" fontId="82" fillId="2" borderId="0" applyNumberFormat="0" applyBorder="0" applyAlignment="0" applyProtection="0"/>
    <xf numFmtId="0" fontId="8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82" fillId="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82" fillId="2"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82" fillId="1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82" fillId="2"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82" fillId="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83" fillId="2"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2"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1"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9"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3" fillId="18" borderId="0" applyNumberFormat="0" applyBorder="0" applyAlignment="0" applyProtection="0"/>
    <xf numFmtId="0" fontId="83" fillId="63" borderId="0" applyNumberFormat="0" applyBorder="0" applyAlignment="0" applyProtection="0"/>
    <xf numFmtId="0" fontId="83" fillId="63" borderId="0" applyNumberFormat="0" applyBorder="0" applyAlignment="0" applyProtection="0"/>
    <xf numFmtId="0" fontId="83" fillId="25" borderId="0" applyNumberFormat="0" applyBorder="0" applyAlignment="0" applyProtection="0"/>
    <xf numFmtId="0" fontId="83" fillId="18"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61" borderId="0" applyNumberFormat="0" applyBorder="0" applyAlignment="0" applyProtection="0"/>
    <xf numFmtId="0" fontId="83" fillId="61" borderId="0" applyNumberFormat="0" applyBorder="0" applyAlignment="0" applyProtection="0"/>
    <xf numFmtId="0" fontId="83" fillId="62" borderId="0" applyNumberFormat="0" applyBorder="0" applyAlignment="0" applyProtection="0"/>
    <xf numFmtId="0" fontId="83" fillId="25" borderId="0" applyNumberFormat="0" applyBorder="0" applyAlignment="0" applyProtection="0"/>
    <xf numFmtId="0" fontId="83" fillId="25" borderId="0" applyNumberFormat="0" applyBorder="0" applyAlignment="0" applyProtection="0"/>
    <xf numFmtId="0" fontId="83" fillId="64" borderId="0" applyNumberFormat="0" applyBorder="0" applyAlignment="0" applyProtection="0"/>
    <xf numFmtId="0" fontId="83" fillId="65" borderId="0" applyNumberFormat="0" applyBorder="0" applyAlignment="0" applyProtection="0"/>
    <xf numFmtId="0" fontId="84" fillId="15" borderId="1" applyNumberFormat="0" applyAlignment="0" applyProtection="0"/>
    <xf numFmtId="0" fontId="12" fillId="15" borderId="1" applyNumberFormat="0" applyAlignment="0" applyProtection="0"/>
    <xf numFmtId="0" fontId="12" fillId="15" borderId="1" applyNumberFormat="0" applyAlignment="0" applyProtection="0"/>
    <xf numFmtId="0" fontId="84" fillId="9" borderId="1" applyNumberFormat="0" applyAlignment="0" applyProtection="0"/>
    <xf numFmtId="0" fontId="12" fillId="9" borderId="1" applyNumberFormat="0" applyAlignment="0" applyProtection="0"/>
    <xf numFmtId="0" fontId="12" fillId="9" borderId="1" applyNumberFormat="0" applyAlignment="0" applyProtection="0"/>
    <xf numFmtId="0" fontId="84" fillId="9" borderId="1" applyNumberFormat="0" applyAlignment="0" applyProtection="0"/>
    <xf numFmtId="0" fontId="12" fillId="9" borderId="1" applyNumberFormat="0" applyAlignment="0" applyProtection="0"/>
    <xf numFmtId="0" fontId="12" fillId="9" borderId="1" applyNumberFormat="0" applyAlignment="0" applyProtection="0"/>
    <xf numFmtId="0" fontId="84" fillId="15" borderId="1" applyNumberFormat="0" applyAlignment="0" applyProtection="0"/>
    <xf numFmtId="0" fontId="12" fillId="15" borderId="1" applyNumberFormat="0" applyAlignment="0" applyProtection="0"/>
    <xf numFmtId="0" fontId="12" fillId="15" borderId="1" applyNumberFormat="0" applyAlignment="0" applyProtection="0"/>
    <xf numFmtId="0" fontId="12" fillId="15" borderId="1" applyNumberFormat="0" applyAlignment="0" applyProtection="0"/>
    <xf numFmtId="0" fontId="12" fillId="15" borderId="1" applyNumberFormat="0" applyAlignment="0" applyProtection="0"/>
    <xf numFmtId="0" fontId="49" fillId="6" borderId="0" applyNumberFormat="0" applyBorder="0" applyAlignment="0" applyProtection="0"/>
    <xf numFmtId="0" fontId="87" fillId="9" borderId="92" applyNumberFormat="0" applyAlignment="0" applyProtection="0"/>
    <xf numFmtId="0" fontId="87" fillId="9" borderId="92" applyNumberFormat="0" applyAlignment="0" applyProtection="0"/>
    <xf numFmtId="0" fontId="51" fillId="26" borderId="5" applyNumberFormat="0" applyAlignment="0" applyProtection="0"/>
    <xf numFmtId="0" fontId="88" fillId="68" borderId="4" applyNumberFormat="0" applyAlignment="0" applyProtection="0"/>
    <xf numFmtId="0" fontId="88" fillId="68" borderId="93" applyNumberFormat="0" applyAlignment="0" applyProtection="0"/>
    <xf numFmtId="0" fontId="88" fillId="68" borderId="93" applyNumberFormat="0" applyAlignment="0" applyProtection="0"/>
    <xf numFmtId="0" fontId="88" fillId="68" borderId="4" applyNumberFormat="0" applyAlignment="0" applyProtection="0"/>
    <xf numFmtId="0" fontId="88" fillId="68" borderId="5" applyNumberFormat="0" applyAlignment="0" applyProtection="0"/>
    <xf numFmtId="0" fontId="90" fillId="0" borderId="6" applyNumberFormat="0" applyFill="0" applyAlignment="0" applyProtection="0"/>
    <xf numFmtId="0" fontId="90" fillId="0" borderId="6" applyNumberFormat="0" applyFill="0" applyAlignment="0" applyProtection="0"/>
    <xf numFmtId="0" fontId="48" fillId="8" borderId="0" applyNumberFormat="0" applyBorder="0" applyAlignment="0" applyProtection="0"/>
    <xf numFmtId="0" fontId="92" fillId="70" borderId="0" applyNumberFormat="0" applyBorder="0" applyAlignment="0" applyProtection="0"/>
    <xf numFmtId="0" fontId="43" fillId="0" borderId="15" applyNumberFormat="0" applyFill="0" applyAlignment="0" applyProtection="0"/>
    <xf numFmtId="0" fontId="115" fillId="0" borderId="8" applyNumberFormat="0" applyFill="0" applyAlignment="0" applyProtection="0"/>
    <xf numFmtId="0" fontId="94" fillId="0" borderId="95" applyNumberFormat="0" applyFill="0" applyAlignment="0" applyProtection="0"/>
    <xf numFmtId="0" fontId="94" fillId="0" borderId="95" applyNumberFormat="0" applyFill="0" applyAlignment="0" applyProtection="0"/>
    <xf numFmtId="0" fontId="115" fillId="0" borderId="8" applyNumberFormat="0" applyFill="0" applyAlignment="0" applyProtection="0"/>
    <xf numFmtId="0" fontId="43" fillId="0" borderId="15" applyNumberFormat="0" applyFill="0" applyAlignment="0" applyProtection="0"/>
    <xf numFmtId="0" fontId="46" fillId="0" borderId="16" applyNumberFormat="0" applyFill="0" applyAlignment="0" applyProtection="0"/>
    <xf numFmtId="0" fontId="95" fillId="0" borderId="9" applyNumberFormat="0" applyFill="0" applyAlignment="0" applyProtection="0"/>
    <xf numFmtId="0" fontId="116" fillId="0" borderId="10" applyNumberFormat="0" applyFill="0" applyAlignment="0" applyProtection="0"/>
    <xf numFmtId="0" fontId="96" fillId="0" borderId="96" applyNumberFormat="0" applyFill="0" applyAlignment="0" applyProtection="0"/>
    <xf numFmtId="0" fontId="96" fillId="0" borderId="96" applyNumberFormat="0" applyFill="0" applyAlignment="0" applyProtection="0"/>
    <xf numFmtId="0" fontId="116" fillId="0" borderId="9" applyNumberFormat="0" applyFill="0" applyAlignment="0" applyProtection="0"/>
    <xf numFmtId="0" fontId="46" fillId="0" borderId="16" applyNumberFormat="0" applyFill="0" applyAlignment="0" applyProtection="0"/>
    <xf numFmtId="0" fontId="44" fillId="0" borderId="17" applyNumberFormat="0" applyFill="0" applyAlignment="0" applyProtection="0"/>
    <xf numFmtId="0" fontId="97" fillId="0" borderId="11" applyNumberFormat="0" applyFill="0" applyAlignment="0" applyProtection="0"/>
    <xf numFmtId="0" fontId="117" fillId="0" borderId="12" applyNumberFormat="0" applyFill="0" applyAlignment="0" applyProtection="0"/>
    <xf numFmtId="0" fontId="98" fillId="0" borderId="97" applyNumberFormat="0" applyFill="0" applyAlignment="0" applyProtection="0"/>
    <xf numFmtId="0" fontId="98" fillId="0" borderId="97" applyNumberFormat="0" applyFill="0" applyAlignment="0" applyProtection="0"/>
    <xf numFmtId="0" fontId="117" fillId="0" borderId="11" applyNumberFormat="0" applyFill="0" applyAlignment="0" applyProtection="0"/>
    <xf numFmtId="0" fontId="44" fillId="0" borderId="17" applyNumberFormat="0" applyFill="0" applyAlignment="0" applyProtection="0"/>
    <xf numFmtId="0" fontId="44" fillId="0" borderId="0" applyNumberFormat="0" applyFill="0" applyBorder="0" applyAlignment="0" applyProtection="0"/>
    <xf numFmtId="0" fontId="117"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17" fillId="0" borderId="0" applyNumberFormat="0" applyFill="0" applyBorder="0" applyAlignment="0" applyProtection="0"/>
    <xf numFmtId="0" fontId="44" fillId="0" borderId="0" applyNumberFormat="0" applyFill="0" applyBorder="0" applyAlignment="0" applyProtection="0"/>
    <xf numFmtId="0" fontId="50" fillId="0" borderId="13" applyNumberFormat="0" applyFill="0" applyAlignment="0" applyProtection="0"/>
    <xf numFmtId="0" fontId="2" fillId="72" borderId="99" applyNumberFormat="0" applyFont="0" applyAlignment="0" applyProtection="0"/>
    <xf numFmtId="0" fontId="82" fillId="72" borderId="99" applyNumberFormat="0" applyFont="0" applyAlignment="0" applyProtection="0"/>
    <xf numFmtId="0" fontId="2" fillId="72" borderId="99" applyNumberFormat="0" applyFont="0" applyAlignment="0" applyProtection="0"/>
    <xf numFmtId="0" fontId="8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8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8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0" fontId="2" fillId="72" borderId="99" applyNumberFormat="0" applyFont="0" applyAlignment="0" applyProtection="0"/>
    <xf numFmtId="9" fontId="2" fillId="0" borderId="0" applyFont="0" applyFill="0" applyBorder="0" applyAlignment="0" applyProtection="0"/>
    <xf numFmtId="9" fontId="8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86" fillId="6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1" fillId="0" borderId="0"/>
    <xf numFmtId="0" fontId="2" fillId="0" borderId="0"/>
    <xf numFmtId="0" fontId="2" fillId="0" borderId="0"/>
    <xf numFmtId="0" fontId="45" fillId="0" borderId="0" applyNumberFormat="0" applyFill="0" applyBorder="0" applyAlignment="0" applyProtection="0"/>
    <xf numFmtId="0" fontId="118"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8" fillId="0" borderId="0" applyNumberFormat="0" applyFill="0" applyBorder="0" applyAlignment="0" applyProtection="0"/>
    <xf numFmtId="0" fontId="45" fillId="0" borderId="0" applyNumberFormat="0" applyFill="0" applyBorder="0" applyAlignment="0" applyProtection="0"/>
    <xf numFmtId="0" fontId="93" fillId="0" borderId="8" applyNumberFormat="0" applyFill="0" applyAlignment="0" applyProtection="0"/>
    <xf numFmtId="0" fontId="93" fillId="0" borderId="8" applyNumberFormat="0" applyFill="0" applyAlignment="0" applyProtection="0"/>
    <xf numFmtId="0" fontId="95" fillId="0" borderId="9" applyNumberFormat="0" applyFill="0" applyAlignment="0" applyProtection="0"/>
    <xf numFmtId="0" fontId="95" fillId="0" borderId="9" applyNumberFormat="0" applyFill="0" applyAlignment="0" applyProtection="0"/>
    <xf numFmtId="0" fontId="97" fillId="0" borderId="11" applyNumberFormat="0" applyFill="0" applyAlignment="0" applyProtection="0"/>
    <xf numFmtId="0" fontId="97" fillId="0" borderId="11"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99" fillId="0" borderId="98" applyNumberFormat="0" applyFill="0" applyAlignment="0" applyProtection="0"/>
    <xf numFmtId="0" fontId="119" fillId="0" borderId="0" applyNumberFormat="0" applyFill="0" applyBorder="0" applyAlignment="0" applyProtection="0"/>
    <xf numFmtId="0" fontId="88" fillId="68" borderId="4" applyNumberFormat="0" applyAlignment="0" applyProtection="0"/>
    <xf numFmtId="0" fontId="88" fillId="68" borderId="4" applyNumberFormat="0" applyAlignment="0" applyProtection="0"/>
    <xf numFmtId="0" fontId="88" fillId="68" borderId="93" applyNumberFormat="0" applyAlignment="0" applyProtection="0"/>
    <xf numFmtId="0" fontId="88" fillId="68" borderId="4" applyNumberFormat="0" applyAlignment="0" applyProtection="0"/>
    <xf numFmtId="0" fontId="116" fillId="0" borderId="9" applyNumberFormat="0" applyFill="0" applyAlignment="0" applyProtection="0"/>
    <xf numFmtId="0" fontId="117" fillId="0" borderId="11" applyNumberFormat="0" applyFill="0" applyAlignment="0" applyProtection="0"/>
    <xf numFmtId="164" fontId="2" fillId="0" borderId="0" applyFont="0" applyFill="0" applyBorder="0" applyAlignment="0" applyProtection="0"/>
    <xf numFmtId="0" fontId="115" fillId="0" borderId="8" applyNumberFormat="0" applyFill="0" applyAlignment="0" applyProtection="0"/>
    <xf numFmtId="0" fontId="116" fillId="0" borderId="9" applyNumberFormat="0" applyFill="0" applyAlignment="0" applyProtection="0"/>
    <xf numFmtId="0" fontId="117" fillId="0" borderId="11" applyNumberFormat="0" applyFill="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164" fontId="2" fillId="0" borderId="0" applyFont="0" applyFill="0" applyBorder="0" applyAlignment="0" applyProtection="0"/>
  </cellStyleXfs>
  <cellXfs count="1082">
    <xf numFmtId="0" fontId="0" fillId="0" borderId="0" xfId="0"/>
    <xf numFmtId="0" fontId="14" fillId="0" borderId="18" xfId="0" applyFont="1" applyBorder="1" applyAlignment="1">
      <alignment horizontal="center" vertical="center" wrapText="1"/>
    </xf>
    <xf numFmtId="0" fontId="17" fillId="0" borderId="0" xfId="0" applyFont="1"/>
    <xf numFmtId="0" fontId="21" fillId="0" borderId="0" xfId="0" applyFont="1"/>
    <xf numFmtId="0" fontId="4" fillId="0" borderId="0" xfId="441" applyFont="1"/>
    <xf numFmtId="0" fontId="22" fillId="0" borderId="0" xfId="441" applyFont="1"/>
    <xf numFmtId="0" fontId="13" fillId="0" borderId="0" xfId="0" applyFont="1"/>
    <xf numFmtId="0" fontId="21" fillId="0" borderId="0" xfId="0" applyFont="1" applyAlignment="1">
      <alignment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xf numFmtId="0" fontId="19" fillId="0" borderId="0" xfId="0" applyFont="1"/>
    <xf numFmtId="0" fontId="10" fillId="0" borderId="18" xfId="0" applyFont="1" applyBorder="1" applyAlignment="1">
      <alignment horizontal="center" vertical="center"/>
    </xf>
    <xf numFmtId="0" fontId="10" fillId="27" borderId="18" xfId="0" applyFont="1" applyFill="1" applyBorder="1" applyAlignment="1">
      <alignment horizontal="center" vertical="center"/>
    </xf>
    <xf numFmtId="0" fontId="31" fillId="0" borderId="0" xfId="0" applyFont="1"/>
    <xf numFmtId="0" fontId="5" fillId="0" borderId="0" xfId="0" applyFont="1"/>
    <xf numFmtId="0" fontId="6" fillId="0" borderId="0" xfId="0" applyFont="1"/>
    <xf numFmtId="0" fontId="7" fillId="0" borderId="0" xfId="0" applyFont="1"/>
    <xf numFmtId="0" fontId="3" fillId="0" borderId="0" xfId="441"/>
    <xf numFmtId="0" fontId="18" fillId="0" borderId="0" xfId="0" applyFont="1"/>
    <xf numFmtId="0" fontId="14" fillId="0" borderId="0" xfId="0" applyFont="1"/>
    <xf numFmtId="0" fontId="3" fillId="0" borderId="0" xfId="441" applyAlignment="1">
      <alignment horizontal="left"/>
    </xf>
    <xf numFmtId="0" fontId="15" fillId="0" borderId="0" xfId="0" applyFont="1"/>
    <xf numFmtId="0" fontId="16" fillId="0" borderId="0" xfId="441" applyFont="1"/>
    <xf numFmtId="0" fontId="4" fillId="0" borderId="0" xfId="441" applyFont="1" applyAlignment="1">
      <alignment horizontal="left"/>
    </xf>
    <xf numFmtId="0" fontId="16" fillId="0" borderId="0" xfId="441" applyFont="1" applyAlignment="1">
      <alignment vertical="center"/>
    </xf>
    <xf numFmtId="0" fontId="3" fillId="0" borderId="0" xfId="0" applyFont="1" applyAlignment="1">
      <alignment wrapText="1"/>
    </xf>
    <xf numFmtId="0" fontId="20" fillId="0" borderId="0" xfId="0" applyFont="1"/>
    <xf numFmtId="0" fontId="8" fillId="0" borderId="0" xfId="0" applyFont="1" applyAlignment="1">
      <alignment horizontal="center"/>
    </xf>
    <xf numFmtId="0" fontId="26" fillId="0" borderId="0" xfId="0" applyFont="1"/>
    <xf numFmtId="0" fontId="21" fillId="0" borderId="18" xfId="0" applyFont="1" applyBorder="1" applyAlignment="1">
      <alignment horizontal="center" vertical="center" wrapText="1"/>
    </xf>
    <xf numFmtId="0" fontId="21" fillId="28" borderId="19" xfId="0" applyFont="1" applyFill="1" applyBorder="1" applyAlignment="1">
      <alignment horizontal="center"/>
    </xf>
    <xf numFmtId="165" fontId="16" fillId="29" borderId="19" xfId="356" applyNumberFormat="1" applyFont="1" applyFill="1" applyBorder="1" applyAlignment="1" applyProtection="1">
      <alignment horizontal="center" wrapText="1"/>
    </xf>
    <xf numFmtId="0" fontId="7" fillId="0" borderId="0" xfId="0" applyFont="1" applyAlignment="1">
      <alignment wrapText="1"/>
    </xf>
    <xf numFmtId="0" fontId="23" fillId="0" borderId="0" xfId="0" applyFont="1"/>
    <xf numFmtId="14" fontId="13" fillId="0" borderId="0" xfId="0" applyNumberFormat="1" applyFont="1"/>
    <xf numFmtId="0" fontId="21" fillId="0" borderId="0" xfId="0" applyFont="1" applyAlignment="1">
      <alignment horizontal="center" vertical="center"/>
    </xf>
    <xf numFmtId="0" fontId="16" fillId="0" borderId="0" xfId="441" applyFont="1" applyAlignment="1">
      <alignment horizontal="center" vertical="center"/>
    </xf>
    <xf numFmtId="0" fontId="17" fillId="0" borderId="0" xfId="0" applyFont="1" applyAlignment="1">
      <alignment vertical="center"/>
    </xf>
    <xf numFmtId="0" fontId="7" fillId="0" borderId="18" xfId="0" applyFont="1" applyBorder="1" applyAlignment="1">
      <alignment horizontal="center" vertical="center" wrapText="1"/>
    </xf>
    <xf numFmtId="0" fontId="21" fillId="0" borderId="18" xfId="0" applyFont="1" applyBorder="1" applyAlignment="1">
      <alignment horizontal="center" vertical="center"/>
    </xf>
    <xf numFmtId="0" fontId="7" fillId="0" borderId="0" xfId="0" applyFont="1" applyAlignment="1">
      <alignment horizontal="center" wrapText="1"/>
    </xf>
    <xf numFmtId="165" fontId="7" fillId="0" borderId="0" xfId="356" applyNumberFormat="1" applyFont="1" applyFill="1" applyBorder="1" applyAlignment="1" applyProtection="1">
      <alignment horizontal="center" wrapText="1"/>
    </xf>
    <xf numFmtId="0" fontId="17" fillId="27" borderId="0" xfId="0" applyFont="1" applyFill="1"/>
    <xf numFmtId="0" fontId="30" fillId="0" borderId="0" xfId="0" applyFont="1"/>
    <xf numFmtId="0" fontId="30" fillId="0" borderId="0" xfId="0" applyFont="1" applyAlignment="1">
      <alignment wrapText="1"/>
    </xf>
    <xf numFmtId="0" fontId="21" fillId="28" borderId="21" xfId="0" applyFont="1" applyFill="1" applyBorder="1" applyAlignment="1">
      <alignment horizontal="center" vertical="center"/>
    </xf>
    <xf numFmtId="0" fontId="16" fillId="0" borderId="0" xfId="473" applyFont="1"/>
    <xf numFmtId="0" fontId="16" fillId="0" borderId="0" xfId="0" applyFont="1"/>
    <xf numFmtId="0" fontId="16" fillId="0" borderId="0" xfId="0" applyFont="1" applyAlignment="1">
      <alignment wrapText="1"/>
    </xf>
    <xf numFmtId="0" fontId="47" fillId="0" borderId="0" xfId="0" applyFont="1"/>
    <xf numFmtId="0" fontId="35" fillId="0" borderId="0" xfId="0" applyFont="1"/>
    <xf numFmtId="0" fontId="21" fillId="30" borderId="19" xfId="0" applyFont="1" applyFill="1" applyBorder="1" applyAlignment="1">
      <alignment horizontal="center"/>
    </xf>
    <xf numFmtId="0" fontId="21" fillId="31" borderId="19" xfId="0" applyFont="1" applyFill="1" applyBorder="1" applyAlignment="1">
      <alignment horizontal="center"/>
    </xf>
    <xf numFmtId="0" fontId="21" fillId="31" borderId="22" xfId="0" applyFont="1" applyFill="1" applyBorder="1" applyAlignment="1">
      <alignment horizontal="center"/>
    </xf>
    <xf numFmtId="0" fontId="28" fillId="0" borderId="18" xfId="0" applyFont="1" applyBorder="1" applyAlignment="1">
      <alignment horizontal="center" vertical="center"/>
    </xf>
    <xf numFmtId="1" fontId="25" fillId="32" borderId="20" xfId="0" applyNumberFormat="1" applyFont="1" applyFill="1" applyBorder="1" applyAlignment="1" applyProtection="1">
      <alignment horizontal="center" vertical="center"/>
      <protection locked="0"/>
    </xf>
    <xf numFmtId="0" fontId="16" fillId="0" borderId="18" xfId="473" applyFont="1" applyBorder="1"/>
    <xf numFmtId="0" fontId="16" fillId="0" borderId="18" xfId="441" applyFont="1" applyBorder="1"/>
    <xf numFmtId="0" fontId="10" fillId="0" borderId="23" xfId="473" applyFont="1" applyBorder="1"/>
    <xf numFmtId="0" fontId="13" fillId="0" borderId="18" xfId="0" applyFont="1" applyBorder="1"/>
    <xf numFmtId="14" fontId="13" fillId="0" borderId="18" xfId="0" applyNumberFormat="1" applyFont="1" applyBorder="1" applyAlignment="1">
      <alignment horizontal="left"/>
    </xf>
    <xf numFmtId="0" fontId="13" fillId="0" borderId="18" xfId="0" applyFont="1" applyBorder="1" applyAlignment="1">
      <alignment horizontal="left"/>
    </xf>
    <xf numFmtId="0" fontId="25" fillId="0" borderId="18" xfId="0" applyFont="1" applyBorder="1"/>
    <xf numFmtId="0" fontId="52" fillId="0" borderId="0" xfId="0" applyFont="1"/>
    <xf numFmtId="0" fontId="10" fillId="0" borderId="23" xfId="0" applyFont="1" applyBorder="1" applyAlignment="1">
      <alignment wrapText="1"/>
    </xf>
    <xf numFmtId="0" fontId="16" fillId="0" borderId="18" xfId="0" applyFont="1" applyBorder="1" applyAlignment="1">
      <alignment horizontal="center" vertical="center" wrapText="1"/>
    </xf>
    <xf numFmtId="0" fontId="10" fillId="0" borderId="18" xfId="0" applyFont="1" applyBorder="1" applyAlignment="1">
      <alignment horizontal="center" vertical="center" wrapText="1"/>
    </xf>
    <xf numFmtId="0" fontId="8" fillId="0" borderId="18" xfId="0" applyFont="1" applyBorder="1" applyAlignment="1">
      <alignment horizontal="center" wrapText="1"/>
    </xf>
    <xf numFmtId="0" fontId="20" fillId="0" borderId="0" xfId="0" applyFont="1" applyAlignment="1">
      <alignment vertical="center"/>
    </xf>
    <xf numFmtId="0" fontId="17" fillId="28" borderId="0" xfId="0" applyFont="1" applyFill="1" applyAlignment="1">
      <alignment horizontal="center"/>
    </xf>
    <xf numFmtId="0" fontId="7" fillId="0" borderId="0" xfId="473" applyFont="1" applyAlignment="1">
      <alignment horizontal="center" vertical="center"/>
    </xf>
    <xf numFmtId="0" fontId="7" fillId="0" borderId="0" xfId="0" applyFont="1" applyAlignment="1">
      <alignment horizontal="center" vertical="center"/>
    </xf>
    <xf numFmtId="0" fontId="13" fillId="0" borderId="0" xfId="0" applyFont="1" applyAlignment="1">
      <alignment horizontal="center" vertical="center"/>
    </xf>
    <xf numFmtId="0" fontId="25" fillId="0" borderId="18" xfId="0" applyFont="1" applyBorder="1" applyAlignment="1">
      <alignment horizontal="center" vertical="center"/>
    </xf>
    <xf numFmtId="0" fontId="0" fillId="0" borderId="0" xfId="0" applyAlignment="1">
      <alignment vertical="center"/>
    </xf>
    <xf numFmtId="0" fontId="21" fillId="28" borderId="18" xfId="0" applyFont="1" applyFill="1" applyBorder="1" applyAlignment="1">
      <alignment horizontal="center" vertical="center"/>
    </xf>
    <xf numFmtId="0" fontId="21" fillId="28" borderId="18" xfId="356" applyNumberFormat="1" applyFont="1" applyFill="1" applyBorder="1" applyAlignment="1" applyProtection="1">
      <alignment horizontal="center" vertical="center"/>
    </xf>
    <xf numFmtId="1" fontId="21" fillId="28" borderId="18" xfId="0" applyNumberFormat="1" applyFont="1" applyFill="1" applyBorder="1" applyAlignment="1">
      <alignment horizontal="center" vertical="center"/>
    </xf>
    <xf numFmtId="49" fontId="21" fillId="0" borderId="18" xfId="0" applyNumberFormat="1" applyFont="1" applyBorder="1" applyAlignment="1">
      <alignment horizontal="center" vertical="center"/>
    </xf>
    <xf numFmtId="9" fontId="21" fillId="0" borderId="18" xfId="356" applyFont="1" applyBorder="1" applyAlignment="1" applyProtection="1">
      <alignment horizontal="center" vertical="center"/>
    </xf>
    <xf numFmtId="1" fontId="21" fillId="0" borderId="18" xfId="0" applyNumberFormat="1" applyFont="1" applyBorder="1" applyAlignment="1">
      <alignment horizontal="center" vertical="center"/>
    </xf>
    <xf numFmtId="0" fontId="16" fillId="0" borderId="18" xfId="0" applyFont="1" applyBorder="1" applyAlignment="1">
      <alignment vertical="center"/>
    </xf>
    <xf numFmtId="0" fontId="21" fillId="0" borderId="18" xfId="356" applyNumberFormat="1" applyFont="1" applyFill="1" applyBorder="1" applyAlignment="1" applyProtection="1">
      <alignment horizontal="center" vertical="center"/>
    </xf>
    <xf numFmtId="0" fontId="21" fillId="0" borderId="18" xfId="356" applyNumberFormat="1" applyFont="1" applyBorder="1" applyAlignment="1" applyProtection="1">
      <alignment horizontal="center" vertical="center"/>
    </xf>
    <xf numFmtId="0" fontId="21" fillId="33" borderId="18" xfId="0" applyFont="1" applyFill="1" applyBorder="1" applyAlignment="1">
      <alignment horizontal="center" vertical="center"/>
    </xf>
    <xf numFmtId="9" fontId="21" fillId="33" borderId="18" xfId="356" applyFont="1" applyFill="1" applyBorder="1" applyAlignment="1" applyProtection="1">
      <alignment horizontal="center" vertical="center"/>
    </xf>
    <xf numFmtId="0" fontId="21" fillId="33" borderId="18" xfId="356" applyNumberFormat="1" applyFont="1" applyFill="1" applyBorder="1" applyAlignment="1" applyProtection="1">
      <alignment horizontal="center" vertical="center"/>
    </xf>
    <xf numFmtId="49" fontId="21" fillId="33" borderId="18" xfId="0" applyNumberFormat="1" applyFont="1" applyFill="1" applyBorder="1" applyAlignment="1">
      <alignment horizontal="center" vertical="center"/>
    </xf>
    <xf numFmtId="9" fontId="21" fillId="0" borderId="18" xfId="356" applyFont="1" applyFill="1" applyBorder="1" applyAlignment="1" applyProtection="1">
      <alignment horizontal="center" vertical="center"/>
    </xf>
    <xf numFmtId="1" fontId="8" fillId="34" borderId="20" xfId="0" applyNumberFormat="1" applyFont="1" applyFill="1" applyBorder="1" applyAlignment="1">
      <alignment horizontal="center" vertical="center" wrapText="1"/>
    </xf>
    <xf numFmtId="0" fontId="21" fillId="29" borderId="21" xfId="0" applyFont="1" applyFill="1" applyBorder="1" applyAlignment="1">
      <alignment horizontal="center" vertical="center" wrapText="1"/>
    </xf>
    <xf numFmtId="0" fontId="13" fillId="0" borderId="18" xfId="0" applyFont="1" applyBorder="1" applyAlignment="1">
      <alignment horizontal="center" vertical="center" wrapText="1"/>
    </xf>
    <xf numFmtId="0" fontId="21" fillId="30" borderId="21" xfId="0" applyFont="1" applyFill="1" applyBorder="1" applyAlignment="1">
      <alignment horizontal="center" vertical="center" wrapText="1"/>
    </xf>
    <xf numFmtId="0" fontId="21" fillId="31" borderId="21" xfId="0" applyFont="1" applyFill="1" applyBorder="1" applyAlignment="1">
      <alignment horizontal="center" vertical="center"/>
    </xf>
    <xf numFmtId="0" fontId="21" fillId="31" borderId="24" xfId="0" applyFont="1" applyFill="1" applyBorder="1" applyAlignment="1">
      <alignment horizontal="center" vertical="center"/>
    </xf>
    <xf numFmtId="0" fontId="70" fillId="0" borderId="25" xfId="0" applyFont="1" applyBorder="1"/>
    <xf numFmtId="0" fontId="14" fillId="0" borderId="23" xfId="0" applyFont="1" applyBorder="1"/>
    <xf numFmtId="0" fontId="14" fillId="0" borderId="25" xfId="0" applyFont="1" applyBorder="1"/>
    <xf numFmtId="0" fontId="14" fillId="0" borderId="26" xfId="0" applyFont="1" applyBorder="1"/>
    <xf numFmtId="9" fontId="14" fillId="0" borderId="18" xfId="356" applyFont="1" applyBorder="1" applyAlignment="1" applyProtection="1">
      <alignment horizontal="left"/>
    </xf>
    <xf numFmtId="0" fontId="14" fillId="0" borderId="18" xfId="0" applyFont="1" applyBorder="1"/>
    <xf numFmtId="166" fontId="14" fillId="0" borderId="18" xfId="0" applyNumberFormat="1" applyFont="1" applyBorder="1" applyAlignment="1">
      <alignment horizontal="left" vertical="top"/>
    </xf>
    <xf numFmtId="0" fontId="70" fillId="0" borderId="0" xfId="0" applyFont="1"/>
    <xf numFmtId="0" fontId="70" fillId="0" borderId="23" xfId="0" applyFont="1" applyBorder="1"/>
    <xf numFmtId="0" fontId="70" fillId="0" borderId="18" xfId="0" applyFont="1" applyBorder="1" applyAlignment="1">
      <alignment wrapText="1"/>
    </xf>
    <xf numFmtId="0" fontId="70" fillId="0" borderId="18" xfId="0" applyFont="1" applyBorder="1"/>
    <xf numFmtId="0" fontId="70" fillId="0" borderId="26" xfId="0" applyFont="1" applyBorder="1" applyAlignment="1">
      <alignment horizontal="center"/>
    </xf>
    <xf numFmtId="0" fontId="13" fillId="0" borderId="18" xfId="0" applyFont="1" applyBorder="1" applyAlignment="1">
      <alignment vertical="center"/>
    </xf>
    <xf numFmtId="0" fontId="70" fillId="0" borderId="18" xfId="0" applyFont="1" applyBorder="1" applyAlignment="1">
      <alignment horizontal="center"/>
    </xf>
    <xf numFmtId="166" fontId="70" fillId="0" borderId="26" xfId="356" applyNumberFormat="1" applyFont="1" applyBorder="1" applyAlignment="1" applyProtection="1">
      <alignment horizontal="center"/>
    </xf>
    <xf numFmtId="166" fontId="70" fillId="0" borderId="18" xfId="356" applyNumberFormat="1" applyFont="1" applyBorder="1" applyAlignment="1" applyProtection="1">
      <alignment horizontal="center"/>
    </xf>
    <xf numFmtId="166" fontId="70" fillId="0" borderId="18" xfId="0" applyNumberFormat="1" applyFont="1" applyBorder="1" applyAlignment="1">
      <alignment horizontal="center"/>
    </xf>
    <xf numFmtId="9" fontId="70" fillId="0" borderId="18" xfId="356" applyFont="1" applyBorder="1" applyAlignment="1" applyProtection="1">
      <alignment horizontal="center"/>
    </xf>
    <xf numFmtId="9" fontId="70" fillId="0" borderId="18" xfId="0" applyNumberFormat="1" applyFont="1" applyBorder="1" applyAlignment="1">
      <alignment horizontal="center"/>
    </xf>
    <xf numFmtId="9" fontId="70" fillId="0" borderId="18" xfId="356" applyFont="1" applyFill="1" applyBorder="1" applyAlignment="1" applyProtection="1">
      <alignment horizontal="center"/>
    </xf>
    <xf numFmtId="166" fontId="70" fillId="0" borderId="26" xfId="356" applyNumberFormat="1" applyFont="1" applyFill="1" applyBorder="1" applyAlignment="1" applyProtection="1">
      <alignment horizontal="center"/>
    </xf>
    <xf numFmtId="0" fontId="15" fillId="0" borderId="18" xfId="0" applyFont="1" applyBorder="1"/>
    <xf numFmtId="1" fontId="25" fillId="35" borderId="20" xfId="0" applyNumberFormat="1" applyFont="1" applyFill="1" applyBorder="1" applyAlignment="1">
      <alignment horizontal="center" vertical="center"/>
    </xf>
    <xf numFmtId="0" fontId="21" fillId="0" borderId="0" xfId="0" applyFont="1" applyAlignment="1">
      <alignment vertical="top"/>
    </xf>
    <xf numFmtId="0" fontId="10" fillId="0" borderId="0" xfId="0" applyFont="1" applyAlignment="1">
      <alignment horizontal="center" vertical="center"/>
    </xf>
    <xf numFmtId="0" fontId="16" fillId="0" borderId="0" xfId="0" applyFont="1" applyAlignment="1">
      <alignment horizontal="center" vertical="center" wrapText="1"/>
    </xf>
    <xf numFmtId="1" fontId="8" fillId="32" borderId="20" xfId="0" applyNumberFormat="1" applyFont="1" applyFill="1" applyBorder="1" applyAlignment="1" applyProtection="1">
      <alignment horizontal="center" vertical="center"/>
      <protection locked="0"/>
    </xf>
    <xf numFmtId="0" fontId="28" fillId="0" borderId="0" xfId="0" applyFont="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left"/>
    </xf>
    <xf numFmtId="0" fontId="21" fillId="0" borderId="0" xfId="0" applyFont="1" applyAlignment="1">
      <alignment horizontal="center" vertical="center" wrapText="1"/>
    </xf>
    <xf numFmtId="0" fontId="15" fillId="0" borderId="0" xfId="0" applyFont="1" applyAlignment="1">
      <alignment horizontal="left"/>
    </xf>
    <xf numFmtId="0" fontId="15" fillId="0" borderId="0" xfId="0" applyFont="1" applyAlignment="1">
      <alignment vertical="center"/>
    </xf>
    <xf numFmtId="0" fontId="57" fillId="0" borderId="0" xfId="0" applyFont="1"/>
    <xf numFmtId="0" fontId="71" fillId="0" borderId="0" xfId="441" applyFont="1"/>
    <xf numFmtId="0" fontId="21" fillId="27" borderId="0" xfId="0" applyFont="1" applyFill="1"/>
    <xf numFmtId="0" fontId="7" fillId="0" borderId="3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1" xfId="0" applyFont="1" applyBorder="1" applyAlignment="1">
      <alignment horizontal="center" vertical="center"/>
    </xf>
    <xf numFmtId="0" fontId="60" fillId="0" borderId="20" xfId="0" applyFont="1" applyBorder="1" applyAlignment="1">
      <alignment horizontal="center" vertical="center"/>
    </xf>
    <xf numFmtId="0" fontId="21" fillId="0" borderId="0" xfId="0" applyFont="1" applyAlignment="1">
      <alignment horizontal="right"/>
    </xf>
    <xf numFmtId="0" fontId="13" fillId="0" borderId="19" xfId="0" applyFont="1" applyBorder="1" applyAlignment="1">
      <alignment horizontal="center" vertical="center" wrapText="1"/>
    </xf>
    <xf numFmtId="0" fontId="0" fillId="29" borderId="32" xfId="0" applyFill="1" applyBorder="1"/>
    <xf numFmtId="0" fontId="24" fillId="0" borderId="0" xfId="0" applyFont="1"/>
    <xf numFmtId="0" fontId="24" fillId="0" borderId="0" xfId="0" applyFont="1" applyAlignment="1">
      <alignment vertical="center"/>
    </xf>
    <xf numFmtId="0" fontId="7" fillId="0" borderId="34" xfId="0" applyFont="1" applyBorder="1" applyAlignment="1">
      <alignment horizontal="center" vertical="center" wrapText="1"/>
    </xf>
    <xf numFmtId="0" fontId="32" fillId="0" borderId="18" xfId="0" applyFont="1" applyBorder="1" applyAlignment="1">
      <alignment horizontal="center" vertical="center" wrapText="1"/>
    </xf>
    <xf numFmtId="0" fontId="24" fillId="0" borderId="18" xfId="0" applyFont="1" applyBorder="1" applyAlignment="1">
      <alignment horizontal="center" vertical="center"/>
    </xf>
    <xf numFmtId="0" fontId="24" fillId="0" borderId="22" xfId="0" applyFont="1" applyBorder="1" applyAlignment="1">
      <alignment horizontal="center" vertical="center"/>
    </xf>
    <xf numFmtId="0" fontId="21" fillId="28" borderId="19" xfId="0" applyFont="1" applyFill="1" applyBorder="1" applyAlignment="1">
      <alignment horizontal="center" vertical="center"/>
    </xf>
    <xf numFmtId="0" fontId="21" fillId="31" borderId="22" xfId="0" applyFont="1" applyFill="1" applyBorder="1" applyAlignment="1">
      <alignment horizontal="center" vertical="center"/>
    </xf>
    <xf numFmtId="0" fontId="10" fillId="36" borderId="18" xfId="441" applyFont="1" applyFill="1" applyBorder="1" applyAlignment="1">
      <alignment vertical="center"/>
    </xf>
    <xf numFmtId="14" fontId="28" fillId="36" borderId="18" xfId="0" applyNumberFormat="1" applyFont="1" applyFill="1" applyBorder="1" applyAlignment="1">
      <alignment horizontal="center" vertical="center"/>
    </xf>
    <xf numFmtId="1" fontId="25" fillId="36" borderId="20" xfId="0" applyNumberFormat="1" applyFont="1" applyFill="1" applyBorder="1" applyAlignment="1">
      <alignment horizontal="center" vertical="center"/>
    </xf>
    <xf numFmtId="0" fontId="25" fillId="0" borderId="18" xfId="0" applyFont="1" applyBorder="1" applyAlignment="1">
      <alignment horizontal="center"/>
    </xf>
    <xf numFmtId="9" fontId="21" fillId="28" borderId="18" xfId="356" applyFont="1" applyFill="1" applyBorder="1" applyAlignment="1" applyProtection="1">
      <alignment horizontal="center" vertical="center"/>
    </xf>
    <xf numFmtId="1" fontId="21" fillId="27" borderId="18" xfId="0" applyNumberFormat="1" applyFont="1" applyFill="1" applyBorder="1" applyAlignment="1">
      <alignment horizontal="center" vertical="center"/>
    </xf>
    <xf numFmtId="0" fontId="21" fillId="27" borderId="18" xfId="0" applyFont="1" applyFill="1" applyBorder="1" applyAlignment="1">
      <alignment horizontal="center" vertical="center"/>
    </xf>
    <xf numFmtId="0" fontId="20" fillId="0" borderId="0" xfId="0" applyFont="1" applyAlignment="1">
      <alignment vertical="top"/>
    </xf>
    <xf numFmtId="0" fontId="24" fillId="0" borderId="21" xfId="0" applyFont="1" applyBorder="1" applyAlignment="1">
      <alignment horizontal="center" vertical="center"/>
    </xf>
    <xf numFmtId="0" fontId="24" fillId="0" borderId="23" xfId="0" applyFont="1" applyBorder="1" applyAlignment="1">
      <alignment horizontal="center" vertical="center"/>
    </xf>
    <xf numFmtId="0" fontId="14" fillId="0" borderId="18" xfId="449" applyFont="1" applyBorder="1"/>
    <xf numFmtId="0" fontId="14" fillId="0" borderId="18" xfId="451" applyFont="1" applyBorder="1"/>
    <xf numFmtId="0" fontId="72" fillId="0" borderId="18" xfId="0" applyFont="1" applyBorder="1" applyAlignment="1">
      <alignment horizontal="center" vertical="center"/>
    </xf>
    <xf numFmtId="0" fontId="73" fillId="0" borderId="0" xfId="0" applyFont="1" applyAlignment="1">
      <alignment horizontal="center" vertical="center"/>
    </xf>
    <xf numFmtId="0" fontId="16" fillId="0" borderId="24" xfId="441" applyFont="1" applyBorder="1"/>
    <xf numFmtId="1" fontId="8" fillId="37" borderId="20" xfId="0" applyNumberFormat="1" applyFont="1" applyFill="1" applyBorder="1" applyAlignment="1" applyProtection="1">
      <alignment horizontal="center" vertical="center" wrapText="1"/>
      <protection locked="0"/>
    </xf>
    <xf numFmtId="0" fontId="73" fillId="31" borderId="24" xfId="0" applyFont="1" applyFill="1" applyBorder="1" applyAlignment="1">
      <alignment horizontal="center" vertical="center"/>
    </xf>
    <xf numFmtId="0" fontId="28" fillId="0" borderId="0" xfId="0" applyFont="1" applyAlignment="1">
      <alignment horizontal="left" vertical="center"/>
    </xf>
    <xf numFmtId="0" fontId="73" fillId="0" borderId="0" xfId="0" applyFont="1" applyAlignment="1">
      <alignment horizontal="left" vertical="center"/>
    </xf>
    <xf numFmtId="0" fontId="28" fillId="0" borderId="18" xfId="0" applyFont="1" applyBorder="1" applyAlignment="1">
      <alignment horizontal="left" vertical="center"/>
    </xf>
    <xf numFmtId="49" fontId="73" fillId="0" borderId="18" xfId="0" applyNumberFormat="1" applyFont="1" applyBorder="1" applyAlignment="1">
      <alignment horizontal="center" vertical="center"/>
    </xf>
    <xf numFmtId="0" fontId="73" fillId="0" borderId="18" xfId="0" applyFont="1" applyBorder="1" applyAlignment="1">
      <alignment horizontal="left" vertical="center"/>
    </xf>
    <xf numFmtId="0" fontId="0" fillId="0" borderId="0" xfId="0" applyAlignment="1">
      <alignment horizontal="center" vertical="center"/>
    </xf>
    <xf numFmtId="0" fontId="0" fillId="0" borderId="0" xfId="0" applyAlignment="1">
      <alignment horizontal="left" vertical="center"/>
    </xf>
    <xf numFmtId="1" fontId="7" fillId="0" borderId="31" xfId="0" applyNumberFormat="1" applyFont="1" applyBorder="1" applyAlignment="1">
      <alignment horizontal="center" vertical="center"/>
    </xf>
    <xf numFmtId="0" fontId="13" fillId="0" borderId="23" xfId="0" applyFont="1" applyBorder="1"/>
    <xf numFmtId="165" fontId="21" fillId="33" borderId="18" xfId="356" applyNumberFormat="1" applyFont="1" applyFill="1" applyBorder="1" applyAlignment="1" applyProtection="1">
      <alignment horizontal="center" vertical="center"/>
    </xf>
    <xf numFmtId="0" fontId="17" fillId="0" borderId="0" xfId="0" quotePrefix="1" applyFont="1"/>
    <xf numFmtId="0" fontId="25" fillId="0" borderId="0" xfId="0" applyFont="1" applyAlignment="1">
      <alignment vertical="center"/>
    </xf>
    <xf numFmtId="0" fontId="68" fillId="0" borderId="0" xfId="441" applyFont="1" applyAlignment="1">
      <alignment horizontal="center" vertical="center"/>
    </xf>
    <xf numFmtId="1" fontId="68" fillId="0" borderId="0" xfId="441" applyNumberFormat="1" applyFont="1" applyAlignment="1">
      <alignment horizontal="center" vertical="center"/>
    </xf>
    <xf numFmtId="0" fontId="68" fillId="0" borderId="0" xfId="0" applyFont="1" applyAlignment="1">
      <alignment horizontal="center" wrapText="1"/>
    </xf>
    <xf numFmtId="165" fontId="68" fillId="0" borderId="0" xfId="366" applyNumberFormat="1" applyFont="1" applyFill="1" applyBorder="1" applyAlignment="1" applyProtection="1">
      <alignment horizontal="center" vertical="center"/>
    </xf>
    <xf numFmtId="0" fontId="69" fillId="0" borderId="0" xfId="0" applyFont="1"/>
    <xf numFmtId="0" fontId="68" fillId="0" borderId="18" xfId="0" applyFont="1" applyBorder="1" applyAlignment="1">
      <alignment horizontal="center" vertical="center"/>
    </xf>
    <xf numFmtId="0" fontId="68" fillId="0" borderId="18" xfId="0" applyFont="1" applyBorder="1" applyAlignment="1">
      <alignment horizontal="left" vertical="center"/>
    </xf>
    <xf numFmtId="1" fontId="73" fillId="0" borderId="18" xfId="0" applyNumberFormat="1" applyFont="1" applyBorder="1" applyAlignment="1">
      <alignment horizontal="center" vertical="center"/>
    </xf>
    <xf numFmtId="1" fontId="73" fillId="33" borderId="18" xfId="0" applyNumberFormat="1" applyFont="1" applyFill="1" applyBorder="1" applyAlignment="1">
      <alignment horizontal="center" vertical="center"/>
    </xf>
    <xf numFmtId="0" fontId="21" fillId="0" borderId="18" xfId="0" applyFont="1" applyBorder="1" applyAlignment="1">
      <alignment vertical="center" wrapText="1"/>
    </xf>
    <xf numFmtId="0" fontId="14" fillId="0" borderId="18" xfId="0" applyFont="1" applyBorder="1" applyAlignment="1">
      <alignment horizontal="center" vertical="center"/>
    </xf>
    <xf numFmtId="0" fontId="28" fillId="0" borderId="18" xfId="0" applyFont="1" applyBorder="1" applyAlignment="1">
      <alignment horizontal="left" vertical="center" wrapText="1"/>
    </xf>
    <xf numFmtId="0" fontId="28" fillId="0" borderId="18" xfId="0" applyFont="1" applyBorder="1" applyAlignment="1">
      <alignment vertical="center" wrapText="1"/>
    </xf>
    <xf numFmtId="0" fontId="17" fillId="0" borderId="18" xfId="0" applyFont="1" applyBorder="1"/>
    <xf numFmtId="9" fontId="14" fillId="0" borderId="23" xfId="356" applyFont="1" applyBorder="1" applyAlignment="1" applyProtection="1">
      <alignment horizontal="left"/>
    </xf>
    <xf numFmtId="0" fontId="14" fillId="0" borderId="26" xfId="0" applyFont="1" applyBorder="1" applyAlignment="1">
      <alignment horizontal="left"/>
    </xf>
    <xf numFmtId="0" fontId="14" fillId="0" borderId="22" xfId="0" applyFont="1" applyBorder="1"/>
    <xf numFmtId="0" fontId="70" fillId="0" borderId="24" xfId="0" applyFont="1" applyBorder="1" applyAlignment="1">
      <alignment horizontal="center"/>
    </xf>
    <xf numFmtId="0" fontId="14" fillId="38" borderId="20" xfId="0" applyFont="1" applyFill="1" applyBorder="1" applyAlignment="1">
      <alignment horizontal="left"/>
    </xf>
    <xf numFmtId="0" fontId="13" fillId="31" borderId="0" xfId="0" applyFont="1" applyFill="1" applyAlignment="1">
      <alignment horizontal="left" vertical="center" wrapText="1"/>
    </xf>
    <xf numFmtId="0" fontId="7" fillId="0" borderId="18" xfId="0" applyFont="1" applyBorder="1" applyAlignment="1">
      <alignment vertical="center"/>
    </xf>
    <xf numFmtId="0" fontId="21" fillId="29" borderId="0" xfId="0" applyFont="1" applyFill="1" applyAlignment="1">
      <alignment vertical="center"/>
    </xf>
    <xf numFmtId="0" fontId="21" fillId="28" borderId="0" xfId="0" applyFont="1" applyFill="1" applyAlignment="1">
      <alignment vertical="center"/>
    </xf>
    <xf numFmtId="0" fontId="73" fillId="31" borderId="0" xfId="0" applyFont="1" applyFill="1" applyAlignment="1">
      <alignment vertical="center"/>
    </xf>
    <xf numFmtId="0" fontId="21" fillId="29" borderId="0" xfId="0" applyFont="1" applyFill="1" applyAlignment="1">
      <alignment vertical="center" wrapText="1"/>
    </xf>
    <xf numFmtId="0" fontId="21" fillId="29" borderId="37" xfId="0" applyFont="1" applyFill="1" applyBorder="1" applyAlignment="1">
      <alignment horizontal="center" vertical="center" wrapText="1"/>
    </xf>
    <xf numFmtId="165" fontId="16" fillId="29" borderId="38" xfId="356" applyNumberFormat="1" applyFont="1" applyFill="1" applyBorder="1" applyAlignment="1" applyProtection="1">
      <alignment horizontal="center" vertical="center" wrapText="1"/>
    </xf>
    <xf numFmtId="1" fontId="13" fillId="32" borderId="20" xfId="0" applyNumberFormat="1" applyFont="1" applyFill="1" applyBorder="1" applyAlignment="1" applyProtection="1">
      <alignment horizontal="center" vertical="center"/>
      <protection locked="0"/>
    </xf>
    <xf numFmtId="0" fontId="28" fillId="39" borderId="0" xfId="0" applyFont="1" applyFill="1" applyAlignment="1">
      <alignment horizontal="left" vertical="center"/>
    </xf>
    <xf numFmtId="0" fontId="21" fillId="0" borderId="0" xfId="0" applyFont="1" applyAlignment="1">
      <alignment horizontal="left"/>
    </xf>
    <xf numFmtId="1" fontId="7" fillId="0" borderId="0" xfId="441" applyNumberFormat="1" applyFont="1" applyAlignment="1">
      <alignment horizontal="center" vertical="center"/>
    </xf>
    <xf numFmtId="0" fontId="7" fillId="0" borderId="0" xfId="441" applyFont="1" applyAlignment="1">
      <alignment horizontal="center" vertical="center"/>
    </xf>
    <xf numFmtId="0" fontId="0" fillId="0" borderId="0" xfId="0" applyAlignment="1">
      <alignment horizontal="center"/>
    </xf>
    <xf numFmtId="0" fontId="70" fillId="33" borderId="0" xfId="0" applyFont="1" applyFill="1" applyAlignment="1">
      <alignment horizontal="left"/>
    </xf>
    <xf numFmtId="0" fontId="70" fillId="33" borderId="0" xfId="0" applyFont="1" applyFill="1" applyAlignment="1">
      <alignment horizontal="center"/>
    </xf>
    <xf numFmtId="0" fontId="70" fillId="33" borderId="0" xfId="0" applyFont="1" applyFill="1"/>
    <xf numFmtId="0" fontId="70" fillId="33" borderId="18" xfId="0" applyFont="1" applyFill="1" applyBorder="1"/>
    <xf numFmtId="0" fontId="70" fillId="33" borderId="25" xfId="0" applyFont="1" applyFill="1" applyBorder="1" applyAlignment="1">
      <alignment horizontal="left"/>
    </xf>
    <xf numFmtId="0" fontId="70" fillId="33" borderId="26" xfId="0" applyFont="1" applyFill="1" applyBorder="1" applyAlignment="1">
      <alignment horizontal="center"/>
    </xf>
    <xf numFmtId="0" fontId="70" fillId="33" borderId="18" xfId="0" applyFont="1" applyFill="1" applyBorder="1" applyAlignment="1">
      <alignment horizontal="center" vertical="center"/>
    </xf>
    <xf numFmtId="0" fontId="70" fillId="33" borderId="26" xfId="0" applyFont="1" applyFill="1" applyBorder="1" applyAlignment="1">
      <alignment horizontal="center" vertical="center"/>
    </xf>
    <xf numFmtId="0" fontId="70" fillId="33" borderId="25" xfId="0" applyFont="1" applyFill="1" applyBorder="1"/>
    <xf numFmtId="0" fontId="70" fillId="33" borderId="23" xfId="0" applyFont="1" applyFill="1" applyBorder="1"/>
    <xf numFmtId="0" fontId="70" fillId="0" borderId="25" xfId="0" applyFont="1" applyBorder="1" applyAlignment="1">
      <alignment wrapText="1"/>
    </xf>
    <xf numFmtId="0" fontId="7" fillId="0" borderId="40" xfId="0" applyFont="1" applyBorder="1" applyAlignment="1">
      <alignment textRotation="90" wrapText="1"/>
    </xf>
    <xf numFmtId="0" fontId="17" fillId="0" borderId="41" xfId="0" applyFont="1" applyBorder="1"/>
    <xf numFmtId="0" fontId="7" fillId="0" borderId="43" xfId="0" applyFont="1" applyBorder="1" applyAlignment="1">
      <alignment horizontal="center" vertical="center" wrapText="1"/>
    </xf>
    <xf numFmtId="0" fontId="59" fillId="0" borderId="44" xfId="0" applyFont="1" applyBorder="1" applyAlignment="1">
      <alignment horizontal="center" vertical="center" wrapText="1"/>
    </xf>
    <xf numFmtId="0" fontId="59" fillId="0" borderId="45" xfId="0" applyFont="1" applyBorder="1" applyAlignment="1">
      <alignment horizontal="center" vertical="center" wrapText="1"/>
    </xf>
    <xf numFmtId="0" fontId="59" fillId="0" borderId="46" xfId="0" applyFont="1" applyBorder="1" applyAlignment="1">
      <alignment horizontal="center" vertical="center" wrapText="1"/>
    </xf>
    <xf numFmtId="0" fontId="60" fillId="0" borderId="47" xfId="0" applyFont="1" applyBorder="1" applyAlignment="1">
      <alignment horizontal="center" vertical="center"/>
    </xf>
    <xf numFmtId="1" fontId="7" fillId="0" borderId="47" xfId="0" applyNumberFormat="1" applyFont="1" applyBorder="1" applyAlignment="1">
      <alignment horizontal="center" vertical="center"/>
    </xf>
    <xf numFmtId="0" fontId="7" fillId="0" borderId="48" xfId="0" applyFont="1" applyBorder="1" applyAlignment="1">
      <alignment horizontal="center" vertical="center"/>
    </xf>
    <xf numFmtId="0" fontId="13" fillId="0" borderId="0" xfId="0" applyFont="1" applyAlignment="1">
      <alignment horizontal="center"/>
    </xf>
    <xf numFmtId="10" fontId="13" fillId="32" borderId="27" xfId="366" applyNumberFormat="1" applyFont="1" applyFill="1" applyBorder="1" applyAlignment="1" applyProtection="1">
      <alignment horizontal="center" vertical="center"/>
      <protection locked="0"/>
    </xf>
    <xf numFmtId="10" fontId="13" fillId="32" borderId="49" xfId="366" applyNumberFormat="1" applyFont="1" applyFill="1" applyBorder="1" applyAlignment="1" applyProtection="1">
      <alignment horizontal="center" vertical="center"/>
      <protection locked="0"/>
    </xf>
    <xf numFmtId="14" fontId="73" fillId="0" borderId="0" xfId="0" applyNumberFormat="1" applyFont="1" applyAlignment="1">
      <alignment horizontal="left" vertical="center"/>
    </xf>
    <xf numFmtId="0" fontId="68" fillId="0" borderId="0" xfId="0" applyFont="1" applyAlignment="1">
      <alignment vertical="center"/>
    </xf>
    <xf numFmtId="0" fontId="68" fillId="0" borderId="0" xfId="0" applyFont="1" applyAlignment="1">
      <alignment horizontal="center" vertical="center"/>
    </xf>
    <xf numFmtId="0" fontId="68" fillId="0" borderId="0" xfId="0" applyFont="1"/>
    <xf numFmtId="4" fontId="68" fillId="0" borderId="18" xfId="0" applyNumberFormat="1" applyFont="1" applyBorder="1" applyAlignment="1">
      <alignment horizontal="center" vertical="center"/>
    </xf>
    <xf numFmtId="0" fontId="10" fillId="0" borderId="18" xfId="441" applyFont="1" applyBorder="1" applyAlignment="1">
      <alignment horizontal="left" vertical="center"/>
    </xf>
    <xf numFmtId="0" fontId="21" fillId="0" borderId="18" xfId="0" applyFont="1" applyBorder="1" applyAlignment="1">
      <alignment horizontal="left" vertical="center"/>
    </xf>
    <xf numFmtId="0" fontId="73" fillId="0" borderId="18" xfId="0" applyFont="1" applyBorder="1" applyAlignment="1">
      <alignment horizontal="center" vertical="center"/>
    </xf>
    <xf numFmtId="0" fontId="28" fillId="0" borderId="18" xfId="0" applyFont="1" applyBorder="1" applyAlignment="1">
      <alignment horizontal="center" vertical="center" wrapText="1"/>
    </xf>
    <xf numFmtId="0" fontId="73" fillId="0" borderId="18" xfId="0" applyFont="1" applyBorder="1" applyAlignment="1">
      <alignment vertical="center" wrapText="1"/>
    </xf>
    <xf numFmtId="165" fontId="3" fillId="0" borderId="0" xfId="441" applyNumberFormat="1" applyAlignment="1">
      <alignment horizontal="center" vertical="center"/>
    </xf>
    <xf numFmtId="0" fontId="8" fillId="0" borderId="18" xfId="0" applyFont="1" applyBorder="1" applyAlignment="1">
      <alignment horizontal="center" vertical="center" wrapText="1"/>
    </xf>
    <xf numFmtId="0" fontId="72" fillId="0" borderId="18" xfId="0" applyFont="1" applyBorder="1" applyAlignment="1">
      <alignment horizontal="center" vertical="center" wrapText="1"/>
    </xf>
    <xf numFmtId="0" fontId="21" fillId="0" borderId="18" xfId="0" applyFont="1" applyBorder="1" applyAlignment="1">
      <alignment horizontal="left" vertical="center" wrapText="1"/>
    </xf>
    <xf numFmtId="0" fontId="13" fillId="0" borderId="18" xfId="0" applyFont="1" applyBorder="1" applyAlignment="1">
      <alignment horizontal="left" vertical="center"/>
    </xf>
    <xf numFmtId="0" fontId="77" fillId="0" borderId="0" xfId="0" applyFont="1" applyAlignment="1">
      <alignment vertical="center"/>
    </xf>
    <xf numFmtId="0" fontId="21" fillId="0" borderId="18" xfId="0" applyFont="1" applyBorder="1" applyAlignment="1">
      <alignment vertical="center"/>
    </xf>
    <xf numFmtId="0" fontId="13" fillId="0" borderId="18" xfId="0" applyFont="1" applyBorder="1" applyAlignment="1">
      <alignment horizontal="center" vertical="center"/>
    </xf>
    <xf numFmtId="0" fontId="14" fillId="0" borderId="18" xfId="0" applyFont="1" applyBorder="1" applyAlignment="1">
      <alignment wrapText="1"/>
    </xf>
    <xf numFmtId="0" fontId="73" fillId="0" borderId="0" xfId="0" applyFont="1" applyAlignment="1">
      <alignment vertical="center"/>
    </xf>
    <xf numFmtId="0" fontId="21" fillId="0" borderId="50" xfId="0" applyFont="1" applyBorder="1" applyAlignment="1">
      <alignment horizontal="center" vertical="center"/>
    </xf>
    <xf numFmtId="0" fontId="21" fillId="0" borderId="36" xfId="0" applyFont="1" applyBorder="1" applyAlignment="1">
      <alignment horizontal="center" vertical="center"/>
    </xf>
    <xf numFmtId="0" fontId="68" fillId="29" borderId="20" xfId="0" applyFont="1" applyFill="1" applyBorder="1" applyAlignment="1">
      <alignment horizontal="center" vertical="center" wrapText="1"/>
    </xf>
    <xf numFmtId="0" fontId="68" fillId="29" borderId="33" xfId="0" applyFont="1" applyFill="1" applyBorder="1" applyAlignment="1">
      <alignment horizontal="center" vertical="center"/>
    </xf>
    <xf numFmtId="0" fontId="68" fillId="29" borderId="29" xfId="0" applyFont="1" applyFill="1" applyBorder="1" applyAlignment="1">
      <alignment horizontal="center" vertical="center"/>
    </xf>
    <xf numFmtId="0" fontId="13" fillId="38" borderId="33" xfId="0" applyFont="1" applyFill="1" applyBorder="1" applyAlignment="1">
      <alignment horizontal="center" vertical="center" wrapText="1"/>
    </xf>
    <xf numFmtId="0" fontId="13" fillId="38" borderId="28" xfId="0" applyFont="1" applyFill="1" applyBorder="1" applyAlignment="1">
      <alignment horizontal="center" vertical="center" wrapText="1"/>
    </xf>
    <xf numFmtId="0" fontId="13" fillId="38" borderId="29" xfId="0" applyFont="1" applyFill="1" applyBorder="1" applyAlignment="1">
      <alignment horizontal="center" vertical="center" wrapText="1"/>
    </xf>
    <xf numFmtId="0" fontId="21" fillId="0" borderId="51" xfId="0" applyFont="1" applyBorder="1" applyAlignment="1">
      <alignment horizontal="center" vertical="center"/>
    </xf>
    <xf numFmtId="0" fontId="21" fillId="0" borderId="52" xfId="0" applyFont="1" applyBorder="1" applyAlignment="1">
      <alignment horizontal="center" vertical="center"/>
    </xf>
    <xf numFmtId="49" fontId="13" fillId="38" borderId="53" xfId="0" applyNumberFormat="1" applyFont="1" applyFill="1" applyBorder="1" applyAlignment="1">
      <alignment horizontal="center" vertical="center" wrapText="1"/>
    </xf>
    <xf numFmtId="0" fontId="21" fillId="0" borderId="54" xfId="0" applyFont="1" applyBorder="1" applyAlignment="1">
      <alignment horizontal="center" vertical="center"/>
    </xf>
    <xf numFmtId="0" fontId="21" fillId="0" borderId="55" xfId="0" applyFont="1" applyBorder="1" applyAlignment="1">
      <alignment horizontal="center" vertical="center"/>
    </xf>
    <xf numFmtId="0" fontId="21" fillId="0" borderId="35" xfId="0" applyFont="1" applyBorder="1" applyAlignment="1">
      <alignment horizontal="center" vertical="center"/>
    </xf>
    <xf numFmtId="0" fontId="21" fillId="30" borderId="18" xfId="0" applyFont="1" applyFill="1" applyBorder="1" applyAlignment="1">
      <alignment horizontal="center" vertical="center"/>
    </xf>
    <xf numFmtId="0" fontId="21" fillId="38" borderId="18" xfId="0" applyFont="1" applyFill="1" applyBorder="1" applyAlignment="1">
      <alignment horizontal="center" vertical="center"/>
    </xf>
    <xf numFmtId="0" fontId="73" fillId="38" borderId="18" xfId="0" applyFont="1" applyFill="1" applyBorder="1" applyAlignment="1">
      <alignment horizontal="center" vertical="center"/>
    </xf>
    <xf numFmtId="0" fontId="106" fillId="0" borderId="0" xfId="0" applyFont="1" applyAlignment="1">
      <alignment horizontal="left" vertical="center"/>
    </xf>
    <xf numFmtId="0" fontId="106" fillId="0" borderId="0" xfId="0" applyFont="1" applyAlignment="1">
      <alignment vertical="center"/>
    </xf>
    <xf numFmtId="0" fontId="107" fillId="0" borderId="18" xfId="0" applyFont="1" applyBorder="1" applyAlignment="1">
      <alignment horizontal="center" vertical="center" wrapText="1"/>
    </xf>
    <xf numFmtId="0" fontId="107" fillId="0" borderId="18" xfId="0" applyFont="1" applyBorder="1" applyAlignment="1">
      <alignment horizontal="center" vertical="center"/>
    </xf>
    <xf numFmtId="0" fontId="106" fillId="0" borderId="0" xfId="0" applyFont="1" applyAlignment="1">
      <alignment horizontal="left" vertical="center" wrapText="1"/>
    </xf>
    <xf numFmtId="0" fontId="106" fillId="0" borderId="0" xfId="0" applyFont="1" applyAlignment="1">
      <alignment horizontal="center" vertical="center"/>
    </xf>
    <xf numFmtId="0" fontId="16" fillId="0" borderId="57" xfId="0" applyFont="1" applyBorder="1" applyAlignment="1">
      <alignment horizontal="left" vertical="center" wrapText="1"/>
    </xf>
    <xf numFmtId="0" fontId="21" fillId="0" borderId="54" xfId="0" applyFont="1" applyBorder="1" applyAlignment="1">
      <alignment horizontal="left" vertical="center" wrapText="1"/>
    </xf>
    <xf numFmtId="0" fontId="16" fillId="0" borderId="23" xfId="0" applyFont="1" applyBorder="1" applyAlignment="1">
      <alignment horizontal="left" vertical="center" wrapText="1"/>
    </xf>
    <xf numFmtId="0" fontId="16" fillId="0" borderId="58" xfId="0" applyFont="1" applyBorder="1" applyAlignment="1">
      <alignment horizontal="left" vertical="center" wrapText="1"/>
    </xf>
    <xf numFmtId="0" fontId="21" fillId="0" borderId="55" xfId="0" applyFont="1" applyBorder="1" applyAlignment="1">
      <alignment horizontal="left" vertical="center" wrapText="1"/>
    </xf>
    <xf numFmtId="0" fontId="21" fillId="0" borderId="59" xfId="0" applyFont="1" applyBorder="1" applyAlignment="1">
      <alignment horizontal="left" vertical="center" wrapText="1"/>
    </xf>
    <xf numFmtId="0" fontId="21" fillId="0" borderId="35" xfId="0" applyFont="1" applyBorder="1" applyAlignment="1">
      <alignment horizontal="left" vertical="center" wrapText="1"/>
    </xf>
    <xf numFmtId="0" fontId="108" fillId="0" borderId="0" xfId="0" applyFont="1"/>
    <xf numFmtId="0" fontId="108" fillId="0" borderId="0" xfId="0" applyFont="1" applyAlignment="1">
      <alignment horizontal="center" vertical="center"/>
    </xf>
    <xf numFmtId="0" fontId="108" fillId="32" borderId="0" xfId="0" applyFont="1" applyFill="1"/>
    <xf numFmtId="0" fontId="13" fillId="0" borderId="18" xfId="0" applyFont="1" applyBorder="1" applyAlignment="1">
      <alignment horizontal="left" vertical="center" wrapText="1"/>
    </xf>
    <xf numFmtId="14" fontId="13" fillId="0" borderId="0" xfId="0" applyNumberFormat="1" applyFont="1" applyAlignment="1">
      <alignment horizontal="center"/>
    </xf>
    <xf numFmtId="0" fontId="28" fillId="38" borderId="20" xfId="0" applyFont="1" applyFill="1" applyBorder="1" applyAlignment="1">
      <alignment horizontal="center"/>
    </xf>
    <xf numFmtId="0" fontId="28" fillId="38" borderId="20" xfId="0" applyFont="1" applyFill="1" applyBorder="1" applyAlignment="1">
      <alignment horizontal="center" vertical="center"/>
    </xf>
    <xf numFmtId="0" fontId="28" fillId="32" borderId="20" xfId="0" applyFont="1" applyFill="1" applyBorder="1" applyAlignment="1">
      <alignment horizontal="center"/>
    </xf>
    <xf numFmtId="0" fontId="106" fillId="0" borderId="0" xfId="0" applyFont="1" applyAlignment="1">
      <alignment horizontal="center"/>
    </xf>
    <xf numFmtId="0" fontId="10" fillId="38" borderId="20" xfId="0" applyFont="1" applyFill="1" applyBorder="1" applyAlignment="1">
      <alignment horizontal="center"/>
    </xf>
    <xf numFmtId="0" fontId="106" fillId="38" borderId="20" xfId="0" applyFont="1" applyFill="1" applyBorder="1" applyAlignment="1">
      <alignment horizontal="center"/>
    </xf>
    <xf numFmtId="0" fontId="106" fillId="38" borderId="20" xfId="0" applyFont="1" applyFill="1" applyBorder="1" applyAlignment="1">
      <alignment horizontal="center" vertical="center"/>
    </xf>
    <xf numFmtId="14" fontId="106" fillId="38" borderId="20" xfId="0" applyNumberFormat="1" applyFont="1" applyFill="1" applyBorder="1" applyAlignment="1">
      <alignment horizontal="center"/>
    </xf>
    <xf numFmtId="0" fontId="106" fillId="32" borderId="20" xfId="0" applyFont="1" applyFill="1" applyBorder="1" applyAlignment="1">
      <alignment horizontal="center"/>
    </xf>
    <xf numFmtId="14" fontId="106" fillId="32" borderId="20" xfId="0" applyNumberFormat="1" applyFont="1" applyFill="1" applyBorder="1" applyAlignment="1">
      <alignment horizontal="center"/>
    </xf>
    <xf numFmtId="0" fontId="70" fillId="0" borderId="18" xfId="0" applyFont="1" applyBorder="1" applyAlignment="1">
      <alignment horizontal="left" vertical="center"/>
    </xf>
    <xf numFmtId="14" fontId="70" fillId="0" borderId="18" xfId="0" applyNumberFormat="1" applyFont="1" applyBorder="1" applyAlignment="1">
      <alignment horizontal="left" vertical="center"/>
    </xf>
    <xf numFmtId="14" fontId="73" fillId="0" borderId="18" xfId="0" applyNumberFormat="1" applyFont="1" applyBorder="1" applyAlignment="1">
      <alignment horizontal="left" vertical="center"/>
    </xf>
    <xf numFmtId="0" fontId="13" fillId="38" borderId="61" xfId="0" applyFont="1" applyFill="1" applyBorder="1" applyAlignment="1">
      <alignment horizontal="center" vertical="center" wrapText="1"/>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21" fillId="0" borderId="64" xfId="0" applyFont="1" applyBorder="1" applyAlignment="1">
      <alignment horizontal="center" vertical="center"/>
    </xf>
    <xf numFmtId="14" fontId="13" fillId="73" borderId="18" xfId="0" applyNumberFormat="1" applyFont="1" applyFill="1" applyBorder="1" applyAlignment="1">
      <alignment horizontal="center" vertical="center"/>
    </xf>
    <xf numFmtId="0" fontId="15" fillId="33" borderId="0" xfId="0" applyFont="1" applyFill="1" applyAlignment="1">
      <alignment horizontal="center" vertical="center"/>
    </xf>
    <xf numFmtId="9" fontId="15" fillId="33" borderId="0" xfId="356" applyFont="1" applyFill="1" applyBorder="1" applyAlignment="1" applyProtection="1">
      <alignment horizontal="center" vertical="center"/>
    </xf>
    <xf numFmtId="0" fontId="15" fillId="33" borderId="26" xfId="0" applyFont="1" applyFill="1" applyBorder="1" applyAlignment="1">
      <alignment horizontal="center" vertical="center"/>
    </xf>
    <xf numFmtId="0" fontId="15" fillId="33" borderId="18" xfId="0" applyFont="1" applyFill="1" applyBorder="1" applyAlignment="1">
      <alignment horizontal="center" vertical="center"/>
    </xf>
    <xf numFmtId="166" fontId="15" fillId="33" borderId="18" xfId="0" applyNumberFormat="1" applyFont="1" applyFill="1" applyBorder="1" applyAlignment="1">
      <alignment horizontal="center" vertical="center"/>
    </xf>
    <xf numFmtId="166" fontId="15" fillId="33" borderId="26" xfId="356" applyNumberFormat="1" applyFont="1" applyFill="1" applyBorder="1" applyAlignment="1" applyProtection="1">
      <alignment horizontal="center"/>
    </xf>
    <xf numFmtId="166" fontId="15" fillId="33" borderId="18" xfId="356" applyNumberFormat="1" applyFont="1" applyFill="1" applyBorder="1" applyAlignment="1" applyProtection="1">
      <alignment horizontal="center" vertical="center"/>
    </xf>
    <xf numFmtId="166" fontId="109" fillId="33" borderId="18" xfId="0" applyNumberFormat="1" applyFont="1" applyFill="1" applyBorder="1" applyAlignment="1">
      <alignment horizontal="center" vertical="center"/>
    </xf>
    <xf numFmtId="9" fontId="109" fillId="33" borderId="18" xfId="0" applyNumberFormat="1" applyFont="1" applyFill="1" applyBorder="1" applyAlignment="1">
      <alignment horizontal="center" vertical="center"/>
    </xf>
    <xf numFmtId="9" fontId="15" fillId="33" borderId="18" xfId="366" applyFont="1" applyFill="1" applyBorder="1" applyAlignment="1" applyProtection="1">
      <alignment horizontal="center" vertical="center"/>
    </xf>
    <xf numFmtId="9" fontId="15" fillId="33" borderId="18" xfId="356" applyFont="1" applyFill="1" applyBorder="1" applyAlignment="1" applyProtection="1">
      <alignment horizontal="center" vertical="center"/>
    </xf>
    <xf numFmtId="166" fontId="15" fillId="33" borderId="18" xfId="356" applyNumberFormat="1" applyFont="1" applyFill="1" applyBorder="1" applyAlignment="1" applyProtection="1">
      <alignment horizontal="center"/>
    </xf>
    <xf numFmtId="166" fontId="109" fillId="33" borderId="18" xfId="0" applyNumberFormat="1" applyFont="1" applyFill="1" applyBorder="1" applyAlignment="1">
      <alignment horizontal="center"/>
    </xf>
    <xf numFmtId="9" fontId="109" fillId="33" borderId="18" xfId="0" applyNumberFormat="1" applyFont="1" applyFill="1" applyBorder="1" applyAlignment="1">
      <alignment horizontal="center"/>
    </xf>
    <xf numFmtId="9" fontId="15" fillId="33" borderId="18" xfId="366" applyFont="1" applyFill="1" applyBorder="1" applyAlignment="1" applyProtection="1">
      <alignment horizontal="center"/>
    </xf>
    <xf numFmtId="9" fontId="15" fillId="33" borderId="18" xfId="356" applyFont="1" applyFill="1" applyBorder="1" applyAlignment="1" applyProtection="1">
      <alignment horizontal="center"/>
    </xf>
    <xf numFmtId="166" fontId="70" fillId="0" borderId="18" xfId="356" applyNumberFormat="1" applyFont="1" applyFill="1" applyBorder="1" applyAlignment="1" applyProtection="1">
      <alignment horizontal="center"/>
    </xf>
    <xf numFmtId="0" fontId="10" fillId="0" borderId="0" xfId="0" applyFont="1"/>
    <xf numFmtId="0" fontId="7" fillId="0" borderId="18" xfId="0" applyFont="1" applyBorder="1" applyAlignment="1">
      <alignment horizontal="left"/>
    </xf>
    <xf numFmtId="0" fontId="110" fillId="0" borderId="18" xfId="0" applyFont="1" applyBorder="1" applyAlignment="1">
      <alignment horizontal="left"/>
    </xf>
    <xf numFmtId="0" fontId="7" fillId="0" borderId="26" xfId="0" applyFont="1" applyBorder="1" applyAlignment="1">
      <alignment horizontal="left"/>
    </xf>
    <xf numFmtId="0" fontId="7" fillId="0" borderId="23" xfId="0" applyFont="1" applyBorder="1" applyAlignment="1">
      <alignment horizontal="left"/>
    </xf>
    <xf numFmtId="0" fontId="110" fillId="0" borderId="23" xfId="0" applyFont="1" applyBorder="1" applyAlignment="1">
      <alignment horizontal="left"/>
    </xf>
    <xf numFmtId="0" fontId="8" fillId="0" borderId="32" xfId="0" applyFont="1" applyBorder="1" applyAlignment="1">
      <alignment horizontal="left"/>
    </xf>
    <xf numFmtId="0" fontId="8" fillId="0" borderId="24" xfId="0" applyFont="1" applyBorder="1" applyAlignment="1">
      <alignment horizontal="left"/>
    </xf>
    <xf numFmtId="0" fontId="8" fillId="0" borderId="21" xfId="0" applyFont="1" applyBorder="1" applyAlignment="1">
      <alignment horizontal="left"/>
    </xf>
    <xf numFmtId="0" fontId="7" fillId="0" borderId="65" xfId="0" applyFont="1" applyBorder="1" applyAlignment="1">
      <alignment horizontal="left"/>
    </xf>
    <xf numFmtId="0" fontId="110" fillId="0" borderId="22" xfId="0" applyFont="1" applyBorder="1" applyAlignment="1">
      <alignment horizontal="left"/>
    </xf>
    <xf numFmtId="0" fontId="110" fillId="0" borderId="19" xfId="0" applyFont="1" applyBorder="1" applyAlignment="1">
      <alignment horizontal="left"/>
    </xf>
    <xf numFmtId="0" fontId="111" fillId="0" borderId="18" xfId="0" applyFont="1" applyBorder="1" applyAlignment="1">
      <alignment horizontal="center" vertical="center" wrapText="1"/>
    </xf>
    <xf numFmtId="0" fontId="110" fillId="74" borderId="18" xfId="0" applyFont="1" applyFill="1" applyBorder="1" applyAlignment="1">
      <alignment vertical="center"/>
    </xf>
    <xf numFmtId="0" fontId="111" fillId="0" borderId="0" xfId="0" applyFont="1" applyAlignment="1">
      <alignment vertical="center"/>
    </xf>
    <xf numFmtId="9" fontId="111" fillId="0" borderId="18" xfId="0" applyNumberFormat="1" applyFont="1" applyBorder="1" applyAlignment="1">
      <alignment horizontal="center" vertical="center" wrapText="1"/>
    </xf>
    <xf numFmtId="0" fontId="16" fillId="0" borderId="0" xfId="441" applyFont="1" applyAlignment="1">
      <alignment horizontal="left" vertical="center"/>
    </xf>
    <xf numFmtId="0" fontId="111" fillId="0" borderId="18" xfId="0" applyFont="1" applyBorder="1" applyAlignment="1">
      <alignment horizontal="left" vertical="center" wrapText="1"/>
    </xf>
    <xf numFmtId="0" fontId="110" fillId="0" borderId="0" xfId="0" applyFont="1" applyAlignment="1">
      <alignment vertical="center"/>
    </xf>
    <xf numFmtId="0" fontId="110" fillId="0" borderId="0" xfId="0" applyFont="1" applyAlignment="1">
      <alignment vertical="center" wrapText="1"/>
    </xf>
    <xf numFmtId="0" fontId="110" fillId="0" borderId="0" xfId="0" applyFont="1" applyAlignment="1">
      <alignment horizontal="center" vertical="center"/>
    </xf>
    <xf numFmtId="0" fontId="110" fillId="0" borderId="0" xfId="0" applyFont="1" applyAlignment="1">
      <alignment horizontal="left" vertical="center"/>
    </xf>
    <xf numFmtId="0" fontId="110" fillId="0" borderId="18" xfId="0" applyFont="1" applyBorder="1" applyAlignment="1">
      <alignment horizontal="center" vertical="center"/>
    </xf>
    <xf numFmtId="0" fontId="110" fillId="0" borderId="18" xfId="0" applyFont="1" applyBorder="1" applyAlignment="1">
      <alignment vertical="center" wrapText="1"/>
    </xf>
    <xf numFmtId="0" fontId="110" fillId="0" borderId="18" xfId="0" applyFont="1" applyBorder="1" applyAlignment="1">
      <alignment horizontal="left" vertical="center"/>
    </xf>
    <xf numFmtId="0" fontId="110" fillId="0" borderId="18" xfId="0" applyFont="1" applyBorder="1" applyAlignment="1">
      <alignment vertical="center"/>
    </xf>
    <xf numFmtId="0" fontId="110" fillId="0" borderId="0" xfId="0" applyFont="1" applyAlignment="1">
      <alignment horizontal="center" vertical="center" wrapText="1"/>
    </xf>
    <xf numFmtId="9" fontId="110" fillId="0" borderId="18" xfId="0" applyNumberFormat="1" applyFont="1" applyBorder="1" applyAlignment="1">
      <alignment horizontal="center" vertical="center"/>
    </xf>
    <xf numFmtId="9" fontId="110" fillId="0" borderId="18" xfId="0" applyNumberFormat="1" applyFont="1" applyBorder="1" applyAlignment="1">
      <alignment horizontal="center" vertical="center" wrapText="1"/>
    </xf>
    <xf numFmtId="0" fontId="13" fillId="0" borderId="0" xfId="0" applyFont="1" applyAlignment="1">
      <alignment horizontal="left" vertical="center" wrapText="1"/>
    </xf>
    <xf numFmtId="0" fontId="21" fillId="74" borderId="18" xfId="0" applyFont="1" applyFill="1" applyBorder="1" applyAlignment="1">
      <alignment horizontal="center" vertical="center"/>
    </xf>
    <xf numFmtId="0" fontId="13" fillId="0" borderId="0" xfId="0" applyFont="1" applyAlignment="1">
      <alignment horizontal="left" vertical="top"/>
    </xf>
    <xf numFmtId="0" fontId="4" fillId="0" borderId="0" xfId="441" applyFont="1" applyAlignment="1">
      <alignment horizontal="left" vertical="center"/>
    </xf>
    <xf numFmtId="0" fontId="0" fillId="0" borderId="0" xfId="0" quotePrefix="1" applyAlignment="1">
      <alignment vertical="center"/>
    </xf>
    <xf numFmtId="0" fontId="14" fillId="0" borderId="0" xfId="0" applyFont="1" applyAlignment="1">
      <alignment vertical="center"/>
    </xf>
    <xf numFmtId="0" fontId="17" fillId="0" borderId="0" xfId="0" applyFont="1" applyAlignment="1">
      <alignment horizontal="left" vertical="center"/>
    </xf>
    <xf numFmtId="0" fontId="15" fillId="74" borderId="0" xfId="0" applyFont="1" applyFill="1" applyAlignment="1">
      <alignment horizontal="center" vertical="center"/>
    </xf>
    <xf numFmtId="14" fontId="28" fillId="34" borderId="18" xfId="0" applyNumberFormat="1" applyFont="1" applyFill="1" applyBorder="1" applyAlignment="1">
      <alignment horizontal="center" vertical="center"/>
    </xf>
    <xf numFmtId="0" fontId="15" fillId="0" borderId="0" xfId="0" applyFont="1" applyAlignment="1">
      <alignment horizontal="center" vertical="center"/>
    </xf>
    <xf numFmtId="0" fontId="110" fillId="0" borderId="22" xfId="0" applyFont="1" applyBorder="1" applyAlignment="1">
      <alignment horizontal="center" vertical="center" wrapText="1"/>
    </xf>
    <xf numFmtId="0" fontId="13" fillId="0" borderId="0" xfId="0" applyFont="1" applyAlignment="1">
      <alignment horizontal="center" vertical="center" wrapText="1"/>
    </xf>
    <xf numFmtId="10" fontId="13"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0" fontId="112" fillId="0" borderId="0" xfId="0" applyFont="1" applyAlignment="1">
      <alignment horizontal="center" vertical="center"/>
    </xf>
    <xf numFmtId="0" fontId="106" fillId="0" borderId="18" xfId="0" applyFont="1" applyBorder="1" applyAlignment="1">
      <alignment horizontal="center" vertical="center"/>
    </xf>
    <xf numFmtId="0" fontId="106" fillId="0" borderId="18" xfId="0" applyFont="1" applyBorder="1" applyAlignment="1">
      <alignment horizontal="left" vertical="center"/>
    </xf>
    <xf numFmtId="10" fontId="21" fillId="33" borderId="18" xfId="0" applyNumberFormat="1" applyFont="1" applyFill="1" applyBorder="1" applyAlignment="1">
      <alignment horizontal="center" vertical="center"/>
    </xf>
    <xf numFmtId="10" fontId="21" fillId="27" borderId="18" xfId="0" applyNumberFormat="1" applyFont="1" applyFill="1" applyBorder="1" applyAlignment="1">
      <alignment horizontal="center" vertical="center"/>
    </xf>
    <xf numFmtId="2" fontId="73" fillId="33" borderId="18" xfId="0" applyNumberFormat="1" applyFont="1" applyFill="1" applyBorder="1" applyAlignment="1">
      <alignment horizontal="center" vertical="center"/>
    </xf>
    <xf numFmtId="2" fontId="73" fillId="0" borderId="18" xfId="0" applyNumberFormat="1" applyFont="1" applyBorder="1" applyAlignment="1">
      <alignment horizontal="center" vertical="center"/>
    </xf>
    <xf numFmtId="2" fontId="106" fillId="0" borderId="18" xfId="0" applyNumberFormat="1" applyFont="1" applyBorder="1" applyAlignment="1">
      <alignment horizontal="center" vertical="center"/>
    </xf>
    <xf numFmtId="10" fontId="7" fillId="0" borderId="34" xfId="366" applyNumberFormat="1" applyFont="1" applyFill="1" applyBorder="1" applyAlignment="1" applyProtection="1">
      <alignment horizontal="center" vertical="center"/>
    </xf>
    <xf numFmtId="10" fontId="13" fillId="0" borderId="20" xfId="366" applyNumberFormat="1" applyFont="1" applyFill="1" applyBorder="1" applyAlignment="1" applyProtection="1">
      <alignment horizontal="center" vertical="center"/>
    </xf>
    <xf numFmtId="10" fontId="25" fillId="27" borderId="20" xfId="356" applyNumberFormat="1" applyFont="1" applyFill="1" applyBorder="1" applyAlignment="1" applyProtection="1">
      <alignment horizontal="center" vertical="center" wrapText="1"/>
    </xf>
    <xf numFmtId="10" fontId="8" fillId="27" borderId="20" xfId="356" applyNumberFormat="1" applyFont="1" applyFill="1" applyBorder="1" applyAlignment="1" applyProtection="1">
      <alignment horizontal="center" vertical="center" wrapText="1"/>
    </xf>
    <xf numFmtId="0" fontId="17" fillId="0" borderId="18" xfId="0" applyFont="1" applyBorder="1" applyAlignment="1">
      <alignment horizontal="center" vertical="center"/>
    </xf>
    <xf numFmtId="0" fontId="17" fillId="0" borderId="23" xfId="0" applyFont="1" applyBorder="1" applyAlignment="1">
      <alignment horizontal="center" vertical="center"/>
    </xf>
    <xf numFmtId="0" fontId="106" fillId="74" borderId="0" xfId="0" applyFont="1" applyFill="1"/>
    <xf numFmtId="0" fontId="13" fillId="0" borderId="0" xfId="0" applyFont="1" applyAlignment="1">
      <alignment vertical="center" wrapText="1"/>
    </xf>
    <xf numFmtId="0" fontId="21" fillId="0" borderId="0" xfId="0" applyFont="1" applyAlignment="1">
      <alignment horizontal="left" vertical="center"/>
    </xf>
    <xf numFmtId="0" fontId="20" fillId="0" borderId="0" xfId="0" applyFont="1" applyAlignment="1">
      <alignment horizontal="left" vertical="center"/>
    </xf>
    <xf numFmtId="1" fontId="13" fillId="75" borderId="47" xfId="0" applyNumberFormat="1" applyFont="1" applyFill="1" applyBorder="1" applyAlignment="1">
      <alignment horizontal="center" vertical="center"/>
    </xf>
    <xf numFmtId="10" fontId="8" fillId="0" borderId="20" xfId="0" applyNumberFormat="1" applyFont="1" applyBorder="1" applyAlignment="1">
      <alignment horizontal="center" vertical="center" wrapText="1"/>
    </xf>
    <xf numFmtId="0" fontId="7" fillId="0" borderId="18" xfId="0" applyFont="1" applyBorder="1" applyAlignment="1">
      <alignment horizontal="left" vertical="center" wrapText="1"/>
    </xf>
    <xf numFmtId="0" fontId="25" fillId="0" borderId="0" xfId="0" applyFont="1" applyAlignment="1">
      <alignment horizontal="center"/>
    </xf>
    <xf numFmtId="0" fontId="108" fillId="0" borderId="0" xfId="0" applyFont="1" applyAlignment="1">
      <alignment horizontal="center"/>
    </xf>
    <xf numFmtId="14" fontId="7" fillId="0" borderId="0" xfId="0" applyNumberFormat="1" applyFont="1"/>
    <xf numFmtId="0" fontId="13" fillId="0" borderId="18" xfId="0" quotePrefix="1" applyFont="1" applyBorder="1" applyAlignment="1">
      <alignment horizontal="left" vertical="center" wrapText="1"/>
    </xf>
    <xf numFmtId="0" fontId="110" fillId="0" borderId="24" xfId="0" applyFont="1" applyBorder="1" applyAlignment="1">
      <alignment horizontal="left"/>
    </xf>
    <xf numFmtId="0" fontId="110" fillId="0" borderId="0" xfId="0" applyFont="1"/>
    <xf numFmtId="0" fontId="110" fillId="0" borderId="21" xfId="0" applyFont="1" applyBorder="1" applyAlignment="1">
      <alignment horizontal="left"/>
    </xf>
    <xf numFmtId="166" fontId="70" fillId="74" borderId="18" xfId="0" applyNumberFormat="1" applyFont="1" applyFill="1" applyBorder="1" applyAlignment="1">
      <alignment horizontal="center"/>
    </xf>
    <xf numFmtId="166" fontId="70" fillId="74" borderId="18" xfId="356" applyNumberFormat="1" applyFont="1" applyFill="1" applyBorder="1" applyAlignment="1" applyProtection="1">
      <alignment horizontal="center"/>
    </xf>
    <xf numFmtId="0" fontId="70" fillId="74" borderId="26" xfId="0" applyFont="1" applyFill="1" applyBorder="1" applyAlignment="1">
      <alignment horizontal="center"/>
    </xf>
    <xf numFmtId="0" fontId="70" fillId="74" borderId="25" xfId="0" applyFont="1" applyFill="1" applyBorder="1"/>
    <xf numFmtId="0" fontId="15" fillId="74" borderId="25" xfId="0" applyFont="1" applyFill="1" applyBorder="1"/>
    <xf numFmtId="0" fontId="13" fillId="28" borderId="20" xfId="0" applyFont="1" applyFill="1" applyBorder="1" applyAlignment="1">
      <alignment horizontal="center" vertical="center" wrapText="1"/>
    </xf>
    <xf numFmtId="0" fontId="16" fillId="0" borderId="0" xfId="0" applyFont="1" applyAlignment="1">
      <alignment vertical="center"/>
    </xf>
    <xf numFmtId="0" fontId="16" fillId="74" borderId="0" xfId="473" applyFont="1" applyFill="1"/>
    <xf numFmtId="10" fontId="16" fillId="0" borderId="18" xfId="356" applyNumberFormat="1" applyFont="1" applyFill="1" applyBorder="1" applyAlignment="1" applyProtection="1">
      <alignment horizontal="center" vertical="center" wrapText="1"/>
    </xf>
    <xf numFmtId="10" fontId="21" fillId="0" borderId="18" xfId="0" applyNumberFormat="1" applyFont="1" applyBorder="1" applyAlignment="1">
      <alignment vertical="center"/>
    </xf>
    <xf numFmtId="0" fontId="110" fillId="0" borderId="18" xfId="0" applyFont="1" applyBorder="1"/>
    <xf numFmtId="14" fontId="110" fillId="0" borderId="18" xfId="0" applyNumberFormat="1" applyFont="1" applyBorder="1"/>
    <xf numFmtId="0" fontId="16" fillId="0" borderId="18" xfId="0" applyFont="1" applyBorder="1" applyAlignment="1">
      <alignment vertical="center" wrapText="1"/>
    </xf>
    <xf numFmtId="0" fontId="15" fillId="0" borderId="23" xfId="0" applyFont="1" applyBorder="1"/>
    <xf numFmtId="0" fontId="13" fillId="77" borderId="56" xfId="0" applyFont="1" applyFill="1" applyBorder="1" applyAlignment="1">
      <alignment horizontal="center" vertical="center" wrapText="1"/>
    </xf>
    <xf numFmtId="0" fontId="21" fillId="77" borderId="60" xfId="0" applyFont="1" applyFill="1" applyBorder="1" applyAlignment="1">
      <alignment horizontal="center" vertical="center"/>
    </xf>
    <xf numFmtId="0" fontId="21" fillId="77" borderId="35" xfId="0" applyFont="1" applyFill="1" applyBorder="1" applyAlignment="1">
      <alignment horizontal="center" vertical="center"/>
    </xf>
    <xf numFmtId="0" fontId="21" fillId="77" borderId="59" xfId="0" applyFont="1" applyFill="1" applyBorder="1" applyAlignment="1">
      <alignment horizontal="left" vertical="center" wrapText="1"/>
    </xf>
    <xf numFmtId="0" fontId="21" fillId="77" borderId="35" xfId="0" applyFont="1" applyFill="1" applyBorder="1" applyAlignment="1">
      <alignment horizontal="left" vertical="center" wrapText="1"/>
    </xf>
    <xf numFmtId="0" fontId="21" fillId="77" borderId="36" xfId="0" applyFont="1" applyFill="1" applyBorder="1" applyAlignment="1">
      <alignment horizontal="center" vertical="center"/>
    </xf>
    <xf numFmtId="0" fontId="24" fillId="74" borderId="0" xfId="0" applyFont="1" applyFill="1"/>
    <xf numFmtId="10" fontId="13" fillId="32" borderId="27" xfId="368" applyNumberFormat="1" applyFont="1" applyFill="1" applyBorder="1" applyAlignment="1" applyProtection="1">
      <alignment horizontal="center" vertical="center"/>
      <protection locked="0"/>
    </xf>
    <xf numFmtId="10" fontId="13" fillId="32" borderId="49" xfId="368" applyNumberFormat="1" applyFont="1" applyFill="1" applyBorder="1" applyAlignment="1" applyProtection="1">
      <alignment horizontal="center" vertical="center"/>
      <protection locked="0"/>
    </xf>
    <xf numFmtId="0" fontId="16" fillId="0" borderId="0" xfId="0" applyFont="1" applyAlignment="1">
      <alignment horizontal="center" vertical="center"/>
    </xf>
    <xf numFmtId="0" fontId="111" fillId="0" borderId="66" xfId="0" applyFont="1" applyBorder="1" applyAlignment="1">
      <alignment horizontal="center" vertical="center" wrapText="1"/>
    </xf>
    <xf numFmtId="0" fontId="111" fillId="0" borderId="101" xfId="0" applyFont="1" applyBorder="1" applyAlignment="1">
      <alignment horizontal="center" vertical="center" wrapText="1"/>
    </xf>
    <xf numFmtId="1" fontId="21" fillId="0" borderId="0" xfId="0" applyNumberFormat="1" applyFont="1" applyAlignment="1">
      <alignment vertical="center"/>
    </xf>
    <xf numFmtId="0" fontId="122" fillId="0" borderId="0" xfId="0" applyFont="1" applyAlignment="1">
      <alignment horizontal="left" vertical="center" wrapText="1"/>
    </xf>
    <xf numFmtId="0" fontId="17" fillId="74" borderId="0" xfId="0" applyFont="1" applyFill="1"/>
    <xf numFmtId="0" fontId="17" fillId="0" borderId="18" xfId="0" applyFont="1" applyBorder="1" applyAlignment="1">
      <alignment horizontal="right"/>
    </xf>
    <xf numFmtId="0" fontId="19" fillId="78" borderId="0" xfId="0" applyFont="1" applyFill="1"/>
    <xf numFmtId="0" fontId="7" fillId="0" borderId="0" xfId="0" applyFont="1" applyAlignment="1">
      <alignment vertical="center"/>
    </xf>
    <xf numFmtId="1" fontId="13" fillId="0" borderId="0" xfId="0" applyNumberFormat="1" applyFont="1"/>
    <xf numFmtId="14" fontId="110" fillId="0" borderId="18" xfId="0" applyNumberFormat="1" applyFont="1" applyBorder="1" applyAlignment="1">
      <alignment horizontal="right"/>
    </xf>
    <xf numFmtId="14" fontId="110" fillId="0" borderId="18" xfId="0" quotePrefix="1" applyNumberFormat="1" applyFont="1" applyBorder="1" applyAlignment="1">
      <alignment horizontal="right"/>
    </xf>
    <xf numFmtId="0" fontId="17" fillId="0" borderId="0" xfId="0" applyFont="1" applyAlignment="1">
      <alignment horizontal="left" vertical="top"/>
    </xf>
    <xf numFmtId="0" fontId="1" fillId="0" borderId="0" xfId="0" applyFont="1" applyAlignment="1">
      <alignment vertical="top"/>
    </xf>
    <xf numFmtId="0" fontId="16" fillId="32" borderId="55" xfId="0" applyFont="1" applyFill="1" applyBorder="1" applyAlignment="1" applyProtection="1">
      <alignment horizontal="center" vertical="center"/>
      <protection locked="0"/>
    </xf>
    <xf numFmtId="0" fontId="16" fillId="32" borderId="55" xfId="0" applyFont="1" applyFill="1" applyBorder="1" applyAlignment="1" applyProtection="1">
      <alignment horizontal="center" vertical="center" wrapText="1"/>
      <protection locked="0"/>
    </xf>
    <xf numFmtId="0" fontId="10" fillId="0" borderId="102" xfId="0" applyFont="1" applyBorder="1" applyAlignment="1">
      <alignment horizontal="center" vertical="center"/>
    </xf>
    <xf numFmtId="0" fontId="28" fillId="32" borderId="69" xfId="0" applyFont="1" applyFill="1" applyBorder="1" applyAlignment="1" applyProtection="1">
      <alignment horizontal="center" vertical="center"/>
      <protection locked="0"/>
    </xf>
    <xf numFmtId="0" fontId="28" fillId="32" borderId="102" xfId="0" applyFont="1" applyFill="1" applyBorder="1" applyAlignment="1" applyProtection="1">
      <alignment horizontal="center" vertical="center"/>
      <protection locked="0"/>
    </xf>
    <xf numFmtId="0" fontId="106" fillId="0" borderId="0" xfId="0" applyFont="1" applyAlignment="1">
      <alignment wrapText="1"/>
    </xf>
    <xf numFmtId="0" fontId="3" fillId="0" borderId="0" xfId="441" applyAlignment="1">
      <alignment horizontal="left" vertical="center"/>
    </xf>
    <xf numFmtId="0" fontId="15" fillId="0" borderId="0" xfId="0" applyFont="1" applyAlignment="1">
      <alignment horizontal="left" vertical="center"/>
    </xf>
    <xf numFmtId="0" fontId="28" fillId="32" borderId="20" xfId="0" applyFont="1" applyFill="1" applyBorder="1" applyAlignment="1" applyProtection="1">
      <alignment horizontal="center" vertical="center"/>
      <protection locked="0"/>
    </xf>
    <xf numFmtId="0" fontId="15" fillId="0" borderId="0" xfId="0" applyFont="1" applyAlignment="1">
      <alignment vertical="top"/>
    </xf>
    <xf numFmtId="0" fontId="25" fillId="0" borderId="20" xfId="0" applyFont="1" applyBorder="1" applyAlignment="1">
      <alignment horizontal="center" vertical="center" wrapText="1"/>
    </xf>
    <xf numFmtId="0" fontId="13" fillId="0" borderId="20" xfId="0" applyFont="1" applyBorder="1" applyAlignment="1">
      <alignment vertical="center" wrapText="1"/>
    </xf>
    <xf numFmtId="0" fontId="13" fillId="0" borderId="27" xfId="0" applyFont="1" applyBorder="1" applyAlignment="1">
      <alignment vertical="center" wrapText="1"/>
    </xf>
    <xf numFmtId="0" fontId="7" fillId="0" borderId="20" xfId="0" applyFont="1" applyBorder="1" applyAlignment="1">
      <alignment vertical="center" wrapText="1"/>
    </xf>
    <xf numFmtId="0" fontId="1" fillId="0" borderId="0" xfId="0" applyFont="1" applyAlignment="1">
      <alignment vertical="center"/>
    </xf>
    <xf numFmtId="0" fontId="31" fillId="0" borderId="0" xfId="0" applyFont="1" applyAlignment="1">
      <alignment horizontal="left" vertical="center"/>
    </xf>
    <xf numFmtId="1" fontId="73" fillId="79" borderId="18" xfId="0" applyNumberFormat="1" applyFont="1" applyFill="1" applyBorder="1" applyAlignment="1">
      <alignment horizontal="center" vertical="center"/>
    </xf>
    <xf numFmtId="0" fontId="21" fillId="79" borderId="18" xfId="0" applyFont="1" applyFill="1" applyBorder="1" applyAlignment="1">
      <alignment horizontal="center" vertical="center"/>
    </xf>
    <xf numFmtId="0" fontId="21" fillId="79" borderId="18" xfId="356" applyNumberFormat="1" applyFont="1" applyFill="1" applyBorder="1" applyAlignment="1" applyProtection="1">
      <alignment horizontal="center" vertical="center"/>
    </xf>
    <xf numFmtId="1" fontId="21" fillId="79" borderId="18" xfId="0" applyNumberFormat="1" applyFont="1" applyFill="1" applyBorder="1" applyAlignment="1">
      <alignment horizontal="center" vertical="center"/>
    </xf>
    <xf numFmtId="10" fontId="21" fillId="0" borderId="18" xfId="0" applyNumberFormat="1" applyFont="1" applyBorder="1" applyAlignment="1">
      <alignment horizontal="center" vertical="center"/>
    </xf>
    <xf numFmtId="10" fontId="13" fillId="0" borderId="0" xfId="0" applyNumberFormat="1" applyFont="1"/>
    <xf numFmtId="0" fontId="28" fillId="0" borderId="33" xfId="0" applyFont="1" applyBorder="1" applyAlignment="1">
      <alignment horizontal="center" vertical="center"/>
    </xf>
    <xf numFmtId="0" fontId="28" fillId="0" borderId="105" xfId="0" applyFont="1" applyBorder="1" applyAlignment="1">
      <alignment horizontal="center" vertical="center"/>
    </xf>
    <xf numFmtId="0" fontId="124" fillId="0" borderId="0" xfId="0" applyFont="1"/>
    <xf numFmtId="0" fontId="7" fillId="0" borderId="0" xfId="0" applyFont="1" applyAlignment="1">
      <alignment horizontal="center" vertical="center" wrapText="1"/>
    </xf>
    <xf numFmtId="49" fontId="59" fillId="0" borderId="0" xfId="0" applyNumberFormat="1" applyFont="1" applyAlignment="1">
      <alignment horizontal="center" vertical="center" wrapText="1" readingOrder="1"/>
    </xf>
    <xf numFmtId="0" fontId="7" fillId="0" borderId="0" xfId="0" applyFont="1" applyAlignment="1">
      <alignment horizontal="left" vertical="center" wrapText="1" readingOrder="1"/>
    </xf>
    <xf numFmtId="0" fontId="7" fillId="0" borderId="0" xfId="0" applyFont="1" applyAlignment="1">
      <alignment horizontal="left" vertical="center" wrapText="1"/>
    </xf>
    <xf numFmtId="0" fontId="113" fillId="0" borderId="0" xfId="0" applyFont="1" applyAlignment="1">
      <alignment horizontal="center" vertical="center" wrapText="1" readingOrder="1"/>
    </xf>
    <xf numFmtId="0" fontId="78" fillId="0" borderId="0" xfId="0" applyFont="1" applyAlignment="1">
      <alignment horizontal="center" vertical="center" wrapText="1" readingOrder="1"/>
    </xf>
    <xf numFmtId="0" fontId="7" fillId="0" borderId="0" xfId="0" applyFont="1" applyAlignment="1">
      <alignment vertical="center" wrapText="1"/>
    </xf>
    <xf numFmtId="10" fontId="8" fillId="0" borderId="0" xfId="0" applyNumberFormat="1" applyFont="1" applyAlignment="1">
      <alignment horizontal="center" vertical="center" wrapText="1"/>
    </xf>
    <xf numFmtId="0" fontId="47" fillId="0" borderId="0" xfId="0" applyFont="1" applyAlignment="1">
      <alignment horizontal="center" vertical="center" wrapText="1"/>
    </xf>
    <xf numFmtId="0" fontId="13" fillId="0" borderId="0" xfId="0"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165" fontId="7" fillId="80" borderId="27" xfId="1058" applyNumberFormat="1" applyFont="1" applyFill="1" applyBorder="1" applyAlignment="1" applyProtection="1">
      <alignment horizontal="center" vertical="center"/>
    </xf>
    <xf numFmtId="9" fontId="7" fillId="80" borderId="20" xfId="1058" applyFont="1" applyFill="1" applyBorder="1" applyAlignment="1" applyProtection="1">
      <alignment horizontal="center" vertical="center"/>
    </xf>
    <xf numFmtId="165" fontId="7" fillId="81" borderId="69" xfId="1058" applyNumberFormat="1" applyFont="1" applyFill="1" applyBorder="1" applyAlignment="1" applyProtection="1">
      <alignment horizontal="center" vertical="center"/>
    </xf>
    <xf numFmtId="165" fontId="7" fillId="81" borderId="33" xfId="1058" applyNumberFormat="1" applyFont="1" applyFill="1" applyBorder="1" applyAlignment="1" applyProtection="1">
      <alignment horizontal="center" vertical="center"/>
    </xf>
    <xf numFmtId="165" fontId="7" fillId="83" borderId="31" xfId="1058" applyNumberFormat="1" applyFont="1" applyFill="1" applyBorder="1" applyAlignment="1" applyProtection="1">
      <alignment horizontal="center" vertical="center"/>
    </xf>
    <xf numFmtId="165" fontId="7" fillId="83" borderId="29" xfId="1058" applyNumberFormat="1" applyFont="1" applyFill="1" applyBorder="1" applyAlignment="1" applyProtection="1">
      <alignment horizontal="center" vertical="center"/>
    </xf>
    <xf numFmtId="165" fontId="7" fillId="83" borderId="27" xfId="1058" applyNumberFormat="1" applyFont="1" applyFill="1" applyBorder="1" applyAlignment="1" applyProtection="1">
      <alignment horizontal="center" vertical="center"/>
    </xf>
    <xf numFmtId="165" fontId="7" fillId="83" borderId="20" xfId="1058" applyNumberFormat="1" applyFont="1" applyFill="1" applyBorder="1" applyAlignment="1" applyProtection="1">
      <alignment horizontal="center" vertical="center"/>
    </xf>
    <xf numFmtId="165" fontId="7" fillId="0" borderId="20" xfId="1058" applyNumberFormat="1" applyFont="1" applyFill="1" applyBorder="1" applyAlignment="1" applyProtection="1">
      <alignment horizontal="center" vertical="center"/>
    </xf>
    <xf numFmtId="0" fontId="125" fillId="0" borderId="0" xfId="0" applyFont="1"/>
    <xf numFmtId="0" fontId="25" fillId="0" borderId="33" xfId="0" applyFont="1" applyBorder="1" applyAlignment="1">
      <alignment horizontal="center" vertical="center" wrapText="1"/>
    </xf>
    <xf numFmtId="9" fontId="21" fillId="79" borderId="18" xfId="356" applyFont="1" applyFill="1" applyBorder="1" applyAlignment="1" applyProtection="1">
      <alignment horizontal="center" vertical="center"/>
    </xf>
    <xf numFmtId="10" fontId="21" fillId="79" borderId="18" xfId="0" applyNumberFormat="1" applyFont="1" applyFill="1" applyBorder="1" applyAlignment="1">
      <alignment horizontal="center" vertical="center"/>
    </xf>
    <xf numFmtId="2" fontId="106" fillId="79" borderId="18" xfId="0" applyNumberFormat="1" applyFont="1" applyFill="1" applyBorder="1" applyAlignment="1">
      <alignment horizontal="center" vertical="center"/>
    </xf>
    <xf numFmtId="0" fontId="79" fillId="0" borderId="28" xfId="0" applyFont="1" applyBorder="1" applyAlignment="1">
      <alignment horizontal="center" vertical="center" wrapText="1" readingOrder="1"/>
    </xf>
    <xf numFmtId="10" fontId="21" fillId="33" borderId="18" xfId="356" applyNumberFormat="1" applyFont="1" applyFill="1" applyBorder="1" applyAlignment="1" applyProtection="1">
      <alignment horizontal="center" vertical="center"/>
    </xf>
    <xf numFmtId="0" fontId="16" fillId="32" borderId="24" xfId="441" applyFont="1" applyFill="1" applyBorder="1" applyAlignment="1" applyProtection="1">
      <alignment horizontal="center" vertical="center" wrapText="1"/>
      <protection locked="0"/>
    </xf>
    <xf numFmtId="0" fontId="10" fillId="0" borderId="107" xfId="0" applyFont="1" applyBorder="1" applyAlignment="1">
      <alignment horizontal="center" vertical="center"/>
    </xf>
    <xf numFmtId="0" fontId="28" fillId="0" borderId="0" xfId="0" applyFont="1" applyAlignment="1">
      <alignment horizontal="center"/>
    </xf>
    <xf numFmtId="0" fontId="28" fillId="0" borderId="0" xfId="0" applyFont="1" applyAlignment="1">
      <alignment horizontal="center" vertical="center"/>
    </xf>
    <xf numFmtId="0" fontId="14" fillId="0" borderId="54" xfId="0" applyFont="1" applyBorder="1" applyAlignment="1">
      <alignment horizontal="center" vertical="center" wrapText="1"/>
    </xf>
    <xf numFmtId="0" fontId="14" fillId="0" borderId="54" xfId="0" applyFont="1" applyBorder="1" applyAlignment="1">
      <alignment horizontal="center" vertical="center"/>
    </xf>
    <xf numFmtId="0" fontId="28" fillId="0" borderId="34" xfId="0" applyFont="1" applyBorder="1" applyAlignment="1">
      <alignment horizontal="center" vertical="top"/>
    </xf>
    <xf numFmtId="0" fontId="14" fillId="0" borderId="108" xfId="0" applyFont="1" applyBorder="1" applyAlignment="1">
      <alignment horizontal="center" vertical="center"/>
    </xf>
    <xf numFmtId="0" fontId="3" fillId="0" borderId="0" xfId="441" applyAlignment="1">
      <alignment horizontal="left" vertical="top"/>
    </xf>
    <xf numFmtId="0" fontId="1" fillId="0" borderId="0" xfId="0" applyFont="1"/>
    <xf numFmtId="0" fontId="127" fillId="0" borderId="0" xfId="0" applyFont="1"/>
    <xf numFmtId="0" fontId="128" fillId="0" borderId="0" xfId="0" applyFont="1" applyAlignment="1">
      <alignment vertical="center"/>
    </xf>
    <xf numFmtId="0" fontId="128" fillId="0" borderId="20" xfId="0" applyFont="1" applyBorder="1" applyAlignment="1">
      <alignment horizontal="center" vertical="center"/>
    </xf>
    <xf numFmtId="0" fontId="107" fillId="0" borderId="55" xfId="0" applyFont="1" applyBorder="1" applyAlignment="1">
      <alignment horizontal="center" vertical="center" wrapText="1"/>
    </xf>
    <xf numFmtId="0" fontId="107" fillId="0" borderId="50" xfId="0" applyFont="1" applyBorder="1" applyAlignment="1">
      <alignment horizontal="center" vertical="center" wrapText="1"/>
    </xf>
    <xf numFmtId="49" fontId="16" fillId="86" borderId="109" xfId="441" applyNumberFormat="1" applyFont="1" applyFill="1" applyBorder="1" applyAlignment="1" applyProtection="1">
      <alignment horizontal="left" vertical="center" wrapText="1"/>
      <protection locked="0"/>
    </xf>
    <xf numFmtId="49" fontId="16" fillId="86" borderId="24" xfId="441" applyNumberFormat="1" applyFont="1" applyFill="1" applyBorder="1" applyAlignment="1" applyProtection="1">
      <alignment horizontal="left" vertical="center" wrapText="1"/>
      <protection locked="0"/>
    </xf>
    <xf numFmtId="1" fontId="16" fillId="86" borderId="24" xfId="441" applyNumberFormat="1" applyFont="1" applyFill="1" applyBorder="1" applyAlignment="1" applyProtection="1">
      <alignment horizontal="center" vertical="center"/>
      <protection locked="0"/>
    </xf>
    <xf numFmtId="1" fontId="16" fillId="86" borderId="74" xfId="441" applyNumberFormat="1" applyFont="1" applyFill="1" applyBorder="1" applyAlignment="1" applyProtection="1">
      <alignment horizontal="center" vertical="center"/>
      <protection locked="0"/>
    </xf>
    <xf numFmtId="49" fontId="16" fillId="86" borderId="64" xfId="441" applyNumberFormat="1" applyFont="1" applyFill="1" applyBorder="1" applyAlignment="1" applyProtection="1">
      <alignment horizontal="left" vertical="center" wrapText="1"/>
      <protection locked="0"/>
    </xf>
    <xf numFmtId="49" fontId="16" fillId="86" borderId="55" xfId="441" applyNumberFormat="1" applyFont="1" applyFill="1" applyBorder="1" applyAlignment="1" applyProtection="1">
      <alignment horizontal="left" vertical="center" wrapText="1"/>
      <protection locked="0"/>
    </xf>
    <xf numFmtId="1" fontId="16" fillId="86" borderId="55" xfId="441" applyNumberFormat="1" applyFont="1" applyFill="1" applyBorder="1" applyAlignment="1" applyProtection="1">
      <alignment horizontal="center" vertical="center"/>
      <protection locked="0"/>
    </xf>
    <xf numFmtId="1" fontId="16" fillId="86" borderId="50" xfId="441" applyNumberFormat="1" applyFont="1" applyFill="1" applyBorder="1" applyAlignment="1" applyProtection="1">
      <alignment horizontal="center" vertical="center"/>
      <protection locked="0"/>
    </xf>
    <xf numFmtId="0" fontId="1" fillId="0" borderId="18" xfId="0" applyFont="1" applyBorder="1" applyAlignment="1">
      <alignment horizontal="left" vertical="center" wrapText="1"/>
    </xf>
    <xf numFmtId="0" fontId="1" fillId="0" borderId="18" xfId="0" applyFont="1" applyBorder="1"/>
    <xf numFmtId="0" fontId="1" fillId="0" borderId="18" xfId="0" applyFont="1" applyBorder="1" applyAlignment="1">
      <alignment horizontal="left" vertical="center"/>
    </xf>
    <xf numFmtId="0" fontId="0" fillId="85" borderId="18" xfId="0" applyFill="1" applyBorder="1"/>
    <xf numFmtId="0" fontId="127" fillId="0" borderId="0" xfId="0" applyFont="1" applyAlignment="1">
      <alignment vertical="center"/>
    </xf>
    <xf numFmtId="0" fontId="129" fillId="0" borderId="0" xfId="0" applyFont="1" applyAlignment="1">
      <alignment horizontal="left" vertical="center" wrapText="1"/>
    </xf>
    <xf numFmtId="0" fontId="107" fillId="0" borderId="60" xfId="0" applyFont="1" applyBorder="1" applyAlignment="1">
      <alignment horizontal="center" vertical="center" wrapText="1"/>
    </xf>
    <xf numFmtId="0" fontId="107" fillId="0" borderId="110" xfId="0" applyFont="1" applyBorder="1" applyAlignment="1">
      <alignment horizontal="center" vertical="center" wrapText="1"/>
    </xf>
    <xf numFmtId="0" fontId="107" fillId="0" borderId="35" xfId="0" applyFont="1" applyBorder="1" applyAlignment="1">
      <alignment horizontal="center" vertical="center" wrapText="1"/>
    </xf>
    <xf numFmtId="0" fontId="107" fillId="0" borderId="36" xfId="0" applyFont="1" applyBorder="1" applyAlignment="1">
      <alignment horizontal="center" vertical="center" wrapText="1"/>
    </xf>
    <xf numFmtId="49" fontId="7" fillId="87" borderId="109" xfId="441" applyNumberFormat="1" applyFont="1" applyFill="1" applyBorder="1" applyAlignment="1" applyProtection="1">
      <alignment vertical="center" wrapText="1"/>
      <protection locked="0"/>
    </xf>
    <xf numFmtId="49" fontId="7" fillId="87" borderId="32" xfId="441" applyNumberFormat="1" applyFont="1" applyFill="1" applyBorder="1" applyAlignment="1" applyProtection="1">
      <alignment horizontal="left" vertical="center"/>
      <protection locked="0"/>
    </xf>
    <xf numFmtId="49" fontId="7" fillId="87" borderId="24" xfId="441" applyNumberFormat="1" applyFont="1" applyFill="1" applyBorder="1" applyAlignment="1" applyProtection="1">
      <alignment vertical="center" wrapText="1"/>
      <protection locked="0"/>
    </xf>
    <xf numFmtId="49" fontId="7" fillId="87" borderId="24" xfId="441" applyNumberFormat="1" applyFont="1" applyFill="1" applyBorder="1" applyAlignment="1" applyProtection="1">
      <alignment horizontal="center" vertical="center" wrapText="1"/>
      <protection locked="0"/>
    </xf>
    <xf numFmtId="1" fontId="7" fillId="87" borderId="24" xfId="441" applyNumberFormat="1" applyFont="1" applyFill="1" applyBorder="1" applyAlignment="1" applyProtection="1">
      <alignment horizontal="center" vertical="center"/>
      <protection locked="0"/>
    </xf>
    <xf numFmtId="1" fontId="7" fillId="87" borderId="74" xfId="441" applyNumberFormat="1" applyFont="1" applyFill="1" applyBorder="1" applyAlignment="1" applyProtection="1">
      <alignment horizontal="left" vertical="center" wrapText="1"/>
      <protection locked="0"/>
    </xf>
    <xf numFmtId="49" fontId="7" fillId="87" borderId="64" xfId="441" applyNumberFormat="1" applyFont="1" applyFill="1" applyBorder="1" applyAlignment="1" applyProtection="1">
      <alignment vertical="center" wrapText="1"/>
      <protection locked="0"/>
    </xf>
    <xf numFmtId="49" fontId="7" fillId="87" borderId="104" xfId="441" applyNumberFormat="1" applyFont="1" applyFill="1" applyBorder="1" applyAlignment="1" applyProtection="1">
      <alignment horizontal="left" vertical="center"/>
      <protection locked="0"/>
    </xf>
    <xf numFmtId="49" fontId="7" fillId="87" borderId="55" xfId="441" applyNumberFormat="1" applyFont="1" applyFill="1" applyBorder="1" applyAlignment="1" applyProtection="1">
      <alignment vertical="center" wrapText="1"/>
      <protection locked="0"/>
    </xf>
    <xf numFmtId="49" fontId="7" fillId="87" borderId="55" xfId="441" applyNumberFormat="1" applyFont="1" applyFill="1" applyBorder="1" applyAlignment="1" applyProtection="1">
      <alignment horizontal="center" vertical="center" wrapText="1"/>
      <protection locked="0"/>
    </xf>
    <xf numFmtId="1" fontId="7" fillId="87" borderId="55" xfId="441" applyNumberFormat="1" applyFont="1" applyFill="1" applyBorder="1" applyAlignment="1" applyProtection="1">
      <alignment horizontal="center" vertical="center"/>
      <protection locked="0"/>
    </xf>
    <xf numFmtId="1" fontId="7" fillId="87" borderId="50" xfId="441" applyNumberFormat="1" applyFont="1" applyFill="1" applyBorder="1" applyAlignment="1" applyProtection="1">
      <alignment horizontal="left" vertical="center" wrapText="1"/>
      <protection locked="0"/>
    </xf>
    <xf numFmtId="0" fontId="129" fillId="0" borderId="0" xfId="0" applyFont="1"/>
    <xf numFmtId="0" fontId="129" fillId="0" borderId="0" xfId="0" applyFont="1" applyAlignment="1">
      <alignment vertical="center"/>
    </xf>
    <xf numFmtId="49" fontId="7" fillId="86" borderId="109" xfId="441" applyNumberFormat="1" applyFont="1" applyFill="1" applyBorder="1" applyAlignment="1" applyProtection="1">
      <alignment vertical="center" wrapText="1"/>
      <protection locked="0"/>
    </xf>
    <xf numFmtId="49" fontId="7" fillId="86" borderId="32" xfId="441" applyNumberFormat="1" applyFont="1" applyFill="1" applyBorder="1" applyAlignment="1" applyProtection="1">
      <alignment horizontal="center" vertical="center" wrapText="1"/>
      <protection locked="0"/>
    </xf>
    <xf numFmtId="49" fontId="7" fillId="86" borderId="32" xfId="441" applyNumberFormat="1" applyFont="1" applyFill="1" applyBorder="1" applyAlignment="1" applyProtection="1">
      <alignment horizontal="left" vertical="center"/>
      <protection locked="0"/>
    </xf>
    <xf numFmtId="49" fontId="7" fillId="86" borderId="24" xfId="441" applyNumberFormat="1" applyFont="1" applyFill="1" applyBorder="1" applyAlignment="1" applyProtection="1">
      <alignment vertical="center" wrapText="1"/>
      <protection locked="0"/>
    </xf>
    <xf numFmtId="49" fontId="7" fillId="86" borderId="24" xfId="441" applyNumberFormat="1" applyFont="1" applyFill="1" applyBorder="1" applyAlignment="1" applyProtection="1">
      <alignment horizontal="center" vertical="center" wrapText="1"/>
      <protection locked="0"/>
    </xf>
    <xf numFmtId="1" fontId="7" fillId="86" borderId="24" xfId="441" applyNumberFormat="1" applyFont="1" applyFill="1" applyBorder="1" applyAlignment="1" applyProtection="1">
      <alignment horizontal="center" vertical="center"/>
      <protection locked="0"/>
    </xf>
    <xf numFmtId="1" fontId="7" fillId="86" borderId="74" xfId="441" applyNumberFormat="1" applyFont="1" applyFill="1" applyBorder="1" applyAlignment="1" applyProtection="1">
      <alignment horizontal="left" vertical="center" wrapText="1"/>
      <protection locked="0"/>
    </xf>
    <xf numFmtId="49" fontId="7" fillId="86" borderId="104" xfId="441" applyNumberFormat="1" applyFont="1" applyFill="1" applyBorder="1" applyAlignment="1" applyProtection="1">
      <alignment horizontal="center" vertical="center" wrapText="1"/>
      <protection locked="0"/>
    </xf>
    <xf numFmtId="49" fontId="7" fillId="86" borderId="104" xfId="441" applyNumberFormat="1" applyFont="1" applyFill="1" applyBorder="1" applyAlignment="1" applyProtection="1">
      <alignment horizontal="left" vertical="center"/>
      <protection locked="0"/>
    </xf>
    <xf numFmtId="49" fontId="7" fillId="86" borderId="55" xfId="441" applyNumberFormat="1" applyFont="1" applyFill="1" applyBorder="1" applyAlignment="1" applyProtection="1">
      <alignment vertical="center" wrapText="1"/>
      <protection locked="0"/>
    </xf>
    <xf numFmtId="49" fontId="7" fillId="86" borderId="55" xfId="441" applyNumberFormat="1" applyFont="1" applyFill="1" applyBorder="1" applyAlignment="1" applyProtection="1">
      <alignment horizontal="center" vertical="center" wrapText="1"/>
      <protection locked="0"/>
    </xf>
    <xf numFmtId="1" fontId="7" fillId="86" borderId="55" xfId="441" applyNumberFormat="1" applyFont="1" applyFill="1" applyBorder="1" applyAlignment="1" applyProtection="1">
      <alignment horizontal="center" vertical="center"/>
      <protection locked="0"/>
    </xf>
    <xf numFmtId="1" fontId="7" fillId="86" borderId="50" xfId="441" applyNumberFormat="1" applyFont="1" applyFill="1" applyBorder="1" applyAlignment="1" applyProtection="1">
      <alignment horizontal="left" vertical="center" wrapText="1"/>
      <protection locked="0"/>
    </xf>
    <xf numFmtId="0" fontId="107" fillId="0" borderId="0" xfId="0" applyFont="1" applyAlignment="1">
      <alignment vertical="center"/>
    </xf>
    <xf numFmtId="1" fontId="110" fillId="0" borderId="20" xfId="0" applyNumberFormat="1" applyFont="1" applyBorder="1" applyAlignment="1">
      <alignment horizontal="center" vertical="center"/>
    </xf>
    <xf numFmtId="0" fontId="107" fillId="0" borderId="0" xfId="0" applyFont="1"/>
    <xf numFmtId="1" fontId="107" fillId="0" borderId="20" xfId="0" applyNumberFormat="1" applyFont="1" applyBorder="1" applyAlignment="1">
      <alignment horizontal="center" vertical="center"/>
    </xf>
    <xf numFmtId="0" fontId="7" fillId="0" borderId="27" xfId="0" applyFont="1" applyBorder="1" applyAlignment="1">
      <alignment vertical="center" wrapText="1"/>
    </xf>
    <xf numFmtId="1" fontId="8" fillId="36" borderId="20" xfId="0" applyNumberFormat="1" applyFont="1" applyFill="1" applyBorder="1" applyAlignment="1">
      <alignment horizontal="center" vertical="center"/>
    </xf>
    <xf numFmtId="0" fontId="70" fillId="88" borderId="18" xfId="0" applyFont="1" applyFill="1" applyBorder="1"/>
    <xf numFmtId="0" fontId="130" fillId="0" borderId="20" xfId="0" applyFont="1" applyBorder="1" applyAlignment="1">
      <alignment vertical="center" wrapText="1"/>
    </xf>
    <xf numFmtId="1" fontId="132" fillId="32" borderId="20" xfId="0" applyNumberFormat="1" applyFont="1" applyFill="1" applyBorder="1" applyAlignment="1" applyProtection="1">
      <alignment horizontal="center" vertical="center"/>
      <protection locked="0"/>
    </xf>
    <xf numFmtId="1" fontId="132" fillId="36" borderId="20" xfId="0" applyNumberFormat="1" applyFont="1" applyFill="1" applyBorder="1" applyAlignment="1">
      <alignment horizontal="center" vertical="center"/>
    </xf>
    <xf numFmtId="10" fontId="132" fillId="27" borderId="20" xfId="356" applyNumberFormat="1" applyFont="1" applyFill="1" applyBorder="1" applyAlignment="1" applyProtection="1">
      <alignment horizontal="center" vertical="center" wrapText="1"/>
    </xf>
    <xf numFmtId="0" fontId="73" fillId="74" borderId="18" xfId="0" applyFont="1" applyFill="1" applyBorder="1" applyAlignment="1">
      <alignment horizontal="left" vertical="center"/>
    </xf>
    <xf numFmtId="10" fontId="132" fillId="0" borderId="20" xfId="0" applyNumberFormat="1" applyFont="1" applyBorder="1" applyAlignment="1">
      <alignment horizontal="center" vertical="center" wrapText="1"/>
    </xf>
    <xf numFmtId="1" fontId="132" fillId="34" borderId="20" xfId="0" applyNumberFormat="1" applyFont="1" applyFill="1" applyBorder="1" applyAlignment="1">
      <alignment horizontal="center" vertical="center" wrapText="1"/>
    </xf>
    <xf numFmtId="0" fontId="0" fillId="0" borderId="18" xfId="0" applyBorder="1" applyAlignment="1">
      <alignment horizontal="center" vertical="center"/>
    </xf>
    <xf numFmtId="0" fontId="110" fillId="0" borderId="0" xfId="0" applyFont="1" applyAlignment="1">
      <alignment horizontal="left" vertical="top" wrapText="1"/>
    </xf>
    <xf numFmtId="0" fontId="7" fillId="0" borderId="0" xfId="0" applyFont="1" applyAlignment="1">
      <alignment horizontal="justify" vertical="center" wrapText="1"/>
    </xf>
    <xf numFmtId="0" fontId="14" fillId="0" borderId="62" xfId="0" applyFont="1" applyBorder="1" applyAlignment="1">
      <alignment horizontal="center" vertical="center" wrapText="1"/>
    </xf>
    <xf numFmtId="0" fontId="14" fillId="0" borderId="54"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64" xfId="0" applyFont="1" applyBorder="1" applyAlignment="1">
      <alignment horizontal="center" vertical="center" wrapText="1"/>
    </xf>
    <xf numFmtId="0" fontId="14" fillId="0" borderId="55" xfId="0" applyFont="1" applyBorder="1" applyAlignment="1">
      <alignment horizontal="center" vertical="center" wrapText="1"/>
    </xf>
    <xf numFmtId="0" fontId="10" fillId="0" borderId="76" xfId="0" applyFont="1" applyBorder="1" applyAlignment="1">
      <alignment horizontal="left" vertical="center" wrapText="1"/>
    </xf>
    <xf numFmtId="0" fontId="10" fillId="0" borderId="106" xfId="0" applyFont="1" applyBorder="1" applyAlignment="1">
      <alignment horizontal="left" vertical="center" wrapText="1"/>
    </xf>
    <xf numFmtId="0" fontId="10" fillId="0" borderId="72" xfId="0" applyFont="1" applyBorder="1" applyAlignment="1">
      <alignment horizontal="left" vertical="center" wrapText="1"/>
    </xf>
    <xf numFmtId="0" fontId="10" fillId="0" borderId="64" xfId="0" applyFont="1" applyBorder="1" applyAlignment="1">
      <alignment horizontal="left" vertical="center" wrapText="1"/>
    </xf>
    <xf numFmtId="0" fontId="10" fillId="0" borderId="55" xfId="0" applyFont="1" applyBorder="1" applyAlignment="1">
      <alignment horizontal="left" vertical="center" wrapText="1"/>
    </xf>
    <xf numFmtId="0" fontId="10" fillId="0" borderId="50" xfId="0" applyFont="1" applyBorder="1" applyAlignment="1">
      <alignment horizontal="left" vertical="center" wrapText="1"/>
    </xf>
    <xf numFmtId="0" fontId="10" fillId="0" borderId="56" xfId="441" applyFont="1" applyBorder="1" applyAlignment="1">
      <alignment horizontal="left" vertical="center" wrapText="1"/>
    </xf>
    <xf numFmtId="0" fontId="10" fillId="0" borderId="68" xfId="441" applyFont="1" applyBorder="1" applyAlignment="1">
      <alignment horizontal="left" vertical="center" wrapText="1"/>
    </xf>
    <xf numFmtId="0" fontId="10" fillId="0" borderId="27" xfId="441" applyFont="1" applyBorder="1" applyAlignment="1">
      <alignment horizontal="left" vertical="center" wrapText="1"/>
    </xf>
    <xf numFmtId="0" fontId="10" fillId="0" borderId="103" xfId="0" applyFont="1" applyBorder="1" applyAlignment="1">
      <alignment horizontal="left" vertical="center" wrapText="1"/>
    </xf>
    <xf numFmtId="0" fontId="10" fillId="0" borderId="104" xfId="0" applyFont="1" applyBorder="1" applyAlignment="1">
      <alignment horizontal="left" vertical="center" wrapText="1"/>
    </xf>
    <xf numFmtId="0" fontId="28" fillId="0" borderId="26" xfId="0" applyFont="1" applyBorder="1" applyAlignment="1">
      <alignment horizontal="center" vertical="center"/>
    </xf>
    <xf numFmtId="0" fontId="28" fillId="0" borderId="104" xfId="0" applyFont="1" applyBorder="1" applyAlignment="1">
      <alignment horizontal="center" vertical="center"/>
    </xf>
    <xf numFmtId="0" fontId="28" fillId="0" borderId="18" xfId="0" applyFont="1" applyBorder="1" applyAlignment="1">
      <alignment horizontal="center" vertical="center"/>
    </xf>
    <xf numFmtId="0" fontId="28" fillId="0" borderId="55" xfId="0" applyFont="1" applyBorder="1" applyAlignment="1">
      <alignment horizontal="center" vertical="center"/>
    </xf>
    <xf numFmtId="0" fontId="10" fillId="0" borderId="18" xfId="0" applyFont="1" applyBorder="1" applyAlignment="1">
      <alignment horizontal="center" vertical="center" wrapText="1"/>
    </xf>
    <xf numFmtId="0" fontId="10" fillId="0" borderId="55" xfId="0" applyFont="1" applyBorder="1" applyAlignment="1">
      <alignment horizontal="center" vertical="center" wrapText="1"/>
    </xf>
    <xf numFmtId="0" fontId="4" fillId="0" borderId="70" xfId="441" applyFont="1" applyBorder="1" applyAlignment="1">
      <alignment horizontal="left" vertical="center" wrapText="1"/>
    </xf>
    <xf numFmtId="0" fontId="4" fillId="0" borderId="67" xfId="441" applyFont="1" applyBorder="1" applyAlignment="1">
      <alignment horizontal="left" vertical="center" wrapText="1"/>
    </xf>
    <xf numFmtId="0" fontId="28" fillId="0" borderId="18" xfId="0" applyFont="1" applyBorder="1" applyAlignment="1">
      <alignment horizontal="center" vertical="center" wrapText="1"/>
    </xf>
    <xf numFmtId="0" fontId="28" fillId="0" borderId="55" xfId="0" applyFont="1" applyBorder="1" applyAlignment="1">
      <alignment horizontal="center" vertical="center" wrapText="1"/>
    </xf>
    <xf numFmtId="0" fontId="3" fillId="32" borderId="23" xfId="441" applyFill="1" applyBorder="1" applyAlignment="1" applyProtection="1">
      <alignment horizontal="left" vertical="center"/>
      <protection locked="0"/>
    </xf>
    <xf numFmtId="0" fontId="3" fillId="32" borderId="25" xfId="441" applyFill="1" applyBorder="1" applyAlignment="1" applyProtection="1">
      <alignment horizontal="left" vertical="center"/>
      <protection locked="0"/>
    </xf>
    <xf numFmtId="0" fontId="3" fillId="32" borderId="26" xfId="441" applyFill="1" applyBorder="1" applyAlignment="1" applyProtection="1">
      <alignment horizontal="left" vertical="center"/>
      <protection locked="0"/>
    </xf>
    <xf numFmtId="0" fontId="3" fillId="0" borderId="18" xfId="441" applyBorder="1" applyAlignment="1">
      <alignment horizontal="center" vertical="center" wrapText="1"/>
    </xf>
    <xf numFmtId="0" fontId="15" fillId="0" borderId="0" xfId="0" applyFont="1" applyAlignment="1">
      <alignment horizontal="center" vertical="center"/>
    </xf>
    <xf numFmtId="14" fontId="15" fillId="32" borderId="23" xfId="0" applyNumberFormat="1" applyFont="1" applyFill="1" applyBorder="1" applyAlignment="1" applyProtection="1">
      <alignment horizontal="center" vertical="center"/>
      <protection locked="0"/>
    </xf>
    <xf numFmtId="0" fontId="15" fillId="32" borderId="26" xfId="0" applyFont="1" applyFill="1" applyBorder="1" applyAlignment="1" applyProtection="1">
      <alignment horizontal="center" vertical="center"/>
      <protection locked="0"/>
    </xf>
    <xf numFmtId="0" fontId="3" fillId="0" borderId="101" xfId="441" applyBorder="1" applyAlignment="1">
      <alignment horizontal="left"/>
    </xf>
    <xf numFmtId="0" fontId="3" fillId="0" borderId="0" xfId="441" applyAlignment="1">
      <alignment horizontal="left"/>
    </xf>
    <xf numFmtId="0" fontId="3" fillId="0" borderId="67" xfId="441" applyBorder="1" applyAlignment="1">
      <alignment horizontal="left"/>
    </xf>
    <xf numFmtId="2" fontId="15" fillId="32" borderId="23" xfId="0" applyNumberFormat="1" applyFont="1" applyFill="1" applyBorder="1" applyAlignment="1" applyProtection="1">
      <alignment horizontal="left" vertical="center"/>
      <protection locked="0"/>
    </xf>
    <xf numFmtId="2" fontId="15" fillId="32" borderId="25" xfId="0" applyNumberFormat="1" applyFont="1" applyFill="1" applyBorder="1" applyAlignment="1" applyProtection="1">
      <alignment horizontal="left" vertical="center"/>
      <protection locked="0"/>
    </xf>
    <xf numFmtId="2" fontId="15" fillId="32" borderId="26" xfId="0" applyNumberFormat="1" applyFont="1" applyFill="1" applyBorder="1" applyAlignment="1" applyProtection="1">
      <alignment horizontal="left" vertical="center"/>
      <protection locked="0"/>
    </xf>
    <xf numFmtId="0" fontId="3" fillId="0" borderId="0" xfId="441" applyAlignment="1">
      <alignment horizontal="left" vertical="center"/>
    </xf>
    <xf numFmtId="0" fontId="3" fillId="0" borderId="67" xfId="441" applyBorder="1" applyAlignment="1">
      <alignment horizontal="left" vertical="center"/>
    </xf>
    <xf numFmtId="0" fontId="3" fillId="0" borderId="0" xfId="0" applyFont="1" applyAlignment="1">
      <alignment horizontal="left"/>
    </xf>
    <xf numFmtId="0" fontId="3" fillId="0" borderId="67" xfId="0" applyFont="1" applyBorder="1" applyAlignment="1">
      <alignment horizontal="left"/>
    </xf>
    <xf numFmtId="0" fontId="81" fillId="0" borderId="0" xfId="0" applyFont="1" applyAlignment="1">
      <alignment horizontal="center" vertical="center"/>
    </xf>
    <xf numFmtId="14" fontId="3" fillId="0" borderId="18" xfId="441" applyNumberFormat="1" applyBorder="1" applyAlignment="1">
      <alignment horizontal="center" vertical="center"/>
    </xf>
    <xf numFmtId="0" fontId="3" fillId="0" borderId="18" xfId="441" applyBorder="1" applyAlignment="1">
      <alignment horizontal="center" vertical="center"/>
    </xf>
    <xf numFmtId="0" fontId="15" fillId="32" borderId="23" xfId="0" applyFont="1" applyFill="1" applyBorder="1" applyAlignment="1" applyProtection="1">
      <alignment horizontal="left" vertical="center"/>
      <protection locked="0"/>
    </xf>
    <xf numFmtId="0" fontId="15" fillId="32" borderId="25" xfId="0" applyFont="1" applyFill="1" applyBorder="1" applyAlignment="1" applyProtection="1">
      <alignment horizontal="left" vertical="center"/>
      <protection locked="0"/>
    </xf>
    <xf numFmtId="0" fontId="15" fillId="32" borderId="26" xfId="0" applyFont="1" applyFill="1" applyBorder="1" applyAlignment="1" applyProtection="1">
      <alignment horizontal="left" vertical="center"/>
      <protection locked="0"/>
    </xf>
    <xf numFmtId="0" fontId="15" fillId="0" borderId="0" xfId="0" applyFont="1" applyAlignment="1">
      <alignment horizontal="left" vertical="center" wrapText="1"/>
    </xf>
    <xf numFmtId="165" fontId="3" fillId="0" borderId="0" xfId="441" applyNumberFormat="1" applyAlignment="1">
      <alignment horizontal="center" vertical="center"/>
    </xf>
    <xf numFmtId="0" fontId="14" fillId="0" borderId="52"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0" xfId="0" applyFont="1" applyBorder="1" applyAlignment="1">
      <alignment horizontal="center" vertical="center" wrapText="1"/>
    </xf>
    <xf numFmtId="0" fontId="3" fillId="0" borderId="0" xfId="441" applyAlignment="1">
      <alignment horizontal="center" vertical="center" wrapText="1"/>
    </xf>
    <xf numFmtId="0" fontId="15" fillId="0" borderId="23" xfId="0" applyFont="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3" fillId="32" borderId="23" xfId="441" applyFill="1" applyBorder="1" applyAlignment="1" applyProtection="1">
      <alignment horizontal="center" vertical="center"/>
      <protection locked="0"/>
    </xf>
    <xf numFmtId="0" fontId="3" fillId="32" borderId="25" xfId="441" applyFill="1" applyBorder="1" applyAlignment="1" applyProtection="1">
      <alignment horizontal="center" vertical="center"/>
      <protection locked="0"/>
    </xf>
    <xf numFmtId="0" fontId="3" fillId="32" borderId="26" xfId="441" applyFill="1" applyBorder="1" applyAlignment="1" applyProtection="1">
      <alignment horizontal="center" vertical="center"/>
      <protection locked="0"/>
    </xf>
    <xf numFmtId="0" fontId="3" fillId="0" borderId="23" xfId="441" applyBorder="1" applyAlignment="1">
      <alignment horizontal="center" vertical="center"/>
    </xf>
    <xf numFmtId="0" fontId="3" fillId="0" borderId="25" xfId="441" applyBorder="1" applyAlignment="1">
      <alignment horizontal="center" vertical="center"/>
    </xf>
    <xf numFmtId="0" fontId="3" fillId="0" borderId="26" xfId="441" applyBorder="1" applyAlignment="1">
      <alignment horizontal="center" vertical="center"/>
    </xf>
    <xf numFmtId="0" fontId="120" fillId="0" borderId="0" xfId="0" applyFont="1" applyAlignment="1">
      <alignment horizontal="left" vertical="center" wrapText="1"/>
    </xf>
    <xf numFmtId="0" fontId="120" fillId="0" borderId="0" xfId="0" applyFont="1" applyAlignment="1">
      <alignment horizontal="left" vertical="center"/>
    </xf>
    <xf numFmtId="0" fontId="21" fillId="0" borderId="18" xfId="0" applyFont="1" applyBorder="1" applyAlignment="1">
      <alignment horizontal="left" vertical="center" wrapText="1"/>
    </xf>
    <xf numFmtId="0" fontId="73" fillId="0" borderId="18" xfId="0" applyFont="1" applyBorder="1" applyAlignment="1">
      <alignment horizontal="left" vertical="center" wrapText="1"/>
    </xf>
    <xf numFmtId="0" fontId="73" fillId="0" borderId="23" xfId="0" applyFont="1" applyBorder="1" applyAlignment="1">
      <alignment horizontal="left" vertical="center" wrapText="1"/>
    </xf>
    <xf numFmtId="0" fontId="73" fillId="0" borderId="25" xfId="0" applyFont="1" applyBorder="1" applyAlignment="1">
      <alignment horizontal="left" vertical="center" wrapText="1"/>
    </xf>
    <xf numFmtId="0" fontId="73" fillId="0" borderId="26" xfId="0" applyFont="1" applyBorder="1" applyAlignment="1">
      <alignment horizontal="left" vertical="center" wrapText="1"/>
    </xf>
    <xf numFmtId="0" fontId="110" fillId="0" borderId="0" xfId="0" applyFont="1" applyAlignment="1">
      <alignment horizontal="left" wrapText="1"/>
    </xf>
    <xf numFmtId="0" fontId="0" fillId="0" borderId="0" xfId="0" applyAlignment="1">
      <alignment horizontal="left" wrapText="1"/>
    </xf>
    <xf numFmtId="0" fontId="107" fillId="0" borderId="62" xfId="0" applyFont="1" applyBorder="1" applyAlignment="1">
      <alignment horizontal="center" vertical="center" wrapText="1"/>
    </xf>
    <xf numFmtId="0" fontId="107" fillId="0" borderId="64" xfId="0" applyFont="1" applyBorder="1" applyAlignment="1">
      <alignment horizontal="center" vertical="center" wrapText="1"/>
    </xf>
    <xf numFmtId="0" fontId="107" fillId="0" borderId="54" xfId="0" applyFont="1" applyBorder="1" applyAlignment="1">
      <alignment horizontal="center" vertical="center" wrapText="1"/>
    </xf>
    <xf numFmtId="0" fontId="107" fillId="0" borderId="55" xfId="0" applyFont="1" applyBorder="1" applyAlignment="1">
      <alignment horizontal="center" vertical="center" wrapText="1"/>
    </xf>
    <xf numFmtId="0" fontId="107" fillId="0" borderId="52" xfId="0" applyFont="1" applyBorder="1" applyAlignment="1">
      <alignment horizontal="center" vertical="center" wrapText="1"/>
    </xf>
    <xf numFmtId="0" fontId="129" fillId="0" borderId="0" xfId="0" applyFont="1" applyAlignment="1">
      <alignment horizontal="left" vertical="center" wrapText="1"/>
    </xf>
    <xf numFmtId="0" fontId="131" fillId="0" borderId="33" xfId="0" quotePrefix="1" applyFont="1" applyBorder="1" applyAlignment="1">
      <alignment horizontal="center" vertical="center" wrapText="1" readingOrder="1"/>
    </xf>
    <xf numFmtId="0" fontId="131" fillId="0" borderId="28" xfId="0" applyFont="1" applyBorder="1" applyAlignment="1">
      <alignment horizontal="center" vertical="center" wrapText="1" readingOrder="1"/>
    </xf>
    <xf numFmtId="0" fontId="131" fillId="0" borderId="29" xfId="0" applyFont="1" applyBorder="1" applyAlignment="1">
      <alignment horizontal="center" vertical="center" wrapText="1" readingOrder="1"/>
    </xf>
    <xf numFmtId="0" fontId="131" fillId="0" borderId="53" xfId="0" applyFont="1" applyBorder="1" applyAlignment="1">
      <alignment horizontal="center" vertical="center" wrapText="1" readingOrder="1"/>
    </xf>
    <xf numFmtId="0" fontId="131" fillId="0" borderId="69" xfId="0" applyFont="1" applyBorder="1" applyAlignment="1">
      <alignment horizontal="center" vertical="center" wrapText="1" readingOrder="1"/>
    </xf>
    <xf numFmtId="0" fontId="131" fillId="0" borderId="70" xfId="0" applyFont="1" applyBorder="1" applyAlignment="1">
      <alignment horizontal="center" vertical="center" wrapText="1" readingOrder="1"/>
    </xf>
    <xf numFmtId="0" fontId="131" fillId="0" borderId="39" xfId="0" applyFont="1" applyBorder="1" applyAlignment="1">
      <alignment horizontal="center" vertical="center" wrapText="1" readingOrder="1"/>
    </xf>
    <xf numFmtId="0" fontId="131" fillId="0" borderId="61" xfId="0" applyFont="1" applyBorder="1" applyAlignment="1">
      <alignment horizontal="center" vertical="center" wrapText="1" readingOrder="1"/>
    </xf>
    <xf numFmtId="0" fontId="131" fillId="0" borderId="31" xfId="0" applyFont="1" applyBorder="1" applyAlignment="1">
      <alignment horizontal="center" vertical="center" wrapText="1" readingOrder="1"/>
    </xf>
    <xf numFmtId="9" fontId="131" fillId="0" borderId="33" xfId="0" applyNumberFormat="1" applyFont="1" applyBorder="1" applyAlignment="1">
      <alignment horizontal="center" vertical="center" wrapText="1" readingOrder="1"/>
    </xf>
    <xf numFmtId="0" fontId="133" fillId="30" borderId="33" xfId="0" applyFont="1" applyFill="1" applyBorder="1" applyAlignment="1">
      <alignment horizontal="center" vertical="center" wrapText="1"/>
    </xf>
    <xf numFmtId="0" fontId="133" fillId="30" borderId="28" xfId="0" applyFont="1" applyFill="1" applyBorder="1" applyAlignment="1">
      <alignment horizontal="center" vertical="center" wrapText="1"/>
    </xf>
    <xf numFmtId="0" fontId="133" fillId="30" borderId="29" xfId="0" applyFont="1" applyFill="1" applyBorder="1" applyAlignment="1">
      <alignment horizontal="center" vertical="center" wrapText="1"/>
    </xf>
    <xf numFmtId="0" fontId="130" fillId="76" borderId="33" xfId="0" applyFont="1" applyFill="1" applyBorder="1" applyAlignment="1" applyProtection="1">
      <alignment horizontal="left" vertical="center" wrapText="1"/>
      <protection locked="0"/>
    </xf>
    <xf numFmtId="0" fontId="130" fillId="76" borderId="28" xfId="0" applyFont="1" applyFill="1" applyBorder="1" applyAlignment="1" applyProtection="1">
      <alignment horizontal="left" vertical="center" wrapText="1"/>
      <protection locked="0"/>
    </xf>
    <xf numFmtId="0" fontId="130" fillId="76" borderId="29" xfId="0" applyFont="1" applyFill="1" applyBorder="1" applyAlignment="1" applyProtection="1">
      <alignment horizontal="left" vertical="center" wrapText="1"/>
      <protection locked="0"/>
    </xf>
    <xf numFmtId="0" fontId="13" fillId="32" borderId="69" xfId="0" applyFont="1" applyFill="1" applyBorder="1" applyAlignment="1" applyProtection="1">
      <alignment horizontal="left" vertical="center" wrapText="1"/>
      <protection locked="0"/>
    </xf>
    <xf numFmtId="0" fontId="13" fillId="32" borderId="39" xfId="0" applyFont="1" applyFill="1" applyBorder="1" applyAlignment="1" applyProtection="1">
      <alignment horizontal="left" vertical="center" wrapText="1"/>
      <protection locked="0"/>
    </xf>
    <xf numFmtId="0" fontId="13" fillId="32" borderId="31" xfId="0" applyFont="1" applyFill="1" applyBorder="1" applyAlignment="1" applyProtection="1">
      <alignment horizontal="left" vertical="center" wrapText="1"/>
      <protection locked="0"/>
    </xf>
    <xf numFmtId="49" fontId="13" fillId="0" borderId="111" xfId="0" applyNumberFormat="1" applyFont="1" applyBorder="1" applyAlignment="1">
      <alignment horizontal="center" vertical="center" wrapText="1" readingOrder="1"/>
    </xf>
    <xf numFmtId="49" fontId="13" fillId="0" borderId="112" xfId="0" applyNumberFormat="1" applyFont="1" applyBorder="1" applyAlignment="1">
      <alignment horizontal="center" vertical="center" wrapText="1" readingOrder="1"/>
    </xf>
    <xf numFmtId="49" fontId="13" fillId="0" borderId="105" xfId="0" applyNumberFormat="1" applyFont="1" applyBorder="1" applyAlignment="1">
      <alignment horizontal="center" vertical="center" wrapText="1" readingOrder="1"/>
    </xf>
    <xf numFmtId="49" fontId="13" fillId="0" borderId="113" xfId="0" applyNumberFormat="1" applyFont="1" applyBorder="1" applyAlignment="1">
      <alignment horizontal="center" vertical="center" wrapText="1" readingOrder="1"/>
    </xf>
    <xf numFmtId="49" fontId="13" fillId="0" borderId="114" xfId="0" applyNumberFormat="1" applyFont="1" applyBorder="1" applyAlignment="1">
      <alignment horizontal="center" vertical="center" wrapText="1" readingOrder="1"/>
    </xf>
    <xf numFmtId="49" fontId="13" fillId="0" borderId="102" xfId="0" applyNumberFormat="1" applyFont="1" applyBorder="1" applyAlignment="1">
      <alignment horizontal="center" vertical="center" wrapText="1" readingOrder="1"/>
    </xf>
    <xf numFmtId="49" fontId="130" fillId="0" borderId="111" xfId="0" applyNumberFormat="1" applyFont="1" applyBorder="1" applyAlignment="1">
      <alignment horizontal="center" vertical="center" wrapText="1" readingOrder="1"/>
    </xf>
    <xf numFmtId="49" fontId="130" fillId="0" borderId="112" xfId="0" applyNumberFormat="1" applyFont="1" applyBorder="1" applyAlignment="1">
      <alignment horizontal="center" vertical="center" wrapText="1" readingOrder="1"/>
    </xf>
    <xf numFmtId="49" fontId="130" fillId="0" borderId="105" xfId="0" applyNumberFormat="1" applyFont="1" applyBorder="1" applyAlignment="1">
      <alignment horizontal="center" vertical="center" wrapText="1" readingOrder="1"/>
    </xf>
    <xf numFmtId="0" fontId="13" fillId="0" borderId="33" xfId="0" applyFont="1" applyBorder="1" applyAlignment="1">
      <alignment horizontal="center" vertical="center" wrapText="1" readingOrder="1"/>
    </xf>
    <xf numFmtId="0" fontId="13" fillId="0" borderId="28" xfId="0" applyFont="1" applyBorder="1" applyAlignment="1">
      <alignment horizontal="center" vertical="center" wrapText="1" readingOrder="1"/>
    </xf>
    <xf numFmtId="0" fontId="13" fillId="0" borderId="29" xfId="0" applyFont="1" applyBorder="1" applyAlignment="1">
      <alignment horizontal="center" vertical="center" wrapText="1" readingOrder="1"/>
    </xf>
    <xf numFmtId="0" fontId="130" fillId="0" borderId="53" xfId="0" applyFont="1" applyBorder="1" applyAlignment="1">
      <alignment horizontal="center" vertical="center" wrapText="1"/>
    </xf>
    <xf numFmtId="0" fontId="130" fillId="0" borderId="69" xfId="0" applyFont="1" applyBorder="1" applyAlignment="1">
      <alignment horizontal="center" vertical="center" wrapText="1"/>
    </xf>
    <xf numFmtId="0" fontId="130" fillId="0" borderId="70" xfId="0" applyFont="1" applyBorder="1" applyAlignment="1">
      <alignment horizontal="center" vertical="center" wrapText="1"/>
    </xf>
    <xf numFmtId="0" fontId="130" fillId="0" borderId="39" xfId="0" applyFont="1" applyBorder="1" applyAlignment="1">
      <alignment horizontal="center" vertical="center" wrapText="1"/>
    </xf>
    <xf numFmtId="0" fontId="130" fillId="0" borderId="61" xfId="0" applyFont="1" applyBorder="1" applyAlignment="1">
      <alignment horizontal="center" vertical="center" wrapText="1"/>
    </xf>
    <xf numFmtId="0" fontId="130" fillId="0" borderId="31" xfId="0" applyFont="1" applyBorder="1" applyAlignment="1">
      <alignment horizontal="center" vertical="center" wrapText="1"/>
    </xf>
    <xf numFmtId="49" fontId="133" fillId="0" borderId="33" xfId="0" applyNumberFormat="1" applyFont="1" applyBorder="1" applyAlignment="1">
      <alignment horizontal="center" vertical="center" wrapText="1" readingOrder="1"/>
    </xf>
    <xf numFmtId="49" fontId="133" fillId="0" borderId="28" xfId="0" applyNumberFormat="1" applyFont="1" applyBorder="1" applyAlignment="1">
      <alignment horizontal="center" vertical="center" wrapText="1" readingOrder="1"/>
    </xf>
    <xf numFmtId="49" fontId="133" fillId="0" borderId="29" xfId="0" applyNumberFormat="1" applyFont="1" applyBorder="1" applyAlignment="1">
      <alignment horizontal="center" vertical="center" wrapText="1" readingOrder="1"/>
    </xf>
    <xf numFmtId="0" fontId="130" fillId="0" borderId="20" xfId="0" applyFont="1" applyBorder="1" applyAlignment="1">
      <alignment horizontal="left" vertical="center" wrapText="1" readingOrder="1"/>
    </xf>
    <xf numFmtId="0" fontId="130" fillId="0" borderId="53" xfId="0" applyFont="1" applyBorder="1" applyAlignment="1">
      <alignment horizontal="left" vertical="center" wrapText="1"/>
    </xf>
    <xf numFmtId="0" fontId="130" fillId="0" borderId="69" xfId="0" applyFont="1" applyBorder="1" applyAlignment="1">
      <alignment horizontal="left" vertical="center" wrapText="1"/>
    </xf>
    <xf numFmtId="0" fontId="130" fillId="0" borderId="70" xfId="0" applyFont="1" applyBorder="1" applyAlignment="1">
      <alignment horizontal="left" vertical="center" wrapText="1"/>
    </xf>
    <xf numFmtId="0" fontId="130" fillId="0" borderId="39" xfId="0" applyFont="1" applyBorder="1" applyAlignment="1">
      <alignment horizontal="left" vertical="center" wrapText="1"/>
    </xf>
    <xf numFmtId="0" fontId="130" fillId="0" borderId="61" xfId="0" applyFont="1" applyBorder="1" applyAlignment="1">
      <alignment horizontal="left" vertical="center" wrapText="1"/>
    </xf>
    <xf numFmtId="0" fontId="130" fillId="0" borderId="31" xfId="0" applyFont="1" applyBorder="1" applyAlignment="1">
      <alignment horizontal="left" vertical="center" wrapText="1"/>
    </xf>
    <xf numFmtId="0" fontId="130" fillId="0" borderId="71" xfId="0" applyFont="1" applyBorder="1" applyAlignment="1">
      <alignment horizontal="left" vertical="center" wrapText="1"/>
    </xf>
    <xf numFmtId="0" fontId="130" fillId="0" borderId="0" xfId="0" applyFont="1" applyAlignment="1">
      <alignment horizontal="left" vertical="center" wrapText="1"/>
    </xf>
    <xf numFmtId="0" fontId="130" fillId="0" borderId="34" xfId="0" applyFont="1" applyBorder="1" applyAlignment="1">
      <alignment horizontal="left" vertical="center" wrapText="1"/>
    </xf>
    <xf numFmtId="9" fontId="131" fillId="0" borderId="33" xfId="0" quotePrefix="1" applyNumberFormat="1" applyFont="1" applyBorder="1" applyAlignment="1">
      <alignment horizontal="center" vertical="center" wrapText="1" readingOrder="1"/>
    </xf>
    <xf numFmtId="49" fontId="47" fillId="0" borderId="69" xfId="0" applyNumberFormat="1" applyFont="1" applyBorder="1" applyAlignment="1">
      <alignment horizontal="center" vertical="center" wrapText="1" readingOrder="1"/>
    </xf>
    <xf numFmtId="49" fontId="47" fillId="0" borderId="39" xfId="0" applyNumberFormat="1" applyFont="1" applyBorder="1" applyAlignment="1">
      <alignment horizontal="center" vertical="center" wrapText="1" readingOrder="1"/>
    </xf>
    <xf numFmtId="49" fontId="47" fillId="0" borderId="31" xfId="0" applyNumberFormat="1" applyFont="1" applyBorder="1" applyAlignment="1">
      <alignment horizontal="center" vertical="center" wrapText="1" readingOrder="1"/>
    </xf>
    <xf numFmtId="0" fontId="130" fillId="0" borderId="53" xfId="0" applyFont="1" applyBorder="1" applyAlignment="1">
      <alignment horizontal="left" vertical="center" wrapText="1" readingOrder="1"/>
    </xf>
    <xf numFmtId="0" fontId="130" fillId="0" borderId="69" xfId="0" applyFont="1" applyBorder="1" applyAlignment="1">
      <alignment horizontal="left" vertical="center" wrapText="1" readingOrder="1"/>
    </xf>
    <xf numFmtId="0" fontId="130" fillId="0" borderId="70" xfId="0" applyFont="1" applyBorder="1" applyAlignment="1">
      <alignment horizontal="left" vertical="center" wrapText="1" readingOrder="1"/>
    </xf>
    <xf numFmtId="0" fontId="130" fillId="0" borderId="39" xfId="0" applyFont="1" applyBorder="1" applyAlignment="1">
      <alignment horizontal="left" vertical="center" wrapText="1" readingOrder="1"/>
    </xf>
    <xf numFmtId="0" fontId="130" fillId="0" borderId="61" xfId="0" applyFont="1" applyBorder="1" applyAlignment="1">
      <alignment horizontal="left" vertical="center" wrapText="1" readingOrder="1"/>
    </xf>
    <xf numFmtId="0" fontId="130" fillId="0" borderId="31" xfId="0" applyFont="1" applyBorder="1" applyAlignment="1">
      <alignment horizontal="left" vertical="center" wrapText="1" readingOrder="1"/>
    </xf>
    <xf numFmtId="0" fontId="130" fillId="0" borderId="71" xfId="0" applyFont="1" applyBorder="1" applyAlignment="1">
      <alignment horizontal="left" vertical="center" wrapText="1" readingOrder="1"/>
    </xf>
    <xf numFmtId="0" fontId="130" fillId="0" borderId="0" xfId="0" applyFont="1" applyAlignment="1">
      <alignment horizontal="left" vertical="center" wrapText="1" readingOrder="1"/>
    </xf>
    <xf numFmtId="0" fontId="130" fillId="0" borderId="34" xfId="0" applyFont="1" applyBorder="1" applyAlignment="1">
      <alignment horizontal="left" vertical="center" wrapText="1" readingOrder="1"/>
    </xf>
    <xf numFmtId="0" fontId="7" fillId="0" borderId="53" xfId="0" applyFont="1" applyBorder="1" applyAlignment="1">
      <alignment horizontal="left" vertical="center" wrapText="1"/>
    </xf>
    <xf numFmtId="0" fontId="7" fillId="0" borderId="69" xfId="0" applyFont="1" applyBorder="1" applyAlignment="1">
      <alignment horizontal="left" vertical="center" wrapText="1"/>
    </xf>
    <xf numFmtId="0" fontId="7" fillId="0" borderId="70" xfId="0" applyFont="1" applyBorder="1" applyAlignment="1">
      <alignment horizontal="left" vertical="center" wrapText="1"/>
    </xf>
    <xf numFmtId="0" fontId="7" fillId="0" borderId="39" xfId="0" applyFont="1" applyBorder="1" applyAlignment="1">
      <alignment horizontal="left" vertical="center" wrapText="1"/>
    </xf>
    <xf numFmtId="0" fontId="7" fillId="0" borderId="61" xfId="0" applyFont="1" applyBorder="1" applyAlignment="1">
      <alignment horizontal="left" vertical="center" wrapText="1"/>
    </xf>
    <xf numFmtId="0" fontId="7" fillId="0" borderId="31" xfId="0" applyFont="1" applyBorder="1" applyAlignment="1">
      <alignment horizontal="left" vertical="center" wrapText="1"/>
    </xf>
    <xf numFmtId="0" fontId="7" fillId="0" borderId="71" xfId="0" applyFont="1" applyBorder="1" applyAlignment="1">
      <alignment horizontal="left" vertical="center" wrapText="1"/>
    </xf>
    <xf numFmtId="0" fontId="7" fillId="0" borderId="0" xfId="0" applyFont="1" applyAlignment="1">
      <alignment horizontal="left" vertical="center" wrapText="1"/>
    </xf>
    <xf numFmtId="0" fontId="7" fillId="0" borderId="34" xfId="0" applyFont="1" applyBorder="1" applyAlignment="1">
      <alignment horizontal="left" vertical="center" wrapText="1"/>
    </xf>
    <xf numFmtId="0" fontId="7" fillId="0" borderId="20" xfId="0" applyFont="1" applyBorder="1" applyAlignment="1">
      <alignment horizontal="left" vertical="center" wrapText="1" readingOrder="1"/>
    </xf>
    <xf numFmtId="0" fontId="7" fillId="0" borderId="53" xfId="0" applyFont="1" applyBorder="1" applyAlignment="1">
      <alignment horizontal="left" vertical="center" wrapText="1" readingOrder="1"/>
    </xf>
    <xf numFmtId="0" fontId="7" fillId="0" borderId="71" xfId="0" applyFont="1" applyBorder="1" applyAlignment="1">
      <alignment horizontal="left" vertical="center" wrapText="1" readingOrder="1"/>
    </xf>
    <xf numFmtId="0" fontId="7" fillId="0" borderId="70" xfId="0" applyFont="1" applyBorder="1" applyAlignment="1">
      <alignment horizontal="left" vertical="center" wrapText="1" readingOrder="1"/>
    </xf>
    <xf numFmtId="0" fontId="7" fillId="0" borderId="0" xfId="0" applyFont="1" applyAlignment="1">
      <alignment horizontal="left" vertical="center" wrapText="1" readingOrder="1"/>
    </xf>
    <xf numFmtId="0" fontId="13" fillId="0" borderId="53" xfId="0" applyFont="1" applyBorder="1" applyAlignment="1">
      <alignment horizontal="left" vertical="center" wrapText="1" readingOrder="1"/>
    </xf>
    <xf numFmtId="0" fontId="13" fillId="0" borderId="71" xfId="0" applyFont="1" applyBorder="1" applyAlignment="1">
      <alignment horizontal="left" vertical="center" wrapText="1" readingOrder="1"/>
    </xf>
    <xf numFmtId="0" fontId="13" fillId="0" borderId="69" xfId="0" applyFont="1" applyBorder="1" applyAlignment="1">
      <alignment horizontal="left" vertical="center" wrapText="1" readingOrder="1"/>
    </xf>
    <xf numFmtId="0" fontId="13" fillId="0" borderId="70" xfId="0" applyFont="1" applyBorder="1" applyAlignment="1">
      <alignment horizontal="left" vertical="center" wrapText="1" readingOrder="1"/>
    </xf>
    <xf numFmtId="0" fontId="13" fillId="0" borderId="0" xfId="0" applyFont="1" applyAlignment="1">
      <alignment horizontal="left" vertical="center" wrapText="1" readingOrder="1"/>
    </xf>
    <xf numFmtId="0" fontId="13" fillId="0" borderId="39" xfId="0" applyFont="1" applyBorder="1" applyAlignment="1">
      <alignment horizontal="left" vertical="center" wrapText="1" readingOrder="1"/>
    </xf>
    <xf numFmtId="0" fontId="13" fillId="0" borderId="61" xfId="0" applyFont="1" applyBorder="1" applyAlignment="1">
      <alignment horizontal="left" vertical="center" wrapText="1" readingOrder="1"/>
    </xf>
    <xf numFmtId="0" fontId="13" fillId="0" borderId="34" xfId="0" applyFont="1" applyBorder="1" applyAlignment="1">
      <alignment horizontal="left" vertical="center" wrapText="1" readingOrder="1"/>
    </xf>
    <xf numFmtId="0" fontId="13" fillId="0" borderId="31" xfId="0" applyFont="1" applyBorder="1" applyAlignment="1">
      <alignment horizontal="left" vertical="center" wrapText="1" readingOrder="1"/>
    </xf>
    <xf numFmtId="0" fontId="131" fillId="0" borderId="33" xfId="0" applyFont="1" applyBorder="1" applyAlignment="1">
      <alignment horizontal="center" vertical="center" wrapText="1" readingOrder="1"/>
    </xf>
    <xf numFmtId="0" fontId="13" fillId="76" borderId="33" xfId="0" applyFont="1" applyFill="1" applyBorder="1" applyAlignment="1" applyProtection="1">
      <alignment horizontal="left" vertical="center" wrapText="1"/>
      <protection locked="0"/>
    </xf>
    <xf numFmtId="0" fontId="13" fillId="76" borderId="28" xfId="0" applyFont="1" applyFill="1" applyBorder="1" applyAlignment="1" applyProtection="1">
      <alignment horizontal="left" vertical="center" wrapText="1"/>
      <protection locked="0"/>
    </xf>
    <xf numFmtId="0" fontId="13" fillId="76" borderId="29" xfId="0" applyFont="1" applyFill="1" applyBorder="1" applyAlignment="1" applyProtection="1">
      <alignment horizontal="left" vertical="center" wrapText="1"/>
      <protection locked="0"/>
    </xf>
    <xf numFmtId="0" fontId="47" fillId="30" borderId="33" xfId="0" applyFont="1" applyFill="1" applyBorder="1" applyAlignment="1">
      <alignment horizontal="center" vertical="center" wrapText="1"/>
    </xf>
    <xf numFmtId="0" fontId="47" fillId="30" borderId="28" xfId="0" applyFont="1" applyFill="1" applyBorder="1" applyAlignment="1">
      <alignment horizontal="center" vertical="center" wrapText="1"/>
    </xf>
    <xf numFmtId="0" fontId="47" fillId="30" borderId="29" xfId="0" applyFont="1" applyFill="1" applyBorder="1" applyAlignment="1">
      <alignment horizontal="center" vertical="center" wrapText="1"/>
    </xf>
    <xf numFmtId="0" fontId="79" fillId="0" borderId="33" xfId="0" quotePrefix="1" applyFont="1" applyBorder="1" applyAlignment="1">
      <alignment horizontal="center" vertical="center" wrapText="1" readingOrder="1"/>
    </xf>
    <xf numFmtId="0" fontId="79" fillId="0" borderId="28" xfId="0" applyFont="1" applyBorder="1" applyAlignment="1">
      <alignment horizontal="center" vertical="center" wrapText="1" readingOrder="1"/>
    </xf>
    <xf numFmtId="0" fontId="79" fillId="0" borderId="29" xfId="0" applyFont="1" applyBorder="1" applyAlignment="1">
      <alignment horizontal="center" vertical="center" wrapText="1" readingOrder="1"/>
    </xf>
    <xf numFmtId="0" fontId="113" fillId="0" borderId="33" xfId="0" quotePrefix="1" applyFont="1" applyBorder="1" applyAlignment="1">
      <alignment horizontal="center" vertical="center" wrapText="1" readingOrder="1"/>
    </xf>
    <xf numFmtId="0" fontId="113" fillId="0" borderId="28" xfId="0" applyFont="1" applyBorder="1" applyAlignment="1">
      <alignment horizontal="center" vertical="center" wrapText="1" readingOrder="1"/>
    </xf>
    <xf numFmtId="0" fontId="113" fillId="0" borderId="29" xfId="0" applyFont="1" applyBorder="1" applyAlignment="1">
      <alignment horizontal="center" vertical="center" wrapText="1" readingOrder="1"/>
    </xf>
    <xf numFmtId="9" fontId="78" fillId="0" borderId="33" xfId="0" applyNumberFormat="1" applyFont="1" applyBorder="1" applyAlignment="1">
      <alignment horizontal="center" vertical="center" wrapText="1" readingOrder="1"/>
    </xf>
    <xf numFmtId="0" fontId="78" fillId="0" borderId="28" xfId="0" applyFont="1" applyBorder="1" applyAlignment="1">
      <alignment horizontal="center" vertical="center" wrapText="1" readingOrder="1"/>
    </xf>
    <xf numFmtId="0" fontId="78" fillId="0" borderId="29" xfId="0" applyFont="1" applyBorder="1" applyAlignment="1">
      <alignment horizontal="center" vertical="center" wrapText="1" readingOrder="1"/>
    </xf>
    <xf numFmtId="0" fontId="78" fillId="0" borderId="53" xfId="0" applyFont="1" applyBorder="1" applyAlignment="1">
      <alignment horizontal="center" vertical="center" wrapText="1" readingOrder="1"/>
    </xf>
    <xf numFmtId="0" fontId="78" fillId="0" borderId="69" xfId="0" applyFont="1" applyBorder="1" applyAlignment="1">
      <alignment horizontal="center" vertical="center" wrapText="1" readingOrder="1"/>
    </xf>
    <xf numFmtId="0" fontId="78" fillId="0" borderId="70" xfId="0" applyFont="1" applyBorder="1" applyAlignment="1">
      <alignment horizontal="center" vertical="center" wrapText="1" readingOrder="1"/>
    </xf>
    <xf numFmtId="0" fontId="78" fillId="0" borderId="39" xfId="0" applyFont="1" applyBorder="1" applyAlignment="1">
      <alignment horizontal="center" vertical="center" wrapText="1" readingOrder="1"/>
    </xf>
    <xf numFmtId="0" fontId="78" fillId="0" borderId="61" xfId="0" applyFont="1" applyBorder="1" applyAlignment="1">
      <alignment horizontal="center" vertical="center" wrapText="1" readingOrder="1"/>
    </xf>
    <xf numFmtId="0" fontId="78" fillId="0" borderId="31" xfId="0" applyFont="1" applyBorder="1" applyAlignment="1">
      <alignment horizontal="center" vertical="center" wrapText="1" readingOrder="1"/>
    </xf>
    <xf numFmtId="0" fontId="10" fillId="34" borderId="23" xfId="441" applyFont="1" applyFill="1" applyBorder="1" applyAlignment="1">
      <alignment horizontal="left" vertical="center"/>
    </xf>
    <xf numFmtId="0" fontId="0" fillId="0" borderId="26" xfId="0" applyBorder="1" applyAlignment="1">
      <alignment horizontal="left" vertical="center"/>
    </xf>
    <xf numFmtId="0" fontId="10" fillId="34" borderId="23" xfId="441" applyFont="1" applyFill="1" applyBorder="1" applyAlignment="1">
      <alignment vertical="center"/>
    </xf>
    <xf numFmtId="0" fontId="10" fillId="34" borderId="25" xfId="441" applyFont="1" applyFill="1" applyBorder="1" applyAlignment="1">
      <alignment vertical="center"/>
    </xf>
    <xf numFmtId="0" fontId="28" fillId="34" borderId="25" xfId="0" applyFont="1" applyFill="1" applyBorder="1"/>
    <xf numFmtId="0" fontId="0" fillId="0" borderId="26" xfId="0" applyBorder="1"/>
    <xf numFmtId="49" fontId="13" fillId="0" borderId="69" xfId="0" applyNumberFormat="1" applyFont="1" applyBorder="1" applyAlignment="1">
      <alignment horizontal="center" vertical="center" wrapText="1" readingOrder="1"/>
    </xf>
    <xf numFmtId="49" fontId="13" fillId="0" borderId="39" xfId="0" applyNumberFormat="1" applyFont="1" applyBorder="1" applyAlignment="1">
      <alignment horizontal="center" vertical="center" wrapText="1" readingOrder="1"/>
    </xf>
    <xf numFmtId="49" fontId="13" fillId="0" borderId="31" xfId="0" applyNumberFormat="1" applyFont="1" applyBorder="1" applyAlignment="1">
      <alignment horizontal="center" vertical="center" wrapText="1" readingOrder="1"/>
    </xf>
    <xf numFmtId="49" fontId="7" fillId="0" borderId="69" xfId="0" applyNumberFormat="1" applyFont="1" applyBorder="1" applyAlignment="1">
      <alignment horizontal="center" vertical="center" wrapText="1" readingOrder="1"/>
    </xf>
    <xf numFmtId="49" fontId="7" fillId="0" borderId="39" xfId="0" applyNumberFormat="1" applyFont="1" applyBorder="1" applyAlignment="1">
      <alignment horizontal="center" vertical="center" wrapText="1" readingOrder="1"/>
    </xf>
    <xf numFmtId="49" fontId="7" fillId="0" borderId="31" xfId="0" applyNumberFormat="1" applyFont="1" applyBorder="1" applyAlignment="1">
      <alignment horizontal="center" vertical="center" wrapText="1" readingOrder="1"/>
    </xf>
    <xf numFmtId="49" fontId="13" fillId="0" borderId="33" xfId="0" applyNumberFormat="1" applyFont="1" applyBorder="1" applyAlignment="1">
      <alignment horizontal="center" vertical="center" wrapText="1" readingOrder="1"/>
    </xf>
    <xf numFmtId="49" fontId="13" fillId="0" borderId="28" xfId="0" applyNumberFormat="1" applyFont="1" applyBorder="1" applyAlignment="1">
      <alignment horizontal="center" vertical="center" wrapText="1" readingOrder="1"/>
    </xf>
    <xf numFmtId="49" fontId="13" fillId="0" borderId="29" xfId="0" applyNumberFormat="1" applyFont="1" applyBorder="1" applyAlignment="1">
      <alignment horizontal="center" vertical="center" wrapText="1" readingOrder="1"/>
    </xf>
    <xf numFmtId="0" fontId="7" fillId="0" borderId="33" xfId="0" applyFont="1" applyBorder="1" applyAlignment="1">
      <alignment vertical="center" wrapText="1" readingOrder="1"/>
    </xf>
    <xf numFmtId="0" fontId="7" fillId="0" borderId="28" xfId="0" applyFont="1" applyBorder="1" applyAlignment="1">
      <alignment vertical="center" wrapText="1" readingOrder="1"/>
    </xf>
    <xf numFmtId="0" fontId="7" fillId="0" borderId="29" xfId="0" applyFont="1" applyBorder="1" applyAlignment="1">
      <alignment vertical="center" wrapText="1" readingOrder="1"/>
    </xf>
    <xf numFmtId="0" fontId="7" fillId="0" borderId="53" xfId="0" applyFont="1" applyBorder="1" applyAlignment="1">
      <alignment vertical="center" wrapText="1" readingOrder="1"/>
    </xf>
    <xf numFmtId="0" fontId="7" fillId="0" borderId="69" xfId="0" applyFont="1" applyBorder="1" applyAlignment="1">
      <alignment vertical="center" wrapText="1" readingOrder="1"/>
    </xf>
    <xf numFmtId="0" fontId="7" fillId="0" borderId="70" xfId="0" applyFont="1" applyBorder="1" applyAlignment="1">
      <alignment vertical="center" wrapText="1" readingOrder="1"/>
    </xf>
    <xf numFmtId="0" fontId="7" fillId="0" borderId="39" xfId="0" applyFont="1" applyBorder="1" applyAlignment="1">
      <alignment vertical="center" wrapText="1" readingOrder="1"/>
    </xf>
    <xf numFmtId="0" fontId="7" fillId="0" borderId="61" xfId="0" applyFont="1" applyBorder="1" applyAlignment="1">
      <alignment vertical="center" wrapText="1" readingOrder="1"/>
    </xf>
    <xf numFmtId="0" fontId="7" fillId="0" borderId="31" xfId="0" applyFont="1" applyBorder="1" applyAlignment="1">
      <alignment vertical="center" wrapText="1" readingOrder="1"/>
    </xf>
    <xf numFmtId="0" fontId="7" fillId="0" borderId="71" xfId="0" applyFont="1" applyBorder="1" applyAlignment="1">
      <alignment vertical="center" wrapText="1" readingOrder="1"/>
    </xf>
    <xf numFmtId="0" fontId="7" fillId="0" borderId="0" xfId="0" applyFont="1" applyAlignment="1">
      <alignment vertical="center" wrapText="1" readingOrder="1"/>
    </xf>
    <xf numFmtId="0" fontId="7" fillId="0" borderId="34" xfId="0" applyFont="1" applyBorder="1" applyAlignment="1">
      <alignment vertical="center" wrapText="1" readingOrder="1"/>
    </xf>
    <xf numFmtId="49" fontId="59" fillId="0" borderId="33" xfId="0" applyNumberFormat="1" applyFont="1" applyBorder="1" applyAlignment="1">
      <alignment horizontal="center" vertical="center" wrapText="1" readingOrder="1"/>
    </xf>
    <xf numFmtId="49" fontId="59" fillId="0" borderId="28" xfId="0" applyNumberFormat="1" applyFont="1" applyBorder="1" applyAlignment="1">
      <alignment horizontal="center" vertical="center" wrapText="1" readingOrder="1"/>
    </xf>
    <xf numFmtId="49" fontId="59" fillId="0" borderId="29" xfId="0" applyNumberFormat="1" applyFont="1" applyBorder="1" applyAlignment="1">
      <alignment horizontal="center" vertical="center" wrapText="1" readingOrder="1"/>
    </xf>
    <xf numFmtId="0" fontId="79" fillId="0" borderId="53" xfId="0" applyFont="1" applyBorder="1" applyAlignment="1">
      <alignment horizontal="center" vertical="center" wrapText="1" readingOrder="1"/>
    </xf>
    <xf numFmtId="0" fontId="79" fillId="0" borderId="69" xfId="0" applyFont="1" applyBorder="1" applyAlignment="1">
      <alignment horizontal="center" vertical="center" wrapText="1" readingOrder="1"/>
    </xf>
    <xf numFmtId="0" fontId="79" fillId="0" borderId="70" xfId="0" applyFont="1" applyBorder="1" applyAlignment="1">
      <alignment horizontal="center" vertical="center" wrapText="1" readingOrder="1"/>
    </xf>
    <xf numFmtId="0" fontId="79" fillId="0" borderId="39" xfId="0" applyFont="1" applyBorder="1" applyAlignment="1">
      <alignment horizontal="center" vertical="center" wrapText="1" readingOrder="1"/>
    </xf>
    <xf numFmtId="0" fontId="79" fillId="0" borderId="61" xfId="0" applyFont="1" applyBorder="1" applyAlignment="1">
      <alignment horizontal="center" vertical="center" wrapText="1" readingOrder="1"/>
    </xf>
    <xf numFmtId="0" fontId="79" fillId="0" borderId="31" xfId="0" applyFont="1" applyBorder="1" applyAlignment="1">
      <alignment horizontal="center" vertical="center" wrapText="1" readingOrder="1"/>
    </xf>
    <xf numFmtId="0" fontId="79" fillId="0" borderId="33" xfId="0" applyFont="1" applyBorder="1" applyAlignment="1">
      <alignment vertical="center" wrapText="1" readingOrder="1"/>
    </xf>
    <xf numFmtId="0" fontId="79" fillId="0" borderId="28" xfId="0" applyFont="1" applyBorder="1" applyAlignment="1">
      <alignment vertical="center" wrapText="1" readingOrder="1"/>
    </xf>
    <xf numFmtId="0" fontId="79" fillId="0" borderId="29" xfId="0" applyFont="1" applyBorder="1" applyAlignment="1">
      <alignment vertical="center" wrapText="1" readingOrder="1"/>
    </xf>
    <xf numFmtId="0" fontId="114" fillId="0" borderId="33" xfId="0" applyFont="1" applyBorder="1" applyAlignment="1">
      <alignment horizontal="center" vertical="center" wrapText="1"/>
    </xf>
    <xf numFmtId="0" fontId="114" fillId="0" borderId="29" xfId="0" applyFont="1" applyBorder="1" applyAlignment="1">
      <alignment horizontal="center" vertical="center" wrapText="1"/>
    </xf>
    <xf numFmtId="0" fontId="79" fillId="0" borderId="33" xfId="0" applyFont="1" applyBorder="1" applyAlignment="1">
      <alignment horizontal="center" vertical="center" wrapText="1" readingOrder="1"/>
    </xf>
    <xf numFmtId="0" fontId="78" fillId="0" borderId="20" xfId="0" applyFont="1" applyBorder="1" applyAlignment="1">
      <alignment horizontal="center" vertical="center" wrapText="1" readingOrder="1"/>
    </xf>
    <xf numFmtId="0" fontId="113" fillId="0" borderId="20" xfId="0" applyFont="1" applyBorder="1" applyAlignment="1">
      <alignment horizontal="center" vertical="center" wrapText="1" readingOrder="1"/>
    </xf>
    <xf numFmtId="0" fontId="7" fillId="0" borderId="69" xfId="0" applyFont="1" applyBorder="1" applyAlignment="1">
      <alignment horizontal="left" vertical="center" wrapText="1" readingOrder="1"/>
    </xf>
    <xf numFmtId="0" fontId="7" fillId="0" borderId="39" xfId="0" applyFont="1" applyBorder="1" applyAlignment="1">
      <alignment horizontal="left" vertical="center" wrapText="1" readingOrder="1"/>
    </xf>
    <xf numFmtId="0" fontId="7" fillId="0" borderId="61" xfId="0" applyFont="1" applyBorder="1" applyAlignment="1">
      <alignment horizontal="left" vertical="center" wrapText="1" readingOrder="1"/>
    </xf>
    <xf numFmtId="0" fontId="7" fillId="0" borderId="31" xfId="0" applyFont="1" applyBorder="1" applyAlignment="1">
      <alignment horizontal="left" vertical="center" wrapText="1" readingOrder="1"/>
    </xf>
    <xf numFmtId="0" fontId="7" fillId="0" borderId="72" xfId="0" applyFont="1" applyBorder="1" applyAlignment="1">
      <alignment horizontal="left" vertical="center" wrapText="1" readingOrder="1"/>
    </xf>
    <xf numFmtId="0" fontId="7" fillId="0" borderId="73" xfId="0" applyFont="1" applyBorder="1" applyAlignment="1">
      <alignment horizontal="left" vertical="center" wrapText="1" readingOrder="1"/>
    </xf>
    <xf numFmtId="0" fontId="7" fillId="0" borderId="74" xfId="0" applyFont="1" applyBorder="1" applyAlignment="1">
      <alignment horizontal="left" vertical="center" wrapText="1" readingOrder="1"/>
    </xf>
    <xf numFmtId="0" fontId="7" fillId="0" borderId="75" xfId="0" applyFont="1" applyBorder="1" applyAlignment="1">
      <alignment horizontal="left" vertical="center" wrapText="1" readingOrder="1"/>
    </xf>
    <xf numFmtId="0" fontId="78" fillId="0" borderId="33" xfId="0" applyFont="1" applyBorder="1" applyAlignment="1">
      <alignment horizontal="center" vertical="center" wrapText="1" readingOrder="1"/>
    </xf>
    <xf numFmtId="0" fontId="7" fillId="0" borderId="53" xfId="0" quotePrefix="1" applyFont="1" applyBorder="1" applyAlignment="1">
      <alignment horizontal="left" vertical="center" wrapText="1" readingOrder="1"/>
    </xf>
    <xf numFmtId="0" fontId="7" fillId="0" borderId="69" xfId="0" quotePrefix="1" applyFont="1" applyBorder="1" applyAlignment="1">
      <alignment horizontal="left" vertical="center" wrapText="1" readingOrder="1"/>
    </xf>
    <xf numFmtId="0" fontId="7" fillId="0" borderId="70" xfId="0" quotePrefix="1" applyFont="1" applyBorder="1" applyAlignment="1">
      <alignment horizontal="left" vertical="center" wrapText="1" readingOrder="1"/>
    </xf>
    <xf numFmtId="0" fontId="7" fillId="0" borderId="39" xfId="0" quotePrefix="1" applyFont="1" applyBorder="1" applyAlignment="1">
      <alignment horizontal="left" vertical="center" wrapText="1" readingOrder="1"/>
    </xf>
    <xf numFmtId="0" fontId="7" fillId="0" borderId="53" xfId="0" applyFont="1" applyBorder="1" applyAlignment="1">
      <alignment horizontal="center" vertical="center" wrapText="1"/>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3" xfId="0" applyFont="1" applyBorder="1" applyAlignment="1">
      <alignment horizontal="left" vertical="center" wrapText="1" readingOrder="1"/>
    </xf>
    <xf numFmtId="0" fontId="7" fillId="0" borderId="28" xfId="0" applyFont="1" applyBorder="1" applyAlignment="1">
      <alignment horizontal="left" vertical="center" wrapText="1" readingOrder="1"/>
    </xf>
    <xf numFmtId="0" fontId="7" fillId="0" borderId="29" xfId="0" applyFont="1" applyBorder="1" applyAlignment="1">
      <alignment horizontal="left" vertical="center" wrapText="1" readingOrder="1"/>
    </xf>
    <xf numFmtId="0" fontId="13" fillId="0" borderId="0" xfId="0" applyFont="1" applyAlignment="1">
      <alignment horizontal="left" vertical="center" wrapText="1"/>
    </xf>
    <xf numFmtId="0" fontId="13" fillId="0" borderId="0" xfId="0" applyFont="1" applyAlignment="1">
      <alignment horizontal="left" vertical="center"/>
    </xf>
    <xf numFmtId="0" fontId="7" fillId="0" borderId="33"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1" fontId="8" fillId="35" borderId="20" xfId="0" applyNumberFormat="1" applyFont="1" applyFill="1" applyBorder="1" applyAlignment="1">
      <alignment horizontal="center" vertical="center"/>
    </xf>
    <xf numFmtId="1" fontId="74" fillId="35" borderId="20" xfId="0" applyNumberFormat="1" applyFont="1" applyFill="1" applyBorder="1" applyAlignment="1">
      <alignment horizontal="center" vertical="center"/>
    </xf>
    <xf numFmtId="0" fontId="13" fillId="0" borderId="20" xfId="0" applyFont="1" applyBorder="1" applyAlignment="1">
      <alignment horizontal="left" vertical="center" wrapText="1" readingOrder="1"/>
    </xf>
    <xf numFmtId="0" fontId="0" fillId="0" borderId="20" xfId="0" applyBorder="1" applyAlignment="1">
      <alignment horizontal="left" vertical="center" wrapText="1" readingOrder="1"/>
    </xf>
    <xf numFmtId="49" fontId="13" fillId="0" borderId="53" xfId="0" applyNumberFormat="1" applyFont="1" applyBorder="1" applyAlignment="1">
      <alignment horizontal="center" vertical="center" wrapText="1" readingOrder="1"/>
    </xf>
    <xf numFmtId="49" fontId="13" fillId="0" borderId="70" xfId="0" applyNumberFormat="1" applyFont="1" applyBorder="1" applyAlignment="1">
      <alignment horizontal="center" vertical="center" wrapText="1" readingOrder="1"/>
    </xf>
    <xf numFmtId="49" fontId="13" fillId="0" borderId="61" xfId="0" applyNumberFormat="1" applyFont="1" applyBorder="1" applyAlignment="1">
      <alignment horizontal="center" vertical="center" wrapText="1" readingOrder="1"/>
    </xf>
    <xf numFmtId="0" fontId="79" fillId="0" borderId="20" xfId="0" quotePrefix="1" applyFont="1" applyBorder="1" applyAlignment="1">
      <alignment horizontal="center" vertical="center" wrapText="1" readingOrder="1"/>
    </xf>
    <xf numFmtId="0" fontId="79" fillId="0" borderId="20" xfId="0" applyFont="1" applyBorder="1" applyAlignment="1">
      <alignment horizontal="center" vertical="center" wrapText="1" readingOrder="1"/>
    </xf>
    <xf numFmtId="0" fontId="113" fillId="0" borderId="33" xfId="0" applyFont="1" applyBorder="1" applyAlignment="1">
      <alignment horizontal="center" vertical="center" wrapText="1" readingOrder="1"/>
    </xf>
    <xf numFmtId="0" fontId="78" fillId="0" borderId="33" xfId="0" quotePrefix="1" applyFont="1" applyBorder="1" applyAlignment="1">
      <alignment horizontal="center" vertical="center" wrapText="1" readingOrder="1"/>
    </xf>
    <xf numFmtId="0" fontId="78" fillId="0" borderId="28" xfId="0" quotePrefix="1" applyFont="1" applyBorder="1" applyAlignment="1">
      <alignment horizontal="center" vertical="center" wrapText="1" readingOrder="1"/>
    </xf>
    <xf numFmtId="0" fontId="78" fillId="0" borderId="29" xfId="0" quotePrefix="1" applyFont="1" applyBorder="1" applyAlignment="1">
      <alignment horizontal="center" vertical="center" wrapText="1" readingOrder="1"/>
    </xf>
    <xf numFmtId="0" fontId="7" fillId="84" borderId="33" xfId="0" applyFont="1" applyFill="1" applyBorder="1" applyAlignment="1" applyProtection="1">
      <alignment horizontal="left" vertical="center" wrapText="1"/>
      <protection locked="0"/>
    </xf>
    <xf numFmtId="0" fontId="7" fillId="84" borderId="28" xfId="0" applyFont="1" applyFill="1" applyBorder="1" applyAlignment="1" applyProtection="1">
      <alignment horizontal="left" vertical="center" wrapText="1"/>
      <protection locked="0"/>
    </xf>
    <xf numFmtId="0" fontId="7" fillId="84" borderId="29" xfId="0" applyFont="1" applyFill="1" applyBorder="1" applyAlignment="1" applyProtection="1">
      <alignment horizontal="left" vertical="center" wrapText="1"/>
      <protection locked="0"/>
    </xf>
    <xf numFmtId="49" fontId="7" fillId="0" borderId="53" xfId="0" applyNumberFormat="1" applyFont="1" applyBorder="1" applyAlignment="1">
      <alignment horizontal="center" vertical="center" wrapText="1" readingOrder="1"/>
    </xf>
    <xf numFmtId="49" fontId="7" fillId="0" borderId="70" xfId="0" applyNumberFormat="1" applyFont="1" applyBorder="1" applyAlignment="1">
      <alignment horizontal="center" vertical="center" wrapText="1" readingOrder="1"/>
    </xf>
    <xf numFmtId="49" fontId="7" fillId="0" borderId="61" xfId="0" applyNumberFormat="1" applyFont="1" applyBorder="1" applyAlignment="1">
      <alignment horizontal="center" vertical="center" wrapText="1" readingOrder="1"/>
    </xf>
    <xf numFmtId="49" fontId="13" fillId="0" borderId="76" xfId="0" applyNumberFormat="1" applyFont="1" applyBorder="1" applyAlignment="1">
      <alignment horizontal="center" vertical="center" wrapText="1" readingOrder="1"/>
    </xf>
    <xf numFmtId="49" fontId="13" fillId="0" borderId="77" xfId="0" applyNumberFormat="1" applyFont="1" applyBorder="1" applyAlignment="1">
      <alignment horizontal="center" vertical="center" wrapText="1" readingOrder="1"/>
    </xf>
    <xf numFmtId="0" fontId="13" fillId="0" borderId="33" xfId="0" applyFont="1" applyBorder="1" applyAlignment="1">
      <alignment horizontal="left" vertical="center" wrapText="1" readingOrder="1"/>
    </xf>
    <xf numFmtId="0" fontId="13" fillId="0" borderId="28" xfId="0" applyFont="1" applyBorder="1" applyAlignment="1">
      <alignment horizontal="left" vertical="center" wrapText="1" readingOrder="1"/>
    </xf>
    <xf numFmtId="0" fontId="13" fillId="0" borderId="29" xfId="0" applyFont="1" applyBorder="1" applyAlignment="1">
      <alignment horizontal="left" vertical="center" wrapText="1" readingOrder="1"/>
    </xf>
    <xf numFmtId="49" fontId="47" fillId="0" borderId="33" xfId="0" applyNumberFormat="1" applyFont="1" applyBorder="1" applyAlignment="1">
      <alignment horizontal="center" vertical="center" wrapText="1" readingOrder="1"/>
    </xf>
    <xf numFmtId="49" fontId="47" fillId="0" borderId="28" xfId="0" applyNumberFormat="1" applyFont="1" applyBorder="1" applyAlignment="1">
      <alignment horizontal="center" vertical="center" wrapText="1" readingOrder="1"/>
    </xf>
    <xf numFmtId="49" fontId="47" fillId="0" borderId="29" xfId="0" applyNumberFormat="1" applyFont="1" applyBorder="1" applyAlignment="1">
      <alignment horizontal="center" vertical="center" wrapText="1" readingOrder="1"/>
    </xf>
    <xf numFmtId="0" fontId="13" fillId="0" borderId="53" xfId="0" quotePrefix="1" applyFont="1" applyBorder="1" applyAlignment="1">
      <alignment horizontal="left" vertical="center" wrapText="1" readingOrder="1"/>
    </xf>
    <xf numFmtId="0" fontId="28" fillId="0" borderId="33" xfId="0" applyFont="1" applyBorder="1" applyAlignment="1">
      <alignment horizontal="center" vertical="center" wrapText="1"/>
    </xf>
    <xf numFmtId="0" fontId="21" fillId="0" borderId="29" xfId="0" applyFont="1" applyBorder="1" applyAlignment="1">
      <alignment horizontal="center" vertical="center" wrapText="1"/>
    </xf>
    <xf numFmtId="0" fontId="28" fillId="0" borderId="56" xfId="0" applyFont="1" applyBorder="1" applyAlignment="1">
      <alignment horizontal="center" vertical="center"/>
    </xf>
    <xf numFmtId="0" fontId="28" fillId="0" borderId="27" xfId="0" applyFont="1" applyBorder="1" applyAlignment="1">
      <alignment horizontal="center" vertical="center"/>
    </xf>
    <xf numFmtId="1" fontId="25" fillId="40" borderId="20" xfId="356" applyNumberFormat="1" applyFont="1" applyFill="1" applyBorder="1" applyAlignment="1" applyProtection="1">
      <alignment horizontal="center" vertical="center" wrapText="1"/>
    </xf>
    <xf numFmtId="16" fontId="13" fillId="0" borderId="33" xfId="0" applyNumberFormat="1" applyFont="1" applyBorder="1" applyAlignment="1">
      <alignment horizontal="left" vertical="center" wrapText="1"/>
    </xf>
    <xf numFmtId="16" fontId="13" fillId="0" borderId="28" xfId="0" applyNumberFormat="1" applyFont="1" applyBorder="1" applyAlignment="1">
      <alignment horizontal="left" vertical="center" wrapText="1"/>
    </xf>
    <xf numFmtId="16" fontId="13" fillId="0" borderId="29" xfId="0" applyNumberFormat="1" applyFont="1" applyBorder="1" applyAlignment="1">
      <alignment horizontal="left" vertical="center" wrapText="1"/>
    </xf>
    <xf numFmtId="0" fontId="80" fillId="0" borderId="20" xfId="0" applyFont="1" applyBorder="1" applyAlignment="1">
      <alignment horizontal="center" vertical="center" wrapText="1"/>
    </xf>
    <xf numFmtId="0" fontId="114" fillId="0" borderId="20" xfId="0" applyFont="1" applyBorder="1" applyAlignment="1">
      <alignment horizontal="center" vertical="center" wrapText="1"/>
    </xf>
    <xf numFmtId="0" fontId="28" fillId="0" borderId="53"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61" xfId="0" applyFont="1" applyBorder="1" applyAlignment="1">
      <alignment horizontal="center" vertical="center" wrapText="1"/>
    </xf>
    <xf numFmtId="0" fontId="21" fillId="0" borderId="31" xfId="0" applyFont="1" applyBorder="1" applyAlignment="1">
      <alignment horizontal="center" vertical="center" wrapText="1"/>
    </xf>
    <xf numFmtId="0" fontId="47" fillId="30" borderId="53" xfId="0" applyFont="1" applyFill="1" applyBorder="1" applyAlignment="1">
      <alignment horizontal="center" vertical="center" wrapText="1"/>
    </xf>
    <xf numFmtId="0" fontId="47" fillId="30" borderId="70" xfId="0" applyFont="1" applyFill="1" applyBorder="1" applyAlignment="1">
      <alignment horizontal="center" vertical="center" wrapText="1"/>
    </xf>
    <xf numFmtId="0" fontId="47" fillId="30" borderId="61" xfId="0" applyFont="1" applyFill="1" applyBorder="1" applyAlignment="1">
      <alignment horizontal="center" vertical="center" wrapText="1"/>
    </xf>
    <xf numFmtId="0" fontId="7" fillId="0" borderId="34" xfId="0" applyFont="1" applyBorder="1" applyAlignment="1">
      <alignment horizontal="left" vertical="center" wrapText="1" readingOrder="1"/>
    </xf>
    <xf numFmtId="0" fontId="28" fillId="0" borderId="71" xfId="0" applyFont="1" applyBorder="1" applyAlignment="1">
      <alignment horizontal="center" vertical="center" wrapText="1"/>
    </xf>
    <xf numFmtId="0" fontId="28" fillId="0" borderId="69"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20" xfId="0" applyFont="1" applyBorder="1" applyAlignment="1">
      <alignment horizontal="center" vertical="center" wrapText="1"/>
    </xf>
    <xf numFmtId="0" fontId="0" fillId="0" borderId="20" xfId="0" applyBorder="1" applyAlignment="1">
      <alignment horizontal="center" vertical="center" wrapText="1"/>
    </xf>
    <xf numFmtId="0" fontId="21" fillId="0" borderId="20" xfId="0" applyFont="1" applyBorder="1" applyAlignment="1">
      <alignment horizontal="center" vertical="center" wrapText="1"/>
    </xf>
    <xf numFmtId="0" fontId="28" fillId="0" borderId="29" xfId="0" applyFont="1" applyBorder="1" applyAlignment="1">
      <alignment horizontal="center" vertical="center" wrapText="1"/>
    </xf>
    <xf numFmtId="49" fontId="13" fillId="0" borderId="72" xfId="0" applyNumberFormat="1" applyFont="1" applyBorder="1" applyAlignment="1">
      <alignment horizontal="center" vertical="center" wrapText="1" readingOrder="1"/>
    </xf>
    <xf numFmtId="49" fontId="13" fillId="0" borderId="73" xfId="0" applyNumberFormat="1" applyFont="1" applyBorder="1" applyAlignment="1">
      <alignment horizontal="center" vertical="center" wrapText="1" readingOrder="1"/>
    </xf>
    <xf numFmtId="49" fontId="13" fillId="0" borderId="74" xfId="0" applyNumberFormat="1" applyFont="1" applyBorder="1" applyAlignment="1">
      <alignment horizontal="center" vertical="center" wrapText="1" readingOrder="1"/>
    </xf>
    <xf numFmtId="49" fontId="13" fillId="0" borderId="75" xfId="0" applyNumberFormat="1" applyFont="1" applyBorder="1" applyAlignment="1">
      <alignment horizontal="center" vertical="center" wrapText="1" readingOrder="1"/>
    </xf>
    <xf numFmtId="0" fontId="54" fillId="0" borderId="20" xfId="0" applyFont="1" applyBorder="1" applyAlignment="1">
      <alignment horizontal="left" vertical="center" wrapText="1" readingOrder="1"/>
    </xf>
    <xf numFmtId="0" fontId="13" fillId="0" borderId="20" xfId="0" quotePrefix="1" applyFont="1" applyBorder="1" applyAlignment="1">
      <alignment horizontal="left" vertical="center" wrapText="1" readingOrder="1"/>
    </xf>
    <xf numFmtId="0" fontId="13" fillId="0" borderId="29" xfId="0" quotePrefix="1" applyFont="1" applyBorder="1" applyAlignment="1">
      <alignment horizontal="left" vertical="center" wrapText="1" readingOrder="1"/>
    </xf>
    <xf numFmtId="0" fontId="17" fillId="0" borderId="23" xfId="0" applyFont="1" applyBorder="1" applyAlignment="1">
      <alignment horizontal="left"/>
    </xf>
    <xf numFmtId="0" fontId="17" fillId="0" borderId="25" xfId="0" applyFont="1" applyBorder="1" applyAlignment="1">
      <alignment horizontal="left"/>
    </xf>
    <xf numFmtId="0" fontId="17" fillId="0" borderId="26" xfId="0" applyFont="1" applyBorder="1" applyAlignment="1">
      <alignment horizontal="left"/>
    </xf>
    <xf numFmtId="0" fontId="20" fillId="0" borderId="23" xfId="0" applyFont="1" applyBorder="1" applyAlignment="1">
      <alignment horizontal="left"/>
    </xf>
    <xf numFmtId="0" fontId="20" fillId="0" borderId="25" xfId="0" applyFont="1" applyBorder="1" applyAlignment="1">
      <alignment horizontal="left"/>
    </xf>
    <xf numFmtId="0" fontId="20" fillId="0" borderId="26" xfId="0" applyFont="1" applyBorder="1" applyAlignment="1">
      <alignment horizontal="left"/>
    </xf>
    <xf numFmtId="0" fontId="17" fillId="0" borderId="18" xfId="0" applyFont="1" applyBorder="1" applyAlignment="1">
      <alignment horizontal="left"/>
    </xf>
    <xf numFmtId="0" fontId="13" fillId="0" borderId="53" xfId="0" applyFont="1" applyBorder="1" applyAlignment="1">
      <alignment horizontal="center" vertical="center" wrapText="1" readingOrder="1"/>
    </xf>
    <xf numFmtId="0" fontId="13" fillId="0" borderId="0" xfId="0" applyFont="1" applyAlignment="1">
      <alignment horizontal="left" vertical="top" wrapText="1"/>
    </xf>
    <xf numFmtId="0" fontId="79" fillId="0" borderId="53" xfId="0" applyFont="1" applyBorder="1" applyAlignment="1">
      <alignment horizontal="center" vertical="center" wrapText="1"/>
    </xf>
    <xf numFmtId="0" fontId="79" fillId="0" borderId="69" xfId="0" applyFont="1" applyBorder="1" applyAlignment="1">
      <alignment horizontal="center" vertical="center" wrapText="1"/>
    </xf>
    <xf numFmtId="0" fontId="79" fillId="0" borderId="70" xfId="0" applyFont="1" applyBorder="1" applyAlignment="1">
      <alignment horizontal="center" vertical="center" wrapText="1"/>
    </xf>
    <xf numFmtId="0" fontId="79" fillId="0" borderId="39" xfId="0" applyFont="1" applyBorder="1" applyAlignment="1">
      <alignment horizontal="center" vertical="center" wrapText="1"/>
    </xf>
    <xf numFmtId="0" fontId="79" fillId="0" borderId="61" xfId="0" applyFont="1" applyBorder="1" applyAlignment="1">
      <alignment horizontal="center" vertical="center" wrapText="1"/>
    </xf>
    <xf numFmtId="0" fontId="79" fillId="0" borderId="31" xfId="0" applyFont="1" applyBorder="1" applyAlignment="1">
      <alignment horizontal="center" vertical="center" wrapText="1"/>
    </xf>
    <xf numFmtId="0" fontId="78" fillId="0" borderId="53" xfId="0" quotePrefix="1" applyFont="1" applyBorder="1" applyAlignment="1">
      <alignment horizontal="center" vertical="center" wrapText="1" readingOrder="1"/>
    </xf>
    <xf numFmtId="0" fontId="79" fillId="0" borderId="33" xfId="0" applyFont="1" applyBorder="1" applyAlignment="1">
      <alignment horizontal="center" vertical="center" wrapText="1"/>
    </xf>
    <xf numFmtId="0" fontId="79" fillId="0" borderId="28" xfId="0" applyFont="1" applyBorder="1" applyAlignment="1">
      <alignment horizontal="center" vertical="center" wrapText="1"/>
    </xf>
    <xf numFmtId="0" fontId="79" fillId="0" borderId="29" xfId="0" applyFont="1" applyBorder="1" applyAlignment="1">
      <alignment horizontal="center" vertical="center" wrapText="1"/>
    </xf>
    <xf numFmtId="1" fontId="25" fillId="32" borderId="33" xfId="0" applyNumberFormat="1" applyFont="1" applyFill="1" applyBorder="1" applyAlignment="1" applyProtection="1">
      <alignment horizontal="center" vertical="center"/>
      <protection locked="0"/>
    </xf>
    <xf numFmtId="1" fontId="25" fillId="32" borderId="28" xfId="0" applyNumberFormat="1" applyFont="1" applyFill="1" applyBorder="1" applyAlignment="1" applyProtection="1">
      <alignment horizontal="center" vertical="center"/>
      <protection locked="0"/>
    </xf>
    <xf numFmtId="1" fontId="25" fillId="32" borderId="29" xfId="0" applyNumberFormat="1" applyFont="1" applyFill="1" applyBorder="1" applyAlignment="1" applyProtection="1">
      <alignment horizontal="center" vertical="center"/>
      <protection locked="0"/>
    </xf>
    <xf numFmtId="0" fontId="47" fillId="30" borderId="53" xfId="0" quotePrefix="1" applyFont="1" applyFill="1" applyBorder="1" applyAlignment="1">
      <alignment horizontal="center" vertical="center" wrapText="1"/>
    </xf>
    <xf numFmtId="165" fontId="7" fillId="0" borderId="20" xfId="1058" applyNumberFormat="1" applyFont="1" applyFill="1" applyBorder="1" applyAlignment="1" applyProtection="1">
      <alignment horizontal="center" vertical="center"/>
    </xf>
    <xf numFmtId="165" fontId="7" fillId="80" borderId="53" xfId="1058" applyNumberFormat="1" applyFont="1" applyFill="1" applyBorder="1" applyAlignment="1" applyProtection="1">
      <alignment horizontal="left" vertical="center"/>
    </xf>
    <xf numFmtId="165" fontId="7" fillId="80" borderId="69" xfId="1058" applyNumberFormat="1" applyFont="1" applyFill="1" applyBorder="1" applyAlignment="1" applyProtection="1">
      <alignment horizontal="left" vertical="center"/>
    </xf>
    <xf numFmtId="165" fontId="7" fillId="80" borderId="70" xfId="1058" applyNumberFormat="1" applyFont="1" applyFill="1" applyBorder="1" applyAlignment="1" applyProtection="1">
      <alignment horizontal="left" vertical="center"/>
    </xf>
    <xf numFmtId="165" fontId="7" fillId="80" borderId="39" xfId="1058" applyNumberFormat="1" applyFont="1" applyFill="1" applyBorder="1" applyAlignment="1" applyProtection="1">
      <alignment horizontal="left" vertical="center"/>
    </xf>
    <xf numFmtId="165" fontId="7" fillId="0" borderId="53" xfId="1058" applyNumberFormat="1" applyFont="1" applyFill="1" applyBorder="1" applyAlignment="1" applyProtection="1">
      <alignment horizontal="center" vertical="center" wrapText="1"/>
    </xf>
    <xf numFmtId="165" fontId="7" fillId="0" borderId="69" xfId="1058" applyNumberFormat="1" applyFont="1" applyFill="1" applyBorder="1" applyAlignment="1" applyProtection="1">
      <alignment horizontal="center" vertical="center" wrapText="1"/>
    </xf>
    <xf numFmtId="165" fontId="7" fillId="0" borderId="70" xfId="1058" applyNumberFormat="1" applyFont="1" applyFill="1" applyBorder="1" applyAlignment="1" applyProtection="1">
      <alignment horizontal="center" vertical="center" wrapText="1"/>
    </xf>
    <xf numFmtId="165" fontId="7" fillId="0" borderId="39" xfId="1058" applyNumberFormat="1" applyFont="1" applyFill="1" applyBorder="1" applyAlignment="1" applyProtection="1">
      <alignment horizontal="center" vertical="center" wrapText="1"/>
    </xf>
    <xf numFmtId="165" fontId="7" fillId="82" borderId="56" xfId="1058" applyNumberFormat="1" applyFont="1" applyFill="1" applyBorder="1" applyAlignment="1" applyProtection="1">
      <alignment horizontal="left" vertical="center" wrapText="1"/>
    </xf>
    <xf numFmtId="165" fontId="7" fillId="82" borderId="68" xfId="1058" applyNumberFormat="1" applyFont="1" applyFill="1" applyBorder="1" applyAlignment="1" applyProtection="1">
      <alignment horizontal="left" vertical="center" wrapText="1"/>
    </xf>
    <xf numFmtId="165" fontId="7" fillId="82" borderId="27" xfId="1058" applyNumberFormat="1" applyFont="1" applyFill="1" applyBorder="1" applyAlignment="1" applyProtection="1">
      <alignment horizontal="left" vertical="center" wrapText="1"/>
    </xf>
    <xf numFmtId="165" fontId="7" fillId="0" borderId="61" xfId="1058" applyNumberFormat="1" applyFont="1" applyFill="1" applyBorder="1" applyAlignment="1" applyProtection="1">
      <alignment horizontal="center" vertical="top" wrapText="1"/>
    </xf>
    <xf numFmtId="165" fontId="7" fillId="0" borderId="31" xfId="1058" applyNumberFormat="1" applyFont="1" applyFill="1" applyBorder="1" applyAlignment="1" applyProtection="1">
      <alignment horizontal="center" vertical="top" wrapText="1"/>
    </xf>
    <xf numFmtId="165" fontId="7" fillId="83" borderId="53" xfId="1058" applyNumberFormat="1" applyFont="1" applyFill="1" applyBorder="1" applyAlignment="1" applyProtection="1">
      <alignment horizontal="center" vertical="center"/>
    </xf>
    <xf numFmtId="165" fontId="7" fillId="83" borderId="69" xfId="1058" applyNumberFormat="1" applyFont="1" applyFill="1" applyBorder="1" applyAlignment="1" applyProtection="1">
      <alignment horizontal="center" vertical="center"/>
    </xf>
    <xf numFmtId="165" fontId="7" fillId="83" borderId="61" xfId="1058" applyNumberFormat="1" applyFont="1" applyFill="1" applyBorder="1" applyAlignment="1" applyProtection="1">
      <alignment horizontal="center" vertical="center"/>
    </xf>
    <xf numFmtId="165" fontId="7" fillId="83" borderId="31" xfId="1058" applyNumberFormat="1" applyFont="1" applyFill="1" applyBorder="1" applyAlignment="1" applyProtection="1">
      <alignment horizontal="center" vertical="center"/>
    </xf>
    <xf numFmtId="9" fontId="79" fillId="0" borderId="33" xfId="0" applyNumberFormat="1" applyFont="1" applyBorder="1" applyAlignment="1">
      <alignment horizontal="center" vertical="center" wrapText="1" readingOrder="1"/>
    </xf>
    <xf numFmtId="0" fontId="28" fillId="0" borderId="18" xfId="0" applyFont="1" applyBorder="1" applyAlignment="1">
      <alignment horizontal="left" vertical="center" wrapText="1"/>
    </xf>
    <xf numFmtId="0" fontId="10" fillId="34" borderId="25" xfId="441" applyFont="1" applyFill="1" applyBorder="1" applyAlignment="1">
      <alignment horizontal="left" vertical="center"/>
    </xf>
    <xf numFmtId="0" fontId="10" fillId="34" borderId="26" xfId="441" applyFont="1" applyFill="1" applyBorder="1" applyAlignment="1">
      <alignment horizontal="left" vertical="center"/>
    </xf>
    <xf numFmtId="0" fontId="111" fillId="0" borderId="22" xfId="0" applyFont="1" applyBorder="1" applyAlignment="1">
      <alignment horizontal="center" vertical="center" wrapText="1"/>
    </xf>
    <xf numFmtId="0" fontId="111" fillId="0" borderId="66" xfId="0" applyFont="1" applyBorder="1" applyAlignment="1">
      <alignment horizontal="center" vertical="center" wrapText="1"/>
    </xf>
    <xf numFmtId="0" fontId="111" fillId="0" borderId="18" xfId="0" applyFont="1" applyBorder="1" applyAlignment="1">
      <alignment horizontal="center" vertical="center" wrapText="1"/>
    </xf>
    <xf numFmtId="0" fontId="111" fillId="0" borderId="23" xfId="0" applyFont="1" applyBorder="1" applyAlignment="1">
      <alignment horizontal="center" vertical="center" wrapText="1"/>
    </xf>
    <xf numFmtId="0" fontId="111" fillId="0" borderId="0" xfId="0" applyFont="1" applyAlignment="1">
      <alignment horizontal="center" vertical="center"/>
    </xf>
    <xf numFmtId="0" fontId="24" fillId="0" borderId="0" xfId="0" applyFont="1" applyAlignment="1">
      <alignment horizontal="justify" wrapText="1"/>
    </xf>
    <xf numFmtId="0" fontId="24" fillId="0" borderId="23" xfId="0" applyFont="1" applyBorder="1" applyAlignment="1">
      <alignment horizontal="left" vertical="center"/>
    </xf>
    <xf numFmtId="0" fontId="24" fillId="0" borderId="25" xfId="0" applyFont="1" applyBorder="1" applyAlignment="1">
      <alignment horizontal="left" vertical="center"/>
    </xf>
    <xf numFmtId="0" fontId="24" fillId="0" borderId="26" xfId="0" applyFont="1" applyBorder="1" applyAlignment="1">
      <alignment horizontal="left" vertical="center"/>
    </xf>
    <xf numFmtId="0" fontId="17" fillId="0" borderId="0" xfId="0" applyFont="1" applyAlignment="1">
      <alignment horizontal="center"/>
    </xf>
    <xf numFmtId="0" fontId="13" fillId="0" borderId="53" xfId="441" applyFont="1" applyBorder="1" applyAlignment="1">
      <alignment horizontal="center" textRotation="90" wrapText="1"/>
    </xf>
    <xf numFmtId="0" fontId="68" fillId="0" borderId="29" xfId="441" applyFont="1" applyBorder="1" applyAlignment="1">
      <alignment horizontal="center" textRotation="90" wrapText="1"/>
    </xf>
    <xf numFmtId="0" fontId="7" fillId="0" borderId="33" xfId="0" applyFont="1" applyBorder="1" applyAlignment="1">
      <alignment horizontal="center" textRotation="90" wrapText="1"/>
    </xf>
    <xf numFmtId="0" fontId="7" fillId="0" borderId="29" xfId="0" applyFont="1" applyBorder="1" applyAlignment="1">
      <alignment horizontal="center" textRotation="90" wrapText="1"/>
    </xf>
    <xf numFmtId="0" fontId="60" fillId="0" borderId="0" xfId="441" applyFont="1" applyAlignment="1">
      <alignment horizontal="justify" vertical="justify" wrapText="1"/>
    </xf>
    <xf numFmtId="0" fontId="7" fillId="0" borderId="53" xfId="441" applyFont="1" applyBorder="1" applyAlignment="1">
      <alignment horizontal="center" textRotation="90" wrapText="1"/>
    </xf>
    <xf numFmtId="0" fontId="7" fillId="0" borderId="29" xfId="441" applyFont="1" applyBorder="1" applyAlignment="1">
      <alignment horizontal="center" textRotation="90" wrapText="1"/>
    </xf>
    <xf numFmtId="0" fontId="24" fillId="0" borderId="18" xfId="0" applyFont="1" applyBorder="1" applyAlignment="1">
      <alignment horizontal="center" vertical="center"/>
    </xf>
    <xf numFmtId="0" fontId="61" fillId="0" borderId="18" xfId="0" applyFont="1" applyBorder="1"/>
    <xf numFmtId="0" fontId="61" fillId="0" borderId="23" xfId="0" applyFont="1" applyBorder="1"/>
    <xf numFmtId="0" fontId="24" fillId="31" borderId="18" xfId="0" applyFont="1" applyFill="1" applyBorder="1" applyAlignment="1">
      <alignment horizontal="center" vertical="center" wrapText="1"/>
    </xf>
    <xf numFmtId="0" fontId="61" fillId="31" borderId="18" xfId="0" applyFont="1" applyFill="1" applyBorder="1" applyAlignment="1">
      <alignment horizontal="center" vertical="center" wrapText="1"/>
    </xf>
    <xf numFmtId="0" fontId="63" fillId="41" borderId="19" xfId="0" applyFont="1" applyFill="1" applyBorder="1" applyAlignment="1">
      <alignment horizontal="center"/>
    </xf>
    <xf numFmtId="0" fontId="64" fillId="41" borderId="38" xfId="0" applyFont="1" applyFill="1" applyBorder="1"/>
    <xf numFmtId="0" fontId="64" fillId="41" borderId="65" xfId="0" applyFont="1" applyFill="1" applyBorder="1"/>
    <xf numFmtId="0" fontId="8" fillId="27" borderId="84" xfId="0" applyFont="1" applyFill="1" applyBorder="1" applyAlignment="1">
      <alignment horizontal="center" textRotation="90" wrapText="1"/>
    </xf>
    <xf numFmtId="0" fontId="8" fillId="27" borderId="85" xfId="0" applyFont="1" applyFill="1" applyBorder="1" applyAlignment="1">
      <alignment horizontal="center" textRotation="90" wrapText="1"/>
    </xf>
    <xf numFmtId="0" fontId="7" fillId="0" borderId="56" xfId="0" applyFont="1" applyBorder="1" applyAlignment="1">
      <alignment horizontal="center" vertical="center"/>
    </xf>
    <xf numFmtId="0" fontId="7" fillId="0" borderId="68" xfId="0" applyFont="1" applyBorder="1" applyAlignment="1">
      <alignment horizontal="center" vertical="center"/>
    </xf>
    <xf numFmtId="0" fontId="7" fillId="0" borderId="27" xfId="0" applyFont="1" applyBorder="1" applyAlignment="1">
      <alignment horizontal="center" vertical="center"/>
    </xf>
    <xf numFmtId="10" fontId="13" fillId="0" borderId="56" xfId="366" applyNumberFormat="1" applyFont="1" applyFill="1" applyBorder="1" applyAlignment="1" applyProtection="1">
      <alignment horizontal="center" vertical="center"/>
    </xf>
    <xf numFmtId="10" fontId="13" fillId="0" borderId="49" xfId="366" applyNumberFormat="1" applyFont="1" applyFill="1" applyBorder="1" applyAlignment="1" applyProtection="1">
      <alignment horizontal="center" vertical="center"/>
    </xf>
    <xf numFmtId="0" fontId="7" fillId="77" borderId="42" xfId="0" applyFont="1" applyFill="1" applyBorder="1" applyAlignment="1">
      <alignment horizontal="center" wrapText="1"/>
    </xf>
    <xf numFmtId="0" fontId="7" fillId="77" borderId="28" xfId="0" applyFont="1" applyFill="1" applyBorder="1" applyAlignment="1">
      <alignment horizontal="center" wrapText="1"/>
    </xf>
    <xf numFmtId="0" fontId="7" fillId="77" borderId="100" xfId="0" applyFont="1" applyFill="1" applyBorder="1" applyAlignment="1">
      <alignment horizontal="center" wrapText="1"/>
    </xf>
    <xf numFmtId="0" fontId="8" fillId="0" borderId="53" xfId="0" applyFont="1" applyBorder="1" applyAlignment="1">
      <alignment horizontal="center" textRotation="90" wrapText="1"/>
    </xf>
    <xf numFmtId="0" fontId="8" fillId="0" borderId="61" xfId="0" applyFont="1" applyBorder="1" applyAlignment="1">
      <alignment horizontal="center" textRotation="90" wrapText="1"/>
    </xf>
    <xf numFmtId="0" fontId="66" fillId="0" borderId="69" xfId="0" applyFont="1" applyBorder="1" applyAlignment="1">
      <alignment horizontal="center" textRotation="90" wrapText="1"/>
    </xf>
    <xf numFmtId="0" fontId="7" fillId="0" borderId="31" xfId="0" applyFont="1" applyBorder="1" applyAlignment="1">
      <alignment horizontal="center" textRotation="90" wrapText="1"/>
    </xf>
    <xf numFmtId="0" fontId="7" fillId="77" borderId="33" xfId="0" applyFont="1" applyFill="1" applyBorder="1" applyAlignment="1">
      <alignment horizontal="center" wrapText="1"/>
    </xf>
    <xf numFmtId="0" fontId="0" fillId="0" borderId="0" xfId="0" applyAlignment="1">
      <alignment horizontal="center"/>
    </xf>
    <xf numFmtId="0" fontId="7" fillId="0" borderId="72" xfId="441" applyFont="1" applyBorder="1" applyAlignment="1">
      <alignment horizontal="center" textRotation="90" wrapText="1"/>
    </xf>
    <xf numFmtId="0" fontId="0" fillId="0" borderId="78" xfId="0" applyBorder="1" applyAlignment="1">
      <alignment horizontal="center" textRotation="90" wrapText="1"/>
    </xf>
    <xf numFmtId="14" fontId="28" fillId="36" borderId="23" xfId="0" applyNumberFormat="1" applyFont="1" applyFill="1" applyBorder="1" applyAlignment="1">
      <alignment horizontal="center" vertical="center"/>
    </xf>
    <xf numFmtId="14" fontId="28" fillId="36" borderId="25" xfId="0" applyNumberFormat="1" applyFont="1" applyFill="1" applyBorder="1" applyAlignment="1">
      <alignment horizontal="center" vertical="center"/>
    </xf>
    <xf numFmtId="14" fontId="28" fillId="36" borderId="26" xfId="0" applyNumberFormat="1" applyFont="1" applyFill="1" applyBorder="1" applyAlignment="1">
      <alignment horizontal="center" vertical="center"/>
    </xf>
    <xf numFmtId="0" fontId="28" fillId="35" borderId="23" xfId="0" applyFont="1" applyFill="1" applyBorder="1" applyAlignment="1">
      <alignment horizontal="left" vertical="center"/>
    </xf>
    <xf numFmtId="0" fontId="28" fillId="35" borderId="25" xfId="0" applyFont="1" applyFill="1" applyBorder="1" applyAlignment="1">
      <alignment horizontal="left" vertical="center"/>
    </xf>
    <xf numFmtId="0" fontId="28" fillId="35" borderId="26" xfId="0" applyFont="1" applyFill="1" applyBorder="1" applyAlignment="1">
      <alignment horizontal="left" vertical="center"/>
    </xf>
    <xf numFmtId="0" fontId="21" fillId="31" borderId="21" xfId="0" applyFont="1" applyFill="1" applyBorder="1" applyAlignment="1">
      <alignment horizontal="center" vertical="center"/>
    </xf>
    <xf numFmtId="0" fontId="21" fillId="31" borderId="37" xfId="0" applyFont="1" applyFill="1" applyBorder="1" applyAlignment="1">
      <alignment horizontal="center" vertical="center"/>
    </xf>
    <xf numFmtId="0" fontId="21" fillId="31" borderId="32" xfId="0" applyFont="1" applyFill="1" applyBorder="1" applyAlignment="1">
      <alignment horizontal="center" vertical="center"/>
    </xf>
    <xf numFmtId="0" fontId="7" fillId="0" borderId="79" xfId="0" quotePrefix="1" applyFont="1" applyBorder="1" applyAlignment="1">
      <alignment horizontal="center" vertical="center"/>
    </xf>
    <xf numFmtId="0" fontId="7" fillId="0" borderId="47" xfId="0" applyFont="1" applyBorder="1" applyAlignment="1">
      <alignment horizontal="center" vertical="center"/>
    </xf>
    <xf numFmtId="0" fontId="7" fillId="0" borderId="80" xfId="0" applyFont="1" applyBorder="1" applyAlignment="1">
      <alignment horizontal="center" vertical="center"/>
    </xf>
    <xf numFmtId="0" fontId="73" fillId="28" borderId="19" xfId="0" applyFont="1" applyFill="1" applyBorder="1" applyAlignment="1">
      <alignment horizontal="center" vertical="center"/>
    </xf>
    <xf numFmtId="0" fontId="73" fillId="28" borderId="38" xfId="0" applyFont="1" applyFill="1" applyBorder="1" applyAlignment="1">
      <alignment horizontal="center" vertical="center"/>
    </xf>
    <xf numFmtId="0" fontId="73" fillId="28" borderId="65" xfId="0" applyFont="1" applyFill="1" applyBorder="1" applyAlignment="1">
      <alignment horizontal="center" vertical="center"/>
    </xf>
    <xf numFmtId="0" fontId="21" fillId="31" borderId="19" xfId="0" applyFont="1" applyFill="1" applyBorder="1" applyAlignment="1">
      <alignment horizontal="center" vertical="center"/>
    </xf>
    <xf numFmtId="0" fontId="21" fillId="31" borderId="38" xfId="0" applyFont="1" applyFill="1" applyBorder="1" applyAlignment="1">
      <alignment horizontal="center" vertical="center"/>
    </xf>
    <xf numFmtId="0" fontId="21" fillId="31" borderId="65" xfId="0" applyFont="1" applyFill="1" applyBorder="1" applyAlignment="1">
      <alignment horizontal="center" vertical="center"/>
    </xf>
    <xf numFmtId="0" fontId="73" fillId="28" borderId="21" xfId="0" applyFont="1" applyFill="1" applyBorder="1" applyAlignment="1">
      <alignment horizontal="center" vertical="center"/>
    </xf>
    <xf numFmtId="0" fontId="73" fillId="28" borderId="37" xfId="0" applyFont="1" applyFill="1" applyBorder="1" applyAlignment="1">
      <alignment horizontal="center" vertical="center"/>
    </xf>
    <xf numFmtId="0" fontId="73" fillId="28" borderId="32" xfId="0" applyFont="1" applyFill="1" applyBorder="1" applyAlignment="1">
      <alignment horizontal="center" vertical="center"/>
    </xf>
    <xf numFmtId="0" fontId="7" fillId="0" borderId="82" xfId="0" applyFont="1" applyBorder="1" applyAlignment="1">
      <alignment horizontal="center" vertical="center" wrapText="1"/>
    </xf>
    <xf numFmtId="0" fontId="7" fillId="0" borderId="83"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86" xfId="0" applyFont="1" applyBorder="1" applyAlignment="1">
      <alignment horizontal="center" vertical="center" wrapText="1"/>
    </xf>
    <xf numFmtId="0" fontId="7" fillId="0" borderId="87" xfId="0" applyFont="1" applyBorder="1" applyAlignment="1">
      <alignment horizontal="center" vertical="center" wrapText="1"/>
    </xf>
    <xf numFmtId="165" fontId="7" fillId="0" borderId="79" xfId="366" applyNumberFormat="1" applyFont="1" applyFill="1" applyBorder="1" applyAlignment="1" applyProtection="1">
      <alignment vertical="center"/>
    </xf>
    <xf numFmtId="165" fontId="7" fillId="0" borderId="81" xfId="366" applyNumberFormat="1" applyFont="1" applyFill="1" applyBorder="1" applyAlignment="1" applyProtection="1">
      <alignment vertical="center"/>
    </xf>
    <xf numFmtId="0" fontId="7" fillId="0" borderId="33" xfId="441" applyFont="1" applyBorder="1" applyAlignment="1">
      <alignment horizontal="center" textRotation="90" wrapText="1"/>
    </xf>
    <xf numFmtId="0" fontId="24" fillId="28" borderId="18" xfId="0" applyFont="1" applyFill="1" applyBorder="1" applyAlignment="1">
      <alignment horizontal="center" vertical="center" wrapText="1"/>
    </xf>
    <xf numFmtId="0" fontId="61" fillId="28" borderId="18" xfId="0" applyFont="1" applyFill="1" applyBorder="1" applyAlignment="1">
      <alignment horizontal="center" vertical="center" wrapText="1"/>
    </xf>
    <xf numFmtId="0" fontId="16" fillId="0" borderId="0" xfId="441" applyFont="1" applyAlignment="1">
      <alignment horizontal="left" vertical="center"/>
    </xf>
    <xf numFmtId="0" fontId="16" fillId="0" borderId="0" xfId="441" applyFont="1" applyAlignment="1">
      <alignment horizontal="left"/>
    </xf>
    <xf numFmtId="1" fontId="32" fillId="33" borderId="23" xfId="0" applyNumberFormat="1" applyFont="1" applyFill="1" applyBorder="1" applyAlignment="1">
      <alignment horizontal="center" vertical="center"/>
    </xf>
    <xf numFmtId="1" fontId="32" fillId="33" borderId="25" xfId="0" applyNumberFormat="1" applyFont="1" applyFill="1" applyBorder="1" applyAlignment="1">
      <alignment horizontal="center" vertical="center"/>
    </xf>
    <xf numFmtId="1" fontId="32" fillId="33" borderId="26" xfId="0" applyNumberFormat="1" applyFont="1" applyFill="1" applyBorder="1" applyAlignment="1">
      <alignment horizontal="center" vertical="center"/>
    </xf>
    <xf numFmtId="0" fontId="24" fillId="31" borderId="24" xfId="0" applyFont="1" applyFill="1" applyBorder="1" applyAlignment="1">
      <alignment horizontal="center" vertical="center" wrapText="1"/>
    </xf>
    <xf numFmtId="0" fontId="61" fillId="31" borderId="24" xfId="0" applyFont="1" applyFill="1" applyBorder="1" applyAlignment="1">
      <alignment horizontal="center" vertical="center" wrapText="1"/>
    </xf>
    <xf numFmtId="0" fontId="32" fillId="0" borderId="23" xfId="0" applyFont="1" applyBorder="1" applyAlignment="1">
      <alignment vertical="center"/>
    </xf>
    <xf numFmtId="0" fontId="32" fillId="0" borderId="25" xfId="0" applyFont="1" applyBorder="1" applyAlignment="1">
      <alignment vertical="center"/>
    </xf>
    <xf numFmtId="0" fontId="32" fillId="0" borderId="26" xfId="0" applyFont="1" applyBorder="1" applyAlignment="1">
      <alignment vertical="center"/>
    </xf>
    <xf numFmtId="0" fontId="7" fillId="0" borderId="33" xfId="471" applyFont="1" applyBorder="1" applyAlignment="1">
      <alignment horizontal="center" textRotation="90" wrapText="1"/>
    </xf>
    <xf numFmtId="0" fontId="7" fillId="0" borderId="29" xfId="471" applyFont="1" applyBorder="1" applyAlignment="1">
      <alignment horizontal="center" textRotation="90" wrapText="1"/>
    </xf>
    <xf numFmtId="0" fontId="7" fillId="0" borderId="0" xfId="441" applyFont="1" applyAlignment="1">
      <alignment horizontal="center" vertical="center"/>
    </xf>
    <xf numFmtId="0" fontId="0" fillId="0" borderId="0" xfId="0"/>
    <xf numFmtId="0" fontId="32" fillId="0" borderId="18" xfId="0" applyFont="1" applyBorder="1" applyAlignment="1">
      <alignment horizontal="center" vertical="center"/>
    </xf>
    <xf numFmtId="0" fontId="32" fillId="0" borderId="23" xfId="0" applyFont="1" applyBorder="1" applyAlignment="1">
      <alignment horizontal="center" vertical="center"/>
    </xf>
    <xf numFmtId="0" fontId="33" fillId="0" borderId="25" xfId="0" applyFont="1" applyBorder="1" applyAlignment="1">
      <alignment vertical="center"/>
    </xf>
    <xf numFmtId="0" fontId="33" fillId="0" borderId="26" xfId="0" applyFont="1" applyBorder="1" applyAlignment="1">
      <alignment vertical="center"/>
    </xf>
    <xf numFmtId="0" fontId="7" fillId="27" borderId="33" xfId="0" applyFont="1" applyFill="1" applyBorder="1" applyAlignment="1">
      <alignment horizontal="center" textRotation="90" wrapText="1"/>
    </xf>
    <xf numFmtId="0" fontId="7" fillId="27" borderId="29" xfId="0" applyFont="1" applyFill="1" applyBorder="1" applyAlignment="1">
      <alignment horizontal="center" textRotation="90" wrapText="1"/>
    </xf>
    <xf numFmtId="0" fontId="7" fillId="0" borderId="53" xfId="0" applyFont="1" applyBorder="1" applyAlignment="1">
      <alignment horizontal="center" textRotation="90" wrapText="1"/>
    </xf>
    <xf numFmtId="0" fontId="7" fillId="0" borderId="61" xfId="0" applyFont="1" applyBorder="1" applyAlignment="1">
      <alignment horizontal="center" textRotation="90" wrapText="1"/>
    </xf>
    <xf numFmtId="0" fontId="8" fillId="27" borderId="69" xfId="0" applyFont="1" applyFill="1" applyBorder="1" applyAlignment="1">
      <alignment horizontal="center" textRotation="90" wrapText="1"/>
    </xf>
    <xf numFmtId="0" fontId="8" fillId="27" borderId="39" xfId="0" applyFont="1" applyFill="1" applyBorder="1" applyAlignment="1">
      <alignment horizontal="center" textRotation="90" wrapText="1"/>
    </xf>
    <xf numFmtId="0" fontId="7" fillId="0" borderId="69" xfId="441" applyFont="1" applyBorder="1" applyAlignment="1">
      <alignment horizontal="center" textRotation="90" wrapText="1"/>
    </xf>
    <xf numFmtId="0" fontId="0" fillId="0" borderId="31" xfId="0" applyBorder="1" applyAlignment="1">
      <alignment horizontal="center" textRotation="90" wrapText="1"/>
    </xf>
    <xf numFmtId="0" fontId="75" fillId="0" borderId="18" xfId="0" quotePrefix="1" applyFont="1" applyBorder="1" applyAlignment="1">
      <alignment horizontal="center" vertical="center"/>
    </xf>
    <xf numFmtId="0" fontId="76" fillId="0" borderId="18" xfId="0" applyFont="1" applyBorder="1"/>
    <xf numFmtId="0" fontId="24" fillId="0" borderId="19" xfId="0" applyFont="1" applyBorder="1" applyAlignment="1">
      <alignment horizontal="left" vertical="center" wrapText="1"/>
    </xf>
    <xf numFmtId="0" fontId="24" fillId="0" borderId="38" xfId="0" applyFont="1" applyBorder="1" applyAlignment="1">
      <alignment horizontal="left" vertical="center" wrapText="1"/>
    </xf>
    <xf numFmtId="0" fontId="24" fillId="0" borderId="65" xfId="0" applyFont="1" applyBorder="1" applyAlignment="1">
      <alignment horizontal="left" vertical="center" wrapText="1"/>
    </xf>
    <xf numFmtId="0" fontId="24" fillId="0" borderId="21" xfId="0" applyFont="1" applyBorder="1" applyAlignment="1">
      <alignment horizontal="left" vertical="center" wrapText="1"/>
    </xf>
    <xf numFmtId="0" fontId="24" fillId="0" borderId="37" xfId="0" applyFont="1" applyBorder="1" applyAlignment="1">
      <alignment horizontal="left" vertical="center" wrapText="1"/>
    </xf>
    <xf numFmtId="0" fontId="24" fillId="0" borderId="32" xfId="0" applyFont="1" applyBorder="1" applyAlignment="1">
      <alignment horizontal="left" vertical="center" wrapText="1"/>
    </xf>
    <xf numFmtId="0" fontId="24" fillId="29" borderId="26" xfId="0" applyFont="1" applyFill="1" applyBorder="1" applyAlignment="1">
      <alignment horizontal="center" vertical="center" wrapText="1"/>
    </xf>
    <xf numFmtId="0" fontId="61" fillId="29" borderId="18" xfId="0" applyFont="1" applyFill="1" applyBorder="1" applyAlignment="1">
      <alignment horizontal="center" vertical="center" wrapText="1"/>
    </xf>
    <xf numFmtId="0" fontId="24" fillId="0" borderId="26" xfId="0" applyFont="1" applyBorder="1" applyAlignment="1">
      <alignment horizontal="center" vertical="center" wrapText="1"/>
    </xf>
    <xf numFmtId="0" fontId="61" fillId="0" borderId="18" xfId="0" applyFont="1" applyBorder="1" applyAlignment="1">
      <alignment horizontal="center" vertical="center" wrapText="1"/>
    </xf>
    <xf numFmtId="0" fontId="24" fillId="0" borderId="22" xfId="0" applyFont="1" applyBorder="1" applyAlignment="1">
      <alignment horizontal="center" vertical="center"/>
    </xf>
    <xf numFmtId="0" fontId="61" fillId="0" borderId="22" xfId="0" applyFont="1" applyBorder="1"/>
    <xf numFmtId="0" fontId="24" fillId="31" borderId="22" xfId="0" applyFont="1" applyFill="1" applyBorder="1" applyAlignment="1">
      <alignment horizontal="center" vertical="center" wrapText="1"/>
    </xf>
    <xf numFmtId="0" fontId="61" fillId="31" borderId="22" xfId="0" applyFont="1" applyFill="1" applyBorder="1" applyAlignment="1">
      <alignment horizontal="center" vertical="center" wrapText="1"/>
    </xf>
    <xf numFmtId="0" fontId="21" fillId="30" borderId="19" xfId="0" applyFont="1" applyFill="1" applyBorder="1" applyAlignment="1">
      <alignment horizontal="center" vertical="center"/>
    </xf>
    <xf numFmtId="0" fontId="21" fillId="30" borderId="38" xfId="0" applyFont="1" applyFill="1" applyBorder="1" applyAlignment="1">
      <alignment horizontal="center" vertical="center"/>
    </xf>
    <xf numFmtId="0" fontId="21" fillId="30" borderId="65" xfId="0" applyFont="1" applyFill="1" applyBorder="1" applyAlignment="1">
      <alignment horizontal="center" vertical="center"/>
    </xf>
    <xf numFmtId="0" fontId="24" fillId="30" borderId="21" xfId="0" applyFont="1" applyFill="1" applyBorder="1" applyAlignment="1">
      <alignment horizontal="center" vertical="center" wrapText="1"/>
    </xf>
    <xf numFmtId="0" fontId="24" fillId="30" borderId="37" xfId="0" applyFont="1" applyFill="1" applyBorder="1" applyAlignment="1">
      <alignment horizontal="center" vertical="center" wrapText="1"/>
    </xf>
    <xf numFmtId="0" fontId="24" fillId="30" borderId="32" xfId="0" applyFont="1" applyFill="1" applyBorder="1" applyAlignment="1">
      <alignment horizontal="center" vertical="center" wrapText="1"/>
    </xf>
    <xf numFmtId="0" fontId="21" fillId="29" borderId="19" xfId="0" applyFont="1" applyFill="1" applyBorder="1" applyAlignment="1">
      <alignment horizontal="center" vertical="center"/>
    </xf>
    <xf numFmtId="0" fontId="21" fillId="29" borderId="38" xfId="0" applyFont="1" applyFill="1" applyBorder="1" applyAlignment="1">
      <alignment horizontal="center" vertical="center"/>
    </xf>
    <xf numFmtId="0" fontId="21" fillId="29" borderId="65" xfId="0" applyFont="1" applyFill="1" applyBorder="1" applyAlignment="1">
      <alignment horizontal="center" vertical="center"/>
    </xf>
    <xf numFmtId="0" fontId="21" fillId="29" borderId="21" xfId="0" applyFont="1" applyFill="1" applyBorder="1" applyAlignment="1">
      <alignment horizontal="center" vertical="center"/>
    </xf>
    <xf numFmtId="0" fontId="21" fillId="29" borderId="37" xfId="0" applyFont="1" applyFill="1" applyBorder="1" applyAlignment="1">
      <alignment horizontal="center" vertical="center"/>
    </xf>
    <xf numFmtId="0" fontId="7" fillId="0" borderId="89" xfId="0" applyFont="1" applyBorder="1" applyAlignment="1">
      <alignment horizontal="center" textRotation="90" wrapText="1"/>
    </xf>
    <xf numFmtId="0" fontId="7" fillId="0" borderId="90" xfId="0" applyFont="1" applyBorder="1" applyAlignment="1">
      <alignment horizontal="center" textRotation="90" wrapText="1"/>
    </xf>
    <xf numFmtId="0" fontId="7" fillId="27" borderId="88" xfId="0" applyFont="1" applyFill="1" applyBorder="1" applyAlignment="1">
      <alignment horizontal="center" vertical="center" wrapText="1"/>
    </xf>
    <xf numFmtId="0" fontId="0" fillId="0" borderId="88" xfId="0" applyBorder="1" applyAlignment="1">
      <alignment wrapText="1"/>
    </xf>
    <xf numFmtId="0" fontId="12" fillId="0" borderId="18" xfId="0" applyFont="1" applyBorder="1" applyAlignment="1">
      <alignment horizontal="center" vertical="center"/>
    </xf>
    <xf numFmtId="0" fontId="28" fillId="0" borderId="19" xfId="0" applyFont="1" applyBorder="1" applyAlignment="1">
      <alignment horizontal="center" vertical="center" wrapText="1"/>
    </xf>
    <xf numFmtId="0" fontId="12" fillId="0" borderId="21" xfId="0" applyFont="1" applyBorder="1" applyAlignment="1">
      <alignment horizontal="center" vertical="center"/>
    </xf>
    <xf numFmtId="0" fontId="28" fillId="0" borderId="22" xfId="0" applyFont="1" applyBorder="1" applyAlignment="1">
      <alignment horizontal="center" vertical="center" wrapText="1"/>
    </xf>
    <xf numFmtId="0" fontId="28" fillId="0" borderId="24" xfId="0" applyFont="1" applyBorder="1" applyAlignment="1">
      <alignment horizontal="center" vertical="center" wrapText="1"/>
    </xf>
    <xf numFmtId="0" fontId="20" fillId="0" borderId="22" xfId="0" applyFont="1" applyBorder="1" applyAlignment="1">
      <alignment horizontal="center" vertical="center"/>
    </xf>
    <xf numFmtId="0" fontId="20" fillId="0" borderId="24" xfId="0" applyFont="1" applyBorder="1" applyAlignment="1">
      <alignment horizontal="center" vertical="center"/>
    </xf>
    <xf numFmtId="0" fontId="15" fillId="28" borderId="18" xfId="0" applyFont="1" applyFill="1" applyBorder="1" applyAlignment="1">
      <alignment horizontal="right" vertical="center"/>
    </xf>
    <xf numFmtId="0" fontId="15" fillId="38" borderId="18" xfId="0" applyFont="1" applyFill="1" applyBorder="1" applyAlignment="1">
      <alignment horizontal="right" vertical="center"/>
    </xf>
    <xf numFmtId="0" fontId="13" fillId="38" borderId="70" xfId="0" applyFont="1" applyFill="1" applyBorder="1" applyAlignment="1">
      <alignment horizontal="center" vertical="center" wrapText="1"/>
    </xf>
    <xf numFmtId="0" fontId="68" fillId="29" borderId="28" xfId="0" applyFont="1" applyFill="1" applyBorder="1" applyAlignment="1">
      <alignment horizontal="center" vertical="center" wrapText="1"/>
    </xf>
    <xf numFmtId="0" fontId="15" fillId="30" borderId="18" xfId="0" applyFont="1" applyFill="1" applyBorder="1" applyAlignment="1">
      <alignment horizontal="right" vertical="center"/>
    </xf>
    <xf numFmtId="0" fontId="21" fillId="0" borderId="18" xfId="0" applyFont="1" applyBorder="1" applyAlignment="1" applyProtection="1">
      <alignment horizontal="left" vertical="center" wrapText="1"/>
      <protection locked="0"/>
    </xf>
    <xf numFmtId="0" fontId="73" fillId="0" borderId="18" xfId="0" applyFont="1" applyBorder="1" applyAlignment="1" applyProtection="1">
      <alignment horizontal="left" vertical="center"/>
      <protection locked="0"/>
    </xf>
    <xf numFmtId="0" fontId="0" fillId="0" borderId="18" xfId="0" applyBorder="1" applyProtection="1">
      <protection locked="0"/>
    </xf>
    <xf numFmtId="0" fontId="12" fillId="0" borderId="18" xfId="0" applyFont="1" applyBorder="1" applyAlignment="1">
      <alignment horizontal="left" vertical="center"/>
    </xf>
    <xf numFmtId="0" fontId="0" fillId="0" borderId="18" xfId="0" applyBorder="1"/>
    <xf numFmtId="0" fontId="10" fillId="36" borderId="23" xfId="441" applyFont="1" applyFill="1" applyBorder="1" applyAlignment="1">
      <alignment horizontal="left" vertical="center"/>
    </xf>
    <xf numFmtId="0" fontId="10" fillId="36" borderId="25" xfId="441" applyFont="1" applyFill="1" applyBorder="1" applyAlignment="1">
      <alignment horizontal="left" vertical="center"/>
    </xf>
    <xf numFmtId="0" fontId="10" fillId="36" borderId="26" xfId="441" applyFont="1" applyFill="1" applyBorder="1" applyAlignment="1">
      <alignment horizontal="left" vertical="center"/>
    </xf>
    <xf numFmtId="0" fontId="73" fillId="30" borderId="22" xfId="0" applyFont="1" applyFill="1" applyBorder="1" applyAlignment="1">
      <alignment horizontal="center"/>
    </xf>
    <xf numFmtId="0" fontId="28" fillId="0" borderId="19" xfId="0" applyFont="1" applyBorder="1" applyAlignment="1">
      <alignment horizontal="center" vertical="center"/>
    </xf>
    <xf numFmtId="0" fontId="13" fillId="30" borderId="21" xfId="0" applyFont="1" applyFill="1" applyBorder="1" applyAlignment="1">
      <alignment horizontal="center" vertical="center" wrapText="1"/>
    </xf>
    <xf numFmtId="0" fontId="13" fillId="30" borderId="32" xfId="0" applyFont="1" applyFill="1" applyBorder="1" applyAlignment="1">
      <alignment horizontal="center" vertical="center" wrapText="1"/>
    </xf>
  </cellXfs>
  <cellStyles count="1756">
    <cellStyle name="20 % - Akzent1 2" xfId="1" xr:uid="{00000000-0005-0000-0000-000000000000}"/>
    <cellStyle name="20 % - Akzent1 2 2" xfId="2" xr:uid="{00000000-0005-0000-0000-000001000000}"/>
    <cellStyle name="20 % - Akzent1 2 2 2" xfId="504" xr:uid="{00000000-0005-0000-0000-000002000000}"/>
    <cellStyle name="20 % - Akzent1 2 3" xfId="3" xr:uid="{00000000-0005-0000-0000-000003000000}"/>
    <cellStyle name="20 % - Akzent1 2 3 2" xfId="4" xr:uid="{00000000-0005-0000-0000-000004000000}"/>
    <cellStyle name="20 % - Akzent1 2 3 2 2" xfId="5" xr:uid="{00000000-0005-0000-0000-000005000000}"/>
    <cellStyle name="20 % - Akzent1 2 3 2 2 2" xfId="507" xr:uid="{00000000-0005-0000-0000-000006000000}"/>
    <cellStyle name="20 % - Akzent1 2 3 2 3" xfId="506" xr:uid="{00000000-0005-0000-0000-000007000000}"/>
    <cellStyle name="20 % - Akzent1 2 3 3" xfId="508" xr:uid="{00000000-0005-0000-0000-000008000000}"/>
    <cellStyle name="20 % - Akzent1 2 3 3 2" xfId="1069" xr:uid="{00000000-0005-0000-0000-000009000000}"/>
    <cellStyle name="20 % - Akzent1 2 3 4" xfId="505" xr:uid="{00000000-0005-0000-0000-00000A000000}"/>
    <cellStyle name="20 % - Akzent1 2 4" xfId="509" xr:uid="{00000000-0005-0000-0000-00000B000000}"/>
    <cellStyle name="20 % - Akzent1 2 4 2" xfId="1070" xr:uid="{00000000-0005-0000-0000-00000C000000}"/>
    <cellStyle name="20 % - Akzent1 2 5" xfId="503" xr:uid="{00000000-0005-0000-0000-00000D000000}"/>
    <cellStyle name="20 % - Akzent1 3" xfId="6" xr:uid="{00000000-0005-0000-0000-00000E000000}"/>
    <cellStyle name="20 % - Akzent1 3 2" xfId="7" xr:uid="{00000000-0005-0000-0000-00000F000000}"/>
    <cellStyle name="20 % - Akzent1 3 2 2" xfId="511" xr:uid="{00000000-0005-0000-0000-000010000000}"/>
    <cellStyle name="20 % - Akzent1 3 2 2 2" xfId="1071" xr:uid="{00000000-0005-0000-0000-000011000000}"/>
    <cellStyle name="20 % - Akzent1 3 2 3" xfId="1072" xr:uid="{00000000-0005-0000-0000-000012000000}"/>
    <cellStyle name="20 % - Akzent1 3 2 4" xfId="1073" xr:uid="{00000000-0005-0000-0000-000013000000}"/>
    <cellStyle name="20 % - Akzent1 3 3" xfId="8" xr:uid="{00000000-0005-0000-0000-000014000000}"/>
    <cellStyle name="20 % - Akzent1 3 3 2" xfId="512" xr:uid="{00000000-0005-0000-0000-000015000000}"/>
    <cellStyle name="20 % - Akzent1 3 3 2 2" xfId="1074" xr:uid="{00000000-0005-0000-0000-000016000000}"/>
    <cellStyle name="20 % - Akzent1 3 4" xfId="510" xr:uid="{00000000-0005-0000-0000-000017000000}"/>
    <cellStyle name="20 % - Akzent1 3 4 2" xfId="1075" xr:uid="{00000000-0005-0000-0000-000018000000}"/>
    <cellStyle name="20 % - Akzent1 3 5" xfId="1076" xr:uid="{00000000-0005-0000-0000-000019000000}"/>
    <cellStyle name="20 % - Akzent1 4" xfId="9" xr:uid="{00000000-0005-0000-0000-00001A000000}"/>
    <cellStyle name="20 % - Akzent1 4 2" xfId="10" xr:uid="{00000000-0005-0000-0000-00001B000000}"/>
    <cellStyle name="20 % - Akzent1 4 2 2" xfId="514" xr:uid="{00000000-0005-0000-0000-00001C000000}"/>
    <cellStyle name="20 % - Akzent1 4 2 2 2" xfId="1077" xr:uid="{00000000-0005-0000-0000-00001D000000}"/>
    <cellStyle name="20 % - Akzent1 4 2 3" xfId="1078" xr:uid="{00000000-0005-0000-0000-00001E000000}"/>
    <cellStyle name="20 % - Akzent1 4 2 4" xfId="1079" xr:uid="{00000000-0005-0000-0000-00001F000000}"/>
    <cellStyle name="20 % - Akzent1 4 3" xfId="11" xr:uid="{00000000-0005-0000-0000-000020000000}"/>
    <cellStyle name="20 % - Akzent1 4 3 2" xfId="515" xr:uid="{00000000-0005-0000-0000-000021000000}"/>
    <cellStyle name="20 % - Akzent1 4 3 2 2" xfId="1080" xr:uid="{00000000-0005-0000-0000-000022000000}"/>
    <cellStyle name="20 % - Akzent1 4 4" xfId="513" xr:uid="{00000000-0005-0000-0000-000023000000}"/>
    <cellStyle name="20 % - Akzent1 4 4 2" xfId="1081" xr:uid="{00000000-0005-0000-0000-000024000000}"/>
    <cellStyle name="20 % - Akzent1 4 5" xfId="1082" xr:uid="{00000000-0005-0000-0000-000025000000}"/>
    <cellStyle name="20 % - Akzent1 5" xfId="12" xr:uid="{00000000-0005-0000-0000-000026000000}"/>
    <cellStyle name="20 % - Akzent1 5 2" xfId="516" xr:uid="{00000000-0005-0000-0000-000027000000}"/>
    <cellStyle name="20 % - Akzent1 5 2 2" xfId="1083" xr:uid="{00000000-0005-0000-0000-000028000000}"/>
    <cellStyle name="20 % - Akzent1 5 3" xfId="1084" xr:uid="{00000000-0005-0000-0000-000029000000}"/>
    <cellStyle name="20 % - Akzent1 5 4" xfId="1085" xr:uid="{00000000-0005-0000-0000-00002A000000}"/>
    <cellStyle name="20 % - Akzent1 6" xfId="13" xr:uid="{00000000-0005-0000-0000-00002B000000}"/>
    <cellStyle name="20 % - Akzent1 6 2" xfId="517" xr:uid="{00000000-0005-0000-0000-00002C000000}"/>
    <cellStyle name="20 % - Akzent1 6 2 2" xfId="1086" xr:uid="{00000000-0005-0000-0000-00002D000000}"/>
    <cellStyle name="20 % - Akzent1 7" xfId="14" xr:uid="{00000000-0005-0000-0000-00002E000000}"/>
    <cellStyle name="20 % - Akzent1 7 2" xfId="518" xr:uid="{00000000-0005-0000-0000-00002F000000}"/>
    <cellStyle name="20 % - Akzent1 7 2 2" xfId="1087" xr:uid="{00000000-0005-0000-0000-000030000000}"/>
    <cellStyle name="20 % - Akzent2 2" xfId="15" xr:uid="{00000000-0005-0000-0000-000031000000}"/>
    <cellStyle name="20 % - Akzent2 2 2" xfId="16" xr:uid="{00000000-0005-0000-0000-000032000000}"/>
    <cellStyle name="20 % - Akzent2 2 2 2" xfId="520" xr:uid="{00000000-0005-0000-0000-000033000000}"/>
    <cellStyle name="20 % - Akzent2 2 3" xfId="17" xr:uid="{00000000-0005-0000-0000-000034000000}"/>
    <cellStyle name="20 % - Akzent2 2 3 2" xfId="18" xr:uid="{00000000-0005-0000-0000-000035000000}"/>
    <cellStyle name="20 % - Akzent2 2 3 2 2" xfId="19" xr:uid="{00000000-0005-0000-0000-000036000000}"/>
    <cellStyle name="20 % - Akzent2 2 3 2 2 2" xfId="523" xr:uid="{00000000-0005-0000-0000-000037000000}"/>
    <cellStyle name="20 % - Akzent2 2 3 2 3" xfId="522" xr:uid="{00000000-0005-0000-0000-000038000000}"/>
    <cellStyle name="20 % - Akzent2 2 3 3" xfId="524" xr:uid="{00000000-0005-0000-0000-000039000000}"/>
    <cellStyle name="20 % - Akzent2 2 3 3 2" xfId="1088" xr:uid="{00000000-0005-0000-0000-00003A000000}"/>
    <cellStyle name="20 % - Akzent2 2 3 4" xfId="521" xr:uid="{00000000-0005-0000-0000-00003B000000}"/>
    <cellStyle name="20 % - Akzent2 2 4" xfId="525" xr:uid="{00000000-0005-0000-0000-00003C000000}"/>
    <cellStyle name="20 % - Akzent2 2 4 2" xfId="1089" xr:uid="{00000000-0005-0000-0000-00003D000000}"/>
    <cellStyle name="20 % - Akzent2 2 5" xfId="519" xr:uid="{00000000-0005-0000-0000-00003E000000}"/>
    <cellStyle name="20 % - Akzent2 3" xfId="20" xr:uid="{00000000-0005-0000-0000-00003F000000}"/>
    <cellStyle name="20 % - Akzent2 3 2" xfId="21" xr:uid="{00000000-0005-0000-0000-000040000000}"/>
    <cellStyle name="20 % - Akzent2 3 2 2" xfId="527" xr:uid="{00000000-0005-0000-0000-000041000000}"/>
    <cellStyle name="20 % - Akzent2 3 2 2 2" xfId="1090" xr:uid="{00000000-0005-0000-0000-000042000000}"/>
    <cellStyle name="20 % - Akzent2 3 2 3" xfId="1091" xr:uid="{00000000-0005-0000-0000-000043000000}"/>
    <cellStyle name="20 % - Akzent2 3 2 4" xfId="1092" xr:uid="{00000000-0005-0000-0000-000044000000}"/>
    <cellStyle name="20 % - Akzent2 3 3" xfId="22" xr:uid="{00000000-0005-0000-0000-000045000000}"/>
    <cellStyle name="20 % - Akzent2 3 3 2" xfId="528" xr:uid="{00000000-0005-0000-0000-000046000000}"/>
    <cellStyle name="20 % - Akzent2 3 3 2 2" xfId="1093" xr:uid="{00000000-0005-0000-0000-000047000000}"/>
    <cellStyle name="20 % - Akzent2 3 4" xfId="526" xr:uid="{00000000-0005-0000-0000-000048000000}"/>
    <cellStyle name="20 % - Akzent2 3 4 2" xfId="1094" xr:uid="{00000000-0005-0000-0000-000049000000}"/>
    <cellStyle name="20 % - Akzent2 3 5" xfId="1095" xr:uid="{00000000-0005-0000-0000-00004A000000}"/>
    <cellStyle name="20 % - Akzent2 4" xfId="23" xr:uid="{00000000-0005-0000-0000-00004B000000}"/>
    <cellStyle name="20 % - Akzent2 4 2" xfId="24" xr:uid="{00000000-0005-0000-0000-00004C000000}"/>
    <cellStyle name="20 % - Akzent2 4 2 2" xfId="530" xr:uid="{00000000-0005-0000-0000-00004D000000}"/>
    <cellStyle name="20 % - Akzent2 4 2 2 2" xfId="1096" xr:uid="{00000000-0005-0000-0000-00004E000000}"/>
    <cellStyle name="20 % - Akzent2 4 2 3" xfId="1097" xr:uid="{00000000-0005-0000-0000-00004F000000}"/>
    <cellStyle name="20 % - Akzent2 4 2 4" xfId="1098" xr:uid="{00000000-0005-0000-0000-000050000000}"/>
    <cellStyle name="20 % - Akzent2 4 3" xfId="25" xr:uid="{00000000-0005-0000-0000-000051000000}"/>
    <cellStyle name="20 % - Akzent2 4 3 2" xfId="531" xr:uid="{00000000-0005-0000-0000-000052000000}"/>
    <cellStyle name="20 % - Akzent2 4 3 2 2" xfId="1099" xr:uid="{00000000-0005-0000-0000-000053000000}"/>
    <cellStyle name="20 % - Akzent2 4 4" xfId="529" xr:uid="{00000000-0005-0000-0000-000054000000}"/>
    <cellStyle name="20 % - Akzent2 4 4 2" xfId="1100" xr:uid="{00000000-0005-0000-0000-000055000000}"/>
    <cellStyle name="20 % - Akzent2 4 5" xfId="1101" xr:uid="{00000000-0005-0000-0000-000056000000}"/>
    <cellStyle name="20 % - Akzent2 5" xfId="26" xr:uid="{00000000-0005-0000-0000-000057000000}"/>
    <cellStyle name="20 % - Akzent2 5 2" xfId="532" xr:uid="{00000000-0005-0000-0000-000058000000}"/>
    <cellStyle name="20 % - Akzent2 5 2 2" xfId="1102" xr:uid="{00000000-0005-0000-0000-000059000000}"/>
    <cellStyle name="20 % - Akzent2 5 3" xfId="1103" xr:uid="{00000000-0005-0000-0000-00005A000000}"/>
    <cellStyle name="20 % - Akzent2 5 4" xfId="1104" xr:uid="{00000000-0005-0000-0000-00005B000000}"/>
    <cellStyle name="20 % - Akzent2 6" xfId="27" xr:uid="{00000000-0005-0000-0000-00005C000000}"/>
    <cellStyle name="20 % - Akzent2 6 2" xfId="533" xr:uid="{00000000-0005-0000-0000-00005D000000}"/>
    <cellStyle name="20 % - Akzent2 6 2 2" xfId="1105" xr:uid="{00000000-0005-0000-0000-00005E000000}"/>
    <cellStyle name="20 % - Akzent2 7" xfId="28" xr:uid="{00000000-0005-0000-0000-00005F000000}"/>
    <cellStyle name="20 % - Akzent2 7 2" xfId="534" xr:uid="{00000000-0005-0000-0000-000060000000}"/>
    <cellStyle name="20 % - Akzent2 7 2 2" xfId="1106" xr:uid="{00000000-0005-0000-0000-000061000000}"/>
    <cellStyle name="20 % - Akzent3 2" xfId="29" xr:uid="{00000000-0005-0000-0000-000062000000}"/>
    <cellStyle name="20 % - Akzent3 2 2" xfId="30" xr:uid="{00000000-0005-0000-0000-000063000000}"/>
    <cellStyle name="20 % - Akzent3 2 2 2" xfId="536" xr:uid="{00000000-0005-0000-0000-000064000000}"/>
    <cellStyle name="20 % - Akzent3 2 3" xfId="31" xr:uid="{00000000-0005-0000-0000-000065000000}"/>
    <cellStyle name="20 % - Akzent3 2 3 2" xfId="32" xr:uid="{00000000-0005-0000-0000-000066000000}"/>
    <cellStyle name="20 % - Akzent3 2 3 2 2" xfId="33" xr:uid="{00000000-0005-0000-0000-000067000000}"/>
    <cellStyle name="20 % - Akzent3 2 3 2 2 2" xfId="539" xr:uid="{00000000-0005-0000-0000-000068000000}"/>
    <cellStyle name="20 % - Akzent3 2 3 2 3" xfId="538" xr:uid="{00000000-0005-0000-0000-000069000000}"/>
    <cellStyle name="20 % - Akzent3 2 3 3" xfId="540" xr:uid="{00000000-0005-0000-0000-00006A000000}"/>
    <cellStyle name="20 % - Akzent3 2 3 3 2" xfId="1107" xr:uid="{00000000-0005-0000-0000-00006B000000}"/>
    <cellStyle name="20 % - Akzent3 2 3 4" xfId="537" xr:uid="{00000000-0005-0000-0000-00006C000000}"/>
    <cellStyle name="20 % - Akzent3 2 4" xfId="541" xr:uid="{00000000-0005-0000-0000-00006D000000}"/>
    <cellStyle name="20 % - Akzent3 2 4 2" xfId="1108" xr:uid="{00000000-0005-0000-0000-00006E000000}"/>
    <cellStyle name="20 % - Akzent3 2 5" xfId="535" xr:uid="{00000000-0005-0000-0000-00006F000000}"/>
    <cellStyle name="20 % - Akzent3 3" xfId="34" xr:uid="{00000000-0005-0000-0000-000070000000}"/>
    <cellStyle name="20 % - Akzent3 3 2" xfId="35" xr:uid="{00000000-0005-0000-0000-000071000000}"/>
    <cellStyle name="20 % - Akzent3 3 2 2" xfId="543" xr:uid="{00000000-0005-0000-0000-000072000000}"/>
    <cellStyle name="20 % - Akzent3 3 2 2 2" xfId="1109" xr:uid="{00000000-0005-0000-0000-000073000000}"/>
    <cellStyle name="20 % - Akzent3 3 2 3" xfId="1110" xr:uid="{00000000-0005-0000-0000-000074000000}"/>
    <cellStyle name="20 % - Akzent3 3 2 4" xfId="1111" xr:uid="{00000000-0005-0000-0000-000075000000}"/>
    <cellStyle name="20 % - Akzent3 3 3" xfId="36" xr:uid="{00000000-0005-0000-0000-000076000000}"/>
    <cellStyle name="20 % - Akzent3 3 3 2" xfId="544" xr:uid="{00000000-0005-0000-0000-000077000000}"/>
    <cellStyle name="20 % - Akzent3 3 3 2 2" xfId="1112" xr:uid="{00000000-0005-0000-0000-000078000000}"/>
    <cellStyle name="20 % - Akzent3 3 4" xfId="542" xr:uid="{00000000-0005-0000-0000-000079000000}"/>
    <cellStyle name="20 % - Akzent3 3 4 2" xfId="1113" xr:uid="{00000000-0005-0000-0000-00007A000000}"/>
    <cellStyle name="20 % - Akzent3 3 5" xfId="1114" xr:uid="{00000000-0005-0000-0000-00007B000000}"/>
    <cellStyle name="20 % - Akzent3 4" xfId="37" xr:uid="{00000000-0005-0000-0000-00007C000000}"/>
    <cellStyle name="20 % - Akzent3 4 2" xfId="38" xr:uid="{00000000-0005-0000-0000-00007D000000}"/>
    <cellStyle name="20 % - Akzent3 4 2 2" xfId="546" xr:uid="{00000000-0005-0000-0000-00007E000000}"/>
    <cellStyle name="20 % - Akzent3 4 2 2 2" xfId="1115" xr:uid="{00000000-0005-0000-0000-00007F000000}"/>
    <cellStyle name="20 % - Akzent3 4 2 3" xfId="1116" xr:uid="{00000000-0005-0000-0000-000080000000}"/>
    <cellStyle name="20 % - Akzent3 4 2 4" xfId="1117" xr:uid="{00000000-0005-0000-0000-000081000000}"/>
    <cellStyle name="20 % - Akzent3 4 3" xfId="39" xr:uid="{00000000-0005-0000-0000-000082000000}"/>
    <cellStyle name="20 % - Akzent3 4 3 2" xfId="547" xr:uid="{00000000-0005-0000-0000-000083000000}"/>
    <cellStyle name="20 % - Akzent3 4 3 2 2" xfId="1118" xr:uid="{00000000-0005-0000-0000-000084000000}"/>
    <cellStyle name="20 % - Akzent3 4 4" xfId="545" xr:uid="{00000000-0005-0000-0000-000085000000}"/>
    <cellStyle name="20 % - Akzent3 4 4 2" xfId="1119" xr:uid="{00000000-0005-0000-0000-000086000000}"/>
    <cellStyle name="20 % - Akzent3 4 5" xfId="1120" xr:uid="{00000000-0005-0000-0000-000087000000}"/>
    <cellStyle name="20 % - Akzent3 5" xfId="40" xr:uid="{00000000-0005-0000-0000-000088000000}"/>
    <cellStyle name="20 % - Akzent3 5 2" xfId="548" xr:uid="{00000000-0005-0000-0000-000089000000}"/>
    <cellStyle name="20 % - Akzent3 5 2 2" xfId="1121" xr:uid="{00000000-0005-0000-0000-00008A000000}"/>
    <cellStyle name="20 % - Akzent3 5 3" xfId="1122" xr:uid="{00000000-0005-0000-0000-00008B000000}"/>
    <cellStyle name="20 % - Akzent3 5 4" xfId="1123" xr:uid="{00000000-0005-0000-0000-00008C000000}"/>
    <cellStyle name="20 % - Akzent3 6" xfId="41" xr:uid="{00000000-0005-0000-0000-00008D000000}"/>
    <cellStyle name="20 % - Akzent3 6 2" xfId="549" xr:uid="{00000000-0005-0000-0000-00008E000000}"/>
    <cellStyle name="20 % - Akzent3 6 2 2" xfId="1124" xr:uid="{00000000-0005-0000-0000-00008F000000}"/>
    <cellStyle name="20 % - Akzent3 7" xfId="42" xr:uid="{00000000-0005-0000-0000-000090000000}"/>
    <cellStyle name="20 % - Akzent3 7 2" xfId="550" xr:uid="{00000000-0005-0000-0000-000091000000}"/>
    <cellStyle name="20 % - Akzent3 7 2 2" xfId="1125" xr:uid="{00000000-0005-0000-0000-000092000000}"/>
    <cellStyle name="20 % - Akzent4 2" xfId="43" xr:uid="{00000000-0005-0000-0000-000093000000}"/>
    <cellStyle name="20 % - Akzent4 2 2" xfId="44" xr:uid="{00000000-0005-0000-0000-000094000000}"/>
    <cellStyle name="20 % - Akzent4 2 2 2" xfId="552" xr:uid="{00000000-0005-0000-0000-000095000000}"/>
    <cellStyle name="20 % - Akzent4 2 3" xfId="45" xr:uid="{00000000-0005-0000-0000-000096000000}"/>
    <cellStyle name="20 % - Akzent4 2 3 2" xfId="46" xr:uid="{00000000-0005-0000-0000-000097000000}"/>
    <cellStyle name="20 % - Akzent4 2 3 2 2" xfId="47" xr:uid="{00000000-0005-0000-0000-000098000000}"/>
    <cellStyle name="20 % - Akzent4 2 3 2 2 2" xfId="555" xr:uid="{00000000-0005-0000-0000-000099000000}"/>
    <cellStyle name="20 % - Akzent4 2 3 2 3" xfId="554" xr:uid="{00000000-0005-0000-0000-00009A000000}"/>
    <cellStyle name="20 % - Akzent4 2 3 3" xfId="556" xr:uid="{00000000-0005-0000-0000-00009B000000}"/>
    <cellStyle name="20 % - Akzent4 2 3 3 2" xfId="1126" xr:uid="{00000000-0005-0000-0000-00009C000000}"/>
    <cellStyle name="20 % - Akzent4 2 3 4" xfId="553" xr:uid="{00000000-0005-0000-0000-00009D000000}"/>
    <cellStyle name="20 % - Akzent4 2 4" xfId="557" xr:uid="{00000000-0005-0000-0000-00009E000000}"/>
    <cellStyle name="20 % - Akzent4 2 4 2" xfId="1127" xr:uid="{00000000-0005-0000-0000-00009F000000}"/>
    <cellStyle name="20 % - Akzent4 2 5" xfId="551" xr:uid="{00000000-0005-0000-0000-0000A0000000}"/>
    <cellStyle name="20 % - Akzent4 3" xfId="48" xr:uid="{00000000-0005-0000-0000-0000A1000000}"/>
    <cellStyle name="20 % - Akzent4 3 2" xfId="49" xr:uid="{00000000-0005-0000-0000-0000A2000000}"/>
    <cellStyle name="20 % - Akzent4 3 2 2" xfId="559" xr:uid="{00000000-0005-0000-0000-0000A3000000}"/>
    <cellStyle name="20 % - Akzent4 3 2 2 2" xfId="1128" xr:uid="{00000000-0005-0000-0000-0000A4000000}"/>
    <cellStyle name="20 % - Akzent4 3 2 3" xfId="1129" xr:uid="{00000000-0005-0000-0000-0000A5000000}"/>
    <cellStyle name="20 % - Akzent4 3 2 4" xfId="1130" xr:uid="{00000000-0005-0000-0000-0000A6000000}"/>
    <cellStyle name="20 % - Akzent4 3 3" xfId="50" xr:uid="{00000000-0005-0000-0000-0000A7000000}"/>
    <cellStyle name="20 % - Akzent4 3 3 2" xfId="560" xr:uid="{00000000-0005-0000-0000-0000A8000000}"/>
    <cellStyle name="20 % - Akzent4 3 3 2 2" xfId="1131" xr:uid="{00000000-0005-0000-0000-0000A9000000}"/>
    <cellStyle name="20 % - Akzent4 3 4" xfId="558" xr:uid="{00000000-0005-0000-0000-0000AA000000}"/>
    <cellStyle name="20 % - Akzent4 3 4 2" xfId="1132" xr:uid="{00000000-0005-0000-0000-0000AB000000}"/>
    <cellStyle name="20 % - Akzent4 3 5" xfId="1133" xr:uid="{00000000-0005-0000-0000-0000AC000000}"/>
    <cellStyle name="20 % - Akzent4 4" xfId="51" xr:uid="{00000000-0005-0000-0000-0000AD000000}"/>
    <cellStyle name="20 % - Akzent4 4 2" xfId="52" xr:uid="{00000000-0005-0000-0000-0000AE000000}"/>
    <cellStyle name="20 % - Akzent4 4 2 2" xfId="562" xr:uid="{00000000-0005-0000-0000-0000AF000000}"/>
    <cellStyle name="20 % - Akzent4 4 2 2 2" xfId="1134" xr:uid="{00000000-0005-0000-0000-0000B0000000}"/>
    <cellStyle name="20 % - Akzent4 4 2 3" xfId="1135" xr:uid="{00000000-0005-0000-0000-0000B1000000}"/>
    <cellStyle name="20 % - Akzent4 4 2 4" xfId="1136" xr:uid="{00000000-0005-0000-0000-0000B2000000}"/>
    <cellStyle name="20 % - Akzent4 4 3" xfId="53" xr:uid="{00000000-0005-0000-0000-0000B3000000}"/>
    <cellStyle name="20 % - Akzent4 4 3 2" xfId="563" xr:uid="{00000000-0005-0000-0000-0000B4000000}"/>
    <cellStyle name="20 % - Akzent4 4 3 2 2" xfId="1137" xr:uid="{00000000-0005-0000-0000-0000B5000000}"/>
    <cellStyle name="20 % - Akzent4 4 4" xfId="561" xr:uid="{00000000-0005-0000-0000-0000B6000000}"/>
    <cellStyle name="20 % - Akzent4 4 4 2" xfId="1138" xr:uid="{00000000-0005-0000-0000-0000B7000000}"/>
    <cellStyle name="20 % - Akzent4 4 5" xfId="1139" xr:uid="{00000000-0005-0000-0000-0000B8000000}"/>
    <cellStyle name="20 % - Akzent4 5" xfId="54" xr:uid="{00000000-0005-0000-0000-0000B9000000}"/>
    <cellStyle name="20 % - Akzent4 5 2" xfId="564" xr:uid="{00000000-0005-0000-0000-0000BA000000}"/>
    <cellStyle name="20 % - Akzent4 5 2 2" xfId="1140" xr:uid="{00000000-0005-0000-0000-0000BB000000}"/>
    <cellStyle name="20 % - Akzent4 5 3" xfId="1141" xr:uid="{00000000-0005-0000-0000-0000BC000000}"/>
    <cellStyle name="20 % - Akzent4 5 4" xfId="1142" xr:uid="{00000000-0005-0000-0000-0000BD000000}"/>
    <cellStyle name="20 % - Akzent4 6" xfId="55" xr:uid="{00000000-0005-0000-0000-0000BE000000}"/>
    <cellStyle name="20 % - Akzent4 6 2" xfId="565" xr:uid="{00000000-0005-0000-0000-0000BF000000}"/>
    <cellStyle name="20 % - Akzent4 6 2 2" xfId="1143" xr:uid="{00000000-0005-0000-0000-0000C0000000}"/>
    <cellStyle name="20 % - Akzent4 7" xfId="56" xr:uid="{00000000-0005-0000-0000-0000C1000000}"/>
    <cellStyle name="20 % - Akzent4 7 2" xfId="566" xr:uid="{00000000-0005-0000-0000-0000C2000000}"/>
    <cellStyle name="20 % - Akzent4 7 2 2" xfId="1144" xr:uid="{00000000-0005-0000-0000-0000C3000000}"/>
    <cellStyle name="20 % - Akzent5 2" xfId="57" xr:uid="{00000000-0005-0000-0000-0000C4000000}"/>
    <cellStyle name="20 % - Akzent5 2 2" xfId="58" xr:uid="{00000000-0005-0000-0000-0000C5000000}"/>
    <cellStyle name="20 % - Akzent5 2 2 2" xfId="59" xr:uid="{00000000-0005-0000-0000-0000C6000000}"/>
    <cellStyle name="20 % - Akzent5 2 2 2 2" xfId="569" xr:uid="{00000000-0005-0000-0000-0000C7000000}"/>
    <cellStyle name="20 % - Akzent5 2 2 3" xfId="568" xr:uid="{00000000-0005-0000-0000-0000C8000000}"/>
    <cellStyle name="20 % - Akzent5 2 3" xfId="570" xr:uid="{00000000-0005-0000-0000-0000C9000000}"/>
    <cellStyle name="20 % - Akzent5 2 3 2" xfId="1145" xr:uid="{00000000-0005-0000-0000-0000CA000000}"/>
    <cellStyle name="20 % - Akzent5 2 4" xfId="567" xr:uid="{00000000-0005-0000-0000-0000CB000000}"/>
    <cellStyle name="20 % - Akzent5 3" xfId="60" xr:uid="{00000000-0005-0000-0000-0000CC000000}"/>
    <cellStyle name="20 % - Akzent5 3 2" xfId="61" xr:uid="{00000000-0005-0000-0000-0000CD000000}"/>
    <cellStyle name="20 % - Akzent5 3 2 2" xfId="572" xr:uid="{00000000-0005-0000-0000-0000CE000000}"/>
    <cellStyle name="20 % - Akzent5 3 2 2 2" xfId="1146" xr:uid="{00000000-0005-0000-0000-0000CF000000}"/>
    <cellStyle name="20 % - Akzent5 3 2 3" xfId="1147" xr:uid="{00000000-0005-0000-0000-0000D0000000}"/>
    <cellStyle name="20 % - Akzent5 3 2 4" xfId="1148" xr:uid="{00000000-0005-0000-0000-0000D1000000}"/>
    <cellStyle name="20 % - Akzent5 3 3" xfId="62" xr:uid="{00000000-0005-0000-0000-0000D2000000}"/>
    <cellStyle name="20 % - Akzent5 3 3 2" xfId="573" xr:uid="{00000000-0005-0000-0000-0000D3000000}"/>
    <cellStyle name="20 % - Akzent5 3 3 2 2" xfId="1149" xr:uid="{00000000-0005-0000-0000-0000D4000000}"/>
    <cellStyle name="20 % - Akzent5 3 4" xfId="571" xr:uid="{00000000-0005-0000-0000-0000D5000000}"/>
    <cellStyle name="20 % - Akzent5 3 4 2" xfId="1150" xr:uid="{00000000-0005-0000-0000-0000D6000000}"/>
    <cellStyle name="20 % - Akzent5 3 5" xfId="1151" xr:uid="{00000000-0005-0000-0000-0000D7000000}"/>
    <cellStyle name="20 % - Akzent5 4" xfId="63" xr:uid="{00000000-0005-0000-0000-0000D8000000}"/>
    <cellStyle name="20 % - Akzent5 4 2" xfId="64" xr:uid="{00000000-0005-0000-0000-0000D9000000}"/>
    <cellStyle name="20 % - Akzent5 4 2 2" xfId="575" xr:uid="{00000000-0005-0000-0000-0000DA000000}"/>
    <cellStyle name="20 % - Akzent5 4 2 2 2" xfId="1152" xr:uid="{00000000-0005-0000-0000-0000DB000000}"/>
    <cellStyle name="20 % - Akzent5 4 2 3" xfId="1153" xr:uid="{00000000-0005-0000-0000-0000DC000000}"/>
    <cellStyle name="20 % - Akzent5 4 2 4" xfId="1154" xr:uid="{00000000-0005-0000-0000-0000DD000000}"/>
    <cellStyle name="20 % - Akzent5 4 3" xfId="65" xr:uid="{00000000-0005-0000-0000-0000DE000000}"/>
    <cellStyle name="20 % - Akzent5 4 3 2" xfId="576" xr:uid="{00000000-0005-0000-0000-0000DF000000}"/>
    <cellStyle name="20 % - Akzent5 4 3 2 2" xfId="1155" xr:uid="{00000000-0005-0000-0000-0000E0000000}"/>
    <cellStyle name="20 % - Akzent5 4 4" xfId="574" xr:uid="{00000000-0005-0000-0000-0000E1000000}"/>
    <cellStyle name="20 % - Akzent5 4 4 2" xfId="1156" xr:uid="{00000000-0005-0000-0000-0000E2000000}"/>
    <cellStyle name="20 % - Akzent5 4 5" xfId="1157" xr:uid="{00000000-0005-0000-0000-0000E3000000}"/>
    <cellStyle name="20 % - Akzent5 5" xfId="66" xr:uid="{00000000-0005-0000-0000-0000E4000000}"/>
    <cellStyle name="20 % - Akzent5 5 2" xfId="577" xr:uid="{00000000-0005-0000-0000-0000E5000000}"/>
    <cellStyle name="20 % - Akzent5 5 2 2" xfId="1158" xr:uid="{00000000-0005-0000-0000-0000E6000000}"/>
    <cellStyle name="20 % - Akzent5 5 3" xfId="1159" xr:uid="{00000000-0005-0000-0000-0000E7000000}"/>
    <cellStyle name="20 % - Akzent5 5 4" xfId="1160" xr:uid="{00000000-0005-0000-0000-0000E8000000}"/>
    <cellStyle name="20 % - Akzent5 6" xfId="67" xr:uid="{00000000-0005-0000-0000-0000E9000000}"/>
    <cellStyle name="20 % - Akzent5 6 2" xfId="578" xr:uid="{00000000-0005-0000-0000-0000EA000000}"/>
    <cellStyle name="20 % - Akzent5 6 2 2" xfId="1161" xr:uid="{00000000-0005-0000-0000-0000EB000000}"/>
    <cellStyle name="20 % - Akzent5 7" xfId="68" xr:uid="{00000000-0005-0000-0000-0000EC000000}"/>
    <cellStyle name="20 % - Akzent5 7 2" xfId="579" xr:uid="{00000000-0005-0000-0000-0000ED000000}"/>
    <cellStyle name="20 % - Akzent5 7 2 2" xfId="1162" xr:uid="{00000000-0005-0000-0000-0000EE000000}"/>
    <cellStyle name="20 % - Akzent6 2" xfId="69" xr:uid="{00000000-0005-0000-0000-0000EF000000}"/>
    <cellStyle name="20 % - Akzent6 2 2" xfId="580" xr:uid="{00000000-0005-0000-0000-0000F0000000}"/>
    <cellStyle name="20 % - Akzent6 3" xfId="70" xr:uid="{00000000-0005-0000-0000-0000F1000000}"/>
    <cellStyle name="20 % - Akzent6 3 2" xfId="71" xr:uid="{00000000-0005-0000-0000-0000F2000000}"/>
    <cellStyle name="20 % - Akzent6 3 2 2" xfId="582" xr:uid="{00000000-0005-0000-0000-0000F3000000}"/>
    <cellStyle name="20 % - Akzent6 3 2 2 2" xfId="1163" xr:uid="{00000000-0005-0000-0000-0000F4000000}"/>
    <cellStyle name="20 % - Akzent6 3 2 3" xfId="1164" xr:uid="{00000000-0005-0000-0000-0000F5000000}"/>
    <cellStyle name="20 % - Akzent6 3 2 4" xfId="1165" xr:uid="{00000000-0005-0000-0000-0000F6000000}"/>
    <cellStyle name="20 % - Akzent6 3 3" xfId="72" xr:uid="{00000000-0005-0000-0000-0000F7000000}"/>
    <cellStyle name="20 % - Akzent6 3 3 2" xfId="583" xr:uid="{00000000-0005-0000-0000-0000F8000000}"/>
    <cellStyle name="20 % - Akzent6 3 3 2 2" xfId="1166" xr:uid="{00000000-0005-0000-0000-0000F9000000}"/>
    <cellStyle name="20 % - Akzent6 3 4" xfId="581" xr:uid="{00000000-0005-0000-0000-0000FA000000}"/>
    <cellStyle name="20 % - Akzent6 3 4 2" xfId="1167" xr:uid="{00000000-0005-0000-0000-0000FB000000}"/>
    <cellStyle name="20 % - Akzent6 3 5" xfId="1168" xr:uid="{00000000-0005-0000-0000-0000FC000000}"/>
    <cellStyle name="20 % - Akzent6 4" xfId="73" xr:uid="{00000000-0005-0000-0000-0000FD000000}"/>
    <cellStyle name="20 % - Akzent6 4 2" xfId="74" xr:uid="{00000000-0005-0000-0000-0000FE000000}"/>
    <cellStyle name="20 % - Akzent6 4 2 2" xfId="585" xr:uid="{00000000-0005-0000-0000-0000FF000000}"/>
    <cellStyle name="20 % - Akzent6 4 2 2 2" xfId="1169" xr:uid="{00000000-0005-0000-0000-000000010000}"/>
    <cellStyle name="20 % - Akzent6 4 2 3" xfId="1170" xr:uid="{00000000-0005-0000-0000-000001010000}"/>
    <cellStyle name="20 % - Akzent6 4 2 4" xfId="1171" xr:uid="{00000000-0005-0000-0000-000002010000}"/>
    <cellStyle name="20 % - Akzent6 4 3" xfId="75" xr:uid="{00000000-0005-0000-0000-000003010000}"/>
    <cellStyle name="20 % - Akzent6 4 3 2" xfId="586" xr:uid="{00000000-0005-0000-0000-000004010000}"/>
    <cellStyle name="20 % - Akzent6 4 3 2 2" xfId="1172" xr:uid="{00000000-0005-0000-0000-000005010000}"/>
    <cellStyle name="20 % - Akzent6 4 4" xfId="584" xr:uid="{00000000-0005-0000-0000-000006010000}"/>
    <cellStyle name="20 % - Akzent6 4 4 2" xfId="1173" xr:uid="{00000000-0005-0000-0000-000007010000}"/>
    <cellStyle name="20 % - Akzent6 4 5" xfId="1174" xr:uid="{00000000-0005-0000-0000-000008010000}"/>
    <cellStyle name="20 % - Akzent6 5" xfId="76" xr:uid="{00000000-0005-0000-0000-000009010000}"/>
    <cellStyle name="20 % - Akzent6 5 2" xfId="587" xr:uid="{00000000-0005-0000-0000-00000A010000}"/>
    <cellStyle name="20 % - Akzent6 5 2 2" xfId="1175" xr:uid="{00000000-0005-0000-0000-00000B010000}"/>
    <cellStyle name="20 % - Akzent6 5 3" xfId="1176" xr:uid="{00000000-0005-0000-0000-00000C010000}"/>
    <cellStyle name="20 % - Akzent6 5 4" xfId="1177" xr:uid="{00000000-0005-0000-0000-00000D010000}"/>
    <cellStyle name="20 % - Akzent6 6" xfId="77" xr:uid="{00000000-0005-0000-0000-00000E010000}"/>
    <cellStyle name="20 % - Akzent6 6 2" xfId="588" xr:uid="{00000000-0005-0000-0000-00000F010000}"/>
    <cellStyle name="20 % - Akzent6 6 2 2" xfId="1178" xr:uid="{00000000-0005-0000-0000-000010010000}"/>
    <cellStyle name="20 % - Akzent6 7" xfId="78" xr:uid="{00000000-0005-0000-0000-000011010000}"/>
    <cellStyle name="20 % - Akzent6 7 2" xfId="589" xr:uid="{00000000-0005-0000-0000-000012010000}"/>
    <cellStyle name="20 % - Akzent6 7 2 2" xfId="1179" xr:uid="{00000000-0005-0000-0000-000013010000}"/>
    <cellStyle name="40 % - Akzent1 2" xfId="79" xr:uid="{00000000-0005-0000-0000-000014010000}"/>
    <cellStyle name="40 % - Akzent1 2 2" xfId="80" xr:uid="{00000000-0005-0000-0000-000015010000}"/>
    <cellStyle name="40 % - Akzent1 2 2 2" xfId="591" xr:uid="{00000000-0005-0000-0000-000016010000}"/>
    <cellStyle name="40 % - Akzent1 2 3" xfId="592" xr:uid="{00000000-0005-0000-0000-000017010000}"/>
    <cellStyle name="40 % - Akzent1 2 3 2" xfId="1180" xr:uid="{00000000-0005-0000-0000-000018010000}"/>
    <cellStyle name="40 % - Akzent1 2 4" xfId="590" xr:uid="{00000000-0005-0000-0000-000019010000}"/>
    <cellStyle name="40 % - Akzent1 3" xfId="81" xr:uid="{00000000-0005-0000-0000-00001A010000}"/>
    <cellStyle name="40 % - Akzent1 3 2" xfId="82" xr:uid="{00000000-0005-0000-0000-00001B010000}"/>
    <cellStyle name="40 % - Akzent1 3 2 2" xfId="594" xr:uid="{00000000-0005-0000-0000-00001C010000}"/>
    <cellStyle name="40 % - Akzent1 3 2 2 2" xfId="1181" xr:uid="{00000000-0005-0000-0000-00001D010000}"/>
    <cellStyle name="40 % - Akzent1 3 2 3" xfId="1182" xr:uid="{00000000-0005-0000-0000-00001E010000}"/>
    <cellStyle name="40 % - Akzent1 3 2 4" xfId="1183" xr:uid="{00000000-0005-0000-0000-00001F010000}"/>
    <cellStyle name="40 % - Akzent1 3 3" xfId="83" xr:uid="{00000000-0005-0000-0000-000020010000}"/>
    <cellStyle name="40 % - Akzent1 3 3 2" xfId="595" xr:uid="{00000000-0005-0000-0000-000021010000}"/>
    <cellStyle name="40 % - Akzent1 3 3 2 2" xfId="1184" xr:uid="{00000000-0005-0000-0000-000022010000}"/>
    <cellStyle name="40 % - Akzent1 3 4" xfId="593" xr:uid="{00000000-0005-0000-0000-000023010000}"/>
    <cellStyle name="40 % - Akzent1 3 4 2" xfId="1185" xr:uid="{00000000-0005-0000-0000-000024010000}"/>
    <cellStyle name="40 % - Akzent1 3 5" xfId="1186" xr:uid="{00000000-0005-0000-0000-000025010000}"/>
    <cellStyle name="40 % - Akzent1 4" xfId="84" xr:uid="{00000000-0005-0000-0000-000026010000}"/>
    <cellStyle name="40 % - Akzent1 4 2" xfId="85" xr:uid="{00000000-0005-0000-0000-000027010000}"/>
    <cellStyle name="40 % - Akzent1 4 2 2" xfId="597" xr:uid="{00000000-0005-0000-0000-000028010000}"/>
    <cellStyle name="40 % - Akzent1 4 2 2 2" xfId="1187" xr:uid="{00000000-0005-0000-0000-000029010000}"/>
    <cellStyle name="40 % - Akzent1 4 2 3" xfId="1188" xr:uid="{00000000-0005-0000-0000-00002A010000}"/>
    <cellStyle name="40 % - Akzent1 4 2 4" xfId="1189" xr:uid="{00000000-0005-0000-0000-00002B010000}"/>
    <cellStyle name="40 % - Akzent1 4 3" xfId="86" xr:uid="{00000000-0005-0000-0000-00002C010000}"/>
    <cellStyle name="40 % - Akzent1 4 3 2" xfId="598" xr:uid="{00000000-0005-0000-0000-00002D010000}"/>
    <cellStyle name="40 % - Akzent1 4 3 2 2" xfId="1190" xr:uid="{00000000-0005-0000-0000-00002E010000}"/>
    <cellStyle name="40 % - Akzent1 4 4" xfId="596" xr:uid="{00000000-0005-0000-0000-00002F010000}"/>
    <cellStyle name="40 % - Akzent1 4 4 2" xfId="1191" xr:uid="{00000000-0005-0000-0000-000030010000}"/>
    <cellStyle name="40 % - Akzent1 4 5" xfId="1192" xr:uid="{00000000-0005-0000-0000-000031010000}"/>
    <cellStyle name="40 % - Akzent1 5" xfId="87" xr:uid="{00000000-0005-0000-0000-000032010000}"/>
    <cellStyle name="40 % - Akzent1 5 2" xfId="599" xr:uid="{00000000-0005-0000-0000-000033010000}"/>
    <cellStyle name="40 % - Akzent1 5 2 2" xfId="1193" xr:uid="{00000000-0005-0000-0000-000034010000}"/>
    <cellStyle name="40 % - Akzent1 5 3" xfId="1194" xr:uid="{00000000-0005-0000-0000-000035010000}"/>
    <cellStyle name="40 % - Akzent1 5 4" xfId="1195" xr:uid="{00000000-0005-0000-0000-000036010000}"/>
    <cellStyle name="40 % - Akzent1 6" xfId="88" xr:uid="{00000000-0005-0000-0000-000037010000}"/>
    <cellStyle name="40 % - Akzent1 6 2" xfId="600" xr:uid="{00000000-0005-0000-0000-000038010000}"/>
    <cellStyle name="40 % - Akzent1 6 2 2" xfId="1196" xr:uid="{00000000-0005-0000-0000-000039010000}"/>
    <cellStyle name="40 % - Akzent1 7" xfId="89" xr:uid="{00000000-0005-0000-0000-00003A010000}"/>
    <cellStyle name="40 % - Akzent1 7 2" xfId="601" xr:uid="{00000000-0005-0000-0000-00003B010000}"/>
    <cellStyle name="40 % - Akzent1 7 2 2" xfId="1197" xr:uid="{00000000-0005-0000-0000-00003C010000}"/>
    <cellStyle name="40 % - Akzent2 2" xfId="90" xr:uid="{00000000-0005-0000-0000-00003D010000}"/>
    <cellStyle name="40 % - Akzent2 2 2" xfId="602" xr:uid="{00000000-0005-0000-0000-00003E010000}"/>
    <cellStyle name="40 % - Akzent2 3" xfId="91" xr:uid="{00000000-0005-0000-0000-00003F010000}"/>
    <cellStyle name="40 % - Akzent2 3 2" xfId="92" xr:uid="{00000000-0005-0000-0000-000040010000}"/>
    <cellStyle name="40 % - Akzent2 3 2 2" xfId="604" xr:uid="{00000000-0005-0000-0000-000041010000}"/>
    <cellStyle name="40 % - Akzent2 3 2 2 2" xfId="1198" xr:uid="{00000000-0005-0000-0000-000042010000}"/>
    <cellStyle name="40 % - Akzent2 3 2 3" xfId="1199" xr:uid="{00000000-0005-0000-0000-000043010000}"/>
    <cellStyle name="40 % - Akzent2 3 2 4" xfId="1200" xr:uid="{00000000-0005-0000-0000-000044010000}"/>
    <cellStyle name="40 % - Akzent2 3 3" xfId="93" xr:uid="{00000000-0005-0000-0000-000045010000}"/>
    <cellStyle name="40 % - Akzent2 3 3 2" xfId="605" xr:uid="{00000000-0005-0000-0000-000046010000}"/>
    <cellStyle name="40 % - Akzent2 3 3 2 2" xfId="1201" xr:uid="{00000000-0005-0000-0000-000047010000}"/>
    <cellStyle name="40 % - Akzent2 3 4" xfId="603" xr:uid="{00000000-0005-0000-0000-000048010000}"/>
    <cellStyle name="40 % - Akzent2 3 4 2" xfId="1202" xr:uid="{00000000-0005-0000-0000-000049010000}"/>
    <cellStyle name="40 % - Akzent2 3 5" xfId="1203" xr:uid="{00000000-0005-0000-0000-00004A010000}"/>
    <cellStyle name="40 % - Akzent2 4" xfId="94" xr:uid="{00000000-0005-0000-0000-00004B010000}"/>
    <cellStyle name="40 % - Akzent2 4 2" xfId="95" xr:uid="{00000000-0005-0000-0000-00004C010000}"/>
    <cellStyle name="40 % - Akzent2 4 2 2" xfId="607" xr:uid="{00000000-0005-0000-0000-00004D010000}"/>
    <cellStyle name="40 % - Akzent2 4 2 2 2" xfId="1204" xr:uid="{00000000-0005-0000-0000-00004E010000}"/>
    <cellStyle name="40 % - Akzent2 4 2 3" xfId="1205" xr:uid="{00000000-0005-0000-0000-00004F010000}"/>
    <cellStyle name="40 % - Akzent2 4 2 4" xfId="1206" xr:uid="{00000000-0005-0000-0000-000050010000}"/>
    <cellStyle name="40 % - Akzent2 4 3" xfId="96" xr:uid="{00000000-0005-0000-0000-000051010000}"/>
    <cellStyle name="40 % - Akzent2 4 3 2" xfId="608" xr:uid="{00000000-0005-0000-0000-000052010000}"/>
    <cellStyle name="40 % - Akzent2 4 3 2 2" xfId="1207" xr:uid="{00000000-0005-0000-0000-000053010000}"/>
    <cellStyle name="40 % - Akzent2 4 4" xfId="606" xr:uid="{00000000-0005-0000-0000-000054010000}"/>
    <cellStyle name="40 % - Akzent2 4 4 2" xfId="1208" xr:uid="{00000000-0005-0000-0000-000055010000}"/>
    <cellStyle name="40 % - Akzent2 4 5" xfId="1209" xr:uid="{00000000-0005-0000-0000-000056010000}"/>
    <cellStyle name="40 % - Akzent2 5" xfId="97" xr:uid="{00000000-0005-0000-0000-000057010000}"/>
    <cellStyle name="40 % - Akzent2 5 2" xfId="609" xr:uid="{00000000-0005-0000-0000-000058010000}"/>
    <cellStyle name="40 % - Akzent2 5 2 2" xfId="1210" xr:uid="{00000000-0005-0000-0000-000059010000}"/>
    <cellStyle name="40 % - Akzent2 5 3" xfId="1211" xr:uid="{00000000-0005-0000-0000-00005A010000}"/>
    <cellStyle name="40 % - Akzent2 5 4" xfId="1212" xr:uid="{00000000-0005-0000-0000-00005B010000}"/>
    <cellStyle name="40 % - Akzent2 6" xfId="98" xr:uid="{00000000-0005-0000-0000-00005C010000}"/>
    <cellStyle name="40 % - Akzent2 6 2" xfId="610" xr:uid="{00000000-0005-0000-0000-00005D010000}"/>
    <cellStyle name="40 % - Akzent2 6 2 2" xfId="1213" xr:uid="{00000000-0005-0000-0000-00005E010000}"/>
    <cellStyle name="40 % - Akzent2 7" xfId="99" xr:uid="{00000000-0005-0000-0000-00005F010000}"/>
    <cellStyle name="40 % - Akzent2 7 2" xfId="611" xr:uid="{00000000-0005-0000-0000-000060010000}"/>
    <cellStyle name="40 % - Akzent2 7 2 2" xfId="1214" xr:uid="{00000000-0005-0000-0000-000061010000}"/>
    <cellStyle name="40 % - Akzent3 2" xfId="100" xr:uid="{00000000-0005-0000-0000-000062010000}"/>
    <cellStyle name="40 % - Akzent3 2 2" xfId="101" xr:uid="{00000000-0005-0000-0000-000063010000}"/>
    <cellStyle name="40 % - Akzent3 2 2 2" xfId="613" xr:uid="{00000000-0005-0000-0000-000064010000}"/>
    <cellStyle name="40 % - Akzent3 2 3" xfId="102" xr:uid="{00000000-0005-0000-0000-000065010000}"/>
    <cellStyle name="40 % - Akzent3 2 3 2" xfId="103" xr:uid="{00000000-0005-0000-0000-000066010000}"/>
    <cellStyle name="40 % - Akzent3 2 3 2 2" xfId="104" xr:uid="{00000000-0005-0000-0000-000067010000}"/>
    <cellStyle name="40 % - Akzent3 2 3 2 2 2" xfId="616" xr:uid="{00000000-0005-0000-0000-000068010000}"/>
    <cellStyle name="40 % - Akzent3 2 3 2 3" xfId="615" xr:uid="{00000000-0005-0000-0000-000069010000}"/>
    <cellStyle name="40 % - Akzent3 2 3 3" xfId="617" xr:uid="{00000000-0005-0000-0000-00006A010000}"/>
    <cellStyle name="40 % - Akzent3 2 3 3 2" xfId="1215" xr:uid="{00000000-0005-0000-0000-00006B010000}"/>
    <cellStyle name="40 % - Akzent3 2 3 4" xfId="614" xr:uid="{00000000-0005-0000-0000-00006C010000}"/>
    <cellStyle name="40 % - Akzent3 2 4" xfId="618" xr:uid="{00000000-0005-0000-0000-00006D010000}"/>
    <cellStyle name="40 % - Akzent3 2 4 2" xfId="1216" xr:uid="{00000000-0005-0000-0000-00006E010000}"/>
    <cellStyle name="40 % - Akzent3 2 5" xfId="612" xr:uid="{00000000-0005-0000-0000-00006F010000}"/>
    <cellStyle name="40 % - Akzent3 3" xfId="105" xr:uid="{00000000-0005-0000-0000-000070010000}"/>
    <cellStyle name="40 % - Akzent3 3 2" xfId="106" xr:uid="{00000000-0005-0000-0000-000071010000}"/>
    <cellStyle name="40 % - Akzent3 3 2 2" xfId="620" xr:uid="{00000000-0005-0000-0000-000072010000}"/>
    <cellStyle name="40 % - Akzent3 3 2 2 2" xfId="1217" xr:uid="{00000000-0005-0000-0000-000073010000}"/>
    <cellStyle name="40 % - Akzent3 3 2 3" xfId="1218" xr:uid="{00000000-0005-0000-0000-000074010000}"/>
    <cellStyle name="40 % - Akzent3 3 2 4" xfId="1219" xr:uid="{00000000-0005-0000-0000-000075010000}"/>
    <cellStyle name="40 % - Akzent3 3 3" xfId="107" xr:uid="{00000000-0005-0000-0000-000076010000}"/>
    <cellStyle name="40 % - Akzent3 3 3 2" xfId="621" xr:uid="{00000000-0005-0000-0000-000077010000}"/>
    <cellStyle name="40 % - Akzent3 3 3 2 2" xfId="1220" xr:uid="{00000000-0005-0000-0000-000078010000}"/>
    <cellStyle name="40 % - Akzent3 3 4" xfId="619" xr:uid="{00000000-0005-0000-0000-000079010000}"/>
    <cellStyle name="40 % - Akzent3 3 4 2" xfId="1221" xr:uid="{00000000-0005-0000-0000-00007A010000}"/>
    <cellStyle name="40 % - Akzent3 3 5" xfId="1222" xr:uid="{00000000-0005-0000-0000-00007B010000}"/>
    <cellStyle name="40 % - Akzent3 4" xfId="108" xr:uid="{00000000-0005-0000-0000-00007C010000}"/>
    <cellStyle name="40 % - Akzent3 4 2" xfId="109" xr:uid="{00000000-0005-0000-0000-00007D010000}"/>
    <cellStyle name="40 % - Akzent3 4 2 2" xfId="623" xr:uid="{00000000-0005-0000-0000-00007E010000}"/>
    <cellStyle name="40 % - Akzent3 4 2 2 2" xfId="1223" xr:uid="{00000000-0005-0000-0000-00007F010000}"/>
    <cellStyle name="40 % - Akzent3 4 2 3" xfId="1224" xr:uid="{00000000-0005-0000-0000-000080010000}"/>
    <cellStyle name="40 % - Akzent3 4 2 4" xfId="1225" xr:uid="{00000000-0005-0000-0000-000081010000}"/>
    <cellStyle name="40 % - Akzent3 4 3" xfId="110" xr:uid="{00000000-0005-0000-0000-000082010000}"/>
    <cellStyle name="40 % - Akzent3 4 3 2" xfId="624" xr:uid="{00000000-0005-0000-0000-000083010000}"/>
    <cellStyle name="40 % - Akzent3 4 3 2 2" xfId="1226" xr:uid="{00000000-0005-0000-0000-000084010000}"/>
    <cellStyle name="40 % - Akzent3 4 4" xfId="622" xr:uid="{00000000-0005-0000-0000-000085010000}"/>
    <cellStyle name="40 % - Akzent3 4 4 2" xfId="1227" xr:uid="{00000000-0005-0000-0000-000086010000}"/>
    <cellStyle name="40 % - Akzent3 4 5" xfId="1228" xr:uid="{00000000-0005-0000-0000-000087010000}"/>
    <cellStyle name="40 % - Akzent3 5" xfId="111" xr:uid="{00000000-0005-0000-0000-000088010000}"/>
    <cellStyle name="40 % - Akzent3 5 2" xfId="625" xr:uid="{00000000-0005-0000-0000-000089010000}"/>
    <cellStyle name="40 % - Akzent3 5 2 2" xfId="1229" xr:uid="{00000000-0005-0000-0000-00008A010000}"/>
    <cellStyle name="40 % - Akzent3 5 3" xfId="1230" xr:uid="{00000000-0005-0000-0000-00008B010000}"/>
    <cellStyle name="40 % - Akzent3 5 4" xfId="1231" xr:uid="{00000000-0005-0000-0000-00008C010000}"/>
    <cellStyle name="40 % - Akzent3 6" xfId="112" xr:uid="{00000000-0005-0000-0000-00008D010000}"/>
    <cellStyle name="40 % - Akzent3 6 2" xfId="626" xr:uid="{00000000-0005-0000-0000-00008E010000}"/>
    <cellStyle name="40 % - Akzent3 6 2 2" xfId="1232" xr:uid="{00000000-0005-0000-0000-00008F010000}"/>
    <cellStyle name="40 % - Akzent3 7" xfId="113" xr:uid="{00000000-0005-0000-0000-000090010000}"/>
    <cellStyle name="40 % - Akzent3 7 2" xfId="627" xr:uid="{00000000-0005-0000-0000-000091010000}"/>
    <cellStyle name="40 % - Akzent3 7 2 2" xfId="1233" xr:uid="{00000000-0005-0000-0000-000092010000}"/>
    <cellStyle name="40 % - Akzent4 2" xfId="114" xr:uid="{00000000-0005-0000-0000-000093010000}"/>
    <cellStyle name="40 % - Akzent4 2 2" xfId="115" xr:uid="{00000000-0005-0000-0000-000094010000}"/>
    <cellStyle name="40 % - Akzent4 2 2 2" xfId="116" xr:uid="{00000000-0005-0000-0000-000095010000}"/>
    <cellStyle name="40 % - Akzent4 2 2 2 2" xfId="630" xr:uid="{00000000-0005-0000-0000-000096010000}"/>
    <cellStyle name="40 % - Akzent4 2 2 3" xfId="629" xr:uid="{00000000-0005-0000-0000-000097010000}"/>
    <cellStyle name="40 % - Akzent4 2 3" xfId="631" xr:uid="{00000000-0005-0000-0000-000098010000}"/>
    <cellStyle name="40 % - Akzent4 2 3 2" xfId="1234" xr:uid="{00000000-0005-0000-0000-000099010000}"/>
    <cellStyle name="40 % - Akzent4 2 4" xfId="628" xr:uid="{00000000-0005-0000-0000-00009A010000}"/>
    <cellStyle name="40 % - Akzent4 3" xfId="117" xr:uid="{00000000-0005-0000-0000-00009B010000}"/>
    <cellStyle name="40 % - Akzent4 3 2" xfId="118" xr:uid="{00000000-0005-0000-0000-00009C010000}"/>
    <cellStyle name="40 % - Akzent4 3 2 2" xfId="633" xr:uid="{00000000-0005-0000-0000-00009D010000}"/>
    <cellStyle name="40 % - Akzent4 3 2 2 2" xfId="1235" xr:uid="{00000000-0005-0000-0000-00009E010000}"/>
    <cellStyle name="40 % - Akzent4 3 2 3" xfId="1236" xr:uid="{00000000-0005-0000-0000-00009F010000}"/>
    <cellStyle name="40 % - Akzent4 3 2 4" xfId="1237" xr:uid="{00000000-0005-0000-0000-0000A0010000}"/>
    <cellStyle name="40 % - Akzent4 3 3" xfId="119" xr:uid="{00000000-0005-0000-0000-0000A1010000}"/>
    <cellStyle name="40 % - Akzent4 3 3 2" xfId="634" xr:uid="{00000000-0005-0000-0000-0000A2010000}"/>
    <cellStyle name="40 % - Akzent4 3 3 2 2" xfId="1238" xr:uid="{00000000-0005-0000-0000-0000A3010000}"/>
    <cellStyle name="40 % - Akzent4 3 4" xfId="632" xr:uid="{00000000-0005-0000-0000-0000A4010000}"/>
    <cellStyle name="40 % - Akzent4 3 4 2" xfId="1239" xr:uid="{00000000-0005-0000-0000-0000A5010000}"/>
    <cellStyle name="40 % - Akzent4 3 5" xfId="1240" xr:uid="{00000000-0005-0000-0000-0000A6010000}"/>
    <cellStyle name="40 % - Akzent4 4" xfId="120" xr:uid="{00000000-0005-0000-0000-0000A7010000}"/>
    <cellStyle name="40 % - Akzent4 4 2" xfId="121" xr:uid="{00000000-0005-0000-0000-0000A8010000}"/>
    <cellStyle name="40 % - Akzent4 4 2 2" xfId="636" xr:uid="{00000000-0005-0000-0000-0000A9010000}"/>
    <cellStyle name="40 % - Akzent4 4 2 2 2" xfId="1241" xr:uid="{00000000-0005-0000-0000-0000AA010000}"/>
    <cellStyle name="40 % - Akzent4 4 2 3" xfId="1242" xr:uid="{00000000-0005-0000-0000-0000AB010000}"/>
    <cellStyle name="40 % - Akzent4 4 2 4" xfId="1243" xr:uid="{00000000-0005-0000-0000-0000AC010000}"/>
    <cellStyle name="40 % - Akzent4 4 3" xfId="122" xr:uid="{00000000-0005-0000-0000-0000AD010000}"/>
    <cellStyle name="40 % - Akzent4 4 3 2" xfId="637" xr:uid="{00000000-0005-0000-0000-0000AE010000}"/>
    <cellStyle name="40 % - Akzent4 4 3 2 2" xfId="1244" xr:uid="{00000000-0005-0000-0000-0000AF010000}"/>
    <cellStyle name="40 % - Akzent4 4 4" xfId="635" xr:uid="{00000000-0005-0000-0000-0000B0010000}"/>
    <cellStyle name="40 % - Akzent4 4 4 2" xfId="1245" xr:uid="{00000000-0005-0000-0000-0000B1010000}"/>
    <cellStyle name="40 % - Akzent4 4 5" xfId="1246" xr:uid="{00000000-0005-0000-0000-0000B2010000}"/>
    <cellStyle name="40 % - Akzent4 5" xfId="123" xr:uid="{00000000-0005-0000-0000-0000B3010000}"/>
    <cellStyle name="40 % - Akzent4 5 2" xfId="638" xr:uid="{00000000-0005-0000-0000-0000B4010000}"/>
    <cellStyle name="40 % - Akzent4 5 2 2" xfId="1247" xr:uid="{00000000-0005-0000-0000-0000B5010000}"/>
    <cellStyle name="40 % - Akzent4 5 3" xfId="1248" xr:uid="{00000000-0005-0000-0000-0000B6010000}"/>
    <cellStyle name="40 % - Akzent4 5 4" xfId="1249" xr:uid="{00000000-0005-0000-0000-0000B7010000}"/>
    <cellStyle name="40 % - Akzent4 6" xfId="124" xr:uid="{00000000-0005-0000-0000-0000B8010000}"/>
    <cellStyle name="40 % - Akzent4 6 2" xfId="639" xr:uid="{00000000-0005-0000-0000-0000B9010000}"/>
    <cellStyle name="40 % - Akzent4 6 2 2" xfId="1250" xr:uid="{00000000-0005-0000-0000-0000BA010000}"/>
    <cellStyle name="40 % - Akzent4 7" xfId="125" xr:uid="{00000000-0005-0000-0000-0000BB010000}"/>
    <cellStyle name="40 % - Akzent4 7 2" xfId="640" xr:uid="{00000000-0005-0000-0000-0000BC010000}"/>
    <cellStyle name="40 % - Akzent4 7 2 2" xfId="1251" xr:uid="{00000000-0005-0000-0000-0000BD010000}"/>
    <cellStyle name="40 % - Akzent5 2" xfId="126" xr:uid="{00000000-0005-0000-0000-0000BE010000}"/>
    <cellStyle name="40 % - Akzent5 2 2" xfId="127" xr:uid="{00000000-0005-0000-0000-0000BF010000}"/>
    <cellStyle name="40 % - Akzent5 2 2 2" xfId="642" xr:uid="{00000000-0005-0000-0000-0000C0010000}"/>
    <cellStyle name="40 % - Akzent5 2 3" xfId="643" xr:uid="{00000000-0005-0000-0000-0000C1010000}"/>
    <cellStyle name="40 % - Akzent5 2 3 2" xfId="1252" xr:uid="{00000000-0005-0000-0000-0000C2010000}"/>
    <cellStyle name="40 % - Akzent5 2 4" xfId="641" xr:uid="{00000000-0005-0000-0000-0000C3010000}"/>
    <cellStyle name="40 % - Akzent5 3" xfId="128" xr:uid="{00000000-0005-0000-0000-0000C4010000}"/>
    <cellStyle name="40 % - Akzent5 3 2" xfId="129" xr:uid="{00000000-0005-0000-0000-0000C5010000}"/>
    <cellStyle name="40 % - Akzent5 3 2 2" xfId="645" xr:uid="{00000000-0005-0000-0000-0000C6010000}"/>
    <cellStyle name="40 % - Akzent5 3 2 2 2" xfId="1253" xr:uid="{00000000-0005-0000-0000-0000C7010000}"/>
    <cellStyle name="40 % - Akzent5 3 2 3" xfId="1254" xr:uid="{00000000-0005-0000-0000-0000C8010000}"/>
    <cellStyle name="40 % - Akzent5 3 2 4" xfId="1255" xr:uid="{00000000-0005-0000-0000-0000C9010000}"/>
    <cellStyle name="40 % - Akzent5 3 3" xfId="130" xr:uid="{00000000-0005-0000-0000-0000CA010000}"/>
    <cellStyle name="40 % - Akzent5 3 3 2" xfId="646" xr:uid="{00000000-0005-0000-0000-0000CB010000}"/>
    <cellStyle name="40 % - Akzent5 3 3 2 2" xfId="1256" xr:uid="{00000000-0005-0000-0000-0000CC010000}"/>
    <cellStyle name="40 % - Akzent5 3 4" xfId="644" xr:uid="{00000000-0005-0000-0000-0000CD010000}"/>
    <cellStyle name="40 % - Akzent5 3 4 2" xfId="1257" xr:uid="{00000000-0005-0000-0000-0000CE010000}"/>
    <cellStyle name="40 % - Akzent5 3 5" xfId="1258" xr:uid="{00000000-0005-0000-0000-0000CF010000}"/>
    <cellStyle name="40 % - Akzent5 4" xfId="131" xr:uid="{00000000-0005-0000-0000-0000D0010000}"/>
    <cellStyle name="40 % - Akzent5 4 2" xfId="132" xr:uid="{00000000-0005-0000-0000-0000D1010000}"/>
    <cellStyle name="40 % - Akzent5 4 2 2" xfId="648" xr:uid="{00000000-0005-0000-0000-0000D2010000}"/>
    <cellStyle name="40 % - Akzent5 4 2 2 2" xfId="1259" xr:uid="{00000000-0005-0000-0000-0000D3010000}"/>
    <cellStyle name="40 % - Akzent5 4 2 3" xfId="1260" xr:uid="{00000000-0005-0000-0000-0000D4010000}"/>
    <cellStyle name="40 % - Akzent5 4 2 4" xfId="1261" xr:uid="{00000000-0005-0000-0000-0000D5010000}"/>
    <cellStyle name="40 % - Akzent5 4 3" xfId="133" xr:uid="{00000000-0005-0000-0000-0000D6010000}"/>
    <cellStyle name="40 % - Akzent5 4 3 2" xfId="649" xr:uid="{00000000-0005-0000-0000-0000D7010000}"/>
    <cellStyle name="40 % - Akzent5 4 3 2 2" xfId="1262" xr:uid="{00000000-0005-0000-0000-0000D8010000}"/>
    <cellStyle name="40 % - Akzent5 4 4" xfId="647" xr:uid="{00000000-0005-0000-0000-0000D9010000}"/>
    <cellStyle name="40 % - Akzent5 4 4 2" xfId="1263" xr:uid="{00000000-0005-0000-0000-0000DA010000}"/>
    <cellStyle name="40 % - Akzent5 4 5" xfId="1264" xr:uid="{00000000-0005-0000-0000-0000DB010000}"/>
    <cellStyle name="40 % - Akzent5 5" xfId="134" xr:uid="{00000000-0005-0000-0000-0000DC010000}"/>
    <cellStyle name="40 % - Akzent5 5 2" xfId="650" xr:uid="{00000000-0005-0000-0000-0000DD010000}"/>
    <cellStyle name="40 % - Akzent5 5 2 2" xfId="1265" xr:uid="{00000000-0005-0000-0000-0000DE010000}"/>
    <cellStyle name="40 % - Akzent5 5 3" xfId="1266" xr:uid="{00000000-0005-0000-0000-0000DF010000}"/>
    <cellStyle name="40 % - Akzent5 5 4" xfId="1267" xr:uid="{00000000-0005-0000-0000-0000E0010000}"/>
    <cellStyle name="40 % - Akzent5 6" xfId="135" xr:uid="{00000000-0005-0000-0000-0000E1010000}"/>
    <cellStyle name="40 % - Akzent5 6 2" xfId="651" xr:uid="{00000000-0005-0000-0000-0000E2010000}"/>
    <cellStyle name="40 % - Akzent5 6 2 2" xfId="1268" xr:uid="{00000000-0005-0000-0000-0000E3010000}"/>
    <cellStyle name="40 % - Akzent5 7" xfId="136" xr:uid="{00000000-0005-0000-0000-0000E4010000}"/>
    <cellStyle name="40 % - Akzent5 7 2" xfId="652" xr:uid="{00000000-0005-0000-0000-0000E5010000}"/>
    <cellStyle name="40 % - Akzent5 7 2 2" xfId="1269" xr:uid="{00000000-0005-0000-0000-0000E6010000}"/>
    <cellStyle name="40 % - Akzent6 2" xfId="137" xr:uid="{00000000-0005-0000-0000-0000E7010000}"/>
    <cellStyle name="40 % - Akzent6 2 2" xfId="138" xr:uid="{00000000-0005-0000-0000-0000E8010000}"/>
    <cellStyle name="40 % - Akzent6 2 2 2" xfId="139" xr:uid="{00000000-0005-0000-0000-0000E9010000}"/>
    <cellStyle name="40 % - Akzent6 2 2 2 2" xfId="655" xr:uid="{00000000-0005-0000-0000-0000EA010000}"/>
    <cellStyle name="40 % - Akzent6 2 2 3" xfId="654" xr:uid="{00000000-0005-0000-0000-0000EB010000}"/>
    <cellStyle name="40 % - Akzent6 2 3" xfId="656" xr:uid="{00000000-0005-0000-0000-0000EC010000}"/>
    <cellStyle name="40 % - Akzent6 2 3 2" xfId="1270" xr:uid="{00000000-0005-0000-0000-0000ED010000}"/>
    <cellStyle name="40 % - Akzent6 2 4" xfId="653" xr:uid="{00000000-0005-0000-0000-0000EE010000}"/>
    <cellStyle name="40 % - Akzent6 3" xfId="140" xr:uid="{00000000-0005-0000-0000-0000EF010000}"/>
    <cellStyle name="40 % - Akzent6 3 2" xfId="141" xr:uid="{00000000-0005-0000-0000-0000F0010000}"/>
    <cellStyle name="40 % - Akzent6 3 2 2" xfId="658" xr:uid="{00000000-0005-0000-0000-0000F1010000}"/>
    <cellStyle name="40 % - Akzent6 3 2 2 2" xfId="1271" xr:uid="{00000000-0005-0000-0000-0000F2010000}"/>
    <cellStyle name="40 % - Akzent6 3 2 3" xfId="1272" xr:uid="{00000000-0005-0000-0000-0000F3010000}"/>
    <cellStyle name="40 % - Akzent6 3 2 4" xfId="1273" xr:uid="{00000000-0005-0000-0000-0000F4010000}"/>
    <cellStyle name="40 % - Akzent6 3 3" xfId="142" xr:uid="{00000000-0005-0000-0000-0000F5010000}"/>
    <cellStyle name="40 % - Akzent6 3 3 2" xfId="659" xr:uid="{00000000-0005-0000-0000-0000F6010000}"/>
    <cellStyle name="40 % - Akzent6 3 3 2 2" xfId="1274" xr:uid="{00000000-0005-0000-0000-0000F7010000}"/>
    <cellStyle name="40 % - Akzent6 3 4" xfId="657" xr:uid="{00000000-0005-0000-0000-0000F8010000}"/>
    <cellStyle name="40 % - Akzent6 3 4 2" xfId="1275" xr:uid="{00000000-0005-0000-0000-0000F9010000}"/>
    <cellStyle name="40 % - Akzent6 3 5" xfId="1276" xr:uid="{00000000-0005-0000-0000-0000FA010000}"/>
    <cellStyle name="40 % - Akzent6 4" xfId="143" xr:uid="{00000000-0005-0000-0000-0000FB010000}"/>
    <cellStyle name="40 % - Akzent6 4 2" xfId="144" xr:uid="{00000000-0005-0000-0000-0000FC010000}"/>
    <cellStyle name="40 % - Akzent6 4 2 2" xfId="661" xr:uid="{00000000-0005-0000-0000-0000FD010000}"/>
    <cellStyle name="40 % - Akzent6 4 2 2 2" xfId="1277" xr:uid="{00000000-0005-0000-0000-0000FE010000}"/>
    <cellStyle name="40 % - Akzent6 4 2 3" xfId="1278" xr:uid="{00000000-0005-0000-0000-0000FF010000}"/>
    <cellStyle name="40 % - Akzent6 4 2 4" xfId="1279" xr:uid="{00000000-0005-0000-0000-000000020000}"/>
    <cellStyle name="40 % - Akzent6 4 3" xfId="145" xr:uid="{00000000-0005-0000-0000-000001020000}"/>
    <cellStyle name="40 % - Akzent6 4 3 2" xfId="662" xr:uid="{00000000-0005-0000-0000-000002020000}"/>
    <cellStyle name="40 % - Akzent6 4 3 2 2" xfId="1280" xr:uid="{00000000-0005-0000-0000-000003020000}"/>
    <cellStyle name="40 % - Akzent6 4 4" xfId="660" xr:uid="{00000000-0005-0000-0000-000004020000}"/>
    <cellStyle name="40 % - Akzent6 4 4 2" xfId="1281" xr:uid="{00000000-0005-0000-0000-000005020000}"/>
    <cellStyle name="40 % - Akzent6 4 5" xfId="1282" xr:uid="{00000000-0005-0000-0000-000006020000}"/>
    <cellStyle name="40 % - Akzent6 5" xfId="146" xr:uid="{00000000-0005-0000-0000-000007020000}"/>
    <cellStyle name="40 % - Akzent6 5 2" xfId="663" xr:uid="{00000000-0005-0000-0000-000008020000}"/>
    <cellStyle name="40 % - Akzent6 5 2 2" xfId="1283" xr:uid="{00000000-0005-0000-0000-000009020000}"/>
    <cellStyle name="40 % - Akzent6 5 3" xfId="1284" xr:uid="{00000000-0005-0000-0000-00000A020000}"/>
    <cellStyle name="40 % - Akzent6 5 4" xfId="1285" xr:uid="{00000000-0005-0000-0000-00000B020000}"/>
    <cellStyle name="40 % - Akzent6 6" xfId="147" xr:uid="{00000000-0005-0000-0000-00000C020000}"/>
    <cellStyle name="40 % - Akzent6 6 2" xfId="664" xr:uid="{00000000-0005-0000-0000-00000D020000}"/>
    <cellStyle name="40 % - Akzent6 6 2 2" xfId="1286" xr:uid="{00000000-0005-0000-0000-00000E020000}"/>
    <cellStyle name="40 % - Akzent6 7" xfId="148" xr:uid="{00000000-0005-0000-0000-00000F020000}"/>
    <cellStyle name="40 % - Akzent6 7 2" xfId="665" xr:uid="{00000000-0005-0000-0000-000010020000}"/>
    <cellStyle name="40 % - Akzent6 7 2 2" xfId="1287" xr:uid="{00000000-0005-0000-0000-000011020000}"/>
    <cellStyle name="60 % - Akzent1 2" xfId="149" xr:uid="{00000000-0005-0000-0000-000012020000}"/>
    <cellStyle name="60 % - Akzent1 2 2" xfId="150" xr:uid="{00000000-0005-0000-0000-000013020000}"/>
    <cellStyle name="60 % - Akzent1 2 2 2" xfId="151" xr:uid="{00000000-0005-0000-0000-000014020000}"/>
    <cellStyle name="60 % - Akzent1 2 2 2 2" xfId="668" xr:uid="{00000000-0005-0000-0000-000015020000}"/>
    <cellStyle name="60 % - Akzent1 2 2 3" xfId="667" xr:uid="{00000000-0005-0000-0000-000016020000}"/>
    <cellStyle name="60 % - Akzent1 2 3" xfId="669" xr:uid="{00000000-0005-0000-0000-000017020000}"/>
    <cellStyle name="60 % - Akzent1 2 3 2" xfId="1288" xr:uid="{00000000-0005-0000-0000-000018020000}"/>
    <cellStyle name="60 % - Akzent1 2 4" xfId="666" xr:uid="{00000000-0005-0000-0000-000019020000}"/>
    <cellStyle name="60 % - Akzent1 3" xfId="152" xr:uid="{00000000-0005-0000-0000-00001A020000}"/>
    <cellStyle name="60 % - Akzent1 3 2" xfId="670" xr:uid="{00000000-0005-0000-0000-00001B020000}"/>
    <cellStyle name="60 % - Akzent1 4" xfId="153" xr:uid="{00000000-0005-0000-0000-00001C020000}"/>
    <cellStyle name="60 % - Akzent1 4 2" xfId="671" xr:uid="{00000000-0005-0000-0000-00001D020000}"/>
    <cellStyle name="60 % - Akzent1 5" xfId="154" xr:uid="{00000000-0005-0000-0000-00001E020000}"/>
    <cellStyle name="60 % - Akzent1 5 2" xfId="672" xr:uid="{00000000-0005-0000-0000-00001F020000}"/>
    <cellStyle name="60 % - Akzent1 6" xfId="155" xr:uid="{00000000-0005-0000-0000-000020020000}"/>
    <cellStyle name="60 % - Akzent1 6 2" xfId="673" xr:uid="{00000000-0005-0000-0000-000021020000}"/>
    <cellStyle name="60 % - Akzent2 2" xfId="156" xr:uid="{00000000-0005-0000-0000-000022020000}"/>
    <cellStyle name="60 % - Akzent2 2 2" xfId="674" xr:uid="{00000000-0005-0000-0000-000023020000}"/>
    <cellStyle name="60 % - Akzent2 3" xfId="157" xr:uid="{00000000-0005-0000-0000-000024020000}"/>
    <cellStyle name="60 % - Akzent2 3 2" xfId="675" xr:uid="{00000000-0005-0000-0000-000025020000}"/>
    <cellStyle name="60 % - Akzent2 4" xfId="158" xr:uid="{00000000-0005-0000-0000-000026020000}"/>
    <cellStyle name="60 % - Akzent2 4 2" xfId="676" xr:uid="{00000000-0005-0000-0000-000027020000}"/>
    <cellStyle name="60 % - Akzent2 5" xfId="159" xr:uid="{00000000-0005-0000-0000-000028020000}"/>
    <cellStyle name="60 % - Akzent2 5 2" xfId="677" xr:uid="{00000000-0005-0000-0000-000029020000}"/>
    <cellStyle name="60 % - Akzent2 6" xfId="160" xr:uid="{00000000-0005-0000-0000-00002A020000}"/>
    <cellStyle name="60 % - Akzent2 6 2" xfId="678" xr:uid="{00000000-0005-0000-0000-00002B020000}"/>
    <cellStyle name="60 % - Akzent3 2" xfId="161" xr:uid="{00000000-0005-0000-0000-00002C020000}"/>
    <cellStyle name="60 % - Akzent3 2 2" xfId="679" xr:uid="{00000000-0005-0000-0000-00002D020000}"/>
    <cellStyle name="60 % - Akzent3 3" xfId="162" xr:uid="{00000000-0005-0000-0000-00002E020000}"/>
    <cellStyle name="60 % - Akzent3 3 2" xfId="680" xr:uid="{00000000-0005-0000-0000-00002F020000}"/>
    <cellStyle name="60 % - Akzent3 4" xfId="163" xr:uid="{00000000-0005-0000-0000-000030020000}"/>
    <cellStyle name="60 % - Akzent3 4 2" xfId="681" xr:uid="{00000000-0005-0000-0000-000031020000}"/>
    <cellStyle name="60 % - Akzent3 5" xfId="164" xr:uid="{00000000-0005-0000-0000-000032020000}"/>
    <cellStyle name="60 % - Akzent3 5 2" xfId="682" xr:uid="{00000000-0005-0000-0000-000033020000}"/>
    <cellStyle name="60 % - Akzent3 6" xfId="165" xr:uid="{00000000-0005-0000-0000-000034020000}"/>
    <cellStyle name="60 % - Akzent3 6 2" xfId="683" xr:uid="{00000000-0005-0000-0000-000035020000}"/>
    <cellStyle name="60 % - Akzent4 2" xfId="166" xr:uid="{00000000-0005-0000-0000-000036020000}"/>
    <cellStyle name="60 % - Akzent4 2 2" xfId="167" xr:uid="{00000000-0005-0000-0000-000037020000}"/>
    <cellStyle name="60 % - Akzent4 2 2 2" xfId="685" xr:uid="{00000000-0005-0000-0000-000038020000}"/>
    <cellStyle name="60 % - Akzent4 2 3" xfId="168" xr:uid="{00000000-0005-0000-0000-000039020000}"/>
    <cellStyle name="60 % - Akzent4 2 3 2" xfId="169" xr:uid="{00000000-0005-0000-0000-00003A020000}"/>
    <cellStyle name="60 % - Akzent4 2 3 2 2" xfId="170" xr:uid="{00000000-0005-0000-0000-00003B020000}"/>
    <cellStyle name="60 % - Akzent4 2 3 2 2 2" xfId="688" xr:uid="{00000000-0005-0000-0000-00003C020000}"/>
    <cellStyle name="60 % - Akzent4 2 3 2 3" xfId="687" xr:uid="{00000000-0005-0000-0000-00003D020000}"/>
    <cellStyle name="60 % - Akzent4 2 3 3" xfId="689" xr:uid="{00000000-0005-0000-0000-00003E020000}"/>
    <cellStyle name="60 % - Akzent4 2 3 3 2" xfId="1289" xr:uid="{00000000-0005-0000-0000-00003F020000}"/>
    <cellStyle name="60 % - Akzent4 2 3 4" xfId="686" xr:uid="{00000000-0005-0000-0000-000040020000}"/>
    <cellStyle name="60 % - Akzent4 2 4" xfId="690" xr:uid="{00000000-0005-0000-0000-000041020000}"/>
    <cellStyle name="60 % - Akzent4 2 4 2" xfId="1290" xr:uid="{00000000-0005-0000-0000-000042020000}"/>
    <cellStyle name="60 % - Akzent4 2 5" xfId="684" xr:uid="{00000000-0005-0000-0000-000043020000}"/>
    <cellStyle name="60 % - Akzent4 3" xfId="171" xr:uid="{00000000-0005-0000-0000-000044020000}"/>
    <cellStyle name="60 % - Akzent4 3 2" xfId="691" xr:uid="{00000000-0005-0000-0000-000045020000}"/>
    <cellStyle name="60 % - Akzent4 4" xfId="172" xr:uid="{00000000-0005-0000-0000-000046020000}"/>
    <cellStyle name="60 % - Akzent4 4 2" xfId="692" xr:uid="{00000000-0005-0000-0000-000047020000}"/>
    <cellStyle name="60 % - Akzent4 5" xfId="173" xr:uid="{00000000-0005-0000-0000-000048020000}"/>
    <cellStyle name="60 % - Akzent4 5 2" xfId="693" xr:uid="{00000000-0005-0000-0000-000049020000}"/>
    <cellStyle name="60 % - Akzent4 6" xfId="174" xr:uid="{00000000-0005-0000-0000-00004A020000}"/>
    <cellStyle name="60 % - Akzent4 6 2" xfId="694" xr:uid="{00000000-0005-0000-0000-00004B020000}"/>
    <cellStyle name="60 % - Akzent5 2" xfId="175" xr:uid="{00000000-0005-0000-0000-00004C020000}"/>
    <cellStyle name="60 % - Akzent5 2 2" xfId="176" xr:uid="{00000000-0005-0000-0000-00004D020000}"/>
    <cellStyle name="60 % - Akzent5 2 2 2" xfId="177" xr:uid="{00000000-0005-0000-0000-00004E020000}"/>
    <cellStyle name="60 % - Akzent5 2 2 2 2" xfId="697" xr:uid="{00000000-0005-0000-0000-00004F020000}"/>
    <cellStyle name="60 % - Akzent5 2 2 3" xfId="696" xr:uid="{00000000-0005-0000-0000-000050020000}"/>
    <cellStyle name="60 % - Akzent5 2 3" xfId="698" xr:uid="{00000000-0005-0000-0000-000051020000}"/>
    <cellStyle name="60 % - Akzent5 2 3 2" xfId="1291" xr:uid="{00000000-0005-0000-0000-000052020000}"/>
    <cellStyle name="60 % - Akzent5 2 4" xfId="695" xr:uid="{00000000-0005-0000-0000-000053020000}"/>
    <cellStyle name="60 % - Akzent5 3" xfId="178" xr:uid="{00000000-0005-0000-0000-000054020000}"/>
    <cellStyle name="60 % - Akzent5 3 2" xfId="699" xr:uid="{00000000-0005-0000-0000-000055020000}"/>
    <cellStyle name="60 % - Akzent5 4" xfId="179" xr:uid="{00000000-0005-0000-0000-000056020000}"/>
    <cellStyle name="60 % - Akzent5 4 2" xfId="700" xr:uid="{00000000-0005-0000-0000-000057020000}"/>
    <cellStyle name="60 % - Akzent5 5" xfId="180" xr:uid="{00000000-0005-0000-0000-000058020000}"/>
    <cellStyle name="60 % - Akzent5 5 2" xfId="701" xr:uid="{00000000-0005-0000-0000-000059020000}"/>
    <cellStyle name="60 % - Akzent5 6" xfId="181" xr:uid="{00000000-0005-0000-0000-00005A020000}"/>
    <cellStyle name="60 % - Akzent5 6 2" xfId="702" xr:uid="{00000000-0005-0000-0000-00005B020000}"/>
    <cellStyle name="60 % - Akzent6 2" xfId="182" xr:uid="{00000000-0005-0000-0000-00005C020000}"/>
    <cellStyle name="60 % - Akzent6 2 2" xfId="183" xr:uid="{00000000-0005-0000-0000-00005D020000}"/>
    <cellStyle name="60 % - Akzent6 2 2 2" xfId="704" xr:uid="{00000000-0005-0000-0000-00005E020000}"/>
    <cellStyle name="60 % - Akzent6 2 3" xfId="184" xr:uid="{00000000-0005-0000-0000-00005F020000}"/>
    <cellStyle name="60 % - Akzent6 2 3 2" xfId="185" xr:uid="{00000000-0005-0000-0000-000060020000}"/>
    <cellStyle name="60 % - Akzent6 2 3 2 2" xfId="186" xr:uid="{00000000-0005-0000-0000-000061020000}"/>
    <cellStyle name="60 % - Akzent6 2 3 2 2 2" xfId="707" xr:uid="{00000000-0005-0000-0000-000062020000}"/>
    <cellStyle name="60 % - Akzent6 2 3 2 3" xfId="706" xr:uid="{00000000-0005-0000-0000-000063020000}"/>
    <cellStyle name="60 % - Akzent6 2 3 3" xfId="708" xr:uid="{00000000-0005-0000-0000-000064020000}"/>
    <cellStyle name="60 % - Akzent6 2 3 3 2" xfId="1292" xr:uid="{00000000-0005-0000-0000-000065020000}"/>
    <cellStyle name="60 % - Akzent6 2 3 4" xfId="705" xr:uid="{00000000-0005-0000-0000-000066020000}"/>
    <cellStyle name="60 % - Akzent6 2 4" xfId="709" xr:uid="{00000000-0005-0000-0000-000067020000}"/>
    <cellStyle name="60 % - Akzent6 2 4 2" xfId="1293" xr:uid="{00000000-0005-0000-0000-000068020000}"/>
    <cellStyle name="60 % - Akzent6 2 5" xfId="703" xr:uid="{00000000-0005-0000-0000-000069020000}"/>
    <cellStyle name="60 % - Akzent6 3" xfId="187" xr:uid="{00000000-0005-0000-0000-00006A020000}"/>
    <cellStyle name="60 % - Akzent6 3 2" xfId="710" xr:uid="{00000000-0005-0000-0000-00006B020000}"/>
    <cellStyle name="60 % - Akzent6 4" xfId="188" xr:uid="{00000000-0005-0000-0000-00006C020000}"/>
    <cellStyle name="60 % - Akzent6 4 2" xfId="711" xr:uid="{00000000-0005-0000-0000-00006D020000}"/>
    <cellStyle name="60 % - Akzent6 5" xfId="189" xr:uid="{00000000-0005-0000-0000-00006E020000}"/>
    <cellStyle name="60 % - Akzent6 5 2" xfId="712" xr:uid="{00000000-0005-0000-0000-00006F020000}"/>
    <cellStyle name="60 % - Akzent6 6" xfId="190" xr:uid="{00000000-0005-0000-0000-000070020000}"/>
    <cellStyle name="60 % - Akzent6 6 2" xfId="713" xr:uid="{00000000-0005-0000-0000-000071020000}"/>
    <cellStyle name="Accent1" xfId="191" xr:uid="{00000000-0005-0000-0000-000072020000}"/>
    <cellStyle name="Accent1 2" xfId="192" xr:uid="{00000000-0005-0000-0000-000073020000}"/>
    <cellStyle name="Accent1 2 2" xfId="715" xr:uid="{00000000-0005-0000-0000-000074020000}"/>
    <cellStyle name="Accent1 3" xfId="193" xr:uid="{00000000-0005-0000-0000-000075020000}"/>
    <cellStyle name="Accent1 3 2" xfId="194" xr:uid="{00000000-0005-0000-0000-000076020000}"/>
    <cellStyle name="Accent1 3 2 2" xfId="717" xr:uid="{00000000-0005-0000-0000-000077020000}"/>
    <cellStyle name="Accent1 3 3" xfId="716" xr:uid="{00000000-0005-0000-0000-000078020000}"/>
    <cellStyle name="Accent1 3 3 2" xfId="1295" xr:uid="{00000000-0005-0000-0000-000079020000}"/>
    <cellStyle name="Accent1 4" xfId="718" xr:uid="{00000000-0005-0000-0000-00007A020000}"/>
    <cellStyle name="Accent1 4 2" xfId="1297" xr:uid="{00000000-0005-0000-0000-00007B020000}"/>
    <cellStyle name="Accent1 4 3" xfId="1296" xr:uid="{00000000-0005-0000-0000-00007C020000}"/>
    <cellStyle name="Accent1 5" xfId="719" xr:uid="{00000000-0005-0000-0000-00007D020000}"/>
    <cellStyle name="Accent1 5 2" xfId="1298" xr:uid="{00000000-0005-0000-0000-00007E020000}"/>
    <cellStyle name="Accent1 6" xfId="714" xr:uid="{00000000-0005-0000-0000-00007F020000}"/>
    <cellStyle name="Accent1 7" xfId="1294" xr:uid="{00000000-0005-0000-0000-000080020000}"/>
    <cellStyle name="Accent2" xfId="195" xr:uid="{00000000-0005-0000-0000-000081020000}"/>
    <cellStyle name="Accent2 2" xfId="196" xr:uid="{00000000-0005-0000-0000-000082020000}"/>
    <cellStyle name="Accent2 2 2" xfId="721" xr:uid="{00000000-0005-0000-0000-000083020000}"/>
    <cellStyle name="Accent2 3" xfId="197" xr:uid="{00000000-0005-0000-0000-000084020000}"/>
    <cellStyle name="Accent2 3 2" xfId="722" xr:uid="{00000000-0005-0000-0000-000085020000}"/>
    <cellStyle name="Accent2 4" xfId="723" xr:uid="{00000000-0005-0000-0000-000086020000}"/>
    <cellStyle name="Accent2 4 2" xfId="1299" xr:uid="{00000000-0005-0000-0000-000087020000}"/>
    <cellStyle name="Accent2 5" xfId="720" xr:uid="{00000000-0005-0000-0000-000088020000}"/>
    <cellStyle name="Accent3" xfId="209" xr:uid="{00000000-0005-0000-0000-000089020000}"/>
    <cellStyle name="Accent3 2" xfId="198" xr:uid="{00000000-0005-0000-0000-00008A020000}"/>
    <cellStyle name="Accent3 2 2" xfId="725" xr:uid="{00000000-0005-0000-0000-00008B020000}"/>
    <cellStyle name="Accent3 3" xfId="724" xr:uid="{00000000-0005-0000-0000-00008C020000}"/>
    <cellStyle name="Accent3 4" xfId="1038" xr:uid="{00000000-0005-0000-0000-00008D020000}"/>
    <cellStyle name="Accent4" xfId="199" xr:uid="{00000000-0005-0000-0000-00008E020000}"/>
    <cellStyle name="Accent4 2" xfId="200" xr:uid="{00000000-0005-0000-0000-00008F020000}"/>
    <cellStyle name="Accent4 2 2" xfId="727" xr:uid="{00000000-0005-0000-0000-000090020000}"/>
    <cellStyle name="Accent4 3" xfId="201" xr:uid="{00000000-0005-0000-0000-000091020000}"/>
    <cellStyle name="Accent4 3 2" xfId="202" xr:uid="{00000000-0005-0000-0000-000092020000}"/>
    <cellStyle name="Accent4 3 2 2" xfId="729" xr:uid="{00000000-0005-0000-0000-000093020000}"/>
    <cellStyle name="Accent4 3 3" xfId="728" xr:uid="{00000000-0005-0000-0000-000094020000}"/>
    <cellStyle name="Accent4 3 3 2" xfId="1301" xr:uid="{00000000-0005-0000-0000-000095020000}"/>
    <cellStyle name="Accent4 4" xfId="730" xr:uid="{00000000-0005-0000-0000-000096020000}"/>
    <cellStyle name="Accent4 4 2" xfId="1303" xr:uid="{00000000-0005-0000-0000-000097020000}"/>
    <cellStyle name="Accent4 4 3" xfId="1302" xr:uid="{00000000-0005-0000-0000-000098020000}"/>
    <cellStyle name="Accent4 5" xfId="731" xr:uid="{00000000-0005-0000-0000-000099020000}"/>
    <cellStyle name="Accent4 5 2" xfId="1304" xr:uid="{00000000-0005-0000-0000-00009A020000}"/>
    <cellStyle name="Accent4 6" xfId="726" xr:uid="{00000000-0005-0000-0000-00009B020000}"/>
    <cellStyle name="Accent4 7" xfId="1300" xr:uid="{00000000-0005-0000-0000-00009C020000}"/>
    <cellStyle name="Accent5" xfId="214" xr:uid="{00000000-0005-0000-0000-00009D020000}"/>
    <cellStyle name="Accent5 2" xfId="203" xr:uid="{00000000-0005-0000-0000-00009E020000}"/>
    <cellStyle name="Accent5 2 2" xfId="733" xr:uid="{00000000-0005-0000-0000-00009F020000}"/>
    <cellStyle name="Accent5 3" xfId="732" xr:uid="{00000000-0005-0000-0000-0000A0020000}"/>
    <cellStyle name="Accent5 4" xfId="1039" xr:uid="{00000000-0005-0000-0000-0000A1020000}"/>
    <cellStyle name="Accent6" xfId="217" xr:uid="{00000000-0005-0000-0000-0000A2020000}"/>
    <cellStyle name="Accent6 2" xfId="204" xr:uid="{00000000-0005-0000-0000-0000A3020000}"/>
    <cellStyle name="Accent6 2 2" xfId="735" xr:uid="{00000000-0005-0000-0000-0000A4020000}"/>
    <cellStyle name="Accent6 3" xfId="734" xr:uid="{00000000-0005-0000-0000-0000A5020000}"/>
    <cellStyle name="Accent6 4" xfId="1040" xr:uid="{00000000-0005-0000-0000-0000A6020000}"/>
    <cellStyle name="Akzent1 2" xfId="205" xr:uid="{00000000-0005-0000-0000-0000A7020000}"/>
    <cellStyle name="Akzent1 2 2" xfId="736" xr:uid="{00000000-0005-0000-0000-0000A8020000}"/>
    <cellStyle name="Akzent1 3" xfId="206" xr:uid="{00000000-0005-0000-0000-0000A9020000}"/>
    <cellStyle name="Akzent1 3 2" xfId="737" xr:uid="{00000000-0005-0000-0000-0000AA020000}"/>
    <cellStyle name="Akzent1 4" xfId="1305" xr:uid="{00000000-0005-0000-0000-0000AB020000}"/>
    <cellStyle name="Akzent1 5" xfId="1306" xr:uid="{00000000-0005-0000-0000-0000AC020000}"/>
    <cellStyle name="Akzent2 2" xfId="207" xr:uid="{00000000-0005-0000-0000-0000AD020000}"/>
    <cellStyle name="Akzent2 2 2" xfId="738" xr:uid="{00000000-0005-0000-0000-0000AE020000}"/>
    <cellStyle name="Akzent2 3" xfId="208" xr:uid="{00000000-0005-0000-0000-0000AF020000}"/>
    <cellStyle name="Akzent2 3 2" xfId="739" xr:uid="{00000000-0005-0000-0000-0000B0020000}"/>
    <cellStyle name="Akzent2 4" xfId="1307" xr:uid="{00000000-0005-0000-0000-0000B1020000}"/>
    <cellStyle name="Akzent2 5" xfId="1308" xr:uid="{00000000-0005-0000-0000-0000B2020000}"/>
    <cellStyle name="Akzent3 2" xfId="210" xr:uid="{00000000-0005-0000-0000-0000B3020000}"/>
    <cellStyle name="Akzent3 2 2" xfId="740" xr:uid="{00000000-0005-0000-0000-0000B4020000}"/>
    <cellStyle name="Akzent3 3" xfId="211" xr:uid="{00000000-0005-0000-0000-0000B5020000}"/>
    <cellStyle name="Akzent3 3 2" xfId="741" xr:uid="{00000000-0005-0000-0000-0000B6020000}"/>
    <cellStyle name="Akzent3 4" xfId="1309" xr:uid="{00000000-0005-0000-0000-0000B7020000}"/>
    <cellStyle name="Akzent4 2" xfId="212" xr:uid="{00000000-0005-0000-0000-0000B8020000}"/>
    <cellStyle name="Akzent4 2 2" xfId="742" xr:uid="{00000000-0005-0000-0000-0000B9020000}"/>
    <cellStyle name="Akzent4 3" xfId="213" xr:uid="{00000000-0005-0000-0000-0000BA020000}"/>
    <cellStyle name="Akzent4 3 2" xfId="743" xr:uid="{00000000-0005-0000-0000-0000BB020000}"/>
    <cellStyle name="Akzent4 4" xfId="1310" xr:uid="{00000000-0005-0000-0000-0000BC020000}"/>
    <cellStyle name="Akzent4 5" xfId="1311" xr:uid="{00000000-0005-0000-0000-0000BD020000}"/>
    <cellStyle name="Akzent5 2" xfId="215" xr:uid="{00000000-0005-0000-0000-0000BE020000}"/>
    <cellStyle name="Akzent5 2 2" xfId="744" xr:uid="{00000000-0005-0000-0000-0000BF020000}"/>
    <cellStyle name="Akzent5 3" xfId="216" xr:uid="{00000000-0005-0000-0000-0000C0020000}"/>
    <cellStyle name="Akzent5 3 2" xfId="745" xr:uid="{00000000-0005-0000-0000-0000C1020000}"/>
    <cellStyle name="Akzent5 4" xfId="1312" xr:uid="{00000000-0005-0000-0000-0000C2020000}"/>
    <cellStyle name="Akzent6 2" xfId="218" xr:uid="{00000000-0005-0000-0000-0000C3020000}"/>
    <cellStyle name="Akzent6 2 2" xfId="746" xr:uid="{00000000-0005-0000-0000-0000C4020000}"/>
    <cellStyle name="Akzent6 3" xfId="219" xr:uid="{00000000-0005-0000-0000-0000C5020000}"/>
    <cellStyle name="Akzent6 3 2" xfId="747" xr:uid="{00000000-0005-0000-0000-0000C6020000}"/>
    <cellStyle name="Akzent6 4" xfId="1313" xr:uid="{00000000-0005-0000-0000-0000C7020000}"/>
    <cellStyle name="Ausgabe 2" xfId="220" xr:uid="{00000000-0005-0000-0000-0000C8020000}"/>
    <cellStyle name="Ausgabe 2 2" xfId="221" xr:uid="{00000000-0005-0000-0000-0000C9020000}"/>
    <cellStyle name="Ausgabe 2 2 2" xfId="222" xr:uid="{00000000-0005-0000-0000-0000CA020000}"/>
    <cellStyle name="Ausgabe 2 2 2 2" xfId="750" xr:uid="{00000000-0005-0000-0000-0000CB020000}"/>
    <cellStyle name="Ausgabe 2 2 3" xfId="751" xr:uid="{00000000-0005-0000-0000-0000CC020000}"/>
    <cellStyle name="Ausgabe 2 2 3 2" xfId="752" xr:uid="{00000000-0005-0000-0000-0000CD020000}"/>
    <cellStyle name="Ausgabe 2 2 3 2 2" xfId="1315" xr:uid="{00000000-0005-0000-0000-0000CE020000}"/>
    <cellStyle name="Ausgabe 2 2 3 3" xfId="1316" xr:uid="{00000000-0005-0000-0000-0000CF020000}"/>
    <cellStyle name="Ausgabe 2 2 3 4" xfId="1314" xr:uid="{00000000-0005-0000-0000-0000D0020000}"/>
    <cellStyle name="Ausgabe 2 2 4" xfId="749" xr:uid="{00000000-0005-0000-0000-0000D1020000}"/>
    <cellStyle name="Ausgabe 2 2 5" xfId="1042" xr:uid="{00000000-0005-0000-0000-0000D2020000}"/>
    <cellStyle name="Ausgabe 2 3" xfId="223" xr:uid="{00000000-0005-0000-0000-0000D3020000}"/>
    <cellStyle name="Ausgabe 2 3 2" xfId="224" xr:uid="{00000000-0005-0000-0000-0000D4020000}"/>
    <cellStyle name="Ausgabe 2 3 2 2" xfId="225" xr:uid="{00000000-0005-0000-0000-0000D5020000}"/>
    <cellStyle name="Ausgabe 2 3 2 2 2" xfId="755" xr:uid="{00000000-0005-0000-0000-0000D6020000}"/>
    <cellStyle name="Ausgabe 2 3 2 3" xfId="754" xr:uid="{00000000-0005-0000-0000-0000D7020000}"/>
    <cellStyle name="Ausgabe 2 3 3" xfId="756" xr:uid="{00000000-0005-0000-0000-0000D8020000}"/>
    <cellStyle name="Ausgabe 2 3 3 2" xfId="757" xr:uid="{00000000-0005-0000-0000-0000D9020000}"/>
    <cellStyle name="Ausgabe 2 3 3 2 2" xfId="1318" xr:uid="{00000000-0005-0000-0000-0000DA020000}"/>
    <cellStyle name="Ausgabe 2 3 3 3" xfId="1319" xr:uid="{00000000-0005-0000-0000-0000DB020000}"/>
    <cellStyle name="Ausgabe 2 3 3 4" xfId="1317" xr:uid="{00000000-0005-0000-0000-0000DC020000}"/>
    <cellStyle name="Ausgabe 2 3 4" xfId="753" xr:uid="{00000000-0005-0000-0000-0000DD020000}"/>
    <cellStyle name="Ausgabe 2 3 5" xfId="1043" xr:uid="{00000000-0005-0000-0000-0000DE020000}"/>
    <cellStyle name="Ausgabe 2 4" xfId="226" xr:uid="{00000000-0005-0000-0000-0000DF020000}"/>
    <cellStyle name="Ausgabe 2 4 2" xfId="758" xr:uid="{00000000-0005-0000-0000-0000E0020000}"/>
    <cellStyle name="Ausgabe 2 5" xfId="759" xr:uid="{00000000-0005-0000-0000-0000E1020000}"/>
    <cellStyle name="Ausgabe 2 5 2" xfId="760" xr:uid="{00000000-0005-0000-0000-0000E2020000}"/>
    <cellStyle name="Ausgabe 2 5 2 2" xfId="1321" xr:uid="{00000000-0005-0000-0000-0000E3020000}"/>
    <cellStyle name="Ausgabe 2 5 3" xfId="1322" xr:uid="{00000000-0005-0000-0000-0000E4020000}"/>
    <cellStyle name="Ausgabe 2 5 4" xfId="1320" xr:uid="{00000000-0005-0000-0000-0000E5020000}"/>
    <cellStyle name="Ausgabe 2 6" xfId="748" xr:uid="{00000000-0005-0000-0000-0000E6020000}"/>
    <cellStyle name="Ausgabe 2 7" xfId="1041" xr:uid="{00000000-0005-0000-0000-0000E7020000}"/>
    <cellStyle name="Ausgabe 3" xfId="227" xr:uid="{00000000-0005-0000-0000-0000E8020000}"/>
    <cellStyle name="Ausgabe 3 2" xfId="228" xr:uid="{00000000-0005-0000-0000-0000E9020000}"/>
    <cellStyle name="Ausgabe 3 2 2" xfId="762" xr:uid="{00000000-0005-0000-0000-0000EA020000}"/>
    <cellStyle name="Ausgabe 3 3" xfId="763" xr:uid="{00000000-0005-0000-0000-0000EB020000}"/>
    <cellStyle name="Ausgabe 3 3 2" xfId="764" xr:uid="{00000000-0005-0000-0000-0000EC020000}"/>
    <cellStyle name="Ausgabe 3 3 2 2" xfId="1324" xr:uid="{00000000-0005-0000-0000-0000ED020000}"/>
    <cellStyle name="Ausgabe 3 3 3" xfId="1325" xr:uid="{00000000-0005-0000-0000-0000EE020000}"/>
    <cellStyle name="Ausgabe 3 3 4" xfId="1323" xr:uid="{00000000-0005-0000-0000-0000EF020000}"/>
    <cellStyle name="Ausgabe 3 4" xfId="761" xr:uid="{00000000-0005-0000-0000-0000F0020000}"/>
    <cellStyle name="Ausgabe 3 5" xfId="1044" xr:uid="{00000000-0005-0000-0000-0000F1020000}"/>
    <cellStyle name="Ausgabe 4" xfId="229" xr:uid="{00000000-0005-0000-0000-0000F2020000}"/>
    <cellStyle name="Ausgabe 4 2" xfId="765" xr:uid="{00000000-0005-0000-0000-0000F3020000}"/>
    <cellStyle name="Ausgabe 5" xfId="230" xr:uid="{00000000-0005-0000-0000-0000F4020000}"/>
    <cellStyle name="Ausgabe 5 2" xfId="766" xr:uid="{00000000-0005-0000-0000-0000F5020000}"/>
    <cellStyle name="Ausgabe 6" xfId="231" xr:uid="{00000000-0005-0000-0000-0000F6020000}"/>
    <cellStyle name="Ausgabe 6 2" xfId="767" xr:uid="{00000000-0005-0000-0000-0000F7020000}"/>
    <cellStyle name="Ausgabe 7" xfId="232" xr:uid="{00000000-0005-0000-0000-0000F8020000}"/>
    <cellStyle name="Ausgabe 7 2" xfId="233" xr:uid="{00000000-0005-0000-0000-0000F9020000}"/>
    <cellStyle name="Ausgabe 7 2 2" xfId="769" xr:uid="{00000000-0005-0000-0000-0000FA020000}"/>
    <cellStyle name="Ausgabe 7 3" xfId="234" xr:uid="{00000000-0005-0000-0000-0000FB020000}"/>
    <cellStyle name="Ausgabe 7 3 2" xfId="235" xr:uid="{00000000-0005-0000-0000-0000FC020000}"/>
    <cellStyle name="Ausgabe 7 3 2 2" xfId="771" xr:uid="{00000000-0005-0000-0000-0000FD020000}"/>
    <cellStyle name="Ausgabe 7 3 3" xfId="772" xr:uid="{00000000-0005-0000-0000-0000FE020000}"/>
    <cellStyle name="Ausgabe 7 3 3 2" xfId="1326" xr:uid="{00000000-0005-0000-0000-0000FF020000}"/>
    <cellStyle name="Ausgabe 7 3 4" xfId="770" xr:uid="{00000000-0005-0000-0000-000000030000}"/>
    <cellStyle name="Ausgabe 7 3 4 2" xfId="1327" xr:uid="{00000000-0005-0000-0000-000001030000}"/>
    <cellStyle name="Ausgabe 7 3 5" xfId="1045" xr:uid="{00000000-0005-0000-0000-000002030000}"/>
    <cellStyle name="Ausgabe 7 4" xfId="236" xr:uid="{00000000-0005-0000-0000-000003030000}"/>
    <cellStyle name="Ausgabe 7 4 2" xfId="773" xr:uid="{00000000-0005-0000-0000-000004030000}"/>
    <cellStyle name="Ausgabe 7 5" xfId="768" xr:uid="{00000000-0005-0000-0000-000005030000}"/>
    <cellStyle name="Ausgabe 8" xfId="237" xr:uid="{00000000-0005-0000-0000-000006030000}"/>
    <cellStyle name="Ausgabe 8 2" xfId="238" xr:uid="{00000000-0005-0000-0000-000007030000}"/>
    <cellStyle name="Ausgabe 8 2 2" xfId="775" xr:uid="{00000000-0005-0000-0000-000008030000}"/>
    <cellStyle name="Ausgabe 8 3" xfId="774" xr:uid="{00000000-0005-0000-0000-000009030000}"/>
    <cellStyle name="Bad" xfId="438" xr:uid="{00000000-0005-0000-0000-00000A030000}"/>
    <cellStyle name="Bad 2" xfId="239" xr:uid="{00000000-0005-0000-0000-00000B030000}"/>
    <cellStyle name="Bad 2 2" xfId="777" xr:uid="{00000000-0005-0000-0000-00000C030000}"/>
    <cellStyle name="Bad 2 2 2" xfId="1328" xr:uid="{00000000-0005-0000-0000-00000D030000}"/>
    <cellStyle name="Bad 3" xfId="776" xr:uid="{00000000-0005-0000-0000-00000E030000}"/>
    <cellStyle name="Bad 4" xfId="1063" xr:uid="{00000000-0005-0000-0000-00000F030000}"/>
    <cellStyle name="Berechnung 2" xfId="240" xr:uid="{00000000-0005-0000-0000-000010030000}"/>
    <cellStyle name="Berechnung 2 2" xfId="241" xr:uid="{00000000-0005-0000-0000-000011030000}"/>
    <cellStyle name="Berechnung 2 2 2" xfId="779" xr:uid="{00000000-0005-0000-0000-000012030000}"/>
    <cellStyle name="Berechnung 2 3" xfId="242" xr:uid="{00000000-0005-0000-0000-000013030000}"/>
    <cellStyle name="Berechnung 2 3 2" xfId="243" xr:uid="{00000000-0005-0000-0000-000014030000}"/>
    <cellStyle name="Berechnung 2 3 2 2" xfId="244" xr:uid="{00000000-0005-0000-0000-000015030000}"/>
    <cellStyle name="Berechnung 2 3 2 2 2" xfId="782" xr:uid="{00000000-0005-0000-0000-000016030000}"/>
    <cellStyle name="Berechnung 2 3 2 3" xfId="781" xr:uid="{00000000-0005-0000-0000-000017030000}"/>
    <cellStyle name="Berechnung 2 3 3" xfId="783" xr:uid="{00000000-0005-0000-0000-000018030000}"/>
    <cellStyle name="Berechnung 2 3 3 2" xfId="1329" xr:uid="{00000000-0005-0000-0000-000019030000}"/>
    <cellStyle name="Berechnung 2 3 4" xfId="780" xr:uid="{00000000-0005-0000-0000-00001A030000}"/>
    <cellStyle name="Berechnung 2 4" xfId="784" xr:uid="{00000000-0005-0000-0000-00001B030000}"/>
    <cellStyle name="Berechnung 2 4 2" xfId="1330" xr:uid="{00000000-0005-0000-0000-00001C030000}"/>
    <cellStyle name="Berechnung 2 5" xfId="778" xr:uid="{00000000-0005-0000-0000-00001D030000}"/>
    <cellStyle name="Berechnung 3" xfId="245" xr:uid="{00000000-0005-0000-0000-00001E030000}"/>
    <cellStyle name="Berechnung 3 2" xfId="785" xr:uid="{00000000-0005-0000-0000-00001F030000}"/>
    <cellStyle name="Berechnung 4" xfId="246" xr:uid="{00000000-0005-0000-0000-000020030000}"/>
    <cellStyle name="Berechnung 4 2" xfId="786" xr:uid="{00000000-0005-0000-0000-000021030000}"/>
    <cellStyle name="Berechnung 5" xfId="247" xr:uid="{00000000-0005-0000-0000-000022030000}"/>
    <cellStyle name="Berechnung 5 2" xfId="787" xr:uid="{00000000-0005-0000-0000-000023030000}"/>
    <cellStyle name="Berechnung 6" xfId="248" xr:uid="{00000000-0005-0000-0000-000024030000}"/>
    <cellStyle name="Berechnung 6 2" xfId="788" xr:uid="{00000000-0005-0000-0000-000025030000}"/>
    <cellStyle name="Berechnung 7" xfId="249" xr:uid="{00000000-0005-0000-0000-000026030000}"/>
    <cellStyle name="Berechnung 7 2" xfId="250" xr:uid="{00000000-0005-0000-0000-000027030000}"/>
    <cellStyle name="Berechnung 7 2 2" xfId="790" xr:uid="{00000000-0005-0000-0000-000028030000}"/>
    <cellStyle name="Berechnung 7 3" xfId="251" xr:uid="{00000000-0005-0000-0000-000029030000}"/>
    <cellStyle name="Berechnung 7 3 2" xfId="791" xr:uid="{00000000-0005-0000-0000-00002A030000}"/>
    <cellStyle name="Berechnung 7 4" xfId="789" xr:uid="{00000000-0005-0000-0000-00002B030000}"/>
    <cellStyle name="Berechnung 8" xfId="252" xr:uid="{00000000-0005-0000-0000-00002C030000}"/>
    <cellStyle name="Berechnung 8 2" xfId="792" xr:uid="{00000000-0005-0000-0000-00002D030000}"/>
    <cellStyle name="Calculation 2" xfId="253" xr:uid="{00000000-0005-0000-0000-00002E030000}"/>
    <cellStyle name="Calculation 2 2" xfId="793" xr:uid="{00000000-0005-0000-0000-00002F030000}"/>
    <cellStyle name="Check Cell" xfId="499" xr:uid="{00000000-0005-0000-0000-000030030000}"/>
    <cellStyle name="Check Cell 2" xfId="254" xr:uid="{00000000-0005-0000-0000-000031030000}"/>
    <cellStyle name="Check Cell 2 2" xfId="795" xr:uid="{00000000-0005-0000-0000-000032030000}"/>
    <cellStyle name="Check Cell 2 2 2" xfId="1331" xr:uid="{00000000-0005-0000-0000-000033030000}"/>
    <cellStyle name="Check Cell 3" xfId="255" xr:uid="{00000000-0005-0000-0000-000034030000}"/>
    <cellStyle name="Check Cell 3 2" xfId="796" xr:uid="{00000000-0005-0000-0000-000035030000}"/>
    <cellStyle name="Check Cell 3 2 2" xfId="1333" xr:uid="{00000000-0005-0000-0000-000036030000}"/>
    <cellStyle name="Check Cell 3 3" xfId="1332" xr:uid="{00000000-0005-0000-0000-000037030000}"/>
    <cellStyle name="Check Cell 4" xfId="797" xr:uid="{00000000-0005-0000-0000-000038030000}"/>
    <cellStyle name="Check Cell 4 2" xfId="1335" xr:uid="{00000000-0005-0000-0000-000039030000}"/>
    <cellStyle name="Check Cell 4 3" xfId="1334" xr:uid="{00000000-0005-0000-0000-00003A030000}"/>
    <cellStyle name="Check Cell 5" xfId="794" xr:uid="{00000000-0005-0000-0000-00003B030000}"/>
    <cellStyle name="Check Cell 5 2" xfId="1336" xr:uid="{00000000-0005-0000-0000-00003C030000}"/>
    <cellStyle name="Check Cell 6" xfId="1068" xr:uid="{00000000-0005-0000-0000-00003D030000}"/>
    <cellStyle name="Eingabe 2" xfId="256" xr:uid="{00000000-0005-0000-0000-00003E030000}"/>
    <cellStyle name="Eingabe 2 2" xfId="799" xr:uid="{00000000-0005-0000-0000-00003F030000}"/>
    <cellStyle name="Eingabe 3" xfId="257" xr:uid="{00000000-0005-0000-0000-000040030000}"/>
    <cellStyle name="Eingabe 3 2" xfId="800" xr:uid="{00000000-0005-0000-0000-000041030000}"/>
    <cellStyle name="Eingabe 4" xfId="258" xr:uid="{00000000-0005-0000-0000-000042030000}"/>
    <cellStyle name="Eingabe 4 2" xfId="801" xr:uid="{00000000-0005-0000-0000-000043030000}"/>
    <cellStyle name="Eingabe 5" xfId="259" xr:uid="{00000000-0005-0000-0000-000044030000}"/>
    <cellStyle name="Eingabe 5 2" xfId="802" xr:uid="{00000000-0005-0000-0000-000045030000}"/>
    <cellStyle name="Eingabe 6" xfId="260" xr:uid="{00000000-0005-0000-0000-000046030000}"/>
    <cellStyle name="Eingabe 6 2" xfId="803" xr:uid="{00000000-0005-0000-0000-000047030000}"/>
    <cellStyle name="Eingabe 7" xfId="261" xr:uid="{00000000-0005-0000-0000-000048030000}"/>
    <cellStyle name="Eingabe 7 2" xfId="804" xr:uid="{00000000-0005-0000-0000-000049030000}"/>
    <cellStyle name="Ergebnis 2" xfId="262" xr:uid="{00000000-0005-0000-0000-00004A030000}"/>
    <cellStyle name="Ergebnis 2 2" xfId="263" xr:uid="{00000000-0005-0000-0000-00004B030000}"/>
    <cellStyle name="Ergebnis 2 2 2" xfId="264" xr:uid="{00000000-0005-0000-0000-00004C030000}"/>
    <cellStyle name="Ergebnis 2 2 2 2" xfId="807" xr:uid="{00000000-0005-0000-0000-00004D030000}"/>
    <cellStyle name="Ergebnis 2 2 3" xfId="806" xr:uid="{00000000-0005-0000-0000-00004E030000}"/>
    <cellStyle name="Ergebnis 2 3" xfId="265" xr:uid="{00000000-0005-0000-0000-00004F030000}"/>
    <cellStyle name="Ergebnis 2 3 2" xfId="808" xr:uid="{00000000-0005-0000-0000-000050030000}"/>
    <cellStyle name="Ergebnis 2 4" xfId="266" xr:uid="{00000000-0005-0000-0000-000051030000}"/>
    <cellStyle name="Ergebnis 2 4 2" xfId="267" xr:uid="{00000000-0005-0000-0000-000052030000}"/>
    <cellStyle name="Ergebnis 2 4 2 2" xfId="268" xr:uid="{00000000-0005-0000-0000-000053030000}"/>
    <cellStyle name="Ergebnis 2 4 2 2 2" xfId="811" xr:uid="{00000000-0005-0000-0000-000054030000}"/>
    <cellStyle name="Ergebnis 2 4 2 3" xfId="810" xr:uid="{00000000-0005-0000-0000-000055030000}"/>
    <cellStyle name="Ergebnis 2 4 3" xfId="812" xr:uid="{00000000-0005-0000-0000-000056030000}"/>
    <cellStyle name="Ergebnis 2 4 3 2" xfId="1337" xr:uid="{00000000-0005-0000-0000-000057030000}"/>
    <cellStyle name="Ergebnis 2 4 4" xfId="809" xr:uid="{00000000-0005-0000-0000-000058030000}"/>
    <cellStyle name="Ergebnis 2 5" xfId="813" xr:uid="{00000000-0005-0000-0000-000059030000}"/>
    <cellStyle name="Ergebnis 2 5 2" xfId="1338" xr:uid="{00000000-0005-0000-0000-00005A030000}"/>
    <cellStyle name="Ergebnis 2 6" xfId="805" xr:uid="{00000000-0005-0000-0000-00005B030000}"/>
    <cellStyle name="Ergebnis 3" xfId="269" xr:uid="{00000000-0005-0000-0000-00005C030000}"/>
    <cellStyle name="Ergebnis 3 2" xfId="270" xr:uid="{00000000-0005-0000-0000-00005D030000}"/>
    <cellStyle name="Ergebnis 3 2 2" xfId="815" xr:uid="{00000000-0005-0000-0000-00005E030000}"/>
    <cellStyle name="Ergebnis 3 3" xfId="814" xr:uid="{00000000-0005-0000-0000-00005F030000}"/>
    <cellStyle name="Ergebnis 4" xfId="271" xr:uid="{00000000-0005-0000-0000-000060030000}"/>
    <cellStyle name="Ergebnis 4 2" xfId="272" xr:uid="{00000000-0005-0000-0000-000061030000}"/>
    <cellStyle name="Ergebnis 4 2 2" xfId="817" xr:uid="{00000000-0005-0000-0000-000062030000}"/>
    <cellStyle name="Ergebnis 4 3" xfId="816" xr:uid="{00000000-0005-0000-0000-000063030000}"/>
    <cellStyle name="Ergebnis 5" xfId="273" xr:uid="{00000000-0005-0000-0000-000064030000}"/>
    <cellStyle name="Ergebnis 5 2" xfId="818" xr:uid="{00000000-0005-0000-0000-000065030000}"/>
    <cellStyle name="Ergebnis 6" xfId="274" xr:uid="{00000000-0005-0000-0000-000066030000}"/>
    <cellStyle name="Ergebnis 6 2" xfId="819" xr:uid="{00000000-0005-0000-0000-000067030000}"/>
    <cellStyle name="Ergebnis 7" xfId="275" xr:uid="{00000000-0005-0000-0000-000068030000}"/>
    <cellStyle name="Ergebnis 7 2" xfId="820" xr:uid="{00000000-0005-0000-0000-000069030000}"/>
    <cellStyle name="Ergebnis 8" xfId="276" xr:uid="{00000000-0005-0000-0000-00006A030000}"/>
    <cellStyle name="Ergebnis 8 2" xfId="277" xr:uid="{00000000-0005-0000-0000-00006B030000}"/>
    <cellStyle name="Ergebnis 8 2 2" xfId="822" xr:uid="{00000000-0005-0000-0000-00006C030000}"/>
    <cellStyle name="Ergebnis 8 3" xfId="278" xr:uid="{00000000-0005-0000-0000-00006D030000}"/>
    <cellStyle name="Ergebnis 8 3 2" xfId="823" xr:uid="{00000000-0005-0000-0000-00006E030000}"/>
    <cellStyle name="Ergebnis 8 4" xfId="821" xr:uid="{00000000-0005-0000-0000-00006F030000}"/>
    <cellStyle name="Ergebnis 9" xfId="279" xr:uid="{00000000-0005-0000-0000-000070030000}"/>
    <cellStyle name="Ergebnis 9 2" xfId="824" xr:uid="{00000000-0005-0000-0000-000071030000}"/>
    <cellStyle name="Erklärender Text 2" xfId="280" xr:uid="{00000000-0005-0000-0000-000072030000}"/>
    <cellStyle name="Erklärender Text 2 2" xfId="825" xr:uid="{00000000-0005-0000-0000-000073030000}"/>
    <cellStyle name="Erklärender Text 3" xfId="281" xr:uid="{00000000-0005-0000-0000-000074030000}"/>
    <cellStyle name="Erklärender Text 3 2" xfId="826" xr:uid="{00000000-0005-0000-0000-000075030000}"/>
    <cellStyle name="Erklärender Text 4" xfId="282" xr:uid="{00000000-0005-0000-0000-000076030000}"/>
    <cellStyle name="Erklärender Text 4 2" xfId="827" xr:uid="{00000000-0005-0000-0000-000077030000}"/>
    <cellStyle name="Erklärender Text 5" xfId="283" xr:uid="{00000000-0005-0000-0000-000078030000}"/>
    <cellStyle name="Erklärender Text 5 2" xfId="828" xr:uid="{00000000-0005-0000-0000-000079030000}"/>
    <cellStyle name="Erklärender Text 6" xfId="284" xr:uid="{00000000-0005-0000-0000-00007A030000}"/>
    <cellStyle name="Erklärender Text 6 2" xfId="829" xr:uid="{00000000-0005-0000-0000-00007B030000}"/>
    <cellStyle name="Good" xfId="286" xr:uid="{00000000-0005-0000-0000-00007C030000}"/>
    <cellStyle name="Good 2" xfId="285" xr:uid="{00000000-0005-0000-0000-00007D030000}"/>
    <cellStyle name="Good 2 2" xfId="831" xr:uid="{00000000-0005-0000-0000-00007E030000}"/>
    <cellStyle name="Good 2 2 2" xfId="1339" xr:uid="{00000000-0005-0000-0000-00007F030000}"/>
    <cellStyle name="Good 3" xfId="830" xr:uid="{00000000-0005-0000-0000-000080030000}"/>
    <cellStyle name="Good 4" xfId="1046" xr:uid="{00000000-0005-0000-0000-000081030000}"/>
    <cellStyle name="Gut 2" xfId="287" xr:uid="{00000000-0005-0000-0000-000082030000}"/>
    <cellStyle name="Gut 2 2" xfId="832" xr:uid="{00000000-0005-0000-0000-000083030000}"/>
    <cellStyle name="Gut 3" xfId="288" xr:uid="{00000000-0005-0000-0000-000084030000}"/>
    <cellStyle name="Gut 3 2" xfId="833" xr:uid="{00000000-0005-0000-0000-000085030000}"/>
    <cellStyle name="Gut 4" xfId="1340" xr:uid="{00000000-0005-0000-0000-000086030000}"/>
    <cellStyle name="Heading 1" xfId="289" xr:uid="{00000000-0005-0000-0000-000087030000}"/>
    <cellStyle name="Heading 1 2" xfId="290" xr:uid="{00000000-0005-0000-0000-000088030000}"/>
    <cellStyle name="Heading 1 2 2" xfId="291" xr:uid="{00000000-0005-0000-0000-000089030000}"/>
    <cellStyle name="Heading 1 2 2 2" xfId="836" xr:uid="{00000000-0005-0000-0000-00008A030000}"/>
    <cellStyle name="Heading 1 2 2 2 2" xfId="1342" xr:uid="{00000000-0005-0000-0000-00008B030000}"/>
    <cellStyle name="Heading 1 2 2 3" xfId="1048" xr:uid="{00000000-0005-0000-0000-00008C030000}"/>
    <cellStyle name="Heading 1 2 3" xfId="835" xr:uid="{00000000-0005-0000-0000-00008D030000}"/>
    <cellStyle name="Heading 1 2 3 2" xfId="1343" xr:uid="{00000000-0005-0000-0000-00008E030000}"/>
    <cellStyle name="Heading 1 3" xfId="837" xr:uid="{00000000-0005-0000-0000-00008F030000}"/>
    <cellStyle name="Heading 1 3 2" xfId="1345" xr:uid="{00000000-0005-0000-0000-000090030000}"/>
    <cellStyle name="Heading 1 3 3" xfId="1344" xr:uid="{00000000-0005-0000-0000-000091030000}"/>
    <cellStyle name="Heading 1 4" xfId="838" xr:uid="{00000000-0005-0000-0000-000092030000}"/>
    <cellStyle name="Heading 1 4 2" xfId="1346" xr:uid="{00000000-0005-0000-0000-000093030000}"/>
    <cellStyle name="Heading 1 5" xfId="834" xr:uid="{00000000-0005-0000-0000-000094030000}"/>
    <cellStyle name="Heading 1 6" xfId="1047" xr:uid="{00000000-0005-0000-0000-000095030000}"/>
    <cellStyle name="Heading 1 7" xfId="1341" xr:uid="{00000000-0005-0000-0000-000096030000}"/>
    <cellStyle name="Heading 2" xfId="292" xr:uid="{00000000-0005-0000-0000-000097030000}"/>
    <cellStyle name="Heading 2 2" xfId="293" xr:uid="{00000000-0005-0000-0000-000098030000}"/>
    <cellStyle name="Heading 2 2 2" xfId="294" xr:uid="{00000000-0005-0000-0000-000099030000}"/>
    <cellStyle name="Heading 2 2 2 2" xfId="841" xr:uid="{00000000-0005-0000-0000-00009A030000}"/>
    <cellStyle name="Heading 2 2 2 2 2" xfId="1349" xr:uid="{00000000-0005-0000-0000-00009B030000}"/>
    <cellStyle name="Heading 2 2 2 3" xfId="1050" xr:uid="{00000000-0005-0000-0000-00009C030000}"/>
    <cellStyle name="Heading 2 2 3" xfId="840" xr:uid="{00000000-0005-0000-0000-00009D030000}"/>
    <cellStyle name="Heading 2 2 3 2" xfId="1350" xr:uid="{00000000-0005-0000-0000-00009E030000}"/>
    <cellStyle name="Heading 2 2 4" xfId="1747" xr:uid="{00000000-0005-0000-0000-00009F030000}"/>
    <cellStyle name="Heading 2 2 5" xfId="1348" xr:uid="{00000000-0005-0000-0000-0000A0030000}"/>
    <cellStyle name="Heading 2 3" xfId="842" xr:uid="{00000000-0005-0000-0000-0000A1030000}"/>
    <cellStyle name="Heading 2 3 2" xfId="1352" xr:uid="{00000000-0005-0000-0000-0000A2030000}"/>
    <cellStyle name="Heading 2 3 3" xfId="1351" xr:uid="{00000000-0005-0000-0000-0000A3030000}"/>
    <cellStyle name="Heading 2 4" xfId="843" xr:uid="{00000000-0005-0000-0000-0000A4030000}"/>
    <cellStyle name="Heading 2 4 2" xfId="1353" xr:uid="{00000000-0005-0000-0000-0000A5030000}"/>
    <cellStyle name="Heading 2 5" xfId="839" xr:uid="{00000000-0005-0000-0000-0000A6030000}"/>
    <cellStyle name="Heading 2 6" xfId="1049" xr:uid="{00000000-0005-0000-0000-0000A7030000}"/>
    <cellStyle name="Heading 2 7" xfId="1347" xr:uid="{00000000-0005-0000-0000-0000A8030000}"/>
    <cellStyle name="Heading 3" xfId="295" xr:uid="{00000000-0005-0000-0000-0000A9030000}"/>
    <cellStyle name="Heading 3 2" xfId="296" xr:uid="{00000000-0005-0000-0000-0000AA030000}"/>
    <cellStyle name="Heading 3 2 2" xfId="297" xr:uid="{00000000-0005-0000-0000-0000AB030000}"/>
    <cellStyle name="Heading 3 2 2 2" xfId="846" xr:uid="{00000000-0005-0000-0000-0000AC030000}"/>
    <cellStyle name="Heading 3 2 2 2 2" xfId="1356" xr:uid="{00000000-0005-0000-0000-0000AD030000}"/>
    <cellStyle name="Heading 3 2 2 3" xfId="1052" xr:uid="{00000000-0005-0000-0000-0000AE030000}"/>
    <cellStyle name="Heading 3 2 3" xfId="845" xr:uid="{00000000-0005-0000-0000-0000AF030000}"/>
    <cellStyle name="Heading 3 2 3 2" xfId="1357" xr:uid="{00000000-0005-0000-0000-0000B0030000}"/>
    <cellStyle name="Heading 3 2 4" xfId="1748" xr:uid="{00000000-0005-0000-0000-0000B1030000}"/>
    <cellStyle name="Heading 3 2 5" xfId="1355" xr:uid="{00000000-0005-0000-0000-0000B2030000}"/>
    <cellStyle name="Heading 3 3" xfId="847" xr:uid="{00000000-0005-0000-0000-0000B3030000}"/>
    <cellStyle name="Heading 3 3 2" xfId="1359" xr:uid="{00000000-0005-0000-0000-0000B4030000}"/>
    <cellStyle name="Heading 3 3 3" xfId="1358" xr:uid="{00000000-0005-0000-0000-0000B5030000}"/>
    <cellStyle name="Heading 3 4" xfId="848" xr:uid="{00000000-0005-0000-0000-0000B6030000}"/>
    <cellStyle name="Heading 3 4 2" xfId="1360" xr:uid="{00000000-0005-0000-0000-0000B7030000}"/>
    <cellStyle name="Heading 3 5" xfId="844" xr:uid="{00000000-0005-0000-0000-0000B8030000}"/>
    <cellStyle name="Heading 3 6" xfId="1051" xr:uid="{00000000-0005-0000-0000-0000B9030000}"/>
    <cellStyle name="Heading 3 7" xfId="1354" xr:uid="{00000000-0005-0000-0000-0000BA030000}"/>
    <cellStyle name="Heading 4" xfId="298" xr:uid="{00000000-0005-0000-0000-0000BB030000}"/>
    <cellStyle name="Heading 4 2" xfId="299" xr:uid="{00000000-0005-0000-0000-0000BC030000}"/>
    <cellStyle name="Heading 4 2 2" xfId="300" xr:uid="{00000000-0005-0000-0000-0000BD030000}"/>
    <cellStyle name="Heading 4 2 2 2" xfId="851" xr:uid="{00000000-0005-0000-0000-0000BE030000}"/>
    <cellStyle name="Heading 4 2 2 2 2" xfId="1362" xr:uid="{00000000-0005-0000-0000-0000BF030000}"/>
    <cellStyle name="Heading 4 2 2 3" xfId="1054" xr:uid="{00000000-0005-0000-0000-0000C0030000}"/>
    <cellStyle name="Heading 4 2 3" xfId="850" xr:uid="{00000000-0005-0000-0000-0000C1030000}"/>
    <cellStyle name="Heading 4 2 3 2" xfId="1363" xr:uid="{00000000-0005-0000-0000-0000C2030000}"/>
    <cellStyle name="Heading 4 3" xfId="852" xr:uid="{00000000-0005-0000-0000-0000C3030000}"/>
    <cellStyle name="Heading 4 3 2" xfId="1365" xr:uid="{00000000-0005-0000-0000-0000C4030000}"/>
    <cellStyle name="Heading 4 3 3" xfId="1364" xr:uid="{00000000-0005-0000-0000-0000C5030000}"/>
    <cellStyle name="Heading 4 4" xfId="853" xr:uid="{00000000-0005-0000-0000-0000C6030000}"/>
    <cellStyle name="Heading 4 4 2" xfId="1366" xr:uid="{00000000-0005-0000-0000-0000C7030000}"/>
    <cellStyle name="Heading 4 5" xfId="849" xr:uid="{00000000-0005-0000-0000-0000C8030000}"/>
    <cellStyle name="Heading 4 6" xfId="1053" xr:uid="{00000000-0005-0000-0000-0000C9030000}"/>
    <cellStyle name="Heading 4 7" xfId="1361" xr:uid="{00000000-0005-0000-0000-0000CA030000}"/>
    <cellStyle name="Input 2" xfId="301" xr:uid="{00000000-0005-0000-0000-0000CB030000}"/>
    <cellStyle name="Input 2 2" xfId="854" xr:uid="{00000000-0005-0000-0000-0000CC030000}"/>
    <cellStyle name="Komma 2" xfId="855" xr:uid="{00000000-0005-0000-0000-0000CD030000}"/>
    <cellStyle name="Komma 2 2" xfId="1755" xr:uid="{00000000-0005-0000-0000-0000CE030000}"/>
    <cellStyle name="Komma 2 3" xfId="1749" xr:uid="{00000000-0005-0000-0000-0000CF030000}"/>
    <cellStyle name="Komma 3" xfId="798" xr:uid="{00000000-0005-0000-0000-0000D0030000}"/>
    <cellStyle name="Linked Cell" xfId="488" xr:uid="{00000000-0005-0000-0000-0000D1030000}"/>
    <cellStyle name="Linked Cell 2" xfId="302" xr:uid="{00000000-0005-0000-0000-0000D2030000}"/>
    <cellStyle name="Linked Cell 2 2" xfId="857" xr:uid="{00000000-0005-0000-0000-0000D3030000}"/>
    <cellStyle name="Linked Cell 2 2 2" xfId="1367" xr:uid="{00000000-0005-0000-0000-0000D4030000}"/>
    <cellStyle name="Linked Cell 3" xfId="856" xr:uid="{00000000-0005-0000-0000-0000D5030000}"/>
    <cellStyle name="Linked Cell 4" xfId="1066" xr:uid="{00000000-0005-0000-0000-0000D6030000}"/>
    <cellStyle name="Neutral" xfId="303" builtinId="28" customBuiltin="1"/>
    <cellStyle name="Neutral 2" xfId="858" xr:uid="{00000000-0005-0000-0000-0000D8030000}"/>
    <cellStyle name="Normal" xfId="0" builtinId="0"/>
    <cellStyle name="Normal 2" xfId="304" xr:uid="{00000000-0005-0000-0000-0000D9030000}"/>
    <cellStyle name="Note" xfId="305" xr:uid="{00000000-0005-0000-0000-0000DA030000}"/>
    <cellStyle name="Note 2" xfId="306" xr:uid="{00000000-0005-0000-0000-0000DB030000}"/>
    <cellStyle name="Note 2 2" xfId="307" xr:uid="{00000000-0005-0000-0000-0000DC030000}"/>
    <cellStyle name="Note 2 2 2" xfId="861" xr:uid="{00000000-0005-0000-0000-0000DD030000}"/>
    <cellStyle name="Note 2 3" xfId="860" xr:uid="{00000000-0005-0000-0000-0000DE030000}"/>
    <cellStyle name="Note 3" xfId="308" xr:uid="{00000000-0005-0000-0000-0000DF030000}"/>
    <cellStyle name="Note 3 2" xfId="862" xr:uid="{00000000-0005-0000-0000-0000E0030000}"/>
    <cellStyle name="Note 3 2 2" xfId="1368" xr:uid="{00000000-0005-0000-0000-0000E1030000}"/>
    <cellStyle name="Note 4" xfId="309" xr:uid="{00000000-0005-0000-0000-0000E2030000}"/>
    <cellStyle name="Note 4 2" xfId="863" xr:uid="{00000000-0005-0000-0000-0000E3030000}"/>
    <cellStyle name="Note 4 2 2" xfId="1370" xr:uid="{00000000-0005-0000-0000-0000E4030000}"/>
    <cellStyle name="Note 4 3" xfId="1369" xr:uid="{00000000-0005-0000-0000-0000E5030000}"/>
    <cellStyle name="Note 5" xfId="310" xr:uid="{00000000-0005-0000-0000-0000E6030000}"/>
    <cellStyle name="Note 5 2" xfId="865" xr:uid="{00000000-0005-0000-0000-0000E7030000}"/>
    <cellStyle name="Note 5 2 2" xfId="1372" xr:uid="{00000000-0005-0000-0000-0000E8030000}"/>
    <cellStyle name="Note 5 2 3" xfId="1371" xr:uid="{00000000-0005-0000-0000-0000E9030000}"/>
    <cellStyle name="Note 5 3" xfId="864" xr:uid="{00000000-0005-0000-0000-0000EA030000}"/>
    <cellStyle name="Note 5 4" xfId="1055" xr:uid="{00000000-0005-0000-0000-0000EB030000}"/>
    <cellStyle name="Note 6" xfId="859" xr:uid="{00000000-0005-0000-0000-0000EC030000}"/>
    <cellStyle name="Note 6 2" xfId="1373" xr:uid="{00000000-0005-0000-0000-0000ED030000}"/>
    <cellStyle name="Notiz 10" xfId="1374" xr:uid="{00000000-0005-0000-0000-0000EE030000}"/>
    <cellStyle name="Notiz 2" xfId="311" xr:uid="{00000000-0005-0000-0000-0000EF030000}"/>
    <cellStyle name="Notiz 2 2" xfId="312" xr:uid="{00000000-0005-0000-0000-0000F0030000}"/>
    <cellStyle name="Notiz 2 2 2" xfId="313" xr:uid="{00000000-0005-0000-0000-0000F1030000}"/>
    <cellStyle name="Notiz 2 2 2 2" xfId="314" xr:uid="{00000000-0005-0000-0000-0000F2030000}"/>
    <cellStyle name="Notiz 2 2 2 2 2" xfId="315" xr:uid="{00000000-0005-0000-0000-0000F3030000}"/>
    <cellStyle name="Notiz 2 2 2 2 2 2" xfId="870" xr:uid="{00000000-0005-0000-0000-0000F4030000}"/>
    <cellStyle name="Notiz 2 2 2 2 2 2 2" xfId="1375" xr:uid="{00000000-0005-0000-0000-0000F5030000}"/>
    <cellStyle name="Notiz 2 2 2 2 2 3" xfId="1376" xr:uid="{00000000-0005-0000-0000-0000F6030000}"/>
    <cellStyle name="Notiz 2 2 2 2 2 4" xfId="1377" xr:uid="{00000000-0005-0000-0000-0000F7030000}"/>
    <cellStyle name="Notiz 2 2 2 2 3" xfId="869" xr:uid="{00000000-0005-0000-0000-0000F8030000}"/>
    <cellStyle name="Notiz 2 2 2 2 3 2" xfId="1378" xr:uid="{00000000-0005-0000-0000-0000F9030000}"/>
    <cellStyle name="Notiz 2 2 2 2 4" xfId="1379" xr:uid="{00000000-0005-0000-0000-0000FA030000}"/>
    <cellStyle name="Notiz 2 2 2 2 5" xfId="1380" xr:uid="{00000000-0005-0000-0000-0000FB030000}"/>
    <cellStyle name="Notiz 2 2 2 3" xfId="316" xr:uid="{00000000-0005-0000-0000-0000FC030000}"/>
    <cellStyle name="Notiz 2 2 2 3 2" xfId="871" xr:uid="{00000000-0005-0000-0000-0000FD030000}"/>
    <cellStyle name="Notiz 2 2 2 3 2 2" xfId="1381" xr:uid="{00000000-0005-0000-0000-0000FE030000}"/>
    <cellStyle name="Notiz 2 2 2 3 3" xfId="1382" xr:uid="{00000000-0005-0000-0000-0000FF030000}"/>
    <cellStyle name="Notiz 2 2 2 3 4" xfId="1383" xr:uid="{00000000-0005-0000-0000-000000040000}"/>
    <cellStyle name="Notiz 2 2 2 4" xfId="868" xr:uid="{00000000-0005-0000-0000-000001040000}"/>
    <cellStyle name="Notiz 2 2 2 4 2" xfId="1384" xr:uid="{00000000-0005-0000-0000-000002040000}"/>
    <cellStyle name="Notiz 2 2 2 5" xfId="1385" xr:uid="{00000000-0005-0000-0000-000003040000}"/>
    <cellStyle name="Notiz 2 2 2 6" xfId="1386" xr:uid="{00000000-0005-0000-0000-000004040000}"/>
    <cellStyle name="Notiz 2 2 3" xfId="317" xr:uid="{00000000-0005-0000-0000-000005040000}"/>
    <cellStyle name="Notiz 2 2 3 2" xfId="318" xr:uid="{00000000-0005-0000-0000-000006040000}"/>
    <cellStyle name="Notiz 2 2 3 2 2" xfId="873" xr:uid="{00000000-0005-0000-0000-000007040000}"/>
    <cellStyle name="Notiz 2 2 3 2 2 2" xfId="1387" xr:uid="{00000000-0005-0000-0000-000008040000}"/>
    <cellStyle name="Notiz 2 2 3 2 3" xfId="1388" xr:uid="{00000000-0005-0000-0000-000009040000}"/>
    <cellStyle name="Notiz 2 2 3 2 4" xfId="1389" xr:uid="{00000000-0005-0000-0000-00000A040000}"/>
    <cellStyle name="Notiz 2 2 3 3" xfId="872" xr:uid="{00000000-0005-0000-0000-00000B040000}"/>
    <cellStyle name="Notiz 2 2 3 3 2" xfId="1390" xr:uid="{00000000-0005-0000-0000-00000C040000}"/>
    <cellStyle name="Notiz 2 2 3 4" xfId="1391" xr:uid="{00000000-0005-0000-0000-00000D040000}"/>
    <cellStyle name="Notiz 2 2 3 5" xfId="1392" xr:uid="{00000000-0005-0000-0000-00000E040000}"/>
    <cellStyle name="Notiz 2 2 4" xfId="319" xr:uid="{00000000-0005-0000-0000-00000F040000}"/>
    <cellStyle name="Notiz 2 2 4 2" xfId="320" xr:uid="{00000000-0005-0000-0000-000010040000}"/>
    <cellStyle name="Notiz 2 2 4 2 2" xfId="875" xr:uid="{00000000-0005-0000-0000-000011040000}"/>
    <cellStyle name="Notiz 2 2 4 2 2 2" xfId="1393" xr:uid="{00000000-0005-0000-0000-000012040000}"/>
    <cellStyle name="Notiz 2 2 4 3" xfId="321" xr:uid="{00000000-0005-0000-0000-000013040000}"/>
    <cellStyle name="Notiz 2 2 4 3 2" xfId="322" xr:uid="{00000000-0005-0000-0000-000014040000}"/>
    <cellStyle name="Notiz 2 2 4 3 2 2" xfId="877" xr:uid="{00000000-0005-0000-0000-000015040000}"/>
    <cellStyle name="Notiz 2 2 4 3 2 2 2" xfId="1395" xr:uid="{00000000-0005-0000-0000-000016040000}"/>
    <cellStyle name="Notiz 2 2 4 3 3" xfId="878" xr:uid="{00000000-0005-0000-0000-000017040000}"/>
    <cellStyle name="Notiz 2 2 4 3 3 2" xfId="1397" xr:uid="{00000000-0005-0000-0000-000018040000}"/>
    <cellStyle name="Notiz 2 2 4 3 3 3" xfId="1396" xr:uid="{00000000-0005-0000-0000-000019040000}"/>
    <cellStyle name="Notiz 2 2 4 3 4" xfId="876" xr:uid="{00000000-0005-0000-0000-00001A040000}"/>
    <cellStyle name="Notiz 2 2 4 3 4 2" xfId="1398" xr:uid="{00000000-0005-0000-0000-00001B040000}"/>
    <cellStyle name="Notiz 2 2 4 3 5" xfId="1394" xr:uid="{00000000-0005-0000-0000-00001C040000}"/>
    <cellStyle name="Notiz 2 2 4 4" xfId="323" xr:uid="{00000000-0005-0000-0000-00001D040000}"/>
    <cellStyle name="Notiz 2 2 4 4 2" xfId="880" xr:uid="{00000000-0005-0000-0000-00001E040000}"/>
    <cellStyle name="Notiz 2 2 4 4 2 2" xfId="1400" xr:uid="{00000000-0005-0000-0000-00001F040000}"/>
    <cellStyle name="Notiz 2 2 4 4 2 3" xfId="1399" xr:uid="{00000000-0005-0000-0000-000020040000}"/>
    <cellStyle name="Notiz 2 2 4 4 3" xfId="879" xr:uid="{00000000-0005-0000-0000-000021040000}"/>
    <cellStyle name="Notiz 2 2 4 4 4" xfId="1056" xr:uid="{00000000-0005-0000-0000-000022040000}"/>
    <cellStyle name="Notiz 2 2 4 5" xfId="874" xr:uid="{00000000-0005-0000-0000-000023040000}"/>
    <cellStyle name="Notiz 2 2 4 5 2" xfId="1401" xr:uid="{00000000-0005-0000-0000-000024040000}"/>
    <cellStyle name="Notiz 2 2 5" xfId="324" xr:uid="{00000000-0005-0000-0000-000025040000}"/>
    <cellStyle name="Notiz 2 2 5 2" xfId="325" xr:uid="{00000000-0005-0000-0000-000026040000}"/>
    <cellStyle name="Notiz 2 2 5 2 2" xfId="882" xr:uid="{00000000-0005-0000-0000-000027040000}"/>
    <cellStyle name="Notiz 2 2 5 2 2 2" xfId="1402" xr:uid="{00000000-0005-0000-0000-000028040000}"/>
    <cellStyle name="Notiz 2 2 5 3" xfId="326" xr:uid="{00000000-0005-0000-0000-000029040000}"/>
    <cellStyle name="Notiz 2 2 5 3 2" xfId="883" xr:uid="{00000000-0005-0000-0000-00002A040000}"/>
    <cellStyle name="Notiz 2 2 5 3 2 2" xfId="1403" xr:uid="{00000000-0005-0000-0000-00002B040000}"/>
    <cellStyle name="Notiz 2 2 5 4" xfId="327" xr:uid="{00000000-0005-0000-0000-00002C040000}"/>
    <cellStyle name="Notiz 2 2 5 4 2" xfId="885" xr:uid="{00000000-0005-0000-0000-00002D040000}"/>
    <cellStyle name="Notiz 2 2 5 4 2 2" xfId="1404" xr:uid="{00000000-0005-0000-0000-00002E040000}"/>
    <cellStyle name="Notiz 2 2 5 4 3" xfId="884" xr:uid="{00000000-0005-0000-0000-00002F040000}"/>
    <cellStyle name="Notiz 2 2 5 4 3 2" xfId="1405" xr:uid="{00000000-0005-0000-0000-000030040000}"/>
    <cellStyle name="Notiz 2 2 5 4 4" xfId="1057" xr:uid="{00000000-0005-0000-0000-000031040000}"/>
    <cellStyle name="Notiz 2 2 5 5" xfId="881" xr:uid="{00000000-0005-0000-0000-000032040000}"/>
    <cellStyle name="Notiz 2 2 5 5 2" xfId="1406" xr:uid="{00000000-0005-0000-0000-000033040000}"/>
    <cellStyle name="Notiz 2 2 6" xfId="867" xr:uid="{00000000-0005-0000-0000-000034040000}"/>
    <cellStyle name="Notiz 2 2 6 2" xfId="1407" xr:uid="{00000000-0005-0000-0000-000035040000}"/>
    <cellStyle name="Notiz 2 3" xfId="328" xr:uid="{00000000-0005-0000-0000-000036040000}"/>
    <cellStyle name="Notiz 2 3 2" xfId="329" xr:uid="{00000000-0005-0000-0000-000037040000}"/>
    <cellStyle name="Notiz 2 3 2 2" xfId="330" xr:uid="{00000000-0005-0000-0000-000038040000}"/>
    <cellStyle name="Notiz 2 3 2 2 2" xfId="888" xr:uid="{00000000-0005-0000-0000-000039040000}"/>
    <cellStyle name="Notiz 2 3 2 2 2 2" xfId="1408" xr:uid="{00000000-0005-0000-0000-00003A040000}"/>
    <cellStyle name="Notiz 2 3 2 2 3" xfId="1409" xr:uid="{00000000-0005-0000-0000-00003B040000}"/>
    <cellStyle name="Notiz 2 3 2 2 4" xfId="1410" xr:uid="{00000000-0005-0000-0000-00003C040000}"/>
    <cellStyle name="Notiz 2 3 2 3" xfId="887" xr:uid="{00000000-0005-0000-0000-00003D040000}"/>
    <cellStyle name="Notiz 2 3 2 3 2" xfId="1411" xr:uid="{00000000-0005-0000-0000-00003E040000}"/>
    <cellStyle name="Notiz 2 3 2 4" xfId="1412" xr:uid="{00000000-0005-0000-0000-00003F040000}"/>
    <cellStyle name="Notiz 2 3 2 5" xfId="1413" xr:uid="{00000000-0005-0000-0000-000040040000}"/>
    <cellStyle name="Notiz 2 3 3" xfId="331" xr:uid="{00000000-0005-0000-0000-000041040000}"/>
    <cellStyle name="Notiz 2 3 3 2" xfId="889" xr:uid="{00000000-0005-0000-0000-000042040000}"/>
    <cellStyle name="Notiz 2 3 3 2 2" xfId="1414" xr:uid="{00000000-0005-0000-0000-000043040000}"/>
    <cellStyle name="Notiz 2 3 3 3" xfId="1415" xr:uid="{00000000-0005-0000-0000-000044040000}"/>
    <cellStyle name="Notiz 2 3 3 4" xfId="1416" xr:uid="{00000000-0005-0000-0000-000045040000}"/>
    <cellStyle name="Notiz 2 3 4" xfId="886" xr:uid="{00000000-0005-0000-0000-000046040000}"/>
    <cellStyle name="Notiz 2 3 4 2" xfId="1417" xr:uid="{00000000-0005-0000-0000-000047040000}"/>
    <cellStyle name="Notiz 2 3 5" xfId="1418" xr:uid="{00000000-0005-0000-0000-000048040000}"/>
    <cellStyle name="Notiz 2 3 6" xfId="1419" xr:uid="{00000000-0005-0000-0000-000049040000}"/>
    <cellStyle name="Notiz 2 4" xfId="332" xr:uid="{00000000-0005-0000-0000-00004A040000}"/>
    <cellStyle name="Notiz 2 4 2" xfId="333" xr:uid="{00000000-0005-0000-0000-00004B040000}"/>
    <cellStyle name="Notiz 2 4 2 2" xfId="891" xr:uid="{00000000-0005-0000-0000-00004C040000}"/>
    <cellStyle name="Notiz 2 4 2 2 2" xfId="1420" xr:uid="{00000000-0005-0000-0000-00004D040000}"/>
    <cellStyle name="Notiz 2 4 2 3" xfId="1421" xr:uid="{00000000-0005-0000-0000-00004E040000}"/>
    <cellStyle name="Notiz 2 4 2 4" xfId="1422" xr:uid="{00000000-0005-0000-0000-00004F040000}"/>
    <cellStyle name="Notiz 2 4 3" xfId="890" xr:uid="{00000000-0005-0000-0000-000050040000}"/>
    <cellStyle name="Notiz 2 4 3 2" xfId="1423" xr:uid="{00000000-0005-0000-0000-000051040000}"/>
    <cellStyle name="Notiz 2 4 4" xfId="1424" xr:uid="{00000000-0005-0000-0000-000052040000}"/>
    <cellStyle name="Notiz 2 4 5" xfId="1425" xr:uid="{00000000-0005-0000-0000-000053040000}"/>
    <cellStyle name="Notiz 2 5" xfId="334" xr:uid="{00000000-0005-0000-0000-000054040000}"/>
    <cellStyle name="Notiz 2 5 2" xfId="892" xr:uid="{00000000-0005-0000-0000-000055040000}"/>
    <cellStyle name="Notiz 2 5 2 2" xfId="1426" xr:uid="{00000000-0005-0000-0000-000056040000}"/>
    <cellStyle name="Notiz 2 5 3" xfId="1427" xr:uid="{00000000-0005-0000-0000-000057040000}"/>
    <cellStyle name="Notiz 2 5 4" xfId="1428" xr:uid="{00000000-0005-0000-0000-000058040000}"/>
    <cellStyle name="Notiz 2 6" xfId="866" xr:uid="{00000000-0005-0000-0000-000059040000}"/>
    <cellStyle name="Notiz 2 6 2" xfId="1429" xr:uid="{00000000-0005-0000-0000-00005A040000}"/>
    <cellStyle name="Notiz 2 7" xfId="1430" xr:uid="{00000000-0005-0000-0000-00005B040000}"/>
    <cellStyle name="Notiz 2 8" xfId="1431" xr:uid="{00000000-0005-0000-0000-00005C040000}"/>
    <cellStyle name="Notiz 3" xfId="335" xr:uid="{00000000-0005-0000-0000-00005D040000}"/>
    <cellStyle name="Notiz 3 2" xfId="336" xr:uid="{00000000-0005-0000-0000-00005E040000}"/>
    <cellStyle name="Notiz 3 2 2" xfId="337" xr:uid="{00000000-0005-0000-0000-00005F040000}"/>
    <cellStyle name="Notiz 3 2 2 2" xfId="338" xr:uid="{00000000-0005-0000-0000-000060040000}"/>
    <cellStyle name="Notiz 3 2 2 2 2" xfId="896" xr:uid="{00000000-0005-0000-0000-000061040000}"/>
    <cellStyle name="Notiz 3 2 2 2 2 2" xfId="1432" xr:uid="{00000000-0005-0000-0000-000062040000}"/>
    <cellStyle name="Notiz 3 2 2 2 3" xfId="1433" xr:uid="{00000000-0005-0000-0000-000063040000}"/>
    <cellStyle name="Notiz 3 2 2 2 4" xfId="1434" xr:uid="{00000000-0005-0000-0000-000064040000}"/>
    <cellStyle name="Notiz 3 2 2 3" xfId="895" xr:uid="{00000000-0005-0000-0000-000065040000}"/>
    <cellStyle name="Notiz 3 2 2 3 2" xfId="1435" xr:uid="{00000000-0005-0000-0000-000066040000}"/>
    <cellStyle name="Notiz 3 2 2 4" xfId="1436" xr:uid="{00000000-0005-0000-0000-000067040000}"/>
    <cellStyle name="Notiz 3 2 2 5" xfId="1437" xr:uid="{00000000-0005-0000-0000-000068040000}"/>
    <cellStyle name="Notiz 3 2 3" xfId="339" xr:uid="{00000000-0005-0000-0000-000069040000}"/>
    <cellStyle name="Notiz 3 2 3 2" xfId="897" xr:uid="{00000000-0005-0000-0000-00006A040000}"/>
    <cellStyle name="Notiz 3 2 3 2 2" xfId="1438" xr:uid="{00000000-0005-0000-0000-00006B040000}"/>
    <cellStyle name="Notiz 3 2 3 3" xfId="1439" xr:uid="{00000000-0005-0000-0000-00006C040000}"/>
    <cellStyle name="Notiz 3 2 3 4" xfId="1440" xr:uid="{00000000-0005-0000-0000-00006D040000}"/>
    <cellStyle name="Notiz 3 2 4" xfId="894" xr:uid="{00000000-0005-0000-0000-00006E040000}"/>
    <cellStyle name="Notiz 3 2 4 2" xfId="1441" xr:uid="{00000000-0005-0000-0000-00006F040000}"/>
    <cellStyle name="Notiz 3 2 5" xfId="1442" xr:uid="{00000000-0005-0000-0000-000070040000}"/>
    <cellStyle name="Notiz 3 2 6" xfId="1443" xr:uid="{00000000-0005-0000-0000-000071040000}"/>
    <cellStyle name="Notiz 3 3" xfId="340" xr:uid="{00000000-0005-0000-0000-000072040000}"/>
    <cellStyle name="Notiz 3 3 2" xfId="341" xr:uid="{00000000-0005-0000-0000-000073040000}"/>
    <cellStyle name="Notiz 3 3 2 2" xfId="899" xr:uid="{00000000-0005-0000-0000-000074040000}"/>
    <cellStyle name="Notiz 3 3 2 2 2" xfId="1444" xr:uid="{00000000-0005-0000-0000-000075040000}"/>
    <cellStyle name="Notiz 3 3 2 3" xfId="1445" xr:uid="{00000000-0005-0000-0000-000076040000}"/>
    <cellStyle name="Notiz 3 3 2 4" xfId="1446" xr:uid="{00000000-0005-0000-0000-000077040000}"/>
    <cellStyle name="Notiz 3 3 3" xfId="898" xr:uid="{00000000-0005-0000-0000-000078040000}"/>
    <cellStyle name="Notiz 3 3 3 2" xfId="1447" xr:uid="{00000000-0005-0000-0000-000079040000}"/>
    <cellStyle name="Notiz 3 3 4" xfId="1448" xr:uid="{00000000-0005-0000-0000-00007A040000}"/>
    <cellStyle name="Notiz 3 3 5" xfId="1449" xr:uid="{00000000-0005-0000-0000-00007B040000}"/>
    <cellStyle name="Notiz 3 4" xfId="342" xr:uid="{00000000-0005-0000-0000-00007C040000}"/>
    <cellStyle name="Notiz 3 4 2" xfId="900" xr:uid="{00000000-0005-0000-0000-00007D040000}"/>
    <cellStyle name="Notiz 3 4 2 2" xfId="1450" xr:uid="{00000000-0005-0000-0000-00007E040000}"/>
    <cellStyle name="Notiz 3 4 3" xfId="1451" xr:uid="{00000000-0005-0000-0000-00007F040000}"/>
    <cellStyle name="Notiz 3 4 4" xfId="1452" xr:uid="{00000000-0005-0000-0000-000080040000}"/>
    <cellStyle name="Notiz 3 5" xfId="893" xr:uid="{00000000-0005-0000-0000-000081040000}"/>
    <cellStyle name="Notiz 3 5 2" xfId="1453" xr:uid="{00000000-0005-0000-0000-000082040000}"/>
    <cellStyle name="Notiz 3 6" xfId="1454" xr:uid="{00000000-0005-0000-0000-000083040000}"/>
    <cellStyle name="Notiz 3 7" xfId="1455" xr:uid="{00000000-0005-0000-0000-000084040000}"/>
    <cellStyle name="Notiz 4" xfId="343" xr:uid="{00000000-0005-0000-0000-000085040000}"/>
    <cellStyle name="Notiz 4 2" xfId="344" xr:uid="{00000000-0005-0000-0000-000086040000}"/>
    <cellStyle name="Notiz 4 2 2" xfId="345" xr:uid="{00000000-0005-0000-0000-000087040000}"/>
    <cellStyle name="Notiz 4 2 2 2" xfId="903" xr:uid="{00000000-0005-0000-0000-000088040000}"/>
    <cellStyle name="Notiz 4 2 2 2 2" xfId="1456" xr:uid="{00000000-0005-0000-0000-000089040000}"/>
    <cellStyle name="Notiz 4 2 2 3" xfId="1457" xr:uid="{00000000-0005-0000-0000-00008A040000}"/>
    <cellStyle name="Notiz 4 2 2 4" xfId="1458" xr:uid="{00000000-0005-0000-0000-00008B040000}"/>
    <cellStyle name="Notiz 4 2 3" xfId="902" xr:uid="{00000000-0005-0000-0000-00008C040000}"/>
    <cellStyle name="Notiz 4 2 3 2" xfId="1459" xr:uid="{00000000-0005-0000-0000-00008D040000}"/>
    <cellStyle name="Notiz 4 2 4" xfId="1460" xr:uid="{00000000-0005-0000-0000-00008E040000}"/>
    <cellStyle name="Notiz 4 2 5" xfId="1461" xr:uid="{00000000-0005-0000-0000-00008F040000}"/>
    <cellStyle name="Notiz 4 3" xfId="346" xr:uid="{00000000-0005-0000-0000-000090040000}"/>
    <cellStyle name="Notiz 4 3 2" xfId="904" xr:uid="{00000000-0005-0000-0000-000091040000}"/>
    <cellStyle name="Notiz 4 3 2 2" xfId="1462" xr:uid="{00000000-0005-0000-0000-000092040000}"/>
    <cellStyle name="Notiz 4 3 3" xfId="1463" xr:uid="{00000000-0005-0000-0000-000093040000}"/>
    <cellStyle name="Notiz 4 3 4" xfId="1464" xr:uid="{00000000-0005-0000-0000-000094040000}"/>
    <cellStyle name="Notiz 4 4" xfId="901" xr:uid="{00000000-0005-0000-0000-000095040000}"/>
    <cellStyle name="Notiz 4 4 2" xfId="1465" xr:uid="{00000000-0005-0000-0000-000096040000}"/>
    <cellStyle name="Notiz 4 5" xfId="1466" xr:uid="{00000000-0005-0000-0000-000097040000}"/>
    <cellStyle name="Notiz 4 6" xfId="1467" xr:uid="{00000000-0005-0000-0000-000098040000}"/>
    <cellStyle name="Notiz 5" xfId="347" xr:uid="{00000000-0005-0000-0000-000099040000}"/>
    <cellStyle name="Notiz 5 2" xfId="348" xr:uid="{00000000-0005-0000-0000-00009A040000}"/>
    <cellStyle name="Notiz 5 2 2" xfId="349" xr:uid="{00000000-0005-0000-0000-00009B040000}"/>
    <cellStyle name="Notiz 5 2 2 2" xfId="907" xr:uid="{00000000-0005-0000-0000-00009C040000}"/>
    <cellStyle name="Notiz 5 2 2 2 2" xfId="1468" xr:uid="{00000000-0005-0000-0000-00009D040000}"/>
    <cellStyle name="Notiz 5 2 2 3" xfId="1469" xr:uid="{00000000-0005-0000-0000-00009E040000}"/>
    <cellStyle name="Notiz 5 2 2 4" xfId="1470" xr:uid="{00000000-0005-0000-0000-00009F040000}"/>
    <cellStyle name="Notiz 5 2 3" xfId="906" xr:uid="{00000000-0005-0000-0000-0000A0040000}"/>
    <cellStyle name="Notiz 5 2 3 2" xfId="1471" xr:uid="{00000000-0005-0000-0000-0000A1040000}"/>
    <cellStyle name="Notiz 5 2 4" xfId="1472" xr:uid="{00000000-0005-0000-0000-0000A2040000}"/>
    <cellStyle name="Notiz 5 2 5" xfId="1473" xr:uid="{00000000-0005-0000-0000-0000A3040000}"/>
    <cellStyle name="Notiz 5 3" xfId="350" xr:uid="{00000000-0005-0000-0000-0000A4040000}"/>
    <cellStyle name="Notiz 5 3 2" xfId="908" xr:uid="{00000000-0005-0000-0000-0000A5040000}"/>
    <cellStyle name="Notiz 5 3 2 2" xfId="1474" xr:uid="{00000000-0005-0000-0000-0000A6040000}"/>
    <cellStyle name="Notiz 5 3 3" xfId="1475" xr:uid="{00000000-0005-0000-0000-0000A7040000}"/>
    <cellStyle name="Notiz 5 3 4" xfId="1476" xr:uid="{00000000-0005-0000-0000-0000A8040000}"/>
    <cellStyle name="Notiz 5 4" xfId="905" xr:uid="{00000000-0005-0000-0000-0000A9040000}"/>
    <cellStyle name="Notiz 5 4 2" xfId="1477" xr:uid="{00000000-0005-0000-0000-0000AA040000}"/>
    <cellStyle name="Notiz 5 5" xfId="1478" xr:uid="{00000000-0005-0000-0000-0000AB040000}"/>
    <cellStyle name="Notiz 5 6" xfId="1479" xr:uid="{00000000-0005-0000-0000-0000AC040000}"/>
    <cellStyle name="Notiz 6" xfId="351" xr:uid="{00000000-0005-0000-0000-0000AD040000}"/>
    <cellStyle name="Notiz 6 2" xfId="352" xr:uid="{00000000-0005-0000-0000-0000AE040000}"/>
    <cellStyle name="Notiz 6 2 2" xfId="910" xr:uid="{00000000-0005-0000-0000-0000AF040000}"/>
    <cellStyle name="Notiz 6 2 2 2" xfId="1480" xr:uid="{00000000-0005-0000-0000-0000B0040000}"/>
    <cellStyle name="Notiz 6 2 3" xfId="1481" xr:uid="{00000000-0005-0000-0000-0000B1040000}"/>
    <cellStyle name="Notiz 6 2 4" xfId="1482" xr:uid="{00000000-0005-0000-0000-0000B2040000}"/>
    <cellStyle name="Notiz 6 3" xfId="909" xr:uid="{00000000-0005-0000-0000-0000B3040000}"/>
    <cellStyle name="Notiz 6 3 2" xfId="1483" xr:uid="{00000000-0005-0000-0000-0000B4040000}"/>
    <cellStyle name="Notiz 6 4" xfId="1484" xr:uid="{00000000-0005-0000-0000-0000B5040000}"/>
    <cellStyle name="Notiz 6 5" xfId="1485" xr:uid="{00000000-0005-0000-0000-0000B6040000}"/>
    <cellStyle name="Notiz 7" xfId="353" xr:uid="{00000000-0005-0000-0000-0000B7040000}"/>
    <cellStyle name="Notiz 7 2" xfId="911" xr:uid="{00000000-0005-0000-0000-0000B8040000}"/>
    <cellStyle name="Notiz 7 2 2" xfId="1486" xr:uid="{00000000-0005-0000-0000-0000B9040000}"/>
    <cellStyle name="Notiz 7 3" xfId="1487" xr:uid="{00000000-0005-0000-0000-0000BA040000}"/>
    <cellStyle name="Notiz 7 4" xfId="1488" xr:uid="{00000000-0005-0000-0000-0000BB040000}"/>
    <cellStyle name="Notiz 8" xfId="354" xr:uid="{00000000-0005-0000-0000-0000BC040000}"/>
    <cellStyle name="Notiz 8 2" xfId="912" xr:uid="{00000000-0005-0000-0000-0000BD040000}"/>
    <cellStyle name="Notiz 8 2 2" xfId="1489" xr:uid="{00000000-0005-0000-0000-0000BE040000}"/>
    <cellStyle name="Notiz 9" xfId="1490" xr:uid="{00000000-0005-0000-0000-0000BF040000}"/>
    <cellStyle name="Output 2" xfId="355" xr:uid="{00000000-0005-0000-0000-0000C0040000}"/>
    <cellStyle name="Output 2 2" xfId="913" xr:uid="{00000000-0005-0000-0000-0000C1040000}"/>
    <cellStyle name="Percent" xfId="356" builtinId="5"/>
    <cellStyle name="Percent 2" xfId="1058" xr:uid="{00000000-0005-0000-0000-0000C2040000}"/>
    <cellStyle name="Prozent 10" xfId="357" xr:uid="{00000000-0005-0000-0000-0000C4040000}"/>
    <cellStyle name="Prozent 10 2" xfId="358" xr:uid="{00000000-0005-0000-0000-0000C5040000}"/>
    <cellStyle name="Prozent 10 2 2" xfId="916" xr:uid="{00000000-0005-0000-0000-0000C6040000}"/>
    <cellStyle name="Prozent 10 2 2 2" xfId="1491" xr:uid="{00000000-0005-0000-0000-0000C7040000}"/>
    <cellStyle name="Prozent 10 3" xfId="359" xr:uid="{00000000-0005-0000-0000-0000C8040000}"/>
    <cellStyle name="Prozent 10 3 2" xfId="917" xr:uid="{00000000-0005-0000-0000-0000C9040000}"/>
    <cellStyle name="Prozent 10 3 2 2" xfId="1493" xr:uid="{00000000-0005-0000-0000-0000CA040000}"/>
    <cellStyle name="Prozent 10 3 3" xfId="1492" xr:uid="{00000000-0005-0000-0000-0000CB040000}"/>
    <cellStyle name="Prozent 10 4" xfId="360" xr:uid="{00000000-0005-0000-0000-0000CC040000}"/>
    <cellStyle name="Prozent 10 4 2" xfId="919" xr:uid="{00000000-0005-0000-0000-0000CD040000}"/>
    <cellStyle name="Prozent 10 4 2 2" xfId="1494" xr:uid="{00000000-0005-0000-0000-0000CE040000}"/>
    <cellStyle name="Prozent 10 4 3" xfId="918" xr:uid="{00000000-0005-0000-0000-0000CF040000}"/>
    <cellStyle name="Prozent 10 4 3 2" xfId="1495" xr:uid="{00000000-0005-0000-0000-0000D0040000}"/>
    <cellStyle name="Prozent 10 4 4" xfId="1059" xr:uid="{00000000-0005-0000-0000-0000D1040000}"/>
    <cellStyle name="Prozent 10 5" xfId="915" xr:uid="{00000000-0005-0000-0000-0000D2040000}"/>
    <cellStyle name="Prozent 10 5 2" xfId="1496" xr:uid="{00000000-0005-0000-0000-0000D3040000}"/>
    <cellStyle name="Prozent 11" xfId="361" xr:uid="{00000000-0005-0000-0000-0000D4040000}"/>
    <cellStyle name="Prozent 11 2" xfId="920" xr:uid="{00000000-0005-0000-0000-0000D5040000}"/>
    <cellStyle name="Prozent 11 2 2" xfId="1497" xr:uid="{00000000-0005-0000-0000-0000D6040000}"/>
    <cellStyle name="Prozent 12" xfId="362" xr:uid="{00000000-0005-0000-0000-0000D7040000}"/>
    <cellStyle name="Prozent 12 2" xfId="921" xr:uid="{00000000-0005-0000-0000-0000D8040000}"/>
    <cellStyle name="Prozent 12 2 2" xfId="1498" xr:uid="{00000000-0005-0000-0000-0000D9040000}"/>
    <cellStyle name="Prozent 13" xfId="914" xr:uid="{00000000-0005-0000-0000-0000DA040000}"/>
    <cellStyle name="Prozent 13 2" xfId="1499" xr:uid="{00000000-0005-0000-0000-0000DB040000}"/>
    <cellStyle name="Prozent 14" xfId="1500" xr:uid="{00000000-0005-0000-0000-0000DC040000}"/>
    <cellStyle name="Prozent 2" xfId="363" xr:uid="{00000000-0005-0000-0000-0000DD040000}"/>
    <cellStyle name="Prozent 2 2" xfId="922" xr:uid="{00000000-0005-0000-0000-0000DE040000}"/>
    <cellStyle name="Prozent 3" xfId="364" xr:uid="{00000000-0005-0000-0000-0000DF040000}"/>
    <cellStyle name="Prozent 3 2" xfId="365" xr:uid="{00000000-0005-0000-0000-0000E0040000}"/>
    <cellStyle name="Prozent 3 2 2" xfId="366" xr:uid="{00000000-0005-0000-0000-0000E1040000}"/>
    <cellStyle name="Prozent 3 2 2 2" xfId="367" xr:uid="{00000000-0005-0000-0000-0000E2040000}"/>
    <cellStyle name="Prozent 3 2 2 2 2" xfId="368" xr:uid="{00000000-0005-0000-0000-0000E3040000}"/>
    <cellStyle name="Prozent 3 2 2 2 2 2" xfId="927" xr:uid="{00000000-0005-0000-0000-0000E4040000}"/>
    <cellStyle name="Prozent 3 2 2 2 2 2 2" xfId="1501" xr:uid="{00000000-0005-0000-0000-0000E5040000}"/>
    <cellStyle name="Prozent 3 2 2 2 2 3" xfId="1502" xr:uid="{00000000-0005-0000-0000-0000E6040000}"/>
    <cellStyle name="Prozent 3 2 2 2 2 4" xfId="1503" xr:uid="{00000000-0005-0000-0000-0000E7040000}"/>
    <cellStyle name="Prozent 3 2 2 2 3" xfId="926" xr:uid="{00000000-0005-0000-0000-0000E8040000}"/>
    <cellStyle name="Prozent 3 2 2 2 3 2" xfId="1504" xr:uid="{00000000-0005-0000-0000-0000E9040000}"/>
    <cellStyle name="Prozent 3 2 2 2 4" xfId="1505" xr:uid="{00000000-0005-0000-0000-0000EA040000}"/>
    <cellStyle name="Prozent 3 2 2 2 5" xfId="1506" xr:uid="{00000000-0005-0000-0000-0000EB040000}"/>
    <cellStyle name="Prozent 3 2 2 3" xfId="369" xr:uid="{00000000-0005-0000-0000-0000EC040000}"/>
    <cellStyle name="Prozent 3 2 2 3 2" xfId="928" xr:uid="{00000000-0005-0000-0000-0000ED040000}"/>
    <cellStyle name="Prozent 3 2 2 3 2 2" xfId="1507" xr:uid="{00000000-0005-0000-0000-0000EE040000}"/>
    <cellStyle name="Prozent 3 2 2 3 3" xfId="1508" xr:uid="{00000000-0005-0000-0000-0000EF040000}"/>
    <cellStyle name="Prozent 3 2 2 3 4" xfId="1509" xr:uid="{00000000-0005-0000-0000-0000F0040000}"/>
    <cellStyle name="Prozent 3 2 2 4" xfId="925" xr:uid="{00000000-0005-0000-0000-0000F1040000}"/>
    <cellStyle name="Prozent 3 2 2 4 2" xfId="1510" xr:uid="{00000000-0005-0000-0000-0000F2040000}"/>
    <cellStyle name="Prozent 3 2 2 5" xfId="1511" xr:uid="{00000000-0005-0000-0000-0000F3040000}"/>
    <cellStyle name="Prozent 3 2 2 6" xfId="1512" xr:uid="{00000000-0005-0000-0000-0000F4040000}"/>
    <cellStyle name="Prozent 3 2 3" xfId="370" xr:uid="{00000000-0005-0000-0000-0000F5040000}"/>
    <cellStyle name="Prozent 3 2 3 2" xfId="371" xr:uid="{00000000-0005-0000-0000-0000F6040000}"/>
    <cellStyle name="Prozent 3 2 3 2 2" xfId="930" xr:uid="{00000000-0005-0000-0000-0000F7040000}"/>
    <cellStyle name="Prozent 3 2 3 2 2 2" xfId="1513" xr:uid="{00000000-0005-0000-0000-0000F8040000}"/>
    <cellStyle name="Prozent 3 2 3 2 3" xfId="1514" xr:uid="{00000000-0005-0000-0000-0000F9040000}"/>
    <cellStyle name="Prozent 3 2 3 2 4" xfId="1515" xr:uid="{00000000-0005-0000-0000-0000FA040000}"/>
    <cellStyle name="Prozent 3 2 3 3" xfId="929" xr:uid="{00000000-0005-0000-0000-0000FB040000}"/>
    <cellStyle name="Prozent 3 2 3 3 2" xfId="1516" xr:uid="{00000000-0005-0000-0000-0000FC040000}"/>
    <cellStyle name="Prozent 3 2 3 4" xfId="1517" xr:uid="{00000000-0005-0000-0000-0000FD040000}"/>
    <cellStyle name="Prozent 3 2 3 5" xfId="1518" xr:uid="{00000000-0005-0000-0000-0000FE040000}"/>
    <cellStyle name="Prozent 3 2 4" xfId="372" xr:uid="{00000000-0005-0000-0000-0000FF040000}"/>
    <cellStyle name="Prozent 3 2 4 2" xfId="373" xr:uid="{00000000-0005-0000-0000-000000050000}"/>
    <cellStyle name="Prozent 3 2 4 2 2" xfId="932" xr:uid="{00000000-0005-0000-0000-000001050000}"/>
    <cellStyle name="Prozent 3 2 4 2 2 2" xfId="1519" xr:uid="{00000000-0005-0000-0000-000002050000}"/>
    <cellStyle name="Prozent 3 2 4 3" xfId="374" xr:uid="{00000000-0005-0000-0000-000003050000}"/>
    <cellStyle name="Prozent 3 2 4 3 2" xfId="933" xr:uid="{00000000-0005-0000-0000-000004050000}"/>
    <cellStyle name="Prozent 3 2 4 4" xfId="931" xr:uid="{00000000-0005-0000-0000-000005050000}"/>
    <cellStyle name="Prozent 3 2 4 4 2" xfId="1520" xr:uid="{00000000-0005-0000-0000-000006050000}"/>
    <cellStyle name="Prozent 3 2 4 5" xfId="1521" xr:uid="{00000000-0005-0000-0000-000007050000}"/>
    <cellStyle name="Prozent 3 2 5" xfId="375" xr:uid="{00000000-0005-0000-0000-000008050000}"/>
    <cellStyle name="Prozent 3 2 5 2" xfId="934" xr:uid="{00000000-0005-0000-0000-000009050000}"/>
    <cellStyle name="Prozent 3 2 6" xfId="924" xr:uid="{00000000-0005-0000-0000-00000A050000}"/>
    <cellStyle name="Prozent 3 2 6 2" xfId="1522" xr:uid="{00000000-0005-0000-0000-00000B050000}"/>
    <cellStyle name="Prozent 3 3" xfId="376" xr:uid="{00000000-0005-0000-0000-00000C050000}"/>
    <cellStyle name="Prozent 3 3 2" xfId="377" xr:uid="{00000000-0005-0000-0000-00000D050000}"/>
    <cellStyle name="Prozent 3 3 2 2" xfId="378" xr:uid="{00000000-0005-0000-0000-00000E050000}"/>
    <cellStyle name="Prozent 3 3 2 2 2" xfId="937" xr:uid="{00000000-0005-0000-0000-00000F050000}"/>
    <cellStyle name="Prozent 3 3 2 2 2 2" xfId="1523" xr:uid="{00000000-0005-0000-0000-000010050000}"/>
    <cellStyle name="Prozent 3 3 2 2 3" xfId="1524" xr:uid="{00000000-0005-0000-0000-000011050000}"/>
    <cellStyle name="Prozent 3 3 2 2 4" xfId="1525" xr:uid="{00000000-0005-0000-0000-000012050000}"/>
    <cellStyle name="Prozent 3 3 2 3" xfId="936" xr:uid="{00000000-0005-0000-0000-000013050000}"/>
    <cellStyle name="Prozent 3 3 2 3 2" xfId="1526" xr:uid="{00000000-0005-0000-0000-000014050000}"/>
    <cellStyle name="Prozent 3 3 2 4" xfId="1527" xr:uid="{00000000-0005-0000-0000-000015050000}"/>
    <cellStyle name="Prozent 3 3 2 5" xfId="1528" xr:uid="{00000000-0005-0000-0000-000016050000}"/>
    <cellStyle name="Prozent 3 3 3" xfId="379" xr:uid="{00000000-0005-0000-0000-000017050000}"/>
    <cellStyle name="Prozent 3 3 3 2" xfId="938" xr:uid="{00000000-0005-0000-0000-000018050000}"/>
    <cellStyle name="Prozent 3 3 3 2 2" xfId="1529" xr:uid="{00000000-0005-0000-0000-000019050000}"/>
    <cellStyle name="Prozent 3 3 3 3" xfId="1530" xr:uid="{00000000-0005-0000-0000-00001A050000}"/>
    <cellStyle name="Prozent 3 3 3 4" xfId="1531" xr:uid="{00000000-0005-0000-0000-00001B050000}"/>
    <cellStyle name="Prozent 3 3 4" xfId="935" xr:uid="{00000000-0005-0000-0000-00001C050000}"/>
    <cellStyle name="Prozent 3 3 4 2" xfId="1532" xr:uid="{00000000-0005-0000-0000-00001D050000}"/>
    <cellStyle name="Prozent 3 3 5" xfId="1533" xr:uid="{00000000-0005-0000-0000-00001E050000}"/>
    <cellStyle name="Prozent 3 3 6" xfId="1534" xr:uid="{00000000-0005-0000-0000-00001F050000}"/>
    <cellStyle name="Prozent 3 4" xfId="380" xr:uid="{00000000-0005-0000-0000-000020050000}"/>
    <cellStyle name="Prozent 3 4 2" xfId="381" xr:uid="{00000000-0005-0000-0000-000021050000}"/>
    <cellStyle name="Prozent 3 4 2 2" xfId="940" xr:uid="{00000000-0005-0000-0000-000022050000}"/>
    <cellStyle name="Prozent 3 4 2 2 2" xfId="1535" xr:uid="{00000000-0005-0000-0000-000023050000}"/>
    <cellStyle name="Prozent 3 4 2 3" xfId="1536" xr:uid="{00000000-0005-0000-0000-000024050000}"/>
    <cellStyle name="Prozent 3 4 2 4" xfId="1537" xr:uid="{00000000-0005-0000-0000-000025050000}"/>
    <cellStyle name="Prozent 3 4 3" xfId="939" xr:uid="{00000000-0005-0000-0000-000026050000}"/>
    <cellStyle name="Prozent 3 4 3 2" xfId="1538" xr:uid="{00000000-0005-0000-0000-000027050000}"/>
    <cellStyle name="Prozent 3 4 4" xfId="1539" xr:uid="{00000000-0005-0000-0000-000028050000}"/>
    <cellStyle name="Prozent 3 4 5" xfId="1540" xr:uid="{00000000-0005-0000-0000-000029050000}"/>
    <cellStyle name="Prozent 3 5" xfId="382" xr:uid="{00000000-0005-0000-0000-00002A050000}"/>
    <cellStyle name="Prozent 3 5 2" xfId="941" xr:uid="{00000000-0005-0000-0000-00002B050000}"/>
    <cellStyle name="Prozent 3 5 2 2" xfId="1541" xr:uid="{00000000-0005-0000-0000-00002C050000}"/>
    <cellStyle name="Prozent 3 5 3" xfId="1542" xr:uid="{00000000-0005-0000-0000-00002D050000}"/>
    <cellStyle name="Prozent 3 5 4" xfId="1543" xr:uid="{00000000-0005-0000-0000-00002E050000}"/>
    <cellStyle name="Prozent 3 6" xfId="923" xr:uid="{00000000-0005-0000-0000-00002F050000}"/>
    <cellStyle name="Prozent 3 6 2" xfId="1544" xr:uid="{00000000-0005-0000-0000-000030050000}"/>
    <cellStyle name="Prozent 3 7" xfId="1545" xr:uid="{00000000-0005-0000-0000-000031050000}"/>
    <cellStyle name="Prozent 3 8" xfId="1546" xr:uid="{00000000-0005-0000-0000-000032050000}"/>
    <cellStyle name="Prozent 4" xfId="383" xr:uid="{00000000-0005-0000-0000-000033050000}"/>
    <cellStyle name="Prozent 4 2" xfId="384" xr:uid="{00000000-0005-0000-0000-000034050000}"/>
    <cellStyle name="Prozent 4 2 2" xfId="385" xr:uid="{00000000-0005-0000-0000-000035050000}"/>
    <cellStyle name="Prozent 4 2 2 2" xfId="386" xr:uid="{00000000-0005-0000-0000-000036050000}"/>
    <cellStyle name="Prozent 4 2 2 2 2" xfId="387" xr:uid="{00000000-0005-0000-0000-000037050000}"/>
    <cellStyle name="Prozent 4 2 2 2 2 2" xfId="946" xr:uid="{00000000-0005-0000-0000-000038050000}"/>
    <cellStyle name="Prozent 4 2 2 2 2 2 2" xfId="1547" xr:uid="{00000000-0005-0000-0000-000039050000}"/>
    <cellStyle name="Prozent 4 2 2 2 2 3" xfId="1548" xr:uid="{00000000-0005-0000-0000-00003A050000}"/>
    <cellStyle name="Prozent 4 2 2 2 2 4" xfId="1549" xr:uid="{00000000-0005-0000-0000-00003B050000}"/>
    <cellStyle name="Prozent 4 2 2 2 3" xfId="945" xr:uid="{00000000-0005-0000-0000-00003C050000}"/>
    <cellStyle name="Prozent 4 2 2 2 3 2" xfId="1550" xr:uid="{00000000-0005-0000-0000-00003D050000}"/>
    <cellStyle name="Prozent 4 2 2 2 4" xfId="1551" xr:uid="{00000000-0005-0000-0000-00003E050000}"/>
    <cellStyle name="Prozent 4 2 2 2 5" xfId="1552" xr:uid="{00000000-0005-0000-0000-00003F050000}"/>
    <cellStyle name="Prozent 4 2 2 3" xfId="388" xr:uid="{00000000-0005-0000-0000-000040050000}"/>
    <cellStyle name="Prozent 4 2 2 3 2" xfId="947" xr:uid="{00000000-0005-0000-0000-000041050000}"/>
    <cellStyle name="Prozent 4 2 2 3 2 2" xfId="1553" xr:uid="{00000000-0005-0000-0000-000042050000}"/>
    <cellStyle name="Prozent 4 2 2 3 3" xfId="1554" xr:uid="{00000000-0005-0000-0000-000043050000}"/>
    <cellStyle name="Prozent 4 2 2 3 4" xfId="1555" xr:uid="{00000000-0005-0000-0000-000044050000}"/>
    <cellStyle name="Prozent 4 2 2 4" xfId="944" xr:uid="{00000000-0005-0000-0000-000045050000}"/>
    <cellStyle name="Prozent 4 2 2 4 2" xfId="1556" xr:uid="{00000000-0005-0000-0000-000046050000}"/>
    <cellStyle name="Prozent 4 2 2 5" xfId="1557" xr:uid="{00000000-0005-0000-0000-000047050000}"/>
    <cellStyle name="Prozent 4 2 2 6" xfId="1558" xr:uid="{00000000-0005-0000-0000-000048050000}"/>
    <cellStyle name="Prozent 4 2 3" xfId="389" xr:uid="{00000000-0005-0000-0000-000049050000}"/>
    <cellStyle name="Prozent 4 2 3 2" xfId="390" xr:uid="{00000000-0005-0000-0000-00004A050000}"/>
    <cellStyle name="Prozent 4 2 3 2 2" xfId="949" xr:uid="{00000000-0005-0000-0000-00004B050000}"/>
    <cellStyle name="Prozent 4 2 3 2 2 2" xfId="1559" xr:uid="{00000000-0005-0000-0000-00004C050000}"/>
    <cellStyle name="Prozent 4 2 3 2 3" xfId="1560" xr:uid="{00000000-0005-0000-0000-00004D050000}"/>
    <cellStyle name="Prozent 4 2 3 2 4" xfId="1561" xr:uid="{00000000-0005-0000-0000-00004E050000}"/>
    <cellStyle name="Prozent 4 2 3 3" xfId="948" xr:uid="{00000000-0005-0000-0000-00004F050000}"/>
    <cellStyle name="Prozent 4 2 3 3 2" xfId="1562" xr:uid="{00000000-0005-0000-0000-000050050000}"/>
    <cellStyle name="Prozent 4 2 3 4" xfId="1563" xr:uid="{00000000-0005-0000-0000-000051050000}"/>
    <cellStyle name="Prozent 4 2 3 5" xfId="1564" xr:uid="{00000000-0005-0000-0000-000052050000}"/>
    <cellStyle name="Prozent 4 2 4" xfId="391" xr:uid="{00000000-0005-0000-0000-000053050000}"/>
    <cellStyle name="Prozent 4 2 4 2" xfId="950" xr:uid="{00000000-0005-0000-0000-000054050000}"/>
    <cellStyle name="Prozent 4 2 4 2 2" xfId="1565" xr:uid="{00000000-0005-0000-0000-000055050000}"/>
    <cellStyle name="Prozent 4 2 4 3" xfId="1566" xr:uid="{00000000-0005-0000-0000-000056050000}"/>
    <cellStyle name="Prozent 4 2 4 4" xfId="1567" xr:uid="{00000000-0005-0000-0000-000057050000}"/>
    <cellStyle name="Prozent 4 2 5" xfId="943" xr:uid="{00000000-0005-0000-0000-000058050000}"/>
    <cellStyle name="Prozent 4 2 5 2" xfId="1568" xr:uid="{00000000-0005-0000-0000-000059050000}"/>
    <cellStyle name="Prozent 4 2 6" xfId="1569" xr:uid="{00000000-0005-0000-0000-00005A050000}"/>
    <cellStyle name="Prozent 4 2 7" xfId="1570" xr:uid="{00000000-0005-0000-0000-00005B050000}"/>
    <cellStyle name="Prozent 4 3" xfId="392" xr:uid="{00000000-0005-0000-0000-00005C050000}"/>
    <cellStyle name="Prozent 4 3 2" xfId="393" xr:uid="{00000000-0005-0000-0000-00005D050000}"/>
    <cellStyle name="Prozent 4 3 2 2" xfId="394" xr:uid="{00000000-0005-0000-0000-00005E050000}"/>
    <cellStyle name="Prozent 4 3 2 2 2" xfId="953" xr:uid="{00000000-0005-0000-0000-00005F050000}"/>
    <cellStyle name="Prozent 4 3 2 2 2 2" xfId="1571" xr:uid="{00000000-0005-0000-0000-000060050000}"/>
    <cellStyle name="Prozent 4 3 2 2 3" xfId="1572" xr:uid="{00000000-0005-0000-0000-000061050000}"/>
    <cellStyle name="Prozent 4 3 2 2 4" xfId="1573" xr:uid="{00000000-0005-0000-0000-000062050000}"/>
    <cellStyle name="Prozent 4 3 2 3" xfId="952" xr:uid="{00000000-0005-0000-0000-000063050000}"/>
    <cellStyle name="Prozent 4 3 2 3 2" xfId="1574" xr:uid="{00000000-0005-0000-0000-000064050000}"/>
    <cellStyle name="Prozent 4 3 2 4" xfId="1575" xr:uid="{00000000-0005-0000-0000-000065050000}"/>
    <cellStyle name="Prozent 4 3 2 5" xfId="1576" xr:uid="{00000000-0005-0000-0000-000066050000}"/>
    <cellStyle name="Prozent 4 3 3" xfId="395" xr:uid="{00000000-0005-0000-0000-000067050000}"/>
    <cellStyle name="Prozent 4 3 3 2" xfId="396" xr:uid="{00000000-0005-0000-0000-000068050000}"/>
    <cellStyle name="Prozent 4 3 3 2 2" xfId="955" xr:uid="{00000000-0005-0000-0000-000069050000}"/>
    <cellStyle name="Prozent 4 3 3 2 2 2" xfId="1577" xr:uid="{00000000-0005-0000-0000-00006A050000}"/>
    <cellStyle name="Prozent 4 3 3 2 3" xfId="1578" xr:uid="{00000000-0005-0000-0000-00006B050000}"/>
    <cellStyle name="Prozent 4 3 3 2 4" xfId="1579" xr:uid="{00000000-0005-0000-0000-00006C050000}"/>
    <cellStyle name="Prozent 4 3 3 3" xfId="954" xr:uid="{00000000-0005-0000-0000-00006D050000}"/>
    <cellStyle name="Prozent 4 3 3 3 2" xfId="1580" xr:uid="{00000000-0005-0000-0000-00006E050000}"/>
    <cellStyle name="Prozent 4 3 3 4" xfId="1581" xr:uid="{00000000-0005-0000-0000-00006F050000}"/>
    <cellStyle name="Prozent 4 3 3 5" xfId="1582" xr:uid="{00000000-0005-0000-0000-000070050000}"/>
    <cellStyle name="Prozent 4 3 4" xfId="397" xr:uid="{00000000-0005-0000-0000-000071050000}"/>
    <cellStyle name="Prozent 4 3 4 2" xfId="398" xr:uid="{00000000-0005-0000-0000-000072050000}"/>
    <cellStyle name="Prozent 4 3 4 2 2" xfId="957" xr:uid="{00000000-0005-0000-0000-000073050000}"/>
    <cellStyle name="Prozent 4 3 4 2 2 2" xfId="1583" xr:uid="{00000000-0005-0000-0000-000074050000}"/>
    <cellStyle name="Prozent 4 3 4 3" xfId="399" xr:uid="{00000000-0005-0000-0000-000075050000}"/>
    <cellStyle name="Prozent 4 3 4 3 2" xfId="958" xr:uid="{00000000-0005-0000-0000-000076050000}"/>
    <cellStyle name="Prozent 4 3 4 3 2 2" xfId="1584" xr:uid="{00000000-0005-0000-0000-000077050000}"/>
    <cellStyle name="Prozent 4 3 4 4" xfId="400" xr:uid="{00000000-0005-0000-0000-000078050000}"/>
    <cellStyle name="Prozent 4 3 4 4 2" xfId="960" xr:uid="{00000000-0005-0000-0000-000079050000}"/>
    <cellStyle name="Prozent 4 3 4 4 2 2" xfId="1585" xr:uid="{00000000-0005-0000-0000-00007A050000}"/>
    <cellStyle name="Prozent 4 3 4 4 3" xfId="959" xr:uid="{00000000-0005-0000-0000-00007B050000}"/>
    <cellStyle name="Prozent 4 3 4 4 3 2" xfId="1586" xr:uid="{00000000-0005-0000-0000-00007C050000}"/>
    <cellStyle name="Prozent 4 3 4 4 4" xfId="1060" xr:uid="{00000000-0005-0000-0000-00007D050000}"/>
    <cellStyle name="Prozent 4 3 4 5" xfId="956" xr:uid="{00000000-0005-0000-0000-00007E050000}"/>
    <cellStyle name="Prozent 4 3 4 5 2" xfId="1587" xr:uid="{00000000-0005-0000-0000-00007F050000}"/>
    <cellStyle name="Prozent 4 3 5" xfId="951" xr:uid="{00000000-0005-0000-0000-000080050000}"/>
    <cellStyle name="Prozent 4 3 5 2" xfId="1588" xr:uid="{00000000-0005-0000-0000-000081050000}"/>
    <cellStyle name="Prozent 4 4" xfId="401" xr:uid="{00000000-0005-0000-0000-000082050000}"/>
    <cellStyle name="Prozent 4 4 2" xfId="402" xr:uid="{00000000-0005-0000-0000-000083050000}"/>
    <cellStyle name="Prozent 4 4 2 2" xfId="962" xr:uid="{00000000-0005-0000-0000-000084050000}"/>
    <cellStyle name="Prozent 4 4 2 2 2" xfId="1589" xr:uid="{00000000-0005-0000-0000-000085050000}"/>
    <cellStyle name="Prozent 4 4 2 3" xfId="1590" xr:uid="{00000000-0005-0000-0000-000086050000}"/>
    <cellStyle name="Prozent 4 4 2 4" xfId="1591" xr:uid="{00000000-0005-0000-0000-000087050000}"/>
    <cellStyle name="Prozent 4 4 3" xfId="961" xr:uid="{00000000-0005-0000-0000-000088050000}"/>
    <cellStyle name="Prozent 4 4 3 2" xfId="1592" xr:uid="{00000000-0005-0000-0000-000089050000}"/>
    <cellStyle name="Prozent 4 4 4" xfId="1593" xr:uid="{00000000-0005-0000-0000-00008A050000}"/>
    <cellStyle name="Prozent 4 4 5" xfId="1594" xr:uid="{00000000-0005-0000-0000-00008B050000}"/>
    <cellStyle name="Prozent 4 5" xfId="403" xr:uid="{00000000-0005-0000-0000-00008C050000}"/>
    <cellStyle name="Prozent 4 5 2" xfId="963" xr:uid="{00000000-0005-0000-0000-00008D050000}"/>
    <cellStyle name="Prozent 4 5 2 2" xfId="1595" xr:uid="{00000000-0005-0000-0000-00008E050000}"/>
    <cellStyle name="Prozent 4 5 3" xfId="1596" xr:uid="{00000000-0005-0000-0000-00008F050000}"/>
    <cellStyle name="Prozent 4 5 4" xfId="1597" xr:uid="{00000000-0005-0000-0000-000090050000}"/>
    <cellStyle name="Prozent 4 6" xfId="942" xr:uid="{00000000-0005-0000-0000-000091050000}"/>
    <cellStyle name="Prozent 4 6 2" xfId="1598" xr:uid="{00000000-0005-0000-0000-000092050000}"/>
    <cellStyle name="Prozent 4 7" xfId="1599" xr:uid="{00000000-0005-0000-0000-000093050000}"/>
    <cellStyle name="Prozent 4 8" xfId="1600" xr:uid="{00000000-0005-0000-0000-000094050000}"/>
    <cellStyle name="Prozent 5" xfId="404" xr:uid="{00000000-0005-0000-0000-000095050000}"/>
    <cellStyle name="Prozent 5 2" xfId="405" xr:uid="{00000000-0005-0000-0000-000096050000}"/>
    <cellStyle name="Prozent 5 2 2" xfId="406" xr:uid="{00000000-0005-0000-0000-000097050000}"/>
    <cellStyle name="Prozent 5 2 2 2" xfId="407" xr:uid="{00000000-0005-0000-0000-000098050000}"/>
    <cellStyle name="Prozent 5 2 2 2 2" xfId="967" xr:uid="{00000000-0005-0000-0000-000099050000}"/>
    <cellStyle name="Prozent 5 2 2 2 2 2" xfId="1601" xr:uid="{00000000-0005-0000-0000-00009A050000}"/>
    <cellStyle name="Prozent 5 2 2 2 3" xfId="1602" xr:uid="{00000000-0005-0000-0000-00009B050000}"/>
    <cellStyle name="Prozent 5 2 2 2 4" xfId="1603" xr:uid="{00000000-0005-0000-0000-00009C050000}"/>
    <cellStyle name="Prozent 5 2 2 3" xfId="966" xr:uid="{00000000-0005-0000-0000-00009D050000}"/>
    <cellStyle name="Prozent 5 2 2 3 2" xfId="1604" xr:uid="{00000000-0005-0000-0000-00009E050000}"/>
    <cellStyle name="Prozent 5 2 2 4" xfId="1605" xr:uid="{00000000-0005-0000-0000-00009F050000}"/>
    <cellStyle name="Prozent 5 2 2 5" xfId="1606" xr:uid="{00000000-0005-0000-0000-0000A0050000}"/>
    <cellStyle name="Prozent 5 2 3" xfId="408" xr:uid="{00000000-0005-0000-0000-0000A1050000}"/>
    <cellStyle name="Prozent 5 2 3 2" xfId="968" xr:uid="{00000000-0005-0000-0000-0000A2050000}"/>
    <cellStyle name="Prozent 5 2 3 2 2" xfId="1607" xr:uid="{00000000-0005-0000-0000-0000A3050000}"/>
    <cellStyle name="Prozent 5 2 3 3" xfId="1608" xr:uid="{00000000-0005-0000-0000-0000A4050000}"/>
    <cellStyle name="Prozent 5 2 3 4" xfId="1609" xr:uid="{00000000-0005-0000-0000-0000A5050000}"/>
    <cellStyle name="Prozent 5 2 4" xfId="965" xr:uid="{00000000-0005-0000-0000-0000A6050000}"/>
    <cellStyle name="Prozent 5 2 4 2" xfId="1610" xr:uid="{00000000-0005-0000-0000-0000A7050000}"/>
    <cellStyle name="Prozent 5 2 5" xfId="1611" xr:uid="{00000000-0005-0000-0000-0000A8050000}"/>
    <cellStyle name="Prozent 5 2 6" xfId="1612" xr:uid="{00000000-0005-0000-0000-0000A9050000}"/>
    <cellStyle name="Prozent 5 3" xfId="409" xr:uid="{00000000-0005-0000-0000-0000AA050000}"/>
    <cellStyle name="Prozent 5 3 2" xfId="410" xr:uid="{00000000-0005-0000-0000-0000AB050000}"/>
    <cellStyle name="Prozent 5 3 2 2" xfId="970" xr:uid="{00000000-0005-0000-0000-0000AC050000}"/>
    <cellStyle name="Prozent 5 3 2 2 2" xfId="1613" xr:uid="{00000000-0005-0000-0000-0000AD050000}"/>
    <cellStyle name="Prozent 5 3 2 3" xfId="1614" xr:uid="{00000000-0005-0000-0000-0000AE050000}"/>
    <cellStyle name="Prozent 5 3 2 4" xfId="1615" xr:uid="{00000000-0005-0000-0000-0000AF050000}"/>
    <cellStyle name="Prozent 5 3 3" xfId="969" xr:uid="{00000000-0005-0000-0000-0000B0050000}"/>
    <cellStyle name="Prozent 5 3 3 2" xfId="1616" xr:uid="{00000000-0005-0000-0000-0000B1050000}"/>
    <cellStyle name="Prozent 5 3 4" xfId="1617" xr:uid="{00000000-0005-0000-0000-0000B2050000}"/>
    <cellStyle name="Prozent 5 3 5" xfId="1618" xr:uid="{00000000-0005-0000-0000-0000B3050000}"/>
    <cellStyle name="Prozent 5 4" xfId="411" xr:uid="{00000000-0005-0000-0000-0000B4050000}"/>
    <cellStyle name="Prozent 5 4 2" xfId="412" xr:uid="{00000000-0005-0000-0000-0000B5050000}"/>
    <cellStyle name="Prozent 5 4 2 2" xfId="972" xr:uid="{00000000-0005-0000-0000-0000B6050000}"/>
    <cellStyle name="Prozent 5 4 2 2 2" xfId="1619" xr:uid="{00000000-0005-0000-0000-0000B7050000}"/>
    <cellStyle name="Prozent 5 4 3" xfId="413" xr:uid="{00000000-0005-0000-0000-0000B8050000}"/>
    <cellStyle name="Prozent 5 4 3 2" xfId="414" xr:uid="{00000000-0005-0000-0000-0000B9050000}"/>
    <cellStyle name="Prozent 5 4 3 2 2" xfId="974" xr:uid="{00000000-0005-0000-0000-0000BA050000}"/>
    <cellStyle name="Prozent 5 4 3 2 2 2" xfId="1621" xr:uid="{00000000-0005-0000-0000-0000BB050000}"/>
    <cellStyle name="Prozent 5 4 3 3" xfId="975" xr:uid="{00000000-0005-0000-0000-0000BC050000}"/>
    <cellStyle name="Prozent 5 4 3 3 2" xfId="1623" xr:uid="{00000000-0005-0000-0000-0000BD050000}"/>
    <cellStyle name="Prozent 5 4 3 3 3" xfId="1622" xr:uid="{00000000-0005-0000-0000-0000BE050000}"/>
    <cellStyle name="Prozent 5 4 3 4" xfId="973" xr:uid="{00000000-0005-0000-0000-0000BF050000}"/>
    <cellStyle name="Prozent 5 4 3 4 2" xfId="1624" xr:uid="{00000000-0005-0000-0000-0000C0050000}"/>
    <cellStyle name="Prozent 5 4 3 5" xfId="1620" xr:uid="{00000000-0005-0000-0000-0000C1050000}"/>
    <cellStyle name="Prozent 5 4 4" xfId="415" xr:uid="{00000000-0005-0000-0000-0000C2050000}"/>
    <cellStyle name="Prozent 5 4 4 2" xfId="977" xr:uid="{00000000-0005-0000-0000-0000C3050000}"/>
    <cellStyle name="Prozent 5 4 4 2 2" xfId="1626" xr:uid="{00000000-0005-0000-0000-0000C4050000}"/>
    <cellStyle name="Prozent 5 4 4 2 3" xfId="1625" xr:uid="{00000000-0005-0000-0000-0000C5050000}"/>
    <cellStyle name="Prozent 5 4 4 3" xfId="976" xr:uid="{00000000-0005-0000-0000-0000C6050000}"/>
    <cellStyle name="Prozent 5 4 4 4" xfId="1061" xr:uid="{00000000-0005-0000-0000-0000C7050000}"/>
    <cellStyle name="Prozent 5 4 5" xfId="971" xr:uid="{00000000-0005-0000-0000-0000C8050000}"/>
    <cellStyle name="Prozent 5 4 5 2" xfId="1627" xr:uid="{00000000-0005-0000-0000-0000C9050000}"/>
    <cellStyle name="Prozent 5 5" xfId="416" xr:uid="{00000000-0005-0000-0000-0000CA050000}"/>
    <cellStyle name="Prozent 5 5 2" xfId="417" xr:uid="{00000000-0005-0000-0000-0000CB050000}"/>
    <cellStyle name="Prozent 5 5 2 2" xfId="979" xr:uid="{00000000-0005-0000-0000-0000CC050000}"/>
    <cellStyle name="Prozent 5 5 2 2 2" xfId="1628" xr:uid="{00000000-0005-0000-0000-0000CD050000}"/>
    <cellStyle name="Prozent 5 5 3" xfId="418" xr:uid="{00000000-0005-0000-0000-0000CE050000}"/>
    <cellStyle name="Prozent 5 5 3 2" xfId="980" xr:uid="{00000000-0005-0000-0000-0000CF050000}"/>
    <cellStyle name="Prozent 5 5 3 2 2" xfId="1629" xr:uid="{00000000-0005-0000-0000-0000D0050000}"/>
    <cellStyle name="Prozent 5 5 4" xfId="419" xr:uid="{00000000-0005-0000-0000-0000D1050000}"/>
    <cellStyle name="Prozent 5 5 4 2" xfId="982" xr:uid="{00000000-0005-0000-0000-0000D2050000}"/>
    <cellStyle name="Prozent 5 5 4 2 2" xfId="1630" xr:uid="{00000000-0005-0000-0000-0000D3050000}"/>
    <cellStyle name="Prozent 5 5 4 3" xfId="981" xr:uid="{00000000-0005-0000-0000-0000D4050000}"/>
    <cellStyle name="Prozent 5 5 4 3 2" xfId="1631" xr:uid="{00000000-0005-0000-0000-0000D5050000}"/>
    <cellStyle name="Prozent 5 5 4 4" xfId="1062" xr:uid="{00000000-0005-0000-0000-0000D6050000}"/>
    <cellStyle name="Prozent 5 5 5" xfId="978" xr:uid="{00000000-0005-0000-0000-0000D7050000}"/>
    <cellStyle name="Prozent 5 5 5 2" xfId="1632" xr:uid="{00000000-0005-0000-0000-0000D8050000}"/>
    <cellStyle name="Prozent 5 6" xfId="964" xr:uid="{00000000-0005-0000-0000-0000D9050000}"/>
    <cellStyle name="Prozent 5 6 2" xfId="1633" xr:uid="{00000000-0005-0000-0000-0000DA050000}"/>
    <cellStyle name="Prozent 6" xfId="420" xr:uid="{00000000-0005-0000-0000-0000DB050000}"/>
    <cellStyle name="Prozent 6 2" xfId="421" xr:uid="{00000000-0005-0000-0000-0000DC050000}"/>
    <cellStyle name="Prozent 6 2 2" xfId="422" xr:uid="{00000000-0005-0000-0000-0000DD050000}"/>
    <cellStyle name="Prozent 6 2 2 2" xfId="985" xr:uid="{00000000-0005-0000-0000-0000DE050000}"/>
    <cellStyle name="Prozent 6 2 2 2 2" xfId="1634" xr:uid="{00000000-0005-0000-0000-0000DF050000}"/>
    <cellStyle name="Prozent 6 2 2 3" xfId="1635" xr:uid="{00000000-0005-0000-0000-0000E0050000}"/>
    <cellStyle name="Prozent 6 2 2 4" xfId="1636" xr:uid="{00000000-0005-0000-0000-0000E1050000}"/>
    <cellStyle name="Prozent 6 2 3" xfId="984" xr:uid="{00000000-0005-0000-0000-0000E2050000}"/>
    <cellStyle name="Prozent 6 2 3 2" xfId="1637" xr:uid="{00000000-0005-0000-0000-0000E3050000}"/>
    <cellStyle name="Prozent 6 2 4" xfId="1638" xr:uid="{00000000-0005-0000-0000-0000E4050000}"/>
    <cellStyle name="Prozent 6 2 5" xfId="1639" xr:uid="{00000000-0005-0000-0000-0000E5050000}"/>
    <cellStyle name="Prozent 6 3" xfId="423" xr:uid="{00000000-0005-0000-0000-0000E6050000}"/>
    <cellStyle name="Prozent 6 3 2" xfId="986" xr:uid="{00000000-0005-0000-0000-0000E7050000}"/>
    <cellStyle name="Prozent 6 3 2 2" xfId="1640" xr:uid="{00000000-0005-0000-0000-0000E8050000}"/>
    <cellStyle name="Prozent 6 3 3" xfId="1641" xr:uid="{00000000-0005-0000-0000-0000E9050000}"/>
    <cellStyle name="Prozent 6 3 4" xfId="1642" xr:uid="{00000000-0005-0000-0000-0000EA050000}"/>
    <cellStyle name="Prozent 6 4" xfId="983" xr:uid="{00000000-0005-0000-0000-0000EB050000}"/>
    <cellStyle name="Prozent 6 4 2" xfId="1643" xr:uid="{00000000-0005-0000-0000-0000EC050000}"/>
    <cellStyle name="Prozent 6 5" xfId="1644" xr:uid="{00000000-0005-0000-0000-0000ED050000}"/>
    <cellStyle name="Prozent 6 6" xfId="1645" xr:uid="{00000000-0005-0000-0000-0000EE050000}"/>
    <cellStyle name="Prozent 7" xfId="424" xr:uid="{00000000-0005-0000-0000-0000EF050000}"/>
    <cellStyle name="Prozent 7 2" xfId="425" xr:uid="{00000000-0005-0000-0000-0000F0050000}"/>
    <cellStyle name="Prozent 7 2 2" xfId="426" xr:uid="{00000000-0005-0000-0000-0000F1050000}"/>
    <cellStyle name="Prozent 7 2 2 2" xfId="989" xr:uid="{00000000-0005-0000-0000-0000F2050000}"/>
    <cellStyle name="Prozent 7 2 2 2 2" xfId="1646" xr:uid="{00000000-0005-0000-0000-0000F3050000}"/>
    <cellStyle name="Prozent 7 2 2 3" xfId="1647" xr:uid="{00000000-0005-0000-0000-0000F4050000}"/>
    <cellStyle name="Prozent 7 2 2 4" xfId="1648" xr:uid="{00000000-0005-0000-0000-0000F5050000}"/>
    <cellStyle name="Prozent 7 2 3" xfId="988" xr:uid="{00000000-0005-0000-0000-0000F6050000}"/>
    <cellStyle name="Prozent 7 2 3 2" xfId="1649" xr:uid="{00000000-0005-0000-0000-0000F7050000}"/>
    <cellStyle name="Prozent 7 2 4" xfId="1650" xr:uid="{00000000-0005-0000-0000-0000F8050000}"/>
    <cellStyle name="Prozent 7 2 5" xfId="1651" xr:uid="{00000000-0005-0000-0000-0000F9050000}"/>
    <cellStyle name="Prozent 7 3" xfId="427" xr:uid="{00000000-0005-0000-0000-0000FA050000}"/>
    <cellStyle name="Prozent 7 3 2" xfId="990" xr:uid="{00000000-0005-0000-0000-0000FB050000}"/>
    <cellStyle name="Prozent 7 3 2 2" xfId="1652" xr:uid="{00000000-0005-0000-0000-0000FC050000}"/>
    <cellStyle name="Prozent 7 3 3" xfId="1653" xr:uid="{00000000-0005-0000-0000-0000FD050000}"/>
    <cellStyle name="Prozent 7 3 4" xfId="1654" xr:uid="{00000000-0005-0000-0000-0000FE050000}"/>
    <cellStyle name="Prozent 7 4" xfId="987" xr:uid="{00000000-0005-0000-0000-0000FF050000}"/>
    <cellStyle name="Prozent 7 4 2" xfId="1655" xr:uid="{00000000-0005-0000-0000-000000060000}"/>
    <cellStyle name="Prozent 7 5" xfId="1656" xr:uid="{00000000-0005-0000-0000-000001060000}"/>
    <cellStyle name="Prozent 7 6" xfId="1657" xr:uid="{00000000-0005-0000-0000-000002060000}"/>
    <cellStyle name="Prozent 8" xfId="428" xr:uid="{00000000-0005-0000-0000-000003060000}"/>
    <cellStyle name="Prozent 8 2" xfId="429" xr:uid="{00000000-0005-0000-0000-000004060000}"/>
    <cellStyle name="Prozent 8 2 2" xfId="430" xr:uid="{00000000-0005-0000-0000-000005060000}"/>
    <cellStyle name="Prozent 8 2 2 2" xfId="993" xr:uid="{00000000-0005-0000-0000-000006060000}"/>
    <cellStyle name="Prozent 8 2 2 2 2" xfId="1658" xr:uid="{00000000-0005-0000-0000-000007060000}"/>
    <cellStyle name="Prozent 8 2 3" xfId="431" xr:uid="{00000000-0005-0000-0000-000008060000}"/>
    <cellStyle name="Prozent 8 2 3 2" xfId="994" xr:uid="{00000000-0005-0000-0000-000009060000}"/>
    <cellStyle name="Prozent 8 2 4" xfId="992" xr:uid="{00000000-0005-0000-0000-00000A060000}"/>
    <cellStyle name="Prozent 8 2 4 2" xfId="1659" xr:uid="{00000000-0005-0000-0000-00000B060000}"/>
    <cellStyle name="Prozent 8 3" xfId="432" xr:uid="{00000000-0005-0000-0000-00000C060000}"/>
    <cellStyle name="Prozent 8 3 2" xfId="433" xr:uid="{00000000-0005-0000-0000-00000D060000}"/>
    <cellStyle name="Prozent 8 3 2 2" xfId="434" xr:uid="{00000000-0005-0000-0000-00000E060000}"/>
    <cellStyle name="Prozent 8 3 2 2 2" xfId="997" xr:uid="{00000000-0005-0000-0000-00000F060000}"/>
    <cellStyle name="Prozent 8 3 2 2 2 2" xfId="1661" xr:uid="{00000000-0005-0000-0000-000010060000}"/>
    <cellStyle name="Prozent 8 3 2 2 3" xfId="1660" xr:uid="{00000000-0005-0000-0000-000011060000}"/>
    <cellStyle name="Prozent 8 3 2 3" xfId="998" xr:uid="{00000000-0005-0000-0000-000012060000}"/>
    <cellStyle name="Prozent 8 3 2 3 2" xfId="1663" xr:uid="{00000000-0005-0000-0000-000013060000}"/>
    <cellStyle name="Prozent 8 3 2 3 3" xfId="1664" xr:uid="{00000000-0005-0000-0000-000014060000}"/>
    <cellStyle name="Prozent 8 3 2 3 4" xfId="1662" xr:uid="{00000000-0005-0000-0000-000015060000}"/>
    <cellStyle name="Prozent 8 3 2 4" xfId="996" xr:uid="{00000000-0005-0000-0000-000016060000}"/>
    <cellStyle name="Prozent 8 3 2 4 2" xfId="1665" xr:uid="{00000000-0005-0000-0000-000017060000}"/>
    <cellStyle name="Prozent 8 3 2 5" xfId="1666" xr:uid="{00000000-0005-0000-0000-000018060000}"/>
    <cellStyle name="Prozent 8 3 3" xfId="435" xr:uid="{00000000-0005-0000-0000-000019060000}"/>
    <cellStyle name="Prozent 8 3 3 2" xfId="436" xr:uid="{00000000-0005-0000-0000-00001A060000}"/>
    <cellStyle name="Prozent 8 3 3 2 2" xfId="1000" xr:uid="{00000000-0005-0000-0000-00001B060000}"/>
    <cellStyle name="Prozent 8 3 3 2 2 2" xfId="1667" xr:uid="{00000000-0005-0000-0000-00001C060000}"/>
    <cellStyle name="Prozent 8 3 3 3" xfId="1001" xr:uid="{00000000-0005-0000-0000-00001D060000}"/>
    <cellStyle name="Prozent 8 3 3 3 2" xfId="1668" xr:uid="{00000000-0005-0000-0000-00001E060000}"/>
    <cellStyle name="Prozent 8 3 3 4" xfId="999" xr:uid="{00000000-0005-0000-0000-00001F060000}"/>
    <cellStyle name="Prozent 8 3 3 4 2" xfId="1669" xr:uid="{00000000-0005-0000-0000-000020060000}"/>
    <cellStyle name="Prozent 8 3 4" xfId="995" xr:uid="{00000000-0005-0000-0000-000021060000}"/>
    <cellStyle name="Prozent 8 3 4 2" xfId="1670" xr:uid="{00000000-0005-0000-0000-000022060000}"/>
    <cellStyle name="Prozent 8 3 5" xfId="1671" xr:uid="{00000000-0005-0000-0000-000023060000}"/>
    <cellStyle name="Prozent 8 3 6" xfId="1672" xr:uid="{00000000-0005-0000-0000-000024060000}"/>
    <cellStyle name="Prozent 8 4" xfId="991" xr:uid="{00000000-0005-0000-0000-000025060000}"/>
    <cellStyle name="Prozent 8 4 2" xfId="1673" xr:uid="{00000000-0005-0000-0000-000026060000}"/>
    <cellStyle name="Prozent 9" xfId="437" xr:uid="{00000000-0005-0000-0000-000027060000}"/>
    <cellStyle name="Prozent 9 2" xfId="1002" xr:uid="{00000000-0005-0000-0000-000028060000}"/>
    <cellStyle name="Prozent 9 2 2" xfId="1674" xr:uid="{00000000-0005-0000-0000-000029060000}"/>
    <cellStyle name="Prozent 9 3" xfId="1675" xr:uid="{00000000-0005-0000-0000-00002A060000}"/>
    <cellStyle name="Prozent 9 4" xfId="1676" xr:uid="{00000000-0005-0000-0000-00002B060000}"/>
    <cellStyle name="Schlecht 2" xfId="439" xr:uid="{00000000-0005-0000-0000-00002C060000}"/>
    <cellStyle name="Schlecht 2 2" xfId="1003" xr:uid="{00000000-0005-0000-0000-00002D060000}"/>
    <cellStyle name="Schlecht 3" xfId="440" xr:uid="{00000000-0005-0000-0000-00002E060000}"/>
    <cellStyle name="Schlecht 3 2" xfId="1004" xr:uid="{00000000-0005-0000-0000-00002F060000}"/>
    <cellStyle name="Schlecht 4" xfId="1677" xr:uid="{00000000-0005-0000-0000-000030060000}"/>
    <cellStyle name="Standard 2" xfId="441" xr:uid="{00000000-0005-0000-0000-000032060000}"/>
    <cellStyle name="Standard 2 2" xfId="442" xr:uid="{00000000-0005-0000-0000-000033060000}"/>
    <cellStyle name="Standard 2 2 2" xfId="443" xr:uid="{00000000-0005-0000-0000-000034060000}"/>
    <cellStyle name="Standard 2 2 3" xfId="444" xr:uid="{00000000-0005-0000-0000-000035060000}"/>
    <cellStyle name="Standard 2 3" xfId="445" xr:uid="{00000000-0005-0000-0000-000036060000}"/>
    <cellStyle name="Standard 2 4" xfId="446" xr:uid="{00000000-0005-0000-0000-000037060000}"/>
    <cellStyle name="Standard 2 5" xfId="447" xr:uid="{00000000-0005-0000-0000-000038060000}"/>
    <cellStyle name="Standard 2 6" xfId="448" xr:uid="{00000000-0005-0000-0000-000039060000}"/>
    <cellStyle name="Standard 3" xfId="449" xr:uid="{00000000-0005-0000-0000-00003A060000}"/>
    <cellStyle name="Standard 3 2" xfId="450" xr:uid="{00000000-0005-0000-0000-00003B060000}"/>
    <cellStyle name="Standard 3 2 2" xfId="451" xr:uid="{00000000-0005-0000-0000-00003C060000}"/>
    <cellStyle name="Standard 3 2 2 2" xfId="452" xr:uid="{00000000-0005-0000-0000-00003D060000}"/>
    <cellStyle name="Standard 3 2 2 2 2" xfId="453" xr:uid="{00000000-0005-0000-0000-00003E060000}"/>
    <cellStyle name="Standard 3 2 2 2 2 2" xfId="1678" xr:uid="{00000000-0005-0000-0000-00003F060000}"/>
    <cellStyle name="Standard 3 2 2 2 2 3" xfId="1679" xr:uid="{00000000-0005-0000-0000-000040060000}"/>
    <cellStyle name="Standard 3 2 2 2 2 4" xfId="1680" xr:uid="{00000000-0005-0000-0000-000041060000}"/>
    <cellStyle name="Standard 3 2 2 2 3" xfId="1681" xr:uid="{00000000-0005-0000-0000-000042060000}"/>
    <cellStyle name="Standard 3 2 2 2 4" xfId="1682" xr:uid="{00000000-0005-0000-0000-000043060000}"/>
    <cellStyle name="Standard 3 2 2 2 5" xfId="1683" xr:uid="{00000000-0005-0000-0000-000044060000}"/>
    <cellStyle name="Standard 3 2 2 3" xfId="454" xr:uid="{00000000-0005-0000-0000-000045060000}"/>
    <cellStyle name="Standard 3 2 2 3 2" xfId="1684" xr:uid="{00000000-0005-0000-0000-000046060000}"/>
    <cellStyle name="Standard 3 2 2 3 3" xfId="1685" xr:uid="{00000000-0005-0000-0000-000047060000}"/>
    <cellStyle name="Standard 3 2 2 3 4" xfId="1686" xr:uid="{00000000-0005-0000-0000-000048060000}"/>
    <cellStyle name="Standard 3 2 2 4" xfId="1687" xr:uid="{00000000-0005-0000-0000-000049060000}"/>
    <cellStyle name="Standard 3 2 2 5" xfId="1688" xr:uid="{00000000-0005-0000-0000-00004A060000}"/>
    <cellStyle name="Standard 3 2 2 6" xfId="1689" xr:uid="{00000000-0005-0000-0000-00004B060000}"/>
    <cellStyle name="Standard 3 2 3" xfId="455" xr:uid="{00000000-0005-0000-0000-00004C060000}"/>
    <cellStyle name="Standard 3 2 3 2" xfId="456" xr:uid="{00000000-0005-0000-0000-00004D060000}"/>
    <cellStyle name="Standard 3 2 3 2 2" xfId="1690" xr:uid="{00000000-0005-0000-0000-00004E060000}"/>
    <cellStyle name="Standard 3 2 3 2 3" xfId="1691" xr:uid="{00000000-0005-0000-0000-00004F060000}"/>
    <cellStyle name="Standard 3 2 3 2 4" xfId="1692" xr:uid="{00000000-0005-0000-0000-000050060000}"/>
    <cellStyle name="Standard 3 2 3 3" xfId="1693" xr:uid="{00000000-0005-0000-0000-000051060000}"/>
    <cellStyle name="Standard 3 2 3 4" xfId="1694" xr:uid="{00000000-0005-0000-0000-000052060000}"/>
    <cellStyle name="Standard 3 2 3 5" xfId="1695" xr:uid="{00000000-0005-0000-0000-000053060000}"/>
    <cellStyle name="Standard 3 2 4" xfId="457" xr:uid="{00000000-0005-0000-0000-000054060000}"/>
    <cellStyle name="Standard 3 2 4 2" xfId="458" xr:uid="{00000000-0005-0000-0000-000055060000}"/>
    <cellStyle name="Standard 3 2 4 2 2" xfId="1696" xr:uid="{00000000-0005-0000-0000-000056060000}"/>
    <cellStyle name="Standard 3 2 4 3" xfId="459" xr:uid="{00000000-0005-0000-0000-000057060000}"/>
    <cellStyle name="Standard 3 2 4 4" xfId="1697" xr:uid="{00000000-0005-0000-0000-000058060000}"/>
    <cellStyle name="Standard 3 2 4 5" xfId="1698" xr:uid="{00000000-0005-0000-0000-000059060000}"/>
    <cellStyle name="Standard 3 2 5" xfId="460" xr:uid="{00000000-0005-0000-0000-00005A060000}"/>
    <cellStyle name="Standard 3 2 6" xfId="461" xr:uid="{00000000-0005-0000-0000-00005B060000}"/>
    <cellStyle name="Standard 3 2 7" xfId="1699" xr:uid="{00000000-0005-0000-0000-00005C060000}"/>
    <cellStyle name="Standard 3 3" xfId="462" xr:uid="{00000000-0005-0000-0000-00005D060000}"/>
    <cellStyle name="Standard 3 3 2" xfId="463" xr:uid="{00000000-0005-0000-0000-00005E060000}"/>
    <cellStyle name="Standard 3 3 2 2" xfId="464" xr:uid="{00000000-0005-0000-0000-00005F060000}"/>
    <cellStyle name="Standard 3 3 2 2 2" xfId="1700" xr:uid="{00000000-0005-0000-0000-000060060000}"/>
    <cellStyle name="Standard 3 3 2 2 3" xfId="1701" xr:uid="{00000000-0005-0000-0000-000061060000}"/>
    <cellStyle name="Standard 3 3 2 2 4" xfId="1702" xr:uid="{00000000-0005-0000-0000-000062060000}"/>
    <cellStyle name="Standard 3 3 2 3" xfId="1703" xr:uid="{00000000-0005-0000-0000-000063060000}"/>
    <cellStyle name="Standard 3 3 2 4" xfId="1704" xr:uid="{00000000-0005-0000-0000-000064060000}"/>
    <cellStyle name="Standard 3 3 2 5" xfId="1705" xr:uid="{00000000-0005-0000-0000-000065060000}"/>
    <cellStyle name="Standard 3 3 3" xfId="465" xr:uid="{00000000-0005-0000-0000-000066060000}"/>
    <cellStyle name="Standard 3 3 3 2" xfId="1706" xr:uid="{00000000-0005-0000-0000-000067060000}"/>
    <cellStyle name="Standard 3 3 3 3" xfId="1707" xr:uid="{00000000-0005-0000-0000-000068060000}"/>
    <cellStyle name="Standard 3 3 3 4" xfId="1708" xr:uid="{00000000-0005-0000-0000-000069060000}"/>
    <cellStyle name="Standard 3 3 4" xfId="1709" xr:uid="{00000000-0005-0000-0000-00006A060000}"/>
    <cellStyle name="Standard 3 3 5" xfId="1710" xr:uid="{00000000-0005-0000-0000-00006B060000}"/>
    <cellStyle name="Standard 3 3 6" xfId="1711" xr:uid="{00000000-0005-0000-0000-00006C060000}"/>
    <cellStyle name="Standard 3 4" xfId="466" xr:uid="{00000000-0005-0000-0000-00006D060000}"/>
    <cellStyle name="Standard 3 4 2" xfId="467" xr:uid="{00000000-0005-0000-0000-00006E060000}"/>
    <cellStyle name="Standard 3 4 2 2" xfId="1712" xr:uid="{00000000-0005-0000-0000-00006F060000}"/>
    <cellStyle name="Standard 3 4 2 3" xfId="1713" xr:uid="{00000000-0005-0000-0000-000070060000}"/>
    <cellStyle name="Standard 3 4 2 4" xfId="1714" xr:uid="{00000000-0005-0000-0000-000071060000}"/>
    <cellStyle name="Standard 3 4 3" xfId="1715" xr:uid="{00000000-0005-0000-0000-000072060000}"/>
    <cellStyle name="Standard 3 4 4" xfId="1716" xr:uid="{00000000-0005-0000-0000-000073060000}"/>
    <cellStyle name="Standard 3 4 5" xfId="1717" xr:uid="{00000000-0005-0000-0000-000074060000}"/>
    <cellStyle name="Standard 3 5" xfId="468" xr:uid="{00000000-0005-0000-0000-000075060000}"/>
    <cellStyle name="Standard 3 5 2" xfId="1718" xr:uid="{00000000-0005-0000-0000-000076060000}"/>
    <cellStyle name="Standard 3 5 3" xfId="1719" xr:uid="{00000000-0005-0000-0000-000077060000}"/>
    <cellStyle name="Standard 3 5 4" xfId="1720" xr:uid="{00000000-0005-0000-0000-000078060000}"/>
    <cellStyle name="Standard 3 6" xfId="469" xr:uid="{00000000-0005-0000-0000-000079060000}"/>
    <cellStyle name="Standard 3 6 2" xfId="1722" xr:uid="{00000000-0005-0000-0000-00007A060000}"/>
    <cellStyle name="Standard 3 6 3" xfId="1721" xr:uid="{00000000-0005-0000-0000-00007B060000}"/>
    <cellStyle name="Standard 3 7" xfId="1723" xr:uid="{00000000-0005-0000-0000-00007C060000}"/>
    <cellStyle name="Standard 3 8" xfId="1724" xr:uid="{00000000-0005-0000-0000-00007D060000}"/>
    <cellStyle name="Standard 4" xfId="470" xr:uid="{00000000-0005-0000-0000-00007E060000}"/>
    <cellStyle name="Standard 5" xfId="471" xr:uid="{00000000-0005-0000-0000-00007F060000}"/>
    <cellStyle name="Standard 5 2" xfId="472" xr:uid="{00000000-0005-0000-0000-000080060000}"/>
    <cellStyle name="Standard 6" xfId="1005" xr:uid="{00000000-0005-0000-0000-000081060000}"/>
    <cellStyle name="Standard 6 2" xfId="1006" xr:uid="{00000000-0005-0000-0000-000082060000}"/>
    <cellStyle name="Standard 7" xfId="1007" xr:uid="{00000000-0005-0000-0000-000083060000}"/>
    <cellStyle name="Standard_Werte" xfId="473" xr:uid="{00000000-0005-0000-0000-000084060000}"/>
    <cellStyle name="Title" xfId="474" xr:uid="{00000000-0005-0000-0000-000085060000}"/>
    <cellStyle name="Title 2" xfId="475" xr:uid="{00000000-0005-0000-0000-000086060000}"/>
    <cellStyle name="Title 2 2" xfId="476" xr:uid="{00000000-0005-0000-0000-000087060000}"/>
    <cellStyle name="Title 2 2 2" xfId="1010" xr:uid="{00000000-0005-0000-0000-000088060000}"/>
    <cellStyle name="Title 2 2 2 2" xfId="1726" xr:uid="{00000000-0005-0000-0000-000089060000}"/>
    <cellStyle name="Title 2 2 3" xfId="1065" xr:uid="{00000000-0005-0000-0000-00008A060000}"/>
    <cellStyle name="Title 2 3" xfId="1009" xr:uid="{00000000-0005-0000-0000-00008B060000}"/>
    <cellStyle name="Title 2 3 2" xfId="1727" xr:uid="{00000000-0005-0000-0000-00008C060000}"/>
    <cellStyle name="Title 3" xfId="1011" xr:uid="{00000000-0005-0000-0000-00008D060000}"/>
    <cellStyle name="Title 3 2" xfId="1729" xr:uid="{00000000-0005-0000-0000-00008E060000}"/>
    <cellStyle name="Title 3 3" xfId="1728" xr:uid="{00000000-0005-0000-0000-00008F060000}"/>
    <cellStyle name="Title 4" xfId="1012" xr:uid="{00000000-0005-0000-0000-000090060000}"/>
    <cellStyle name="Title 4 2" xfId="1730" xr:uid="{00000000-0005-0000-0000-000091060000}"/>
    <cellStyle name="Title 5" xfId="1008" xr:uid="{00000000-0005-0000-0000-000092060000}"/>
    <cellStyle name="Title 6" xfId="1064" xr:uid="{00000000-0005-0000-0000-000093060000}"/>
    <cellStyle name="Title 7" xfId="1725" xr:uid="{00000000-0005-0000-0000-000094060000}"/>
    <cellStyle name="Total 2" xfId="477" xr:uid="{00000000-0005-0000-0000-000095060000}"/>
    <cellStyle name="Total 2 2" xfId="1013" xr:uid="{00000000-0005-0000-0000-000096060000}"/>
    <cellStyle name="Überschrift 1 2" xfId="478" xr:uid="{00000000-0005-0000-0000-000097060000}"/>
    <cellStyle name="Überschrift 1 2 2" xfId="1014" xr:uid="{00000000-0005-0000-0000-000098060000}"/>
    <cellStyle name="Überschrift 1 3" xfId="479" xr:uid="{00000000-0005-0000-0000-000099060000}"/>
    <cellStyle name="Überschrift 1 3 2" xfId="1015" xr:uid="{00000000-0005-0000-0000-00009A060000}"/>
    <cellStyle name="Überschrift 1 4" xfId="1731" xr:uid="{00000000-0005-0000-0000-00009B060000}"/>
    <cellStyle name="Überschrift 1 4 2" xfId="1750" xr:uid="{00000000-0005-0000-0000-00009C060000}"/>
    <cellStyle name="Überschrift 1 5" xfId="1732" xr:uid="{00000000-0005-0000-0000-00009D060000}"/>
    <cellStyle name="Überschrift 2 2" xfId="480" xr:uid="{00000000-0005-0000-0000-00009E060000}"/>
    <cellStyle name="Überschrift 2 2 2" xfId="1016" xr:uid="{00000000-0005-0000-0000-00009F060000}"/>
    <cellStyle name="Überschrift 2 3" xfId="481" xr:uid="{00000000-0005-0000-0000-0000A0060000}"/>
    <cellStyle name="Überschrift 2 3 2" xfId="1017" xr:uid="{00000000-0005-0000-0000-0000A1060000}"/>
    <cellStyle name="Überschrift 2 4" xfId="1733" xr:uid="{00000000-0005-0000-0000-0000A2060000}"/>
    <cellStyle name="Überschrift 2 4 2" xfId="1751" xr:uid="{00000000-0005-0000-0000-0000A3060000}"/>
    <cellStyle name="Überschrift 2 5" xfId="1734" xr:uid="{00000000-0005-0000-0000-0000A4060000}"/>
    <cellStyle name="Überschrift 3 2" xfId="482" xr:uid="{00000000-0005-0000-0000-0000A5060000}"/>
    <cellStyle name="Überschrift 3 2 2" xfId="1018" xr:uid="{00000000-0005-0000-0000-0000A6060000}"/>
    <cellStyle name="Überschrift 3 3" xfId="483" xr:uid="{00000000-0005-0000-0000-0000A7060000}"/>
    <cellStyle name="Überschrift 3 3 2" xfId="1019" xr:uid="{00000000-0005-0000-0000-0000A8060000}"/>
    <cellStyle name="Überschrift 3 4" xfId="1735" xr:uid="{00000000-0005-0000-0000-0000A9060000}"/>
    <cellStyle name="Überschrift 3 4 2" xfId="1752" xr:uid="{00000000-0005-0000-0000-0000AA060000}"/>
    <cellStyle name="Überschrift 3 5" xfId="1736" xr:uid="{00000000-0005-0000-0000-0000AB060000}"/>
    <cellStyle name="Überschrift 4 2" xfId="484" xr:uid="{00000000-0005-0000-0000-0000AC060000}"/>
    <cellStyle name="Überschrift 4 2 2" xfId="1020" xr:uid="{00000000-0005-0000-0000-0000AD060000}"/>
    <cellStyle name="Überschrift 4 3" xfId="485" xr:uid="{00000000-0005-0000-0000-0000AE060000}"/>
    <cellStyle name="Überschrift 4 3 2" xfId="1021" xr:uid="{00000000-0005-0000-0000-0000AF060000}"/>
    <cellStyle name="Überschrift 4 4" xfId="1737" xr:uid="{00000000-0005-0000-0000-0000B0060000}"/>
    <cellStyle name="Überschrift 4 4 2" xfId="1753" xr:uid="{00000000-0005-0000-0000-0000B1060000}"/>
    <cellStyle name="Überschrift 4 5" xfId="1738" xr:uid="{00000000-0005-0000-0000-0000B2060000}"/>
    <cellStyle name="Überschrift 5" xfId="486" xr:uid="{00000000-0005-0000-0000-0000B3060000}"/>
    <cellStyle name="Überschrift 5 2" xfId="1022" xr:uid="{00000000-0005-0000-0000-0000B4060000}"/>
    <cellStyle name="Überschrift 6" xfId="487" xr:uid="{00000000-0005-0000-0000-0000B5060000}"/>
    <cellStyle name="Überschrift 6 2" xfId="1023" xr:uid="{00000000-0005-0000-0000-0000B6060000}"/>
    <cellStyle name="Überschrift 7" xfId="1739" xr:uid="{00000000-0005-0000-0000-0000B7060000}"/>
    <cellStyle name="Überschrift 7 2" xfId="1754" xr:uid="{00000000-0005-0000-0000-0000B8060000}"/>
    <cellStyle name="Überschrift 8" xfId="1740" xr:uid="{00000000-0005-0000-0000-0000B9060000}"/>
    <cellStyle name="Verknüpfte Zelle 2" xfId="489" xr:uid="{00000000-0005-0000-0000-0000BA060000}"/>
    <cellStyle name="Verknüpfte Zelle 2 2" xfId="1024" xr:uid="{00000000-0005-0000-0000-0000BB060000}"/>
    <cellStyle name="Verknüpfte Zelle 3" xfId="490" xr:uid="{00000000-0005-0000-0000-0000BC060000}"/>
    <cellStyle name="Verknüpfte Zelle 3 2" xfId="1025" xr:uid="{00000000-0005-0000-0000-0000BD060000}"/>
    <cellStyle name="Verknüpfte Zelle 4" xfId="1741" xr:uid="{00000000-0005-0000-0000-0000BE060000}"/>
    <cellStyle name="Warnender Text 2" xfId="491" xr:uid="{00000000-0005-0000-0000-0000BF060000}"/>
    <cellStyle name="Warnender Text 2 2" xfId="492" xr:uid="{00000000-0005-0000-0000-0000C0060000}"/>
    <cellStyle name="Warnender Text 2 2 2" xfId="1027" xr:uid="{00000000-0005-0000-0000-0000C1060000}"/>
    <cellStyle name="Warnender Text 2 3" xfId="493" xr:uid="{00000000-0005-0000-0000-0000C2060000}"/>
    <cellStyle name="Warnender Text 2 3 2" xfId="494" xr:uid="{00000000-0005-0000-0000-0000C3060000}"/>
    <cellStyle name="Warnender Text 2 3 2 2" xfId="1029" xr:uid="{00000000-0005-0000-0000-0000C4060000}"/>
    <cellStyle name="Warnender Text 2 3 2 2 2" xfId="1742" xr:uid="{00000000-0005-0000-0000-0000C5060000}"/>
    <cellStyle name="Warnender Text 2 3 2 3" xfId="1067" xr:uid="{00000000-0005-0000-0000-0000C6060000}"/>
    <cellStyle name="Warnender Text 2 3 3" xfId="1028" xr:uid="{00000000-0005-0000-0000-0000C7060000}"/>
    <cellStyle name="Warnender Text 2 4" xfId="1026" xr:uid="{00000000-0005-0000-0000-0000C8060000}"/>
    <cellStyle name="Warnender Text 3" xfId="495" xr:uid="{00000000-0005-0000-0000-0000C9060000}"/>
    <cellStyle name="Warnender Text 3 2" xfId="1030" xr:uid="{00000000-0005-0000-0000-0000CA060000}"/>
    <cellStyle name="Warnender Text 4" xfId="496" xr:uid="{00000000-0005-0000-0000-0000CB060000}"/>
    <cellStyle name="Warnender Text 4 2" xfId="1031" xr:uid="{00000000-0005-0000-0000-0000CC060000}"/>
    <cellStyle name="Warnender Text 5" xfId="497" xr:uid="{00000000-0005-0000-0000-0000CD060000}"/>
    <cellStyle name="Warnender Text 5 2" xfId="1032" xr:uid="{00000000-0005-0000-0000-0000CE060000}"/>
    <cellStyle name="Warnender Text 6" xfId="498" xr:uid="{00000000-0005-0000-0000-0000CF060000}"/>
    <cellStyle name="Warnender Text 6 2" xfId="1033" xr:uid="{00000000-0005-0000-0000-0000D0060000}"/>
    <cellStyle name="Zelle überprüfen 2" xfId="500" xr:uid="{00000000-0005-0000-0000-0000D1060000}"/>
    <cellStyle name="Zelle überprüfen 2 2" xfId="501" xr:uid="{00000000-0005-0000-0000-0000D2060000}"/>
    <cellStyle name="Zelle überprüfen 2 2 2" xfId="1035" xr:uid="{00000000-0005-0000-0000-0000D3060000}"/>
    <cellStyle name="Zelle überprüfen 2 3" xfId="1034" xr:uid="{00000000-0005-0000-0000-0000D4060000}"/>
    <cellStyle name="Zelle überprüfen 2 3 2" xfId="1743" xr:uid="{00000000-0005-0000-0000-0000D5060000}"/>
    <cellStyle name="Zelle überprüfen 3" xfId="502" xr:uid="{00000000-0005-0000-0000-0000D6060000}"/>
    <cellStyle name="Zelle überprüfen 3 2" xfId="1036" xr:uid="{00000000-0005-0000-0000-0000D7060000}"/>
    <cellStyle name="Zelle überprüfen 3 2 2" xfId="1745" xr:uid="{00000000-0005-0000-0000-0000D8060000}"/>
    <cellStyle name="Zelle überprüfen 3 3" xfId="1744" xr:uid="{00000000-0005-0000-0000-0000D9060000}"/>
    <cellStyle name="Zelle überprüfen 4" xfId="1037" xr:uid="{00000000-0005-0000-0000-0000DA060000}"/>
    <cellStyle name="Zelle überprüfen 4 2" xfId="1746" xr:uid="{00000000-0005-0000-0000-0000DB060000}"/>
  </cellStyles>
  <dxfs count="173">
    <dxf>
      <fill>
        <patternFill>
          <bgColor theme="0"/>
        </patternFill>
      </fill>
    </dxf>
    <dxf>
      <fill>
        <patternFill>
          <bgColor rgb="FFC1C1C1"/>
        </patternFill>
      </fill>
    </dxf>
    <dxf>
      <fill>
        <patternFill>
          <bgColor rgb="FFC1C1C1"/>
        </patternFill>
      </fill>
    </dxf>
    <dxf>
      <fill>
        <patternFill>
          <bgColor rgb="FFC1C1C1"/>
        </patternFill>
      </fill>
    </dxf>
    <dxf>
      <fill>
        <patternFill>
          <bgColor rgb="FFC1C1C1"/>
        </patternFill>
      </fill>
    </dxf>
    <dxf>
      <fill>
        <patternFill>
          <bgColor rgb="FFC1C1C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C1C1C1"/>
        </patternFill>
      </fill>
    </dxf>
    <dxf>
      <fill>
        <patternFill>
          <bgColor rgb="FFC1C1C1"/>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7C80"/>
        </patternFill>
      </fill>
    </dxf>
    <dxf>
      <fill>
        <patternFill>
          <bgColor rgb="FFFFFF99"/>
        </patternFill>
      </fill>
    </dxf>
    <dxf>
      <fill>
        <patternFill>
          <bgColor rgb="FF99FF66"/>
        </patternFill>
      </fill>
    </dxf>
    <dxf>
      <fill>
        <patternFill>
          <bgColor rgb="FFCCFFCC"/>
        </patternFill>
      </fill>
    </dxf>
    <dxf>
      <fill>
        <patternFill>
          <bgColor rgb="FFFFFF99"/>
        </patternFill>
      </fill>
    </dxf>
    <dxf>
      <fill>
        <patternFill>
          <bgColor rgb="FF99FF66"/>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indexed="43"/>
        </patternFill>
      </fill>
    </dxf>
    <dxf>
      <fill>
        <patternFill>
          <bgColor rgb="FF99FF66"/>
        </patternFill>
      </fill>
    </dxf>
    <dxf>
      <fill>
        <patternFill>
          <bgColor rgb="FFFF7C80"/>
        </patternFill>
      </fill>
    </dxf>
    <dxf>
      <fill>
        <patternFill>
          <bgColor rgb="FFFFFF99"/>
        </patternFill>
      </fill>
    </dxf>
    <dxf>
      <fill>
        <patternFill>
          <bgColor rgb="FF99FF66"/>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FF7C80"/>
        </patternFill>
      </fill>
    </dxf>
    <dxf>
      <fill>
        <patternFill>
          <bgColor rgb="FFFFFF99"/>
        </patternFill>
      </fill>
    </dxf>
    <dxf>
      <fill>
        <patternFill>
          <bgColor rgb="FFCCFFCC"/>
        </patternFill>
      </fill>
    </dxf>
    <dxf>
      <fill>
        <patternFill>
          <bgColor rgb="FFCCFFCC"/>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theme="0" tint="-0.24994659260841701"/>
        </patternFill>
      </fill>
    </dxf>
    <dxf>
      <fill>
        <patternFill>
          <bgColor theme="4" tint="0.79998168889431442"/>
        </patternFill>
      </fill>
    </dxf>
    <dxf>
      <fill>
        <patternFill>
          <bgColor rgb="FFBFBFBF"/>
        </patternFill>
      </fill>
    </dxf>
    <dxf>
      <fill>
        <patternFill>
          <bgColor rgb="FFFF7C80"/>
        </patternFill>
      </fill>
    </dxf>
    <dxf>
      <fill>
        <patternFill>
          <bgColor rgb="FFCCFFCC"/>
        </patternFill>
      </fill>
    </dxf>
    <dxf>
      <fill>
        <patternFill>
          <bgColor rgb="FFFFFF99"/>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indexed="23"/>
        </patternFill>
      </fill>
    </dxf>
    <dxf>
      <fill>
        <patternFill>
          <bgColor theme="0" tint="-0.24994659260841701"/>
        </patternFill>
      </fill>
    </dxf>
    <dxf>
      <fill>
        <patternFill>
          <bgColor indexed="23"/>
        </patternFill>
      </fill>
    </dxf>
    <dxf>
      <fill>
        <patternFill>
          <bgColor rgb="FFFF7C80"/>
        </patternFill>
      </fill>
    </dxf>
    <dxf>
      <fill>
        <patternFill>
          <bgColor indexed="42"/>
        </patternFill>
      </fill>
    </dxf>
    <dxf>
      <fill>
        <patternFill>
          <bgColor rgb="FFFFFF99"/>
        </patternFill>
      </fill>
    </dxf>
    <dxf>
      <fill>
        <patternFill>
          <bgColor theme="0"/>
        </patternFill>
      </fill>
    </dxf>
    <dxf>
      <fill>
        <patternFill>
          <bgColor rgb="FFCCFFCC"/>
        </patternFill>
      </fill>
    </dxf>
    <dxf>
      <fill>
        <patternFill>
          <bgColor rgb="FFCCFFCC"/>
        </patternFill>
      </fill>
    </dxf>
    <dxf>
      <fill>
        <patternFill patternType="none">
          <bgColor indexed="65"/>
        </patternFill>
      </fill>
    </dxf>
    <dxf>
      <fill>
        <patternFill>
          <bgColor indexed="23"/>
        </patternFill>
      </fill>
    </dxf>
    <dxf>
      <fill>
        <patternFill>
          <bgColor theme="0" tint="-0.24994659260841701"/>
        </patternFill>
      </fill>
    </dxf>
    <dxf>
      <fill>
        <patternFill>
          <bgColor theme="1" tint="0.499984740745262"/>
        </patternFill>
      </fill>
    </dxf>
    <dxf>
      <fill>
        <patternFill>
          <bgColor rgb="FFFF7C80"/>
        </patternFill>
      </fill>
    </dxf>
    <dxf>
      <fill>
        <patternFill patternType="none">
          <bgColor indexed="65"/>
        </patternFill>
      </fill>
    </dxf>
    <dxf>
      <fill>
        <patternFill>
          <bgColor indexed="23"/>
        </patternFill>
      </fill>
    </dxf>
    <dxf>
      <fill>
        <patternFill>
          <bgColor indexed="23"/>
        </patternFill>
      </fill>
    </dxf>
    <dxf>
      <fill>
        <patternFill>
          <bgColor theme="0" tint="-0.24994659260841701"/>
        </patternFill>
      </fill>
    </dxf>
    <dxf>
      <fill>
        <patternFill>
          <bgColor rgb="FFCCFFCA"/>
        </patternFill>
      </fill>
    </dxf>
    <dxf>
      <fill>
        <patternFill>
          <bgColor rgb="FFCCFFCC"/>
        </patternFill>
      </fill>
    </dxf>
    <dxf>
      <fill>
        <patternFill>
          <bgColor indexed="23"/>
        </patternFill>
      </fill>
    </dxf>
    <dxf>
      <fill>
        <patternFill>
          <bgColor rgb="FFCCFFCC"/>
        </patternFill>
      </fill>
    </dxf>
    <dxf>
      <fill>
        <patternFill>
          <bgColor theme="1" tint="0.499984740745262"/>
        </patternFill>
      </fill>
    </dxf>
    <dxf>
      <fill>
        <patternFill>
          <bgColor indexed="23"/>
        </patternFill>
      </fill>
    </dxf>
    <dxf>
      <fill>
        <patternFill>
          <bgColor rgb="FFFF7C80"/>
        </patternFill>
      </fill>
    </dxf>
    <dxf>
      <fill>
        <patternFill>
          <bgColor rgb="FFFF7C80"/>
        </patternFill>
      </fill>
    </dxf>
    <dxf>
      <border>
        <left/>
        <right/>
        <top/>
        <bottom/>
      </border>
    </dxf>
    <dxf>
      <border>
        <left style="thin">
          <color auto="1"/>
        </left>
        <right style="thin">
          <color auto="1"/>
        </right>
        <top style="thin">
          <color auto="1"/>
        </top>
        <bottom style="thin">
          <color auto="1"/>
        </bottom>
        <vertical/>
        <horizontal/>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theme="4" tint="0.79998168889431442"/>
        </patternFill>
      </fill>
    </dxf>
    <dxf>
      <fill>
        <patternFill>
          <bgColor rgb="FFFFFF99"/>
        </patternFill>
      </fill>
    </dxf>
    <dxf>
      <fill>
        <patternFill>
          <bgColor rgb="FFC0C0C0"/>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theme="4" tint="0.79998168889431442"/>
        </patternFill>
      </fill>
    </dxf>
    <dxf>
      <fill>
        <patternFill>
          <bgColor rgb="FFFFFF99"/>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fgColor auto="1"/>
        </patternFill>
      </fill>
    </dxf>
    <dxf>
      <fill>
        <patternFill patternType="lightUp">
          <f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scheme val="none"/>
      </font>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8"/>
        <color auto="1"/>
        <name val="Arial"/>
        <scheme val="none"/>
      </font>
      <alignment horizontal="left"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DCE6F1"/>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457200</xdr:colOff>
      <xdr:row>13</xdr:row>
      <xdr:rowOff>13097</xdr:rowOff>
    </xdr:from>
    <xdr:to>
      <xdr:col>10</xdr:col>
      <xdr:colOff>0</xdr:colOff>
      <xdr:row>13</xdr:row>
      <xdr:rowOff>117872</xdr:rowOff>
    </xdr:to>
    <xdr:pic>
      <xdr:nvPicPr>
        <xdr:cNvPr id="111642" name="Grafik 15">
          <a:extLst>
            <a:ext uri="{FF2B5EF4-FFF2-40B4-BE49-F238E27FC236}">
              <a16:creationId xmlns:a16="http://schemas.microsoft.com/office/drawing/2014/main" id="{00000000-0008-0000-0000-00001A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1275" y="2013347"/>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476250</xdr:colOff>
      <xdr:row>5</xdr:row>
      <xdr:rowOff>13097</xdr:rowOff>
    </xdr:from>
    <xdr:to>
      <xdr:col>5</xdr:col>
      <xdr:colOff>0</xdr:colOff>
      <xdr:row>5</xdr:row>
      <xdr:rowOff>117872</xdr:rowOff>
    </xdr:to>
    <xdr:pic>
      <xdr:nvPicPr>
        <xdr:cNvPr id="111643" name="Grafik 15">
          <a:extLst>
            <a:ext uri="{FF2B5EF4-FFF2-40B4-BE49-F238E27FC236}">
              <a16:creationId xmlns:a16="http://schemas.microsoft.com/office/drawing/2014/main" id="{00000000-0008-0000-0000-00001B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28950" y="908447"/>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809625</xdr:colOff>
      <xdr:row>26</xdr:row>
      <xdr:rowOff>9525</xdr:rowOff>
    </xdr:from>
    <xdr:to>
      <xdr:col>3</xdr:col>
      <xdr:colOff>9525</xdr:colOff>
      <xdr:row>26</xdr:row>
      <xdr:rowOff>114300</xdr:rowOff>
    </xdr:to>
    <xdr:pic>
      <xdr:nvPicPr>
        <xdr:cNvPr id="111645" name="Grafik 15">
          <a:extLst>
            <a:ext uri="{FF2B5EF4-FFF2-40B4-BE49-F238E27FC236}">
              <a16:creationId xmlns:a16="http://schemas.microsoft.com/office/drawing/2014/main" id="{00000000-0008-0000-0000-00001D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2675" y="3971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453390</xdr:colOff>
      <xdr:row>36</xdr:row>
      <xdr:rowOff>5477</xdr:rowOff>
    </xdr:from>
    <xdr:to>
      <xdr:col>9</xdr:col>
      <xdr:colOff>548640</xdr:colOff>
      <xdr:row>36</xdr:row>
      <xdr:rowOff>114062</xdr:rowOff>
    </xdr:to>
    <xdr:pic>
      <xdr:nvPicPr>
        <xdr:cNvPr id="111646" name="Grafik 15">
          <a:extLst>
            <a:ext uri="{FF2B5EF4-FFF2-40B4-BE49-F238E27FC236}">
              <a16:creationId xmlns:a16="http://schemas.microsoft.com/office/drawing/2014/main" id="{00000000-0008-0000-0000-00001E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7465" y="7587377"/>
          <a:ext cx="95250" cy="1085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461010</xdr:colOff>
      <xdr:row>39</xdr:row>
      <xdr:rowOff>5477</xdr:rowOff>
    </xdr:from>
    <xdr:to>
      <xdr:col>9</xdr:col>
      <xdr:colOff>556260</xdr:colOff>
      <xdr:row>39</xdr:row>
      <xdr:rowOff>110252</xdr:rowOff>
    </xdr:to>
    <xdr:pic>
      <xdr:nvPicPr>
        <xdr:cNvPr id="111647" name="Grafik 15">
          <a:extLst>
            <a:ext uri="{FF2B5EF4-FFF2-40B4-BE49-F238E27FC236}">
              <a16:creationId xmlns:a16="http://schemas.microsoft.com/office/drawing/2014/main" id="{00000000-0008-0000-0000-00001F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5085" y="8444627"/>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457200</xdr:colOff>
      <xdr:row>23</xdr:row>
      <xdr:rowOff>13097</xdr:rowOff>
    </xdr:from>
    <xdr:to>
      <xdr:col>10</xdr:col>
      <xdr:colOff>0</xdr:colOff>
      <xdr:row>23</xdr:row>
      <xdr:rowOff>117872</xdr:rowOff>
    </xdr:to>
    <xdr:pic>
      <xdr:nvPicPr>
        <xdr:cNvPr id="111648" name="Grafik 15">
          <a:extLst>
            <a:ext uri="{FF2B5EF4-FFF2-40B4-BE49-F238E27FC236}">
              <a16:creationId xmlns:a16="http://schemas.microsoft.com/office/drawing/2014/main" id="{00000000-0008-0000-0000-000020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1275" y="3251597"/>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457200</xdr:colOff>
      <xdr:row>11</xdr:row>
      <xdr:rowOff>13097</xdr:rowOff>
    </xdr:from>
    <xdr:to>
      <xdr:col>10</xdr:col>
      <xdr:colOff>0</xdr:colOff>
      <xdr:row>11</xdr:row>
      <xdr:rowOff>117872</xdr:rowOff>
    </xdr:to>
    <xdr:pic>
      <xdr:nvPicPr>
        <xdr:cNvPr id="111650" name="Grafik 15">
          <a:extLst>
            <a:ext uri="{FF2B5EF4-FFF2-40B4-BE49-F238E27FC236}">
              <a16:creationId xmlns:a16="http://schemas.microsoft.com/office/drawing/2014/main" id="{00000000-0008-0000-0000-000022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1275" y="173712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476250</xdr:colOff>
      <xdr:row>11</xdr:row>
      <xdr:rowOff>13097</xdr:rowOff>
    </xdr:from>
    <xdr:to>
      <xdr:col>5</xdr:col>
      <xdr:colOff>0</xdr:colOff>
      <xdr:row>11</xdr:row>
      <xdr:rowOff>117872</xdr:rowOff>
    </xdr:to>
    <xdr:pic>
      <xdr:nvPicPr>
        <xdr:cNvPr id="111652" name="Grafik 15">
          <a:extLst>
            <a:ext uri="{FF2B5EF4-FFF2-40B4-BE49-F238E27FC236}">
              <a16:creationId xmlns:a16="http://schemas.microsoft.com/office/drawing/2014/main" id="{00000000-0008-0000-0000-000024B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28950" y="173712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468630</xdr:colOff>
      <xdr:row>37</xdr:row>
      <xdr:rowOff>5477</xdr:rowOff>
    </xdr:from>
    <xdr:to>
      <xdr:col>9</xdr:col>
      <xdr:colOff>556260</xdr:colOff>
      <xdr:row>37</xdr:row>
      <xdr:rowOff>114062</xdr:rowOff>
    </xdr:to>
    <xdr:pic>
      <xdr:nvPicPr>
        <xdr:cNvPr id="14" name="Grafik 15">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02705" y="7949327"/>
          <a:ext cx="87630" cy="1085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647700</xdr:colOff>
      <xdr:row>0</xdr:row>
      <xdr:rowOff>9525</xdr:rowOff>
    </xdr:from>
    <xdr:to>
      <xdr:col>9</xdr:col>
      <xdr:colOff>556519</xdr:colOff>
      <xdr:row>3</xdr:row>
      <xdr:rowOff>73024</xdr:rowOff>
    </xdr:to>
    <xdr:pic>
      <xdr:nvPicPr>
        <xdr:cNvPr id="15" name="Grafik 36">
          <a:extLst>
            <a:ext uri="{FF2B5EF4-FFF2-40B4-BE49-F238E27FC236}">
              <a16:creationId xmlns:a16="http://schemas.microsoft.com/office/drawing/2014/main" id="{FD1907F1-B351-4005-A0B5-9D201D7FC0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19675" y="9525"/>
          <a:ext cx="1470919" cy="558799"/>
        </a:xfrm>
        <a:prstGeom prst="rect">
          <a:avLst/>
        </a:prstGeom>
      </xdr:spPr>
    </xdr:pic>
    <xdr:clientData/>
  </xdr:twoCellAnchor>
  <xdr:twoCellAnchor editAs="oneCell">
    <xdr:from>
      <xdr:col>9</xdr:col>
      <xdr:colOff>447675</xdr:colOff>
      <xdr:row>31</xdr:row>
      <xdr:rowOff>5715</xdr:rowOff>
    </xdr:from>
    <xdr:to>
      <xdr:col>9</xdr:col>
      <xdr:colOff>552450</xdr:colOff>
      <xdr:row>31</xdr:row>
      <xdr:rowOff>110490</xdr:rowOff>
    </xdr:to>
    <xdr:pic>
      <xdr:nvPicPr>
        <xdr:cNvPr id="17" name="Grafik 15">
          <a:extLst>
            <a:ext uri="{FF2B5EF4-FFF2-40B4-BE49-F238E27FC236}">
              <a16:creationId xmlns:a16="http://schemas.microsoft.com/office/drawing/2014/main" id="{DC1A74A6-C180-4D24-A95B-2A0739F22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1750" y="559689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480060</xdr:colOff>
      <xdr:row>30</xdr:row>
      <xdr:rowOff>11430</xdr:rowOff>
    </xdr:from>
    <xdr:to>
      <xdr:col>9</xdr:col>
      <xdr:colOff>3810</xdr:colOff>
      <xdr:row>30</xdr:row>
      <xdr:rowOff>116205</xdr:rowOff>
    </xdr:to>
    <xdr:pic>
      <xdr:nvPicPr>
        <xdr:cNvPr id="18" name="Grafik 15">
          <a:extLst>
            <a:ext uri="{FF2B5EF4-FFF2-40B4-BE49-F238E27FC236}">
              <a16:creationId xmlns:a16="http://schemas.microsoft.com/office/drawing/2014/main" id="{6DC102D1-CA9A-40D4-BFF2-BB88FB392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42635" y="492633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476250</xdr:colOff>
      <xdr:row>13</xdr:row>
      <xdr:rowOff>13097</xdr:rowOff>
    </xdr:from>
    <xdr:ext cx="104775" cy="104775"/>
    <xdr:pic>
      <xdr:nvPicPr>
        <xdr:cNvPr id="2" name="Grafik 15">
          <a:extLst>
            <a:ext uri="{FF2B5EF4-FFF2-40B4-BE49-F238E27FC236}">
              <a16:creationId xmlns:a16="http://schemas.microsoft.com/office/drawing/2014/main" id="{60E9A10F-2EE8-49A3-B1D2-CB9A5113C6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28950" y="173712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476250</xdr:colOff>
      <xdr:row>15</xdr:row>
      <xdr:rowOff>13097</xdr:rowOff>
    </xdr:from>
    <xdr:ext cx="104775" cy="104775"/>
    <xdr:pic>
      <xdr:nvPicPr>
        <xdr:cNvPr id="3" name="Grafik 15">
          <a:extLst>
            <a:ext uri="{FF2B5EF4-FFF2-40B4-BE49-F238E27FC236}">
              <a16:creationId xmlns:a16="http://schemas.microsoft.com/office/drawing/2014/main" id="{5DD8EDE0-500A-48C3-B159-C02F19DE1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28950" y="173712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1276350</xdr:colOff>
      <xdr:row>4</xdr:row>
      <xdr:rowOff>0</xdr:rowOff>
    </xdr:from>
    <xdr:to>
      <xdr:col>5</xdr:col>
      <xdr:colOff>0</xdr:colOff>
      <xdr:row>4</xdr:row>
      <xdr:rowOff>104775</xdr:rowOff>
    </xdr:to>
    <xdr:pic>
      <xdr:nvPicPr>
        <xdr:cNvPr id="2" name="Grafik 15">
          <a:extLst>
            <a:ext uri="{FF2B5EF4-FFF2-40B4-BE49-F238E27FC236}">
              <a16:creationId xmlns:a16="http://schemas.microsoft.com/office/drawing/2014/main" id="{117500AE-E7D7-4E34-853A-811D7D5C5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441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1295400</xdr:colOff>
      <xdr:row>9</xdr:row>
      <xdr:rowOff>9525</xdr:rowOff>
    </xdr:from>
    <xdr:to>
      <xdr:col>4</xdr:col>
      <xdr:colOff>0</xdr:colOff>
      <xdr:row>9</xdr:row>
      <xdr:rowOff>114300</xdr:rowOff>
    </xdr:to>
    <xdr:pic>
      <xdr:nvPicPr>
        <xdr:cNvPr id="3" name="Grafik 15">
          <a:extLst>
            <a:ext uri="{FF2B5EF4-FFF2-40B4-BE49-F238E27FC236}">
              <a16:creationId xmlns:a16="http://schemas.microsoft.com/office/drawing/2014/main" id="{F45DDA99-B66B-43FE-AD98-891392008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3050" y="1724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4" name="Grafik 15">
          <a:extLst>
            <a:ext uri="{FF2B5EF4-FFF2-40B4-BE49-F238E27FC236}">
              <a16:creationId xmlns:a16="http://schemas.microsoft.com/office/drawing/2014/main" id="{68A542E0-8515-47BE-AC31-494C6F6C7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44175" y="1724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5" name="Grafik 15">
          <a:extLst>
            <a:ext uri="{FF2B5EF4-FFF2-40B4-BE49-F238E27FC236}">
              <a16:creationId xmlns:a16="http://schemas.microsoft.com/office/drawing/2014/main" id="{3B380D00-985D-4DC4-A5ED-515DB62971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476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1352550</xdr:colOff>
      <xdr:row>0</xdr:row>
      <xdr:rowOff>0</xdr:rowOff>
    </xdr:from>
    <xdr:to>
      <xdr:col>4</xdr:col>
      <xdr:colOff>1377950</xdr:colOff>
      <xdr:row>3</xdr:row>
      <xdr:rowOff>132817</xdr:rowOff>
    </xdr:to>
    <xdr:pic>
      <xdr:nvPicPr>
        <xdr:cNvPr id="6" name="Grafik 1">
          <a:extLst>
            <a:ext uri="{FF2B5EF4-FFF2-40B4-BE49-F238E27FC236}">
              <a16:creationId xmlns:a16="http://schemas.microsoft.com/office/drawing/2014/main" id="{5B2A2D3D-73CF-47C2-A7B0-51052B9CD21F}"/>
            </a:ext>
          </a:extLst>
        </xdr:cNvPr>
        <xdr:cNvPicPr>
          <a:picLocks noChangeAspect="1"/>
        </xdr:cNvPicPr>
      </xdr:nvPicPr>
      <xdr:blipFill>
        <a:blip xmlns:r="http://schemas.openxmlformats.org/officeDocument/2006/relationships" r:embed="rId2"/>
        <a:stretch>
          <a:fillRect/>
        </a:stretch>
      </xdr:blipFill>
      <xdr:spPr>
        <a:xfrm>
          <a:off x="9220200" y="0"/>
          <a:ext cx="1425575" cy="6185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2990850</xdr:colOff>
      <xdr:row>6</xdr:row>
      <xdr:rowOff>9525</xdr:rowOff>
    </xdr:from>
    <xdr:to>
      <xdr:col>3</xdr:col>
      <xdr:colOff>9525</xdr:colOff>
      <xdr:row>6</xdr:row>
      <xdr:rowOff>114300</xdr:rowOff>
    </xdr:to>
    <xdr:pic>
      <xdr:nvPicPr>
        <xdr:cNvPr id="2" name="Grafik 15">
          <a:extLst>
            <a:ext uri="{FF2B5EF4-FFF2-40B4-BE49-F238E27FC236}">
              <a16:creationId xmlns:a16="http://schemas.microsoft.com/office/drawing/2014/main" id="{904EAE3E-1CCF-4E24-B0B3-5C1FD0FAB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29375" y="127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942975</xdr:colOff>
      <xdr:row>6</xdr:row>
      <xdr:rowOff>9525</xdr:rowOff>
    </xdr:from>
    <xdr:to>
      <xdr:col>4</xdr:col>
      <xdr:colOff>0</xdr:colOff>
      <xdr:row>6</xdr:row>
      <xdr:rowOff>114300</xdr:rowOff>
    </xdr:to>
    <xdr:pic>
      <xdr:nvPicPr>
        <xdr:cNvPr id="3" name="Grafik 15">
          <a:extLst>
            <a:ext uri="{FF2B5EF4-FFF2-40B4-BE49-F238E27FC236}">
              <a16:creationId xmlns:a16="http://schemas.microsoft.com/office/drawing/2014/main" id="{5408EE15-0AD2-4B56-A8D8-7D2B14768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67600" y="127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1703668</xdr:colOff>
      <xdr:row>0</xdr:row>
      <xdr:rowOff>0</xdr:rowOff>
    </xdr:from>
    <xdr:to>
      <xdr:col>8</xdr:col>
      <xdr:colOff>894</xdr:colOff>
      <xdr:row>3</xdr:row>
      <xdr:rowOff>0</xdr:rowOff>
    </xdr:to>
    <xdr:pic>
      <xdr:nvPicPr>
        <xdr:cNvPr id="4" name="Grafik 6">
          <a:extLst>
            <a:ext uri="{FF2B5EF4-FFF2-40B4-BE49-F238E27FC236}">
              <a16:creationId xmlns:a16="http://schemas.microsoft.com/office/drawing/2014/main" id="{05BDC263-F361-40C5-B4F0-653678CA79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419293" y="0"/>
          <a:ext cx="1345226" cy="628650"/>
        </a:xfrm>
        <a:prstGeom prst="rect">
          <a:avLst/>
        </a:prstGeom>
      </xdr:spPr>
    </xdr:pic>
    <xdr:clientData/>
  </xdr:twoCellAnchor>
  <xdr:twoCellAnchor editAs="oneCell">
    <xdr:from>
      <xdr:col>4</xdr:col>
      <xdr:colOff>942975</xdr:colOff>
      <xdr:row>6</xdr:row>
      <xdr:rowOff>9525</xdr:rowOff>
    </xdr:from>
    <xdr:to>
      <xdr:col>5</xdr:col>
      <xdr:colOff>0</xdr:colOff>
      <xdr:row>6</xdr:row>
      <xdr:rowOff>114300</xdr:rowOff>
    </xdr:to>
    <xdr:pic>
      <xdr:nvPicPr>
        <xdr:cNvPr id="5" name="Grafik 15">
          <a:extLst>
            <a:ext uri="{FF2B5EF4-FFF2-40B4-BE49-F238E27FC236}">
              <a16:creationId xmlns:a16="http://schemas.microsoft.com/office/drawing/2014/main" id="{B1392767-952F-47AE-A4E6-7F68407DF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5350" y="127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942975</xdr:colOff>
      <xdr:row>6</xdr:row>
      <xdr:rowOff>9525</xdr:rowOff>
    </xdr:from>
    <xdr:to>
      <xdr:col>6</xdr:col>
      <xdr:colOff>0</xdr:colOff>
      <xdr:row>6</xdr:row>
      <xdr:rowOff>114300</xdr:rowOff>
    </xdr:to>
    <xdr:pic>
      <xdr:nvPicPr>
        <xdr:cNvPr id="6" name="Grafik 15">
          <a:extLst>
            <a:ext uri="{FF2B5EF4-FFF2-40B4-BE49-F238E27FC236}">
              <a16:creationId xmlns:a16="http://schemas.microsoft.com/office/drawing/2014/main" id="{6164B35E-6E84-49F7-A1B6-00FF0022B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63100" y="127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942975</xdr:colOff>
      <xdr:row>6</xdr:row>
      <xdr:rowOff>9525</xdr:rowOff>
    </xdr:from>
    <xdr:to>
      <xdr:col>7</xdr:col>
      <xdr:colOff>0</xdr:colOff>
      <xdr:row>6</xdr:row>
      <xdr:rowOff>114300</xdr:rowOff>
    </xdr:to>
    <xdr:pic>
      <xdr:nvPicPr>
        <xdr:cNvPr id="7" name="Grafik 15">
          <a:extLst>
            <a:ext uri="{FF2B5EF4-FFF2-40B4-BE49-F238E27FC236}">
              <a16:creationId xmlns:a16="http://schemas.microsoft.com/office/drawing/2014/main" id="{252FA103-B74E-49C5-98B3-F650D3D0E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10850" y="127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1076325</xdr:colOff>
      <xdr:row>5</xdr:row>
      <xdr:rowOff>9525</xdr:rowOff>
    </xdr:from>
    <xdr:to>
      <xdr:col>2</xdr:col>
      <xdr:colOff>0</xdr:colOff>
      <xdr:row>5</xdr:row>
      <xdr:rowOff>114300</xdr:rowOff>
    </xdr:to>
    <xdr:pic>
      <xdr:nvPicPr>
        <xdr:cNvPr id="2" name="Grafik 15">
          <a:extLst>
            <a:ext uri="{FF2B5EF4-FFF2-40B4-BE49-F238E27FC236}">
              <a16:creationId xmlns:a16="http://schemas.microsoft.com/office/drawing/2014/main" id="{36E93694-4246-4588-9083-8BACBEF95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025" y="733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9525</xdr:rowOff>
    </xdr:from>
    <xdr:to>
      <xdr:col>4</xdr:col>
      <xdr:colOff>9525</xdr:colOff>
      <xdr:row>5</xdr:row>
      <xdr:rowOff>114300</xdr:rowOff>
    </xdr:to>
    <xdr:pic>
      <xdr:nvPicPr>
        <xdr:cNvPr id="3" name="Grafik 15">
          <a:extLst>
            <a:ext uri="{FF2B5EF4-FFF2-40B4-BE49-F238E27FC236}">
              <a16:creationId xmlns:a16="http://schemas.microsoft.com/office/drawing/2014/main" id="{46ACAD7A-5E43-4B51-8863-DA20F93AC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53375" y="733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809625</xdr:colOff>
      <xdr:row>5</xdr:row>
      <xdr:rowOff>9525</xdr:rowOff>
    </xdr:from>
    <xdr:to>
      <xdr:col>5</xdr:col>
      <xdr:colOff>0</xdr:colOff>
      <xdr:row>5</xdr:row>
      <xdr:rowOff>114300</xdr:rowOff>
    </xdr:to>
    <xdr:pic>
      <xdr:nvPicPr>
        <xdr:cNvPr id="4" name="Grafik 15">
          <a:extLst>
            <a:ext uri="{FF2B5EF4-FFF2-40B4-BE49-F238E27FC236}">
              <a16:creationId xmlns:a16="http://schemas.microsoft.com/office/drawing/2014/main" id="{BC153B73-BFAC-4A56-BCD5-2D414170F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58250" y="733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809625</xdr:colOff>
      <xdr:row>22</xdr:row>
      <xdr:rowOff>9525</xdr:rowOff>
    </xdr:from>
    <xdr:to>
      <xdr:col>6</xdr:col>
      <xdr:colOff>0</xdr:colOff>
      <xdr:row>22</xdr:row>
      <xdr:rowOff>114300</xdr:rowOff>
    </xdr:to>
    <xdr:pic>
      <xdr:nvPicPr>
        <xdr:cNvPr id="5" name="Grafik 15">
          <a:extLst>
            <a:ext uri="{FF2B5EF4-FFF2-40B4-BE49-F238E27FC236}">
              <a16:creationId xmlns:a16="http://schemas.microsoft.com/office/drawing/2014/main" id="{67D9D793-AEB2-40E6-B70D-AF17CA545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72650" y="6572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1952624</xdr:colOff>
      <xdr:row>0</xdr:row>
      <xdr:rowOff>1</xdr:rowOff>
    </xdr:from>
    <xdr:to>
      <xdr:col>6</xdr:col>
      <xdr:colOff>3333749</xdr:colOff>
      <xdr:row>3</xdr:row>
      <xdr:rowOff>139775</xdr:rowOff>
    </xdr:to>
    <xdr:pic>
      <xdr:nvPicPr>
        <xdr:cNvPr id="6" name="Grafik 1">
          <a:extLst>
            <a:ext uri="{FF2B5EF4-FFF2-40B4-BE49-F238E27FC236}">
              <a16:creationId xmlns:a16="http://schemas.microsoft.com/office/drawing/2014/main" id="{C5323C13-94AC-4F04-807F-58E4D6F6ED07}"/>
            </a:ext>
          </a:extLst>
        </xdr:cNvPr>
        <xdr:cNvPicPr>
          <a:picLocks noChangeAspect="1"/>
        </xdr:cNvPicPr>
      </xdr:nvPicPr>
      <xdr:blipFill>
        <a:blip xmlns:r="http://schemas.openxmlformats.org/officeDocument/2006/relationships" r:embed="rId2"/>
        <a:stretch>
          <a:fillRect/>
        </a:stretch>
      </xdr:blipFill>
      <xdr:spPr>
        <a:xfrm>
          <a:off x="11830049" y="1"/>
          <a:ext cx="1381125" cy="5779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415059</xdr:colOff>
      <xdr:row>54</xdr:row>
      <xdr:rowOff>4763</xdr:rowOff>
    </xdr:from>
    <xdr:to>
      <xdr:col>17</xdr:col>
      <xdr:colOff>516660</xdr:colOff>
      <xdr:row>54</xdr:row>
      <xdr:rowOff>109538</xdr:rowOff>
    </xdr:to>
    <xdr:pic>
      <xdr:nvPicPr>
        <xdr:cNvPr id="111035" name="Grafik 13">
          <a:extLst>
            <a:ext uri="{FF2B5EF4-FFF2-40B4-BE49-F238E27FC236}">
              <a16:creationId xmlns:a16="http://schemas.microsoft.com/office/drawing/2014/main" id="{00000000-0008-0000-0400-0000BB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98747" y="17157701"/>
          <a:ext cx="10160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417368</xdr:colOff>
      <xdr:row>21</xdr:row>
      <xdr:rowOff>4762</xdr:rowOff>
    </xdr:from>
    <xdr:to>
      <xdr:col>17</xdr:col>
      <xdr:colOff>517814</xdr:colOff>
      <xdr:row>21</xdr:row>
      <xdr:rowOff>109537</xdr:rowOff>
    </xdr:to>
    <xdr:pic>
      <xdr:nvPicPr>
        <xdr:cNvPr id="111037" name="Grafik 12">
          <a:extLst>
            <a:ext uri="{FF2B5EF4-FFF2-40B4-BE49-F238E27FC236}">
              <a16:creationId xmlns:a16="http://schemas.microsoft.com/office/drawing/2014/main" id="{00000000-0008-0000-0400-0000BD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01056" y="5108575"/>
          <a:ext cx="1004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417368</xdr:colOff>
      <xdr:row>30</xdr:row>
      <xdr:rowOff>4762</xdr:rowOff>
    </xdr:from>
    <xdr:to>
      <xdr:col>17</xdr:col>
      <xdr:colOff>517814</xdr:colOff>
      <xdr:row>30</xdr:row>
      <xdr:rowOff>109537</xdr:rowOff>
    </xdr:to>
    <xdr:pic>
      <xdr:nvPicPr>
        <xdr:cNvPr id="111038" name="Grafik 12">
          <a:extLst>
            <a:ext uri="{FF2B5EF4-FFF2-40B4-BE49-F238E27FC236}">
              <a16:creationId xmlns:a16="http://schemas.microsoft.com/office/drawing/2014/main" id="{00000000-0008-0000-0400-0000BE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01056" y="8394700"/>
          <a:ext cx="1004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408709</xdr:colOff>
      <xdr:row>45</xdr:row>
      <xdr:rowOff>4762</xdr:rowOff>
    </xdr:from>
    <xdr:to>
      <xdr:col>17</xdr:col>
      <xdr:colOff>513484</xdr:colOff>
      <xdr:row>45</xdr:row>
      <xdr:rowOff>109537</xdr:rowOff>
    </xdr:to>
    <xdr:pic>
      <xdr:nvPicPr>
        <xdr:cNvPr id="111041" name="Grafik 12">
          <a:extLst>
            <a:ext uri="{FF2B5EF4-FFF2-40B4-BE49-F238E27FC236}">
              <a16:creationId xmlns:a16="http://schemas.microsoft.com/office/drawing/2014/main" id="{00000000-0008-0000-0400-0000C1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92397" y="13871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409575</xdr:colOff>
      <xdr:row>38</xdr:row>
      <xdr:rowOff>9525</xdr:rowOff>
    </xdr:from>
    <xdr:to>
      <xdr:col>17</xdr:col>
      <xdr:colOff>514350</xdr:colOff>
      <xdr:row>38</xdr:row>
      <xdr:rowOff>114300</xdr:rowOff>
    </xdr:to>
    <xdr:pic>
      <xdr:nvPicPr>
        <xdr:cNvPr id="111043" name="Grafik 12">
          <a:extLst>
            <a:ext uri="{FF2B5EF4-FFF2-40B4-BE49-F238E27FC236}">
              <a16:creationId xmlns:a16="http://schemas.microsoft.com/office/drawing/2014/main" id="{00000000-0008-0000-0400-0000C3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43950" y="12782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417368</xdr:colOff>
      <xdr:row>38</xdr:row>
      <xdr:rowOff>12700</xdr:rowOff>
    </xdr:from>
    <xdr:to>
      <xdr:col>17</xdr:col>
      <xdr:colOff>517814</xdr:colOff>
      <xdr:row>38</xdr:row>
      <xdr:rowOff>117475</xdr:rowOff>
    </xdr:to>
    <xdr:pic>
      <xdr:nvPicPr>
        <xdr:cNvPr id="111044" name="Grafik 12">
          <a:extLst>
            <a:ext uri="{FF2B5EF4-FFF2-40B4-BE49-F238E27FC236}">
              <a16:creationId xmlns:a16="http://schemas.microsoft.com/office/drawing/2014/main" id="{00000000-0008-0000-0400-0000C4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70843" y="13061950"/>
          <a:ext cx="1004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408709</xdr:colOff>
      <xdr:row>41</xdr:row>
      <xdr:rowOff>4762</xdr:rowOff>
    </xdr:from>
    <xdr:to>
      <xdr:col>17</xdr:col>
      <xdr:colOff>513484</xdr:colOff>
      <xdr:row>41</xdr:row>
      <xdr:rowOff>109537</xdr:rowOff>
    </xdr:to>
    <xdr:pic>
      <xdr:nvPicPr>
        <xdr:cNvPr id="111045" name="Grafik 12">
          <a:extLst>
            <a:ext uri="{FF2B5EF4-FFF2-40B4-BE49-F238E27FC236}">
              <a16:creationId xmlns:a16="http://schemas.microsoft.com/office/drawing/2014/main" id="{00000000-0008-0000-0400-0000C5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92397" y="12411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408709</xdr:colOff>
      <xdr:row>8</xdr:row>
      <xdr:rowOff>11834</xdr:rowOff>
    </xdr:from>
    <xdr:to>
      <xdr:col>17</xdr:col>
      <xdr:colOff>513484</xdr:colOff>
      <xdr:row>8</xdr:row>
      <xdr:rowOff>116609</xdr:rowOff>
    </xdr:to>
    <xdr:pic>
      <xdr:nvPicPr>
        <xdr:cNvPr id="111047" name="Grafik 12">
          <a:extLst>
            <a:ext uri="{FF2B5EF4-FFF2-40B4-BE49-F238E27FC236}">
              <a16:creationId xmlns:a16="http://schemas.microsoft.com/office/drawing/2014/main" id="{00000000-0008-0000-0400-0000C7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2184" y="4374284"/>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417368</xdr:colOff>
      <xdr:row>15</xdr:row>
      <xdr:rowOff>12700</xdr:rowOff>
    </xdr:from>
    <xdr:to>
      <xdr:col>17</xdr:col>
      <xdr:colOff>517814</xdr:colOff>
      <xdr:row>15</xdr:row>
      <xdr:rowOff>117475</xdr:rowOff>
    </xdr:to>
    <xdr:pic>
      <xdr:nvPicPr>
        <xdr:cNvPr id="111048" name="Grafik 12">
          <a:extLst>
            <a:ext uri="{FF2B5EF4-FFF2-40B4-BE49-F238E27FC236}">
              <a16:creationId xmlns:a16="http://schemas.microsoft.com/office/drawing/2014/main" id="{00000000-0008-0000-0400-0000C8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70843" y="5822950"/>
          <a:ext cx="1004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417368</xdr:colOff>
      <xdr:row>27</xdr:row>
      <xdr:rowOff>4763</xdr:rowOff>
    </xdr:from>
    <xdr:to>
      <xdr:col>17</xdr:col>
      <xdr:colOff>517814</xdr:colOff>
      <xdr:row>27</xdr:row>
      <xdr:rowOff>109538</xdr:rowOff>
    </xdr:to>
    <xdr:pic>
      <xdr:nvPicPr>
        <xdr:cNvPr id="111050" name="Grafik 12">
          <a:extLst>
            <a:ext uri="{FF2B5EF4-FFF2-40B4-BE49-F238E27FC236}">
              <a16:creationId xmlns:a16="http://schemas.microsoft.com/office/drawing/2014/main" id="{00000000-0008-0000-0400-0000CA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01056" y="7299326"/>
          <a:ext cx="1004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408709</xdr:colOff>
      <xdr:row>36</xdr:row>
      <xdr:rowOff>4763</xdr:rowOff>
    </xdr:from>
    <xdr:to>
      <xdr:col>17</xdr:col>
      <xdr:colOff>513484</xdr:colOff>
      <xdr:row>36</xdr:row>
      <xdr:rowOff>109538</xdr:rowOff>
    </xdr:to>
    <xdr:pic>
      <xdr:nvPicPr>
        <xdr:cNvPr id="111051" name="Grafik 12">
          <a:extLst>
            <a:ext uri="{FF2B5EF4-FFF2-40B4-BE49-F238E27FC236}">
              <a16:creationId xmlns:a16="http://schemas.microsoft.com/office/drawing/2014/main" id="{00000000-0008-0000-0400-0000CBB1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92397" y="10585451"/>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396875</xdr:colOff>
      <xdr:row>29</xdr:row>
      <xdr:rowOff>12700</xdr:rowOff>
    </xdr:from>
    <xdr:to>
      <xdr:col>17</xdr:col>
      <xdr:colOff>512709</xdr:colOff>
      <xdr:row>29</xdr:row>
      <xdr:rowOff>98051</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stretch>
          <a:fillRect/>
        </a:stretch>
      </xdr:blipFill>
      <xdr:spPr>
        <a:xfrm>
          <a:off x="9150350" y="9804400"/>
          <a:ext cx="115834" cy="85351"/>
        </a:xfrm>
        <a:prstGeom prst="rect">
          <a:avLst/>
        </a:prstGeom>
      </xdr:spPr>
    </xdr:pic>
    <xdr:clientData/>
  </xdr:twoCellAnchor>
  <xdr:twoCellAnchor editAs="oneCell">
    <xdr:from>
      <xdr:col>16</xdr:col>
      <xdr:colOff>291811</xdr:colOff>
      <xdr:row>0</xdr:row>
      <xdr:rowOff>33770</xdr:rowOff>
    </xdr:from>
    <xdr:to>
      <xdr:col>18</xdr:col>
      <xdr:colOff>544395</xdr:colOff>
      <xdr:row>4</xdr:row>
      <xdr:rowOff>51376</xdr:rowOff>
    </xdr:to>
    <xdr:pic>
      <xdr:nvPicPr>
        <xdr:cNvPr id="24" name="Grafik 22">
          <a:extLst>
            <a:ext uri="{FF2B5EF4-FFF2-40B4-BE49-F238E27FC236}">
              <a16:creationId xmlns:a16="http://schemas.microsoft.com/office/drawing/2014/main" id="{226436BE-2A3E-40F2-A9D1-6CE126C0CF5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769061" y="33770"/>
          <a:ext cx="1471784" cy="570056"/>
        </a:xfrm>
        <a:prstGeom prst="rect">
          <a:avLst/>
        </a:prstGeom>
      </xdr:spPr>
    </xdr:pic>
    <xdr:clientData/>
  </xdr:twoCellAnchor>
  <xdr:twoCellAnchor editAs="oneCell">
    <xdr:from>
      <xdr:col>19</xdr:col>
      <xdr:colOff>4619625</xdr:colOff>
      <xdr:row>7</xdr:row>
      <xdr:rowOff>9525</xdr:rowOff>
    </xdr:from>
    <xdr:to>
      <xdr:col>19</xdr:col>
      <xdr:colOff>4733925</xdr:colOff>
      <xdr:row>7</xdr:row>
      <xdr:rowOff>104775</xdr:rowOff>
    </xdr:to>
    <xdr:pic>
      <xdr:nvPicPr>
        <xdr:cNvPr id="25" name="Grafik 6">
          <a:extLst>
            <a:ext uri="{FF2B5EF4-FFF2-40B4-BE49-F238E27FC236}">
              <a16:creationId xmlns:a16="http://schemas.microsoft.com/office/drawing/2014/main" id="{E0A007E6-7428-482E-8C94-B4495A664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30275" y="24003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408709</xdr:colOff>
      <xdr:row>6</xdr:row>
      <xdr:rowOff>11834</xdr:rowOff>
    </xdr:from>
    <xdr:to>
      <xdr:col>17</xdr:col>
      <xdr:colOff>513484</xdr:colOff>
      <xdr:row>6</xdr:row>
      <xdr:rowOff>116609</xdr:rowOff>
    </xdr:to>
    <xdr:pic>
      <xdr:nvPicPr>
        <xdr:cNvPr id="26" name="Grafik 12">
          <a:extLst>
            <a:ext uri="{FF2B5EF4-FFF2-40B4-BE49-F238E27FC236}">
              <a16:creationId xmlns:a16="http://schemas.microsoft.com/office/drawing/2014/main" id="{1ABBD57B-0A29-42E4-A86D-ACFA31967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2184" y="3831359"/>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137535</xdr:colOff>
      <xdr:row>6</xdr:row>
      <xdr:rowOff>11834</xdr:rowOff>
    </xdr:from>
    <xdr:to>
      <xdr:col>4</xdr:col>
      <xdr:colOff>24</xdr:colOff>
      <xdr:row>6</xdr:row>
      <xdr:rowOff>116609</xdr:rowOff>
    </xdr:to>
    <xdr:pic>
      <xdr:nvPicPr>
        <xdr:cNvPr id="27" name="Grafik 5">
          <a:extLst>
            <a:ext uri="{FF2B5EF4-FFF2-40B4-BE49-F238E27FC236}">
              <a16:creationId xmlns:a16="http://schemas.microsoft.com/office/drawing/2014/main" id="{9CADBF20-FEF8-4F4D-A990-F124DCAED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9535" y="926234"/>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304799</xdr:colOff>
      <xdr:row>6</xdr:row>
      <xdr:rowOff>11834</xdr:rowOff>
    </xdr:from>
    <xdr:to>
      <xdr:col>2</xdr:col>
      <xdr:colOff>419099</xdr:colOff>
      <xdr:row>6</xdr:row>
      <xdr:rowOff>116609</xdr:rowOff>
    </xdr:to>
    <xdr:pic>
      <xdr:nvPicPr>
        <xdr:cNvPr id="28" name="Grafik 5">
          <a:extLst>
            <a:ext uri="{FF2B5EF4-FFF2-40B4-BE49-F238E27FC236}">
              <a16:creationId xmlns:a16="http://schemas.microsoft.com/office/drawing/2014/main" id="{F04A5F64-0AC6-4D18-80C6-F645CFDAB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174" y="926234"/>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417512</xdr:colOff>
      <xdr:row>24</xdr:row>
      <xdr:rowOff>7937</xdr:rowOff>
    </xdr:from>
    <xdr:to>
      <xdr:col>17</xdr:col>
      <xdr:colOff>517958</xdr:colOff>
      <xdr:row>24</xdr:row>
      <xdr:rowOff>112712</xdr:rowOff>
    </xdr:to>
    <xdr:pic>
      <xdr:nvPicPr>
        <xdr:cNvPr id="29" name="Grafik 12">
          <a:extLst>
            <a:ext uri="{FF2B5EF4-FFF2-40B4-BE49-F238E27FC236}">
              <a16:creationId xmlns:a16="http://schemas.microsoft.com/office/drawing/2014/main" id="{AA92BF5C-87E1-40CF-9564-A49BFF205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01200" y="6207125"/>
          <a:ext cx="1004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417195</xdr:colOff>
      <xdr:row>69</xdr:row>
      <xdr:rowOff>9525</xdr:rowOff>
    </xdr:from>
    <xdr:to>
      <xdr:col>17</xdr:col>
      <xdr:colOff>512445</xdr:colOff>
      <xdr:row>69</xdr:row>
      <xdr:rowOff>114300</xdr:rowOff>
    </xdr:to>
    <xdr:pic>
      <xdr:nvPicPr>
        <xdr:cNvPr id="30" name="Grafik 13">
          <a:extLst>
            <a:ext uri="{FF2B5EF4-FFF2-40B4-BE49-F238E27FC236}">
              <a16:creationId xmlns:a16="http://schemas.microsoft.com/office/drawing/2014/main" id="{C7B0CB0C-2F38-4553-87D8-75C94992A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89770" y="233838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434340</xdr:colOff>
      <xdr:row>60</xdr:row>
      <xdr:rowOff>7620</xdr:rowOff>
    </xdr:from>
    <xdr:to>
      <xdr:col>17</xdr:col>
      <xdr:colOff>520065</xdr:colOff>
      <xdr:row>60</xdr:row>
      <xdr:rowOff>112395</xdr:rowOff>
    </xdr:to>
    <xdr:pic>
      <xdr:nvPicPr>
        <xdr:cNvPr id="31" name="Grafik 12">
          <a:extLst>
            <a:ext uri="{FF2B5EF4-FFF2-40B4-BE49-F238E27FC236}">
              <a16:creationId xmlns:a16="http://schemas.microsoft.com/office/drawing/2014/main" id="{ECAD1F52-3B3E-406C-88C6-BE11600FA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45040" y="1982724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990600</xdr:colOff>
      <xdr:row>4</xdr:row>
      <xdr:rowOff>11834</xdr:rowOff>
    </xdr:from>
    <xdr:ext cx="95250" cy="104775"/>
    <xdr:pic>
      <xdr:nvPicPr>
        <xdr:cNvPr id="2" name="Grafik 4">
          <a:extLst>
            <a:ext uri="{FF2B5EF4-FFF2-40B4-BE49-F238E27FC236}">
              <a16:creationId xmlns:a16="http://schemas.microsoft.com/office/drawing/2014/main" id="{EFF27DCB-399C-46AC-BE0C-630DD977E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3913" y="63095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314325</xdr:colOff>
      <xdr:row>4</xdr:row>
      <xdr:rowOff>11834</xdr:rowOff>
    </xdr:from>
    <xdr:ext cx="104776" cy="104775"/>
    <xdr:pic>
      <xdr:nvPicPr>
        <xdr:cNvPr id="3" name="Grafik 2">
          <a:extLst>
            <a:ext uri="{FF2B5EF4-FFF2-40B4-BE49-F238E27FC236}">
              <a16:creationId xmlns:a16="http://schemas.microsoft.com/office/drawing/2014/main" id="{80FCF102-9F92-4CA1-9104-08B9B9B28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82000" y="1050059"/>
          <a:ext cx="10477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958850</xdr:colOff>
      <xdr:row>23</xdr:row>
      <xdr:rowOff>7938</xdr:rowOff>
    </xdr:from>
    <xdr:to>
      <xdr:col>4</xdr:col>
      <xdr:colOff>1073150</xdr:colOff>
      <xdr:row>23</xdr:row>
      <xdr:rowOff>112713</xdr:rowOff>
    </xdr:to>
    <xdr:pic>
      <xdr:nvPicPr>
        <xdr:cNvPr id="5" name="Grafik 5">
          <a:extLst>
            <a:ext uri="{FF2B5EF4-FFF2-40B4-BE49-F238E27FC236}">
              <a16:creationId xmlns:a16="http://schemas.microsoft.com/office/drawing/2014/main" id="{7BE299FA-54ED-4EBA-89A7-6406192C1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78025" y="580866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628650</xdr:colOff>
      <xdr:row>23</xdr:row>
      <xdr:rowOff>9525</xdr:rowOff>
    </xdr:from>
    <xdr:to>
      <xdr:col>9</xdr:col>
      <xdr:colOff>742950</xdr:colOff>
      <xdr:row>23</xdr:row>
      <xdr:rowOff>114300</xdr:rowOff>
    </xdr:to>
    <xdr:pic>
      <xdr:nvPicPr>
        <xdr:cNvPr id="6" name="Grafik 5">
          <a:extLst>
            <a:ext uri="{FF2B5EF4-FFF2-40B4-BE49-F238E27FC236}">
              <a16:creationId xmlns:a16="http://schemas.microsoft.com/office/drawing/2014/main" id="{45A2B445-4E8E-4417-B01D-BB60B9C900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00700" y="58102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29</xdr:row>
      <xdr:rowOff>9525</xdr:rowOff>
    </xdr:from>
    <xdr:to>
      <xdr:col>4</xdr:col>
      <xdr:colOff>1076325</xdr:colOff>
      <xdr:row>29</xdr:row>
      <xdr:rowOff>114300</xdr:rowOff>
    </xdr:to>
    <xdr:pic>
      <xdr:nvPicPr>
        <xdr:cNvPr id="9" name="Grafik 12">
          <a:extLst>
            <a:ext uri="{FF2B5EF4-FFF2-40B4-BE49-F238E27FC236}">
              <a16:creationId xmlns:a16="http://schemas.microsoft.com/office/drawing/2014/main" id="{0FEBD4CB-1F7E-4FC4-B151-6AE34A871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0725" y="9001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32</xdr:row>
      <xdr:rowOff>0</xdr:rowOff>
    </xdr:from>
    <xdr:to>
      <xdr:col>4</xdr:col>
      <xdr:colOff>1076325</xdr:colOff>
      <xdr:row>32</xdr:row>
      <xdr:rowOff>104775</xdr:rowOff>
    </xdr:to>
    <xdr:pic>
      <xdr:nvPicPr>
        <xdr:cNvPr id="10" name="Grafik 12">
          <a:extLst>
            <a:ext uri="{FF2B5EF4-FFF2-40B4-BE49-F238E27FC236}">
              <a16:creationId xmlns:a16="http://schemas.microsoft.com/office/drawing/2014/main" id="{A7EA0AAA-96E5-4A72-BD15-EF9B37056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0725" y="100774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47</xdr:row>
      <xdr:rowOff>9525</xdr:rowOff>
    </xdr:from>
    <xdr:to>
      <xdr:col>4</xdr:col>
      <xdr:colOff>1076325</xdr:colOff>
      <xdr:row>47</xdr:row>
      <xdr:rowOff>114300</xdr:rowOff>
    </xdr:to>
    <xdr:pic>
      <xdr:nvPicPr>
        <xdr:cNvPr id="11" name="Grafik 12">
          <a:extLst>
            <a:ext uri="{FF2B5EF4-FFF2-40B4-BE49-F238E27FC236}">
              <a16:creationId xmlns:a16="http://schemas.microsoft.com/office/drawing/2014/main" id="{B833CB5E-AF91-4B64-95D5-C1E4C67216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0725" y="15516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990600</xdr:colOff>
      <xdr:row>59</xdr:row>
      <xdr:rowOff>0</xdr:rowOff>
    </xdr:from>
    <xdr:to>
      <xdr:col>4</xdr:col>
      <xdr:colOff>1076325</xdr:colOff>
      <xdr:row>59</xdr:row>
      <xdr:rowOff>104775</xdr:rowOff>
    </xdr:to>
    <xdr:pic>
      <xdr:nvPicPr>
        <xdr:cNvPr id="12" name="Grafik 12">
          <a:extLst>
            <a:ext uri="{FF2B5EF4-FFF2-40B4-BE49-F238E27FC236}">
              <a16:creationId xmlns:a16="http://schemas.microsoft.com/office/drawing/2014/main" id="{42B6AF00-59A5-42E4-9E65-7BE3D4FFA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9775" y="19850100"/>
          <a:ext cx="857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428625</xdr:colOff>
      <xdr:row>75</xdr:row>
      <xdr:rowOff>9525</xdr:rowOff>
    </xdr:from>
    <xdr:to>
      <xdr:col>17</xdr:col>
      <xdr:colOff>514350</xdr:colOff>
      <xdr:row>75</xdr:row>
      <xdr:rowOff>114300</xdr:rowOff>
    </xdr:to>
    <xdr:pic>
      <xdr:nvPicPr>
        <xdr:cNvPr id="13" name="Grafik 12">
          <a:extLst>
            <a:ext uri="{FF2B5EF4-FFF2-40B4-BE49-F238E27FC236}">
              <a16:creationId xmlns:a16="http://schemas.microsoft.com/office/drawing/2014/main" id="{EE6EE318-2909-4C68-82CB-0E3D4F1B7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53600" y="26412825"/>
          <a:ext cx="857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438150</xdr:colOff>
      <xdr:row>78</xdr:row>
      <xdr:rowOff>9525</xdr:rowOff>
    </xdr:from>
    <xdr:to>
      <xdr:col>18</xdr:col>
      <xdr:colOff>0</xdr:colOff>
      <xdr:row>78</xdr:row>
      <xdr:rowOff>114300</xdr:rowOff>
    </xdr:to>
    <xdr:pic>
      <xdr:nvPicPr>
        <xdr:cNvPr id="14" name="Grafik 12">
          <a:extLst>
            <a:ext uri="{FF2B5EF4-FFF2-40B4-BE49-F238E27FC236}">
              <a16:creationId xmlns:a16="http://schemas.microsoft.com/office/drawing/2014/main" id="{2A9B5EBA-AB4B-47FA-8C4E-BC859F029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63125" y="27727275"/>
          <a:ext cx="857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438150</xdr:colOff>
      <xdr:row>18</xdr:row>
      <xdr:rowOff>9525</xdr:rowOff>
    </xdr:from>
    <xdr:to>
      <xdr:col>18</xdr:col>
      <xdr:colOff>0</xdr:colOff>
      <xdr:row>18</xdr:row>
      <xdr:rowOff>114300</xdr:rowOff>
    </xdr:to>
    <xdr:pic>
      <xdr:nvPicPr>
        <xdr:cNvPr id="15" name="Grafik 12">
          <a:extLst>
            <a:ext uri="{FF2B5EF4-FFF2-40B4-BE49-F238E27FC236}">
              <a16:creationId xmlns:a16="http://schemas.microsoft.com/office/drawing/2014/main" id="{CE0554CE-A1C9-4B75-A2ED-5C8E6CA2B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63125" y="5019675"/>
          <a:ext cx="857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323850</xdr:colOff>
      <xdr:row>7</xdr:row>
      <xdr:rowOff>9525</xdr:rowOff>
    </xdr:from>
    <xdr:to>
      <xdr:col>5</xdr:col>
      <xdr:colOff>0</xdr:colOff>
      <xdr:row>7</xdr:row>
      <xdr:rowOff>104775</xdr:rowOff>
    </xdr:to>
    <xdr:pic>
      <xdr:nvPicPr>
        <xdr:cNvPr id="105116" name="Grafik 4">
          <a:extLst>
            <a:ext uri="{FF2B5EF4-FFF2-40B4-BE49-F238E27FC236}">
              <a16:creationId xmlns:a16="http://schemas.microsoft.com/office/drawing/2014/main" id="{00000000-0008-0000-0800-00009C9A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33675" y="11049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2162175</xdr:colOff>
      <xdr:row>5</xdr:row>
      <xdr:rowOff>9525</xdr:rowOff>
    </xdr:from>
    <xdr:to>
      <xdr:col>10</xdr:col>
      <xdr:colOff>0</xdr:colOff>
      <xdr:row>5</xdr:row>
      <xdr:rowOff>104775</xdr:rowOff>
    </xdr:to>
    <xdr:pic>
      <xdr:nvPicPr>
        <xdr:cNvPr id="105117" name="Grafik 4">
          <a:extLst>
            <a:ext uri="{FF2B5EF4-FFF2-40B4-BE49-F238E27FC236}">
              <a16:creationId xmlns:a16="http://schemas.microsoft.com/office/drawing/2014/main" id="{00000000-0008-0000-0800-00009D9A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10400" y="8286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2162175</xdr:colOff>
      <xdr:row>7</xdr:row>
      <xdr:rowOff>9525</xdr:rowOff>
    </xdr:from>
    <xdr:to>
      <xdr:col>10</xdr:col>
      <xdr:colOff>0</xdr:colOff>
      <xdr:row>7</xdr:row>
      <xdr:rowOff>104775</xdr:rowOff>
    </xdr:to>
    <xdr:pic>
      <xdr:nvPicPr>
        <xdr:cNvPr id="105118" name="Grafik 4">
          <a:extLst>
            <a:ext uri="{FF2B5EF4-FFF2-40B4-BE49-F238E27FC236}">
              <a16:creationId xmlns:a16="http://schemas.microsoft.com/office/drawing/2014/main" id="{00000000-0008-0000-0800-00009E9A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10400" y="11049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752475</xdr:colOff>
      <xdr:row>1</xdr:row>
      <xdr:rowOff>142875</xdr:rowOff>
    </xdr:from>
    <xdr:to>
      <xdr:col>10</xdr:col>
      <xdr:colOff>2190750</xdr:colOff>
      <xdr:row>2</xdr:row>
      <xdr:rowOff>190500</xdr:rowOff>
    </xdr:to>
    <xdr:pic>
      <xdr:nvPicPr>
        <xdr:cNvPr id="105119" name="Grafik 1">
          <a:extLst>
            <a:ext uri="{FF2B5EF4-FFF2-40B4-BE49-F238E27FC236}">
              <a16:creationId xmlns:a16="http://schemas.microsoft.com/office/drawing/2014/main" id="{00000000-0008-0000-0800-00009F9A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67650" y="1428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228600</xdr:colOff>
      <xdr:row>5</xdr:row>
      <xdr:rowOff>9525</xdr:rowOff>
    </xdr:from>
    <xdr:to>
      <xdr:col>23</xdr:col>
      <xdr:colOff>0</xdr:colOff>
      <xdr:row>5</xdr:row>
      <xdr:rowOff>104775</xdr:rowOff>
    </xdr:to>
    <xdr:pic>
      <xdr:nvPicPr>
        <xdr:cNvPr id="106307" name="Grafik 4">
          <a:extLst>
            <a:ext uri="{FF2B5EF4-FFF2-40B4-BE49-F238E27FC236}">
              <a16:creationId xmlns:a16="http://schemas.microsoft.com/office/drawing/2014/main" id="{00000000-0008-0000-0900-0000439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3325" y="8667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266700</xdr:colOff>
      <xdr:row>7</xdr:row>
      <xdr:rowOff>9525</xdr:rowOff>
    </xdr:from>
    <xdr:to>
      <xdr:col>7</xdr:col>
      <xdr:colOff>0</xdr:colOff>
      <xdr:row>7</xdr:row>
      <xdr:rowOff>104775</xdr:rowOff>
    </xdr:to>
    <xdr:pic>
      <xdr:nvPicPr>
        <xdr:cNvPr id="106308" name="Grafik 6">
          <a:extLst>
            <a:ext uri="{FF2B5EF4-FFF2-40B4-BE49-F238E27FC236}">
              <a16:creationId xmlns:a16="http://schemas.microsoft.com/office/drawing/2014/main" id="{00000000-0008-0000-0900-0000449F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28900" y="11430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228600</xdr:colOff>
      <xdr:row>7</xdr:row>
      <xdr:rowOff>9525</xdr:rowOff>
    </xdr:from>
    <xdr:to>
      <xdr:col>23</xdr:col>
      <xdr:colOff>0</xdr:colOff>
      <xdr:row>7</xdr:row>
      <xdr:rowOff>104775</xdr:rowOff>
    </xdr:to>
    <xdr:pic>
      <xdr:nvPicPr>
        <xdr:cNvPr id="106309" name="Grafik 4">
          <a:extLst>
            <a:ext uri="{FF2B5EF4-FFF2-40B4-BE49-F238E27FC236}">
              <a16:creationId xmlns:a16="http://schemas.microsoft.com/office/drawing/2014/main" id="{00000000-0008-0000-0900-0000459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3325" y="11430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466725</xdr:colOff>
      <xdr:row>26</xdr:row>
      <xdr:rowOff>9525</xdr:rowOff>
    </xdr:from>
    <xdr:to>
      <xdr:col>14</xdr:col>
      <xdr:colOff>561975</xdr:colOff>
      <xdr:row>26</xdr:row>
      <xdr:rowOff>104775</xdr:rowOff>
    </xdr:to>
    <xdr:pic>
      <xdr:nvPicPr>
        <xdr:cNvPr id="106310" name="Grafik 4">
          <a:extLst>
            <a:ext uri="{FF2B5EF4-FFF2-40B4-BE49-F238E27FC236}">
              <a16:creationId xmlns:a16="http://schemas.microsoft.com/office/drawing/2014/main" id="{00000000-0008-0000-0900-0000469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65341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9525</xdr:colOff>
      <xdr:row>0</xdr:row>
      <xdr:rowOff>104775</xdr:rowOff>
    </xdr:from>
    <xdr:to>
      <xdr:col>26</xdr:col>
      <xdr:colOff>9525</xdr:colOff>
      <xdr:row>3</xdr:row>
      <xdr:rowOff>161925</xdr:rowOff>
    </xdr:to>
    <xdr:pic>
      <xdr:nvPicPr>
        <xdr:cNvPr id="106311" name="Grafik 1">
          <a:extLst>
            <a:ext uri="{FF2B5EF4-FFF2-40B4-BE49-F238E27FC236}">
              <a16:creationId xmlns:a16="http://schemas.microsoft.com/office/drawing/2014/main" id="{00000000-0008-0000-0900-0000479F01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34250" y="1047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1590675</xdr:colOff>
      <xdr:row>7</xdr:row>
      <xdr:rowOff>9525</xdr:rowOff>
    </xdr:from>
    <xdr:to>
      <xdr:col>3</xdr:col>
      <xdr:colOff>0</xdr:colOff>
      <xdr:row>7</xdr:row>
      <xdr:rowOff>104775</xdr:rowOff>
    </xdr:to>
    <xdr:pic>
      <xdr:nvPicPr>
        <xdr:cNvPr id="107331" name="Grafik 5">
          <a:extLst>
            <a:ext uri="{FF2B5EF4-FFF2-40B4-BE49-F238E27FC236}">
              <a16:creationId xmlns:a16="http://schemas.microsoft.com/office/drawing/2014/main" id="{00000000-0008-0000-0D00-000043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7950" y="11049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1581150</xdr:colOff>
      <xdr:row>14</xdr:row>
      <xdr:rowOff>9525</xdr:rowOff>
    </xdr:from>
    <xdr:to>
      <xdr:col>3</xdr:col>
      <xdr:colOff>0</xdr:colOff>
      <xdr:row>14</xdr:row>
      <xdr:rowOff>104775</xdr:rowOff>
    </xdr:to>
    <xdr:pic>
      <xdr:nvPicPr>
        <xdr:cNvPr id="107332" name="Grafik 4">
          <a:extLst>
            <a:ext uri="{FF2B5EF4-FFF2-40B4-BE49-F238E27FC236}">
              <a16:creationId xmlns:a16="http://schemas.microsoft.com/office/drawing/2014/main" id="{00000000-0008-0000-0D00-000044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38425" y="2295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107333" name="Grafik 5">
          <a:extLst>
            <a:ext uri="{FF2B5EF4-FFF2-40B4-BE49-F238E27FC236}">
              <a16:creationId xmlns:a16="http://schemas.microsoft.com/office/drawing/2014/main" id="{00000000-0008-0000-0D00-000045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53425" y="8286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107334" name="Grafik 5">
          <a:extLst>
            <a:ext uri="{FF2B5EF4-FFF2-40B4-BE49-F238E27FC236}">
              <a16:creationId xmlns:a16="http://schemas.microsoft.com/office/drawing/2014/main" id="{00000000-0008-0000-0D00-000046A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53425" y="11049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885825</xdr:colOff>
      <xdr:row>1</xdr:row>
      <xdr:rowOff>19050</xdr:rowOff>
    </xdr:from>
    <xdr:to>
      <xdr:col>7</xdr:col>
      <xdr:colOff>923925</xdr:colOff>
      <xdr:row>2</xdr:row>
      <xdr:rowOff>142875</xdr:rowOff>
    </xdr:to>
    <xdr:pic>
      <xdr:nvPicPr>
        <xdr:cNvPr id="107335" name="Grafik 1">
          <a:extLst>
            <a:ext uri="{FF2B5EF4-FFF2-40B4-BE49-F238E27FC236}">
              <a16:creationId xmlns:a16="http://schemas.microsoft.com/office/drawing/2014/main" id="{00000000-0008-0000-0D00-000047A3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34325" y="1428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72:S93" totalsRowShown="0" headerRowDxfId="172" dataDxfId="170" headerRowBorderDxfId="171" tableBorderDxfId="169" totalsRowBorderDxfId="168">
  <autoFilter ref="A72:S93" xr:uid="{00000000-0009-0000-0100-000001000000}"/>
  <tableColumns count="19">
    <tableColumn id="1" xr3:uid="{00000000-0010-0000-0000-000001000000}" name="Baden-Württemberg" dataDxfId="167"/>
    <tableColumn id="2" xr3:uid="{00000000-0010-0000-0000-000002000000}" name="Bayern" dataDxfId="166"/>
    <tableColumn id="3" xr3:uid="{00000000-0010-0000-0000-000003000000}" name="Berlin" dataDxfId="165"/>
    <tableColumn id="4" xr3:uid="{00000000-0010-0000-0000-000004000000}" name="Brandenburg" dataDxfId="164"/>
    <tableColumn id="5" xr3:uid="{00000000-0010-0000-0000-000005000000}" name="Bremen" dataDxfId="163"/>
    <tableColumn id="6" xr3:uid="{00000000-0010-0000-0000-000006000000}" name="Hamburg" dataDxfId="162"/>
    <tableColumn id="7" xr3:uid="{00000000-0010-0000-0000-000007000000}" name="Hessen" dataDxfId="161"/>
    <tableColumn id="8" xr3:uid="{00000000-0010-0000-0000-000008000000}" name="Mecklenburg-Vorpommern" dataDxfId="160"/>
    <tableColumn id="9" xr3:uid="{00000000-0010-0000-0000-000009000000}" name="Niedersachsen" dataDxfId="159"/>
    <tableColumn id="10" xr3:uid="{00000000-0010-0000-0000-00000A000000}" name="Nordrhein-Westfalen" dataDxfId="158"/>
    <tableColumn id="11" xr3:uid="{00000000-0010-0000-0000-00000B000000}" name="Rheinland-Pfalz" dataDxfId="157"/>
    <tableColumn id="12" xr3:uid="{00000000-0010-0000-0000-00000C000000}" name="Saarland" dataDxfId="156"/>
    <tableColumn id="13" xr3:uid="{00000000-0010-0000-0000-00000D000000}" name="Sachsen" dataDxfId="155"/>
    <tableColumn id="14" xr3:uid="{00000000-0010-0000-0000-00000E000000}" name="Sachsen-Anhalt" dataDxfId="154"/>
    <tableColumn id="15" xr3:uid="{00000000-0010-0000-0000-00000F000000}" name="Schleswig-Holstein" dataDxfId="153"/>
    <tableColumn id="16" xr3:uid="{00000000-0010-0000-0000-000010000000}" name="Thüringen" dataDxfId="152"/>
    <tableColumn id="17" xr3:uid="{00000000-0010-0000-0000-000011000000}" name="Schweiz" dataDxfId="151"/>
    <tableColumn id="18" xr3:uid="{00000000-0010-0000-0000-000012000000}" name="Österreich" dataDxfId="150"/>
    <tableColumn id="19" xr3:uid="{00000000-0010-0000-0000-000013000000}" name="Italien" dataDxfId="14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6.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comments" Target="../comments9.xml"/><Relationship Id="rId5" Type="http://schemas.openxmlformats.org/officeDocument/2006/relationships/vmlDrawing" Target="../drawings/vmlDrawing11.vml"/><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comments" Target="../comments5.xml"/><Relationship Id="rId5" Type="http://schemas.openxmlformats.org/officeDocument/2006/relationships/vmlDrawing" Target="../drawings/vmlDrawing7.v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M70"/>
  <sheetViews>
    <sheetView showGridLines="0" tabSelected="1" zoomScaleNormal="100" zoomScaleSheetLayoutView="100" zoomScalePageLayoutView="69" workbookViewId="0">
      <selection activeCell="C6" sqref="C6:E6"/>
    </sheetView>
  </sheetViews>
  <sheetFormatPr defaultColWidth="11.42578125" defaultRowHeight="14.25" x14ac:dyDescent="0.2"/>
  <cols>
    <col min="1" max="1" width="0.7109375" style="2" customWidth="1"/>
    <col min="2" max="2" width="22.42578125" style="2" customWidth="1"/>
    <col min="3" max="3" width="13.5703125" style="2" customWidth="1"/>
    <col min="4" max="6" width="8.7109375" style="2" customWidth="1"/>
    <col min="7" max="7" width="9.85546875" style="2" customWidth="1"/>
    <col min="8" max="8" width="14.85546875" style="2" customWidth="1"/>
    <col min="9" max="9" width="8.5703125" style="2" customWidth="1"/>
    <col min="10" max="10" width="8.42578125" style="2" customWidth="1"/>
    <col min="11" max="16384" width="11.42578125" style="2"/>
  </cols>
  <sheetData>
    <row r="1" spans="1:10" ht="9.9499999999999993" customHeight="1" x14ac:dyDescent="0.25">
      <c r="A1" s="5"/>
    </row>
    <row r="2" spans="1:10" ht="12.95" customHeight="1" x14ac:dyDescent="0.2">
      <c r="A2" s="3"/>
      <c r="B2" s="446" t="s">
        <v>1016</v>
      </c>
      <c r="C2" s="119"/>
    </row>
    <row r="3" spans="1:10" ht="16.5" x14ac:dyDescent="0.25">
      <c r="A3" s="124"/>
      <c r="B3" s="447" t="s">
        <v>936</v>
      </c>
      <c r="C3" s="125"/>
    </row>
    <row r="4" spans="1:10" ht="16.5" x14ac:dyDescent="0.25">
      <c r="A4" s="34"/>
      <c r="I4" s="20"/>
    </row>
    <row r="5" spans="1:10" ht="15" customHeight="1" x14ac:dyDescent="0.2">
      <c r="E5" s="8"/>
      <c r="F5" s="8"/>
      <c r="G5" s="8"/>
      <c r="H5" s="8"/>
      <c r="I5" s="20"/>
    </row>
    <row r="6" spans="1:10" ht="15" customHeight="1" x14ac:dyDescent="0.2">
      <c r="A6" s="3"/>
      <c r="B6" s="438" t="s">
        <v>802</v>
      </c>
      <c r="C6" s="588" t="s">
        <v>605</v>
      </c>
      <c r="D6" s="589"/>
      <c r="E6" s="590"/>
      <c r="F6" s="22"/>
      <c r="G6" s="22"/>
      <c r="H6" s="605"/>
      <c r="I6" s="605"/>
      <c r="J6" s="605"/>
    </row>
    <row r="7" spans="1:10" ht="6.95" customHeight="1" x14ac:dyDescent="0.2">
      <c r="A7" s="3"/>
      <c r="B7" s="127"/>
      <c r="C7" s="22"/>
      <c r="D7" s="22"/>
      <c r="E7" s="18"/>
      <c r="F7" s="18"/>
      <c r="G7" s="18"/>
      <c r="H7" s="18"/>
      <c r="I7" s="22"/>
      <c r="J7" s="22"/>
    </row>
    <row r="8" spans="1:10" s="3" customFormat="1" ht="15" customHeight="1" x14ac:dyDescent="0.2">
      <c r="B8" s="438" t="s">
        <v>803</v>
      </c>
      <c r="C8" s="588"/>
      <c r="D8" s="589"/>
      <c r="E8" s="589"/>
      <c r="F8" s="589"/>
      <c r="G8" s="589"/>
      <c r="H8" s="589"/>
      <c r="I8" s="589"/>
      <c r="J8" s="590"/>
    </row>
    <row r="9" spans="1:10" s="3" customFormat="1" ht="6.95" customHeight="1" x14ac:dyDescent="0.2">
      <c r="B9" s="21"/>
      <c r="C9" s="21"/>
      <c r="D9" s="21"/>
      <c r="E9" s="21"/>
      <c r="F9" s="127"/>
      <c r="G9" s="127"/>
      <c r="H9" s="127"/>
      <c r="I9" s="127"/>
      <c r="J9" s="22"/>
    </row>
    <row r="10" spans="1:10" s="3" customFormat="1" ht="15" customHeight="1" x14ac:dyDescent="0.2">
      <c r="B10" s="492" t="s">
        <v>804</v>
      </c>
      <c r="C10" s="588"/>
      <c r="D10" s="589"/>
      <c r="E10" s="589"/>
      <c r="F10" s="589"/>
      <c r="G10" s="589"/>
      <c r="H10" s="589"/>
      <c r="I10" s="589"/>
      <c r="J10" s="590"/>
    </row>
    <row r="11" spans="1:10" s="3" customFormat="1" ht="6.95" customHeight="1" x14ac:dyDescent="0.2">
      <c r="B11" s="611" t="s">
        <v>950</v>
      </c>
      <c r="C11" s="21"/>
      <c r="D11" s="21"/>
      <c r="E11" s="21"/>
      <c r="F11" s="127"/>
      <c r="G11" s="127"/>
      <c r="H11" s="127"/>
      <c r="I11" s="127"/>
      <c r="J11" s="22"/>
    </row>
    <row r="12" spans="1:10" s="3" customFormat="1" ht="15" customHeight="1" x14ac:dyDescent="0.2">
      <c r="B12" s="611"/>
      <c r="C12" s="598"/>
      <c r="D12" s="599"/>
      <c r="E12" s="600"/>
      <c r="F12" s="595" t="s">
        <v>806</v>
      </c>
      <c r="G12" s="596"/>
      <c r="H12" s="597"/>
      <c r="I12" s="593"/>
      <c r="J12" s="594"/>
    </row>
    <row r="13" spans="1:10" s="3" customFormat="1" ht="6.95" customHeight="1" x14ac:dyDescent="0.2">
      <c r="B13" s="22"/>
      <c r="C13" s="22"/>
      <c r="D13" s="22"/>
      <c r="E13" s="18"/>
      <c r="F13" s="21"/>
      <c r="G13" s="21"/>
      <c r="H13" s="21"/>
      <c r="I13" s="22"/>
      <c r="J13" s="22"/>
    </row>
    <row r="14" spans="1:10" s="3" customFormat="1" ht="15" customHeight="1" x14ac:dyDescent="0.2">
      <c r="B14" s="439" t="s">
        <v>951</v>
      </c>
      <c r="C14" s="598"/>
      <c r="D14" s="599"/>
      <c r="E14" s="600"/>
      <c r="F14" s="601" t="s">
        <v>807</v>
      </c>
      <c r="G14" s="601"/>
      <c r="H14" s="602"/>
      <c r="I14" s="606" t="str">
        <f>IF($C$6="","",Datenquelle!G109)</f>
        <v>-----</v>
      </c>
      <c r="J14" s="606"/>
    </row>
    <row r="15" spans="1:10" ht="6.95" customHeight="1" x14ac:dyDescent="0.2">
      <c r="B15" s="22"/>
      <c r="C15" s="22"/>
      <c r="D15" s="22"/>
      <c r="E15" s="22"/>
      <c r="F15" s="127"/>
      <c r="G15" s="127"/>
      <c r="H15" s="127"/>
      <c r="I15" s="22"/>
      <c r="J15" s="22"/>
    </row>
    <row r="16" spans="1:10" s="3" customFormat="1" ht="15" customHeight="1" x14ac:dyDescent="0.2">
      <c r="B16" s="439" t="s">
        <v>805</v>
      </c>
      <c r="C16" s="608"/>
      <c r="D16" s="609"/>
      <c r="E16" s="610"/>
      <c r="F16" s="603" t="s">
        <v>808</v>
      </c>
      <c r="G16" s="603"/>
      <c r="H16" s="604"/>
      <c r="I16" s="607">
        <v>2025</v>
      </c>
      <c r="J16" s="607"/>
    </row>
    <row r="17" spans="1:13" s="3" customFormat="1" ht="5.25" customHeight="1" x14ac:dyDescent="0.2">
      <c r="B17" s="25"/>
      <c r="C17" s="25"/>
      <c r="E17" s="48"/>
      <c r="G17" s="126"/>
      <c r="H17" s="126"/>
    </row>
    <row r="18" spans="1:13" s="3" customFormat="1" ht="5.25" customHeight="1" x14ac:dyDescent="0.2">
      <c r="F18" s="592"/>
      <c r="G18" s="592"/>
      <c r="H18" s="592"/>
      <c r="I18" s="592"/>
      <c r="J18" s="592"/>
    </row>
    <row r="19" spans="1:13" s="3" customFormat="1" ht="5.25" customHeight="1" x14ac:dyDescent="0.2">
      <c r="F19" s="612"/>
      <c r="G19" s="612"/>
      <c r="H19" s="612"/>
      <c r="I19" s="612"/>
      <c r="J19" s="612"/>
      <c r="M19" s="3" t="s">
        <v>352</v>
      </c>
    </row>
    <row r="20" spans="1:13" s="3" customFormat="1" ht="5.25" customHeight="1" x14ac:dyDescent="0.2">
      <c r="B20" s="244"/>
      <c r="C20" s="244"/>
      <c r="D20" s="244"/>
      <c r="E20" s="244"/>
      <c r="F20" s="244"/>
      <c r="G20" s="244"/>
      <c r="H20" s="244"/>
      <c r="I20" s="244"/>
      <c r="J20" s="244"/>
    </row>
    <row r="21" spans="1:13" s="3" customFormat="1" ht="15" customHeight="1" x14ac:dyDescent="0.2">
      <c r="B21" s="591" t="s">
        <v>878</v>
      </c>
      <c r="C21" s="591"/>
      <c r="D21" s="591"/>
      <c r="E21" s="591"/>
      <c r="F21" s="616"/>
      <c r="G21" s="616"/>
      <c r="H21" s="616"/>
      <c r="I21" s="616"/>
      <c r="J21" s="616"/>
    </row>
    <row r="22" spans="1:13" s="3" customFormat="1" ht="15" customHeight="1" x14ac:dyDescent="0.2">
      <c r="B22" s="620"/>
      <c r="C22" s="621"/>
      <c r="D22" s="621"/>
      <c r="E22" s="622"/>
      <c r="F22" s="616"/>
      <c r="G22" s="616"/>
      <c r="H22" s="616"/>
      <c r="I22" s="616"/>
      <c r="J22" s="616"/>
    </row>
    <row r="23" spans="1:13" s="3" customFormat="1" ht="9.9499999999999993" customHeight="1" x14ac:dyDescent="0.2">
      <c r="B23" s="18"/>
      <c r="C23" s="18"/>
      <c r="D23" s="18"/>
      <c r="E23" s="22"/>
      <c r="F23" s="22"/>
      <c r="G23" s="22"/>
      <c r="H23" s="22"/>
      <c r="I23" s="22"/>
      <c r="J23" s="22"/>
    </row>
    <row r="24" spans="1:13" s="3" customFormat="1" ht="15" customHeight="1" x14ac:dyDescent="0.2">
      <c r="B24" s="591" t="s">
        <v>879</v>
      </c>
      <c r="C24" s="591"/>
      <c r="D24" s="591"/>
      <c r="E24" s="591"/>
      <c r="F24" s="617" t="s">
        <v>448</v>
      </c>
      <c r="G24" s="618"/>
      <c r="H24" s="618"/>
      <c r="I24" s="618"/>
      <c r="J24" s="619"/>
    </row>
    <row r="25" spans="1:13" s="3" customFormat="1" ht="15" customHeight="1" x14ac:dyDescent="0.2">
      <c r="B25" s="620"/>
      <c r="C25" s="621"/>
      <c r="D25" s="621"/>
      <c r="E25" s="622"/>
      <c r="F25" s="623" t="s">
        <v>809</v>
      </c>
      <c r="G25" s="624"/>
      <c r="H25" s="624"/>
      <c r="I25" s="624"/>
      <c r="J25" s="625"/>
    </row>
    <row r="26" spans="1:13" s="3" customFormat="1" ht="27" customHeight="1" thickBot="1" x14ac:dyDescent="0.25">
      <c r="B26" s="626"/>
      <c r="C26" s="627"/>
      <c r="D26" s="627"/>
      <c r="E26" s="627"/>
      <c r="F26" s="627"/>
      <c r="G26" s="627"/>
      <c r="H26" s="627"/>
      <c r="I26" s="627"/>
      <c r="J26" s="627"/>
    </row>
    <row r="27" spans="1:13" s="3" customFormat="1" ht="27" customHeight="1" x14ac:dyDescent="0.2">
      <c r="A27" s="7"/>
      <c r="B27" s="561" t="s">
        <v>810</v>
      </c>
      <c r="C27" s="562"/>
      <c r="D27" s="491" t="s">
        <v>812</v>
      </c>
      <c r="E27" s="488" t="s">
        <v>813</v>
      </c>
      <c r="F27" s="488" t="s">
        <v>814</v>
      </c>
      <c r="G27" s="489" t="s">
        <v>815</v>
      </c>
      <c r="H27" s="489" t="s">
        <v>816</v>
      </c>
      <c r="I27" s="489" t="s">
        <v>817</v>
      </c>
      <c r="J27" s="613" t="s">
        <v>818</v>
      </c>
    </row>
    <row r="28" spans="1:13" s="3" customFormat="1" ht="15.75" customHeight="1" x14ac:dyDescent="0.2">
      <c r="A28" s="7"/>
      <c r="B28" s="563"/>
      <c r="C28" s="564"/>
      <c r="D28" s="578" t="s">
        <v>819</v>
      </c>
      <c r="E28" s="580" t="s">
        <v>820</v>
      </c>
      <c r="F28" s="580" t="s">
        <v>821</v>
      </c>
      <c r="G28" s="486" t="s">
        <v>822</v>
      </c>
      <c r="H28" s="582" t="s">
        <v>823</v>
      </c>
      <c r="I28" s="586" t="s">
        <v>824</v>
      </c>
      <c r="J28" s="614"/>
    </row>
    <row r="29" spans="1:13" s="3" customFormat="1" ht="17.25" customHeight="1" x14ac:dyDescent="0.2">
      <c r="A29" s="7"/>
      <c r="B29" s="563"/>
      <c r="C29" s="564"/>
      <c r="D29" s="578"/>
      <c r="E29" s="580"/>
      <c r="F29" s="580"/>
      <c r="G29" s="487" t="s">
        <v>825</v>
      </c>
      <c r="H29" s="582"/>
      <c r="I29" s="586"/>
      <c r="J29" s="614"/>
    </row>
    <row r="30" spans="1:13" s="3" customFormat="1" ht="15" customHeight="1" thickBot="1" x14ac:dyDescent="0.25">
      <c r="A30" s="7"/>
      <c r="B30" s="565"/>
      <c r="C30" s="566"/>
      <c r="D30" s="579"/>
      <c r="E30" s="581"/>
      <c r="F30" s="581"/>
      <c r="G30" s="490" t="s">
        <v>826</v>
      </c>
      <c r="H30" s="583"/>
      <c r="I30" s="587"/>
      <c r="J30" s="615"/>
    </row>
    <row r="31" spans="1:13" s="3" customFormat="1" ht="39" customHeight="1" x14ac:dyDescent="0.2">
      <c r="B31" s="584" t="s">
        <v>811</v>
      </c>
      <c r="C31" s="585"/>
      <c r="D31" s="484"/>
      <c r="E31" s="484"/>
      <c r="F31" s="484"/>
      <c r="G31" s="484"/>
      <c r="H31" s="484"/>
      <c r="I31" s="484"/>
      <c r="J31" s="485" t="str">
        <f>IF(AND(D31="",E31="",F31="",G31="",H31="",I31=""),"",SUM(D31:I31))</f>
        <v/>
      </c>
    </row>
    <row r="32" spans="1:13" s="3" customFormat="1" ht="63.75" customHeight="1" thickBot="1" x14ac:dyDescent="0.25">
      <c r="A32" s="7"/>
      <c r="B32" s="576" t="s">
        <v>952</v>
      </c>
      <c r="C32" s="577"/>
      <c r="D32" s="432"/>
      <c r="E32" s="433"/>
      <c r="F32" s="433"/>
      <c r="G32" s="433"/>
      <c r="H32" s="432"/>
      <c r="I32" s="432"/>
      <c r="J32" s="434" t="str">
        <f>IF(AND(D32="",E32="",F32="",G32="",H32="",I32=""),"",SUM(D32:I32))</f>
        <v/>
      </c>
    </row>
    <row r="33" spans="1:10" s="3" customFormat="1" ht="10.5" customHeight="1" thickBot="1" x14ac:dyDescent="0.25">
      <c r="A33" s="7"/>
      <c r="B33" s="123"/>
      <c r="C33" s="123"/>
      <c r="D33" s="120"/>
      <c r="E33" s="121"/>
      <c r="F33" s="121"/>
      <c r="G33" s="121"/>
      <c r="H33" s="120"/>
      <c r="I33" s="48"/>
      <c r="J33" s="36"/>
    </row>
    <row r="34" spans="1:10" s="3" customFormat="1" ht="28.5" customHeight="1" x14ac:dyDescent="0.2">
      <c r="A34" s="7"/>
      <c r="B34" s="567" t="s">
        <v>832</v>
      </c>
      <c r="C34" s="568"/>
      <c r="D34" s="568"/>
      <c r="E34" s="568"/>
      <c r="F34" s="568"/>
      <c r="G34" s="568"/>
      <c r="H34" s="568"/>
      <c r="I34" s="569"/>
      <c r="J34" s="435"/>
    </row>
    <row r="35" spans="1:10" s="3" customFormat="1" ht="28.5" customHeight="1" thickBot="1" x14ac:dyDescent="0.25">
      <c r="A35" s="7"/>
      <c r="B35" s="570" t="s">
        <v>827</v>
      </c>
      <c r="C35" s="571"/>
      <c r="D35" s="571"/>
      <c r="E35" s="571"/>
      <c r="F35" s="571"/>
      <c r="G35" s="571"/>
      <c r="H35" s="571"/>
      <c r="I35" s="572"/>
      <c r="J35" s="436"/>
    </row>
    <row r="36" spans="1:10" s="3" customFormat="1" ht="10.5" customHeight="1" thickBot="1" x14ac:dyDescent="0.25">
      <c r="A36" s="7"/>
      <c r="B36" s="123"/>
      <c r="C36" s="123"/>
      <c r="D36" s="120"/>
      <c r="E36" s="121"/>
      <c r="F36" s="121"/>
      <c r="G36" s="121"/>
      <c r="H36" s="120"/>
      <c r="I36" s="48"/>
      <c r="J36" s="36"/>
    </row>
    <row r="37" spans="1:10" s="3" customFormat="1" ht="28.5" customHeight="1" x14ac:dyDescent="0.2">
      <c r="A37" s="7"/>
      <c r="B37" s="567" t="s">
        <v>828</v>
      </c>
      <c r="C37" s="568"/>
      <c r="D37" s="568"/>
      <c r="E37" s="568"/>
      <c r="F37" s="568"/>
      <c r="G37" s="568"/>
      <c r="H37" s="568"/>
      <c r="I37" s="569"/>
      <c r="J37" s="454" t="str">
        <f>IF(AND(J31="",J34=""),"",SUM(J31,J34))</f>
        <v/>
      </c>
    </row>
    <row r="38" spans="1:10" s="3" customFormat="1" ht="28.5" customHeight="1" thickBot="1" x14ac:dyDescent="0.25">
      <c r="A38" s="7"/>
      <c r="B38" s="570" t="s">
        <v>829</v>
      </c>
      <c r="C38" s="571"/>
      <c r="D38" s="571"/>
      <c r="E38" s="571"/>
      <c r="F38" s="571"/>
      <c r="G38" s="571"/>
      <c r="H38" s="571"/>
      <c r="I38" s="572"/>
      <c r="J38" s="455" t="str">
        <f>IF(AND(J32="",J35=""),"",SUM(J32,J35))</f>
        <v/>
      </c>
    </row>
    <row r="39" spans="1:10" s="3" customFormat="1" ht="10.5" customHeight="1" thickBot="1" x14ac:dyDescent="0.25">
      <c r="A39" s="7"/>
      <c r="B39" s="422"/>
      <c r="C39" s="422"/>
      <c r="D39" s="422"/>
      <c r="E39" s="422"/>
      <c r="F39" s="422"/>
      <c r="G39" s="422"/>
      <c r="H39" s="422"/>
      <c r="I39" s="422"/>
      <c r="J39" s="36"/>
    </row>
    <row r="40" spans="1:10" s="3" customFormat="1" ht="28.5" customHeight="1" thickBot="1" x14ac:dyDescent="0.25">
      <c r="B40" s="573" t="s">
        <v>830</v>
      </c>
      <c r="C40" s="574"/>
      <c r="D40" s="574"/>
      <c r="E40" s="574"/>
      <c r="F40" s="574"/>
      <c r="G40" s="574"/>
      <c r="H40" s="574"/>
      <c r="I40" s="575"/>
      <c r="J40" s="440"/>
    </row>
    <row r="41" spans="1:10" customFormat="1" ht="10.5" customHeight="1" x14ac:dyDescent="0.25"/>
    <row r="42" spans="1:10" s="3" customFormat="1" ht="21.75" customHeight="1" x14ac:dyDescent="0.2">
      <c r="B42" s="560" t="s">
        <v>1402</v>
      </c>
      <c r="C42" s="560"/>
      <c r="D42" s="560"/>
      <c r="E42" s="560"/>
      <c r="F42" s="560"/>
      <c r="G42" s="560"/>
      <c r="H42" s="560"/>
      <c r="I42" s="560"/>
      <c r="J42" s="560"/>
    </row>
    <row r="43" spans="1:10" s="3" customFormat="1" ht="32.25" customHeight="1" x14ac:dyDescent="0.2">
      <c r="B43" s="560" t="s">
        <v>831</v>
      </c>
      <c r="C43" s="560"/>
      <c r="D43" s="560"/>
      <c r="E43" s="560"/>
      <c r="F43" s="560"/>
      <c r="G43" s="560"/>
      <c r="H43" s="560"/>
      <c r="I43" s="560"/>
      <c r="J43" s="560"/>
    </row>
    <row r="44" spans="1:10" ht="7.5" customHeight="1" x14ac:dyDescent="0.2">
      <c r="B44" s="560"/>
      <c r="C44" s="560"/>
      <c r="D44" s="560"/>
      <c r="E44" s="560"/>
      <c r="F44" s="560"/>
      <c r="G44" s="560"/>
      <c r="H44" s="560"/>
      <c r="I44" s="560"/>
      <c r="J44" s="560"/>
    </row>
    <row r="45" spans="1:10" ht="12" customHeight="1" x14ac:dyDescent="0.2">
      <c r="B45" s="560"/>
      <c r="C45" s="560"/>
      <c r="D45" s="560"/>
      <c r="E45" s="560"/>
      <c r="F45" s="560"/>
      <c r="G45" s="560"/>
      <c r="H45" s="560"/>
      <c r="I45" s="560"/>
      <c r="J45" s="560"/>
    </row>
    <row r="46" spans="1:10" ht="12" customHeight="1" x14ac:dyDescent="0.2">
      <c r="B46" s="560"/>
      <c r="C46" s="560"/>
      <c r="D46" s="560"/>
      <c r="E46" s="560"/>
      <c r="F46" s="560"/>
      <c r="G46" s="560"/>
      <c r="H46" s="560"/>
      <c r="I46" s="560"/>
      <c r="J46" s="560"/>
    </row>
    <row r="47" spans="1:10" x14ac:dyDescent="0.2">
      <c r="B47" s="560"/>
      <c r="C47" s="560"/>
      <c r="D47" s="560"/>
      <c r="E47" s="560"/>
      <c r="F47" s="560"/>
      <c r="G47" s="560"/>
      <c r="H47" s="560"/>
      <c r="I47" s="560"/>
      <c r="J47" s="560"/>
    </row>
    <row r="48" spans="1:10" x14ac:dyDescent="0.2">
      <c r="B48" s="560"/>
      <c r="C48" s="560"/>
      <c r="D48" s="560"/>
      <c r="E48" s="560"/>
      <c r="F48" s="560"/>
      <c r="G48" s="560"/>
      <c r="H48" s="560"/>
      <c r="I48" s="560"/>
      <c r="J48" s="560"/>
    </row>
    <row r="49" spans="2:13" x14ac:dyDescent="0.2">
      <c r="B49" s="560"/>
      <c r="C49" s="560"/>
      <c r="D49" s="560"/>
      <c r="E49" s="560"/>
      <c r="F49" s="560"/>
      <c r="G49" s="560"/>
      <c r="H49" s="560"/>
      <c r="I49" s="560"/>
      <c r="J49" s="560"/>
    </row>
    <row r="50" spans="2:13" ht="10.5" customHeight="1" x14ac:dyDescent="0.2">
      <c r="B50" s="560"/>
      <c r="C50" s="560"/>
      <c r="D50" s="560"/>
      <c r="E50" s="560"/>
      <c r="F50" s="560"/>
      <c r="G50" s="560"/>
      <c r="H50" s="560"/>
      <c r="I50" s="560"/>
      <c r="J50" s="560"/>
    </row>
    <row r="51" spans="2:13" ht="6" customHeight="1" x14ac:dyDescent="0.2">
      <c r="B51" s="560"/>
      <c r="C51" s="560"/>
      <c r="D51" s="560"/>
      <c r="E51" s="560"/>
      <c r="F51" s="560"/>
      <c r="G51" s="560"/>
      <c r="H51" s="560"/>
      <c r="I51" s="560"/>
      <c r="J51" s="560"/>
    </row>
    <row r="52" spans="2:13" ht="11.25" customHeight="1" x14ac:dyDescent="0.2">
      <c r="B52" s="560"/>
      <c r="C52" s="560"/>
      <c r="D52" s="560"/>
      <c r="E52" s="560"/>
      <c r="F52" s="560"/>
      <c r="G52" s="560"/>
      <c r="H52" s="560"/>
      <c r="I52" s="560"/>
      <c r="J52" s="560"/>
    </row>
    <row r="53" spans="2:13" ht="14.25" hidden="1" customHeight="1" x14ac:dyDescent="0.2">
      <c r="B53" s="560"/>
      <c r="C53" s="560"/>
      <c r="D53" s="560"/>
      <c r="E53" s="560"/>
      <c r="F53" s="560"/>
      <c r="G53" s="560"/>
      <c r="H53" s="560"/>
      <c r="I53" s="560"/>
      <c r="J53" s="560"/>
    </row>
    <row r="54" spans="2:13" ht="14.25" hidden="1" customHeight="1" x14ac:dyDescent="0.2">
      <c r="B54" s="560"/>
      <c r="C54" s="560"/>
      <c r="D54" s="560"/>
      <c r="E54" s="560"/>
      <c r="F54" s="560"/>
      <c r="G54" s="560"/>
      <c r="H54" s="560"/>
      <c r="I54" s="560"/>
      <c r="J54" s="560"/>
    </row>
    <row r="55" spans="2:13" ht="14.25" hidden="1" customHeight="1" x14ac:dyDescent="0.2">
      <c r="B55" s="560"/>
      <c r="C55" s="560"/>
      <c r="D55" s="560"/>
      <c r="E55" s="560"/>
      <c r="F55" s="560"/>
      <c r="G55" s="560"/>
      <c r="H55" s="560"/>
      <c r="I55" s="560"/>
      <c r="J55" s="560"/>
    </row>
    <row r="56" spans="2:13" ht="14.25" hidden="1" customHeight="1" x14ac:dyDescent="0.2">
      <c r="B56" s="560"/>
      <c r="C56" s="560"/>
      <c r="D56" s="560"/>
      <c r="E56" s="560"/>
      <c r="F56" s="560"/>
      <c r="G56" s="560"/>
      <c r="H56" s="560"/>
      <c r="I56" s="560"/>
      <c r="J56" s="560"/>
    </row>
    <row r="57" spans="2:13" ht="14.25" hidden="1" customHeight="1" x14ac:dyDescent="0.2">
      <c r="B57" s="560"/>
      <c r="C57" s="560"/>
      <c r="D57" s="560"/>
      <c r="E57" s="560"/>
      <c r="F57" s="560"/>
      <c r="G57" s="560"/>
      <c r="H57" s="560"/>
      <c r="I57" s="560"/>
      <c r="J57" s="560"/>
    </row>
    <row r="58" spans="2:13" ht="14.25" hidden="1" customHeight="1" x14ac:dyDescent="0.2">
      <c r="B58" s="560"/>
      <c r="C58" s="560"/>
      <c r="D58" s="560"/>
      <c r="E58" s="560"/>
      <c r="F58" s="560"/>
      <c r="G58" s="560"/>
      <c r="H58" s="560"/>
      <c r="I58" s="560"/>
      <c r="J58" s="560"/>
    </row>
    <row r="59" spans="2:13" ht="14.25" hidden="1" customHeight="1" x14ac:dyDescent="0.2">
      <c r="B59" s="560"/>
      <c r="C59" s="560"/>
      <c r="D59" s="560"/>
      <c r="E59" s="560"/>
      <c r="F59" s="560"/>
      <c r="G59" s="560"/>
      <c r="H59" s="560"/>
      <c r="I59" s="560"/>
      <c r="J59" s="560"/>
    </row>
    <row r="60" spans="2:13" x14ac:dyDescent="0.2">
      <c r="B60" s="456" t="s">
        <v>910</v>
      </c>
      <c r="C60" s="9"/>
      <c r="M60" s="8"/>
    </row>
    <row r="61" spans="2:13" ht="26.25" customHeight="1" x14ac:dyDescent="0.2">
      <c r="B61" s="559" t="s">
        <v>940</v>
      </c>
      <c r="C61" s="559"/>
      <c r="D61" s="559"/>
      <c r="E61" s="559"/>
      <c r="F61" s="559"/>
      <c r="G61" s="559"/>
      <c r="H61" s="559"/>
      <c r="I61" s="559"/>
      <c r="J61" s="559"/>
      <c r="K61" s="559"/>
      <c r="L61" s="559"/>
      <c r="M61" s="559"/>
    </row>
    <row r="67" spans="2:9" hidden="1" x14ac:dyDescent="0.2">
      <c r="B67" s="191" t="str">
        <f>Berechnung1!C22</f>
        <v>Primärfälle</v>
      </c>
      <c r="C67" s="191" t="str">
        <f>Berechnung1!D22</f>
        <v>IA</v>
      </c>
      <c r="D67" s="191" t="str">
        <f>Berechnung1!E22</f>
        <v>IB</v>
      </c>
      <c r="E67" s="191" t="str">
        <f>Berechnung1!F22</f>
        <v>IIA</v>
      </c>
      <c r="F67" s="191" t="str">
        <f>Berechnung1!G22</f>
        <v>IIB</v>
      </c>
      <c r="G67" s="191" t="str">
        <f>Berechnung1!H22</f>
        <v>III</v>
      </c>
      <c r="H67" s="191" t="str">
        <f>Berechnung1!I22</f>
        <v>IV</v>
      </c>
      <c r="I67" s="191" t="str">
        <f>Berechnung1!J22</f>
        <v>Gesamt</v>
      </c>
    </row>
    <row r="68" spans="2:9" hidden="1" x14ac:dyDescent="0.2">
      <c r="B68" s="191" t="str">
        <f>Berechnung1!C23</f>
        <v>Primärfälle</v>
      </c>
      <c r="C68" s="191">
        <f>Berechnung1!D23</f>
        <v>0</v>
      </c>
      <c r="D68" s="191">
        <f>Berechnung1!E23</f>
        <v>0</v>
      </c>
      <c r="E68" s="191">
        <f>Berechnung1!F23</f>
        <v>0</v>
      </c>
      <c r="F68" s="191">
        <f>Berechnung1!G23</f>
        <v>0</v>
      </c>
      <c r="G68" s="191">
        <f>Berechnung1!H23</f>
        <v>0</v>
      </c>
      <c r="H68" s="191">
        <f>Berechnung1!I23</f>
        <v>0</v>
      </c>
      <c r="I68" s="191" t="str">
        <f>Berechnung1!J23</f>
        <v/>
      </c>
    </row>
    <row r="69" spans="2:9" hidden="1" x14ac:dyDescent="0.2">
      <c r="B69" s="191" t="str">
        <f>Berechnung1!C24</f>
        <v>Operierte Primärfälle</v>
      </c>
      <c r="C69" s="191">
        <f>Berechnung1!D24</f>
        <v>0</v>
      </c>
      <c r="D69" s="191">
        <f>Berechnung1!E24</f>
        <v>0</v>
      </c>
      <c r="E69" s="191">
        <f>Berechnung1!F24</f>
        <v>0</v>
      </c>
      <c r="F69" s="191">
        <f>Berechnung1!G24</f>
        <v>0</v>
      </c>
      <c r="G69" s="191">
        <f>Berechnung1!H24</f>
        <v>0</v>
      </c>
      <c r="H69" s="191">
        <f>Berechnung1!I24</f>
        <v>0</v>
      </c>
      <c r="I69" s="191" t="str">
        <f>Berechnung1!J24</f>
        <v/>
      </c>
    </row>
    <row r="70" spans="2:9" hidden="1" x14ac:dyDescent="0.2">
      <c r="B70" s="191" t="str">
        <f>Berechnung1!C25</f>
        <v>Operative Expertise</v>
      </c>
      <c r="C70" s="191">
        <f>Berechnung1!D25</f>
        <v>0</v>
      </c>
      <c r="D70" s="191">
        <f>Berechnung1!E25</f>
        <v>0</v>
      </c>
      <c r="E70" s="191">
        <f>Berechnung1!F25</f>
        <v>0</v>
      </c>
      <c r="F70" s="191">
        <f>Berechnung1!G25</f>
        <v>0</v>
      </c>
      <c r="G70" s="191">
        <f>Berechnung1!H25</f>
        <v>0</v>
      </c>
      <c r="H70" s="191">
        <f>Berechnung1!I25</f>
        <v>0</v>
      </c>
      <c r="I70" s="191">
        <f>Berechnung1!J25</f>
        <v>0</v>
      </c>
    </row>
  </sheetData>
  <sheetProtection algorithmName="SHA-512" hashValue="ufhLns9g00ckfnoN4+l1NSzri7qqd2E6S9z4JpnkyqlDXhjieCNKQT2ZF5UEPc5bF+Fa6sSnh0wGmOJM1FOEvg==" saltValue="dCNKV1Y2ne95OBb7k7zDPQ==" spinCount="100000" sheet="1" objects="1" scenarios="1" selectLockedCells="1"/>
  <dataConsolidate/>
  <customSheetViews>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42">
    <mergeCell ref="F19:J19"/>
    <mergeCell ref="J27:J30"/>
    <mergeCell ref="F21:J21"/>
    <mergeCell ref="F22:J22"/>
    <mergeCell ref="B24:E24"/>
    <mergeCell ref="F24:J24"/>
    <mergeCell ref="B25:E25"/>
    <mergeCell ref="F25:J25"/>
    <mergeCell ref="B26:J26"/>
    <mergeCell ref="B22:E22"/>
    <mergeCell ref="C6:E6"/>
    <mergeCell ref="B21:E21"/>
    <mergeCell ref="F18:J18"/>
    <mergeCell ref="I12:J12"/>
    <mergeCell ref="F12:H12"/>
    <mergeCell ref="C8:J8"/>
    <mergeCell ref="C10:J10"/>
    <mergeCell ref="C12:E12"/>
    <mergeCell ref="F14:H14"/>
    <mergeCell ref="F16:H16"/>
    <mergeCell ref="H6:J6"/>
    <mergeCell ref="I14:J14"/>
    <mergeCell ref="I16:J16"/>
    <mergeCell ref="C14:E14"/>
    <mergeCell ref="C16:E16"/>
    <mergeCell ref="B11:B12"/>
    <mergeCell ref="B61:M61"/>
    <mergeCell ref="B42:J42"/>
    <mergeCell ref="B27:C30"/>
    <mergeCell ref="B34:I34"/>
    <mergeCell ref="B35:I35"/>
    <mergeCell ref="B37:I37"/>
    <mergeCell ref="B38:I38"/>
    <mergeCell ref="B43:J59"/>
    <mergeCell ref="B40:I40"/>
    <mergeCell ref="B32:C32"/>
    <mergeCell ref="D28:D30"/>
    <mergeCell ref="E28:E30"/>
    <mergeCell ref="F28:F30"/>
    <mergeCell ref="H28:H30"/>
    <mergeCell ref="B31:C31"/>
    <mergeCell ref="I28:I30"/>
  </mergeCells>
  <phoneticPr fontId="42" type="noConversion"/>
  <conditionalFormatting sqref="B22:E22">
    <cfRule type="expression" dxfId="148" priority="6">
      <formula>LEN(TRIM(B22))=0</formula>
    </cfRule>
  </conditionalFormatting>
  <conditionalFormatting sqref="B25:E25">
    <cfRule type="expression" dxfId="147" priority="23">
      <formula>LEN(TRIM(B25))=0</formula>
    </cfRule>
  </conditionalFormatting>
  <conditionalFormatting sqref="C6">
    <cfRule type="expression" dxfId="146" priority="29">
      <formula>LEN(TRIM(C6))=0</formula>
    </cfRule>
  </conditionalFormatting>
  <conditionalFormatting sqref="C8">
    <cfRule type="expression" dxfId="145" priority="8">
      <formula>LEN(TRIM(C8))=0</formula>
    </cfRule>
  </conditionalFormatting>
  <conditionalFormatting sqref="C10">
    <cfRule type="expression" dxfId="144" priority="7">
      <formula>LEN(TRIM(C10))=0</formula>
    </cfRule>
  </conditionalFormatting>
  <conditionalFormatting sqref="C12">
    <cfRule type="expression" dxfId="143" priority="28">
      <formula>LEN(TRIM(C12))=0</formula>
    </cfRule>
  </conditionalFormatting>
  <conditionalFormatting sqref="C14">
    <cfRule type="expression" dxfId="142" priority="2">
      <formula>LEN(TRIM(C14))=0</formula>
    </cfRule>
  </conditionalFormatting>
  <conditionalFormatting sqref="C16">
    <cfRule type="expression" dxfId="141" priority="4">
      <formula>LEN(TRIM(C16))=0</formula>
    </cfRule>
  </conditionalFormatting>
  <conditionalFormatting sqref="C12:E12">
    <cfRule type="expression" dxfId="140" priority="3">
      <formula>$B$22&lt;&gt;"Germany"</formula>
    </cfRule>
  </conditionalFormatting>
  <conditionalFormatting sqref="C14:E14">
    <cfRule type="expression" dxfId="139" priority="1">
      <formula>$B$22&lt;&gt;"Germany"</formula>
    </cfRule>
  </conditionalFormatting>
  <conditionalFormatting sqref="D31:I32">
    <cfRule type="expression" dxfId="138" priority="11">
      <formula>LEN(TRIM(D31))=0</formula>
    </cfRule>
  </conditionalFormatting>
  <conditionalFormatting sqref="I12:J12">
    <cfRule type="expression" dxfId="137" priority="27">
      <formula>LEN(TRIM(I12))=0</formula>
    </cfRule>
  </conditionalFormatting>
  <conditionalFormatting sqref="J34:J35">
    <cfRule type="expression" dxfId="136" priority="9">
      <formula>LEN(TRIM(J34))=0</formula>
    </cfRule>
  </conditionalFormatting>
  <conditionalFormatting sqref="J40">
    <cfRule type="expression" dxfId="135" priority="10">
      <formula>LEN(TRIM(J40))=0</formula>
    </cfRule>
  </conditionalFormatting>
  <dataValidations xWindow="315" yWindow="383" count="16">
    <dataValidation allowBlank="1" showInputMessage="1" showErrorMessage="1" errorTitle="Eingabefehler" sqref="I14 I16" xr:uid="{00000000-0002-0000-0000-000000000000}"/>
    <dataValidation showInputMessage="1" showErrorMessage="1" sqref="B20" xr:uid="{00000000-0002-0000-0000-000002000000}"/>
    <dataValidation type="date" errorStyle="information" allowBlank="1" showInputMessage="1" showErrorMessage="1" errorTitle="Kennzahlenjahr" error="Es können nur Kennzahlenjahre von 2012 bis 2014 eingetragen werden." sqref="G17:H17" xr:uid="{00000000-0002-0000-0000-000003000000}">
      <formula1>2010</formula1>
      <formula2>2012</formula2>
    </dataValidation>
    <dataValidation allowBlank="1" showInputMessage="1" showErrorMessage="1" errorTitle="Hinweis" error="Auswahl treffen über Dropdown-Liste." sqref="F19:J19 F22:J22" xr:uid="{00000000-0002-0000-0000-000004000000}"/>
    <dataValidation type="date" allowBlank="1" showErrorMessage="1" errorTitle="Input data error" error="Format: dd.mm.yyyy_x000a__x000a_Time period between 01.10.2025 - 31.01.2027." sqref="I12:J12" xr:uid="{00000000-0002-0000-0000-000005000000}">
      <formula1>45931</formula1>
      <formula2>46418</formula2>
    </dataValidation>
    <dataValidation type="list" showInputMessage="1" showErrorMessage="1" errorTitle="Input data error" error="Please make a selection via drop-down list." sqref="B25:E25" xr:uid="{00000000-0002-0000-0000-000006000000}">
      <formula1>Tumordokumentation</formula1>
    </dataValidation>
    <dataValidation type="whole" allowBlank="1" showInputMessage="1" showErrorMessage="1" errorTitle="Input data error" error="1. Whole number between 0 and 5000._x000a_2. Number of surgical primary cases cannot be greater than the number of primary cases.                  " sqref="E32:I32" xr:uid="{00000000-0002-0000-0000-000007000000}">
      <formula1>0</formula1>
      <formula2>D68</formula2>
    </dataValidation>
    <dataValidation type="whole" allowBlank="1" showInputMessage="1" showErrorMessage="1" errorTitle="Eingabefehler" error="1. Ganze Zahl zwischen 0 und 5000 eingeben._x000a_2. Operative Expertise- Anzahl Pankreasresektionen kann nicht kleiner sein als Anzahl Operative Primärfälle." sqref="J41" xr:uid="{00000000-0002-0000-0000-000008000000}">
      <formula1>I70</formula1>
      <formula2>5000</formula2>
    </dataValidation>
    <dataValidation type="whole" allowBlank="1" showInputMessage="1" showErrorMessage="1" errorTitle="Input data error" error="1. Whole number between 0 and 5000._x000a_2. Number of primary cases cannot be smaller than the number of surgical primary cases. " sqref="D31:I31" xr:uid="{00000000-0002-0000-0000-000009000000}">
      <formula1>C69</formula1>
      <formula2>5000</formula2>
    </dataValidation>
    <dataValidation type="textLength" allowBlank="1" showErrorMessage="1" errorTitle="Input data error" error="Text up to 100 characters." prompt="Name Vorname" sqref="C16:E16" xr:uid="{00000000-0002-0000-0000-00000A000000}">
      <formula1>0</formula1>
      <formula2>100</formula2>
    </dataValidation>
    <dataValidation type="whole" allowBlank="1" showInputMessage="1" showErrorMessage="1" errorTitle="Input data error" error="Whole number between 0 and 5000." sqref="J34" xr:uid="{00000000-0002-0000-0000-00000B000000}">
      <formula1>0</formula1>
      <formula2>5000</formula2>
    </dataValidation>
    <dataValidation type="whole" allowBlank="1" showInputMessage="1" showErrorMessage="1" errorTitle="Input data error" error="1. Whole number between 0 and 5000._x000a_2. Number of „of which surgical primary cases NET and NEC” cannot be greater than the number of “Primary cases of neuroendocrine tumours (NETs) and neuroendocrine carcinomas (NECs)”.       " sqref="J35" xr:uid="{00000000-0002-0000-0000-00000C000000}">
      <formula1>0</formula1>
      <formula2>J34</formula2>
    </dataValidation>
    <dataValidation type="whole" allowBlank="1" showInputMessage="1" showErrorMessage="1" errorTitle="Input data error" error="1. Whole number between 0 and 5000._x000a_2. Surgical expertise - Number of pancreatic resections cannot be smaller than the number of Surgical Primary Cases. " sqref="J40" xr:uid="{00000000-0002-0000-0000-00000D000000}">
      <formula1>I69</formula1>
      <formula2>5000</formula2>
    </dataValidation>
    <dataValidation type="whole" allowBlank="1" showInputMessage="1" showErrorMessage="1" errorTitle="Input data error" error="1. Whole number between 0 and 5000._x000a_2. Number of surgical primary cases cannot be greater than the number of primary cases. " sqref="D32" xr:uid="{00000000-0002-0000-0000-00000E000000}">
      <formula1>0</formula1>
      <formula2>C68</formula2>
    </dataValidation>
    <dataValidation type="whole" allowBlank="1" showErrorMessage="1" errorTitle="Input data error" error="The Institution identification (II) number must be a 9-digit sequence of numbers beginning with 26." prompt="Name Vorname" sqref="C12:E12" xr:uid="{A971FFE5-4041-4054-BC43-D752ED8DB3C1}">
      <formula1>260000000</formula1>
      <formula2>269999999</formula2>
    </dataValidation>
    <dataValidation type="whole" allowBlank="1" showErrorMessage="1" errorTitle="Input data error" error="The Clinical sites number must be a 9-digit sequence of numbers beginning with 77." prompt="Name Vorname" sqref="C14:E14" xr:uid="{08BCE580-74E0-449C-A23B-CDF752737E51}">
      <formula1>770000000</formula1>
      <formula2>779999999</formula2>
    </dataValidation>
  </dataValidations>
  <pageMargins left="0.59055118110236227" right="3.937007874015748E-2" top="0.39370078740157483" bottom="0.39370078740157483" header="0.11811023622047245" footer="0.11811023622047245"/>
  <pageSetup paperSize="9" scale="91" orientation="portrait" r:id="rId3"/>
  <headerFooter>
    <oddFooter>&amp;L&amp;"Arial,Regular"&amp;7&amp;F&amp;C&amp;"Arial,Regular"&amp;7© DKG  All rights reserved&amp;R&amp;"Arial,Regular"&amp;7&amp;P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legacyDrawingHF r:id="rId6"/>
  <extLst>
    <ext xmlns:x14="http://schemas.microsoft.com/office/spreadsheetml/2009/9/main" uri="{CCE6A557-97BC-4b89-ADB6-D9C93CAAB3DF}">
      <x14:dataValidations xmlns:xm="http://schemas.microsoft.com/office/excel/2006/main" xWindow="315" yWindow="383" count="2">
        <x14:dataValidation type="list" allowBlank="1" showInputMessage="1" showErrorMessage="1" errorTitle="Input data error" error="Please make a selection via drop-down list." xr:uid="{00000000-0002-0000-0000-00000F000000}">
          <x14:formula1>
            <xm:f>Datenquelle!$A$286</xm:f>
          </x14:formula1>
          <xm:sqref>C6:E6</xm:sqref>
        </x14:dataValidation>
        <x14:dataValidation type="list" showInputMessage="1" showErrorMessage="1" errorTitle="Input data error" error="Please make a selection via drop-down list." xr:uid="{00000000-0002-0000-0000-000010000000}">
          <x14:formula1>
            <xm:f>Datenquelle!$A$313:$A$508</xm:f>
          </x14:formula1>
          <xm:sqref>B22:E22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2"/>
  <dimension ref="A2:O143"/>
  <sheetViews>
    <sheetView zoomScaleNormal="100" workbookViewId="0">
      <selection activeCell="H17" sqref="H17"/>
    </sheetView>
  </sheetViews>
  <sheetFormatPr defaultColWidth="11.42578125" defaultRowHeight="15" x14ac:dyDescent="0.25"/>
  <cols>
    <col min="1" max="1" width="9.140625" customWidth="1"/>
    <col min="2" max="2" width="23.5703125" customWidth="1"/>
    <col min="3" max="3" width="23"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27"/>
    </row>
    <row r="3" spans="1:15" s="2" customFormat="1" x14ac:dyDescent="0.25">
      <c r="C3" s="27"/>
      <c r="D3" s="68" t="s">
        <v>73</v>
      </c>
      <c r="M3" s="19"/>
      <c r="N3" s="19"/>
      <c r="O3" s="19"/>
    </row>
    <row r="4" spans="1:15" s="2" customFormat="1" ht="26.25" customHeight="1" x14ac:dyDescent="0.2">
      <c r="A4" s="69" t="s">
        <v>79</v>
      </c>
      <c r="C4" s="67" t="s">
        <v>882</v>
      </c>
      <c r="D4" s="67" t="s">
        <v>833</v>
      </c>
      <c r="E4" s="67" t="s">
        <v>834</v>
      </c>
      <c r="F4" s="67" t="s">
        <v>836</v>
      </c>
      <c r="G4" s="67" t="s">
        <v>835</v>
      </c>
      <c r="H4" s="67" t="s">
        <v>909</v>
      </c>
      <c r="I4" s="67" t="s">
        <v>8</v>
      </c>
      <c r="K4" s="6" t="s">
        <v>908</v>
      </c>
      <c r="M4" s="19"/>
      <c r="N4" s="19"/>
      <c r="O4" s="19"/>
    </row>
    <row r="5" spans="1:15" s="2" customFormat="1" ht="14.25" x14ac:dyDescent="0.2">
      <c r="A5" s="38"/>
      <c r="C5" s="66">
        <f>COUNTIF('Indicator sheet'!$S$9:$S$72,C4)</f>
        <v>0</v>
      </c>
      <c r="D5" s="66">
        <f>COUNTIF('Indicator sheet'!$S$9:$S$72,D4)</f>
        <v>0</v>
      </c>
      <c r="E5" s="66">
        <f>COUNTIF('Indicator sheet'!$S$9:$S$72,E4)</f>
        <v>0</v>
      </c>
      <c r="F5" s="66">
        <f>COUNTIF('Indicator sheet'!$S$9:$S$72,F4)</f>
        <v>21</v>
      </c>
      <c r="G5" s="66">
        <f>COUNTIF('Indicator sheet'!$S$9:$S$72,G4)</f>
        <v>0</v>
      </c>
      <c r="H5" s="40">
        <f>COUNTIF('Indicator sheet'!$S$9:$S$72,H4)</f>
        <v>0</v>
      </c>
      <c r="I5" s="66">
        <f>SUM(C5:G5)</f>
        <v>21</v>
      </c>
      <c r="K5" s="6">
        <f>D5+H5</f>
        <v>0</v>
      </c>
      <c r="M5" s="19"/>
      <c r="N5" s="19"/>
      <c r="O5" s="19"/>
    </row>
    <row r="6" spans="1:15" s="2" customFormat="1" ht="14.25" x14ac:dyDescent="0.2">
      <c r="A6" s="38"/>
      <c r="C6" s="66"/>
      <c r="D6" s="66">
        <f>C5+D5+H5</f>
        <v>0</v>
      </c>
      <c r="E6" s="66">
        <f>E5</f>
        <v>0</v>
      </c>
      <c r="F6" s="66"/>
      <c r="G6" s="66">
        <f>F5+G5</f>
        <v>21</v>
      </c>
      <c r="H6" s="40"/>
      <c r="I6" s="66">
        <f>SUM(C6:G6)</f>
        <v>21</v>
      </c>
      <c r="K6" s="6"/>
      <c r="M6" s="19"/>
      <c r="N6" s="19"/>
      <c r="O6" s="19"/>
    </row>
    <row r="7" spans="1:15" s="2" customFormat="1" ht="14.25" x14ac:dyDescent="0.2">
      <c r="A7" s="38"/>
      <c r="B7" s="2" t="s">
        <v>404</v>
      </c>
      <c r="C7" s="66"/>
      <c r="D7" s="66"/>
      <c r="E7" s="66">
        <f>D6+E6</f>
        <v>0</v>
      </c>
      <c r="F7" s="66"/>
      <c r="G7" s="66">
        <f>G6</f>
        <v>21</v>
      </c>
      <c r="H7" s="40"/>
      <c r="I7" s="66">
        <f>SUM(C7:G7)</f>
        <v>21</v>
      </c>
      <c r="K7" s="6"/>
      <c r="M7" s="19"/>
      <c r="N7" s="19"/>
      <c r="O7" s="19"/>
    </row>
    <row r="8" spans="1:15" s="2" customFormat="1" ht="14.25" x14ac:dyDescent="0.2">
      <c r="A8" s="38"/>
      <c r="B8" s="425">
        <v>21</v>
      </c>
      <c r="C8" s="403">
        <f t="shared" ref="C8:H8" si="0">ROUND(C5/$B$8,4)</f>
        <v>0</v>
      </c>
      <c r="D8" s="403">
        <f t="shared" si="0"/>
        <v>0</v>
      </c>
      <c r="E8" s="403">
        <f t="shared" si="0"/>
        <v>0</v>
      </c>
      <c r="F8" s="403">
        <f t="shared" si="0"/>
        <v>1</v>
      </c>
      <c r="G8" s="403">
        <f t="shared" si="0"/>
        <v>0</v>
      </c>
      <c r="H8" s="452">
        <f t="shared" si="0"/>
        <v>0</v>
      </c>
      <c r="I8" s="403"/>
      <c r="K8" s="453">
        <f>D8+H8</f>
        <v>0</v>
      </c>
      <c r="M8" s="19"/>
      <c r="N8" s="19"/>
      <c r="O8" s="19"/>
    </row>
    <row r="9" spans="1:15" s="2" customFormat="1" ht="14.25" x14ac:dyDescent="0.2">
      <c r="A9" s="38"/>
      <c r="C9" s="403"/>
      <c r="D9" s="403">
        <f>ROUND((C5+D5+H5)/$B$8,4)</f>
        <v>0</v>
      </c>
      <c r="E9" s="403">
        <f>ROUND(E5/$B$8,4)</f>
        <v>0</v>
      </c>
      <c r="F9" s="403"/>
      <c r="G9" s="403">
        <f>ROUND((F5+G5)/$B$8,4)</f>
        <v>1</v>
      </c>
      <c r="H9" s="452">
        <f>ROUND((H5+D5+C5)/$B$8,4)</f>
        <v>0</v>
      </c>
      <c r="I9" s="403">
        <f>SUM(C9:G9)</f>
        <v>1</v>
      </c>
      <c r="K9" s="6"/>
      <c r="M9" s="19"/>
      <c r="N9" s="19"/>
      <c r="O9" s="19"/>
    </row>
    <row r="10" spans="1:15" s="2" customFormat="1" ht="14.25" x14ac:dyDescent="0.2">
      <c r="A10" s="38"/>
      <c r="C10" s="404"/>
      <c r="D10" s="404"/>
      <c r="E10" s="403">
        <f>ROUND((C5+D5+E5+H5)/$B$8,4)</f>
        <v>0</v>
      </c>
      <c r="F10" s="404"/>
      <c r="G10" s="403">
        <f>G9</f>
        <v>1</v>
      </c>
      <c r="H10" s="40"/>
      <c r="I10" s="403">
        <f>SUM(C10:G10)</f>
        <v>1</v>
      </c>
      <c r="M10" s="19"/>
      <c r="N10" s="19"/>
      <c r="O10" s="19"/>
    </row>
    <row r="11" spans="1:15" s="2" customFormat="1" ht="14.25" x14ac:dyDescent="0.2">
      <c r="A11" s="38"/>
      <c r="E11" s="42"/>
      <c r="G11" s="42"/>
      <c r="H11" s="42"/>
      <c r="I11" s="42"/>
      <c r="M11" s="19"/>
      <c r="N11" s="19"/>
      <c r="O11" s="19"/>
    </row>
    <row r="12" spans="1:15" s="2" customFormat="1" ht="14.25" x14ac:dyDescent="0.2">
      <c r="A12" s="38"/>
      <c r="E12" s="42"/>
      <c r="G12" s="42"/>
      <c r="H12" s="42"/>
      <c r="I12" s="42"/>
      <c r="M12" s="19"/>
      <c r="N12" s="19"/>
      <c r="O12" s="19"/>
    </row>
    <row r="13" spans="1:15" s="2" customFormat="1" ht="14.25" x14ac:dyDescent="0.2">
      <c r="A13" s="38"/>
      <c r="M13" s="19"/>
      <c r="N13" s="19"/>
      <c r="O13" s="19"/>
    </row>
    <row r="14" spans="1:15" s="2" customFormat="1" ht="14.25" x14ac:dyDescent="0.2">
      <c r="A14" s="38"/>
      <c r="M14" s="19"/>
      <c r="N14" s="19"/>
      <c r="O14" s="19"/>
    </row>
    <row r="15" spans="1:15" s="2" customFormat="1" x14ac:dyDescent="0.25">
      <c r="A15" s="38"/>
      <c r="C15" s="27"/>
      <c r="M15" s="19"/>
      <c r="N15" s="19"/>
      <c r="O15" s="19"/>
    </row>
    <row r="16" spans="1:15" s="2" customFormat="1" x14ac:dyDescent="0.2">
      <c r="A16" s="69"/>
      <c r="C16" s="67"/>
      <c r="D16" s="67"/>
      <c r="E16" s="67"/>
      <c r="F16" s="67"/>
      <c r="G16" s="67"/>
      <c r="H16" s="67"/>
      <c r="M16" s="19"/>
      <c r="N16" s="19"/>
      <c r="O16" s="19"/>
    </row>
    <row r="17" spans="1:15" s="2" customFormat="1" ht="24" x14ac:dyDescent="0.2">
      <c r="A17" s="69" t="s">
        <v>80</v>
      </c>
      <c r="C17" s="67" t="s">
        <v>883</v>
      </c>
      <c r="D17" s="67" t="s">
        <v>884</v>
      </c>
      <c r="E17" s="67" t="s">
        <v>875</v>
      </c>
      <c r="F17" s="67" t="s">
        <v>876</v>
      </c>
      <c r="G17" s="67" t="s">
        <v>877</v>
      </c>
      <c r="H17" s="67" t="s">
        <v>930</v>
      </c>
      <c r="M17" s="19"/>
      <c r="N17" s="19"/>
      <c r="O17" s="19"/>
    </row>
    <row r="18" spans="1:15" s="2" customFormat="1" x14ac:dyDescent="0.2">
      <c r="A18" s="69"/>
      <c r="C18" s="33"/>
      <c r="D18" s="33"/>
      <c r="E18" s="33"/>
      <c r="F18" s="33"/>
      <c r="G18" s="33"/>
      <c r="M18" s="19"/>
      <c r="N18" s="19"/>
      <c r="O18" s="19"/>
    </row>
    <row r="19" spans="1:15" s="2" customFormat="1" x14ac:dyDescent="0.25">
      <c r="A19" s="38"/>
      <c r="C19" s="27"/>
      <c r="D19" s="33"/>
      <c r="E19" s="33"/>
      <c r="F19" s="33"/>
      <c r="G19" s="33"/>
      <c r="M19" s="19"/>
      <c r="N19" s="19"/>
      <c r="O19" s="19"/>
    </row>
    <row r="20" spans="1:15" s="2" customFormat="1" ht="14.25" x14ac:dyDescent="0.2">
      <c r="A20" s="38"/>
      <c r="D20" s="33"/>
      <c r="E20" s="33"/>
      <c r="F20" s="33"/>
      <c r="G20" s="33"/>
      <c r="M20" s="19"/>
      <c r="N20" s="19"/>
      <c r="O20" s="19"/>
    </row>
    <row r="21" spans="1:15" s="2" customFormat="1" ht="14.25" x14ac:dyDescent="0.2">
      <c r="A21" s="38"/>
      <c r="C21" s="33"/>
      <c r="D21" s="33"/>
      <c r="E21" s="33"/>
      <c r="F21" s="33"/>
      <c r="G21" s="33"/>
      <c r="M21" s="19"/>
      <c r="N21" s="19"/>
      <c r="O21" s="19"/>
    </row>
    <row r="22" spans="1:15" s="2" customFormat="1" x14ac:dyDescent="0.2">
      <c r="A22" s="69" t="s">
        <v>112</v>
      </c>
      <c r="C22" s="55" t="s">
        <v>3</v>
      </c>
      <c r="D22" s="188" t="s">
        <v>157</v>
      </c>
      <c r="E22" s="1" t="s">
        <v>158</v>
      </c>
      <c r="F22" s="1" t="s">
        <v>159</v>
      </c>
      <c r="G22" s="188" t="s">
        <v>160</v>
      </c>
      <c r="H22" s="188" t="s">
        <v>161</v>
      </c>
      <c r="I22" s="188" t="s">
        <v>162</v>
      </c>
      <c r="J22" s="55" t="s">
        <v>9</v>
      </c>
      <c r="M22" s="19"/>
      <c r="N22" s="19"/>
      <c r="O22" s="19"/>
    </row>
    <row r="23" spans="1:15" s="2" customFormat="1" ht="14.25" x14ac:dyDescent="0.2">
      <c r="A23" s="38" t="s">
        <v>76</v>
      </c>
      <c r="C23" s="190" t="s">
        <v>3</v>
      </c>
      <c r="D23" s="187">
        <f>'Basic data'!D31</f>
        <v>0</v>
      </c>
      <c r="E23" s="187">
        <f>'Basic data'!E31</f>
        <v>0</v>
      </c>
      <c r="F23" s="187">
        <f>'Basic data'!F31</f>
        <v>0</v>
      </c>
      <c r="G23" s="187">
        <f>'Basic data'!G31</f>
        <v>0</v>
      </c>
      <c r="H23" s="187">
        <f>'Basic data'!H31</f>
        <v>0</v>
      </c>
      <c r="I23" s="187">
        <f>'Basic data'!I31</f>
        <v>0</v>
      </c>
      <c r="J23" s="30" t="str">
        <f>'Basic data'!J31</f>
        <v/>
      </c>
      <c r="M23" s="19"/>
      <c r="N23" s="19"/>
      <c r="O23" s="19"/>
    </row>
    <row r="24" spans="1:15" s="2" customFormat="1" ht="14.25" x14ac:dyDescent="0.2">
      <c r="C24" s="189" t="s">
        <v>176</v>
      </c>
      <c r="D24" s="187">
        <f>'Basic data'!D32</f>
        <v>0</v>
      </c>
      <c r="E24" s="187">
        <f>'Basic data'!E32</f>
        <v>0</v>
      </c>
      <c r="F24" s="187">
        <f>'Basic data'!F32</f>
        <v>0</v>
      </c>
      <c r="G24" s="187">
        <f>'Basic data'!G32</f>
        <v>0</v>
      </c>
      <c r="H24" s="187">
        <f>'Basic data'!H32</f>
        <v>0</v>
      </c>
      <c r="I24" s="187">
        <f>'Basic data'!I32</f>
        <v>0</v>
      </c>
      <c r="J24" s="30" t="str">
        <f>'Basic data'!J32</f>
        <v/>
      </c>
      <c r="M24" s="19"/>
      <c r="N24" s="19"/>
      <c r="O24" s="19"/>
    </row>
    <row r="25" spans="1:15" s="2" customFormat="1" ht="14.25" x14ac:dyDescent="0.2">
      <c r="C25" s="924" t="s">
        <v>175</v>
      </c>
      <c r="D25" s="924"/>
      <c r="E25" s="924"/>
      <c r="F25" s="924"/>
      <c r="G25" s="924"/>
      <c r="H25" s="924"/>
      <c r="I25" s="924"/>
      <c r="J25" s="30">
        <f>'Basic data'!J40</f>
        <v>0</v>
      </c>
      <c r="M25" s="19"/>
      <c r="N25" s="19"/>
      <c r="O25" s="19"/>
    </row>
    <row r="27" spans="1:15" s="2" customFormat="1" ht="14.25" x14ac:dyDescent="0.2">
      <c r="C27" s="33"/>
      <c r="D27" s="33"/>
      <c r="E27" s="33"/>
      <c r="F27" s="33"/>
      <c r="G27" s="33"/>
      <c r="M27" s="19"/>
      <c r="N27" s="19"/>
      <c r="O27" s="19"/>
    </row>
    <row r="28" spans="1:15" s="2" customFormat="1" ht="14.25" x14ac:dyDescent="0.2">
      <c r="C28" s="33"/>
      <c r="D28" s="33"/>
      <c r="E28" s="33"/>
      <c r="F28" s="33"/>
      <c r="G28" s="33"/>
      <c r="M28" s="19"/>
      <c r="N28" s="19"/>
      <c r="O28" s="19"/>
    </row>
    <row r="29" spans="1:15" s="2" customFormat="1" ht="14.25" x14ac:dyDescent="0.2">
      <c r="C29" s="33"/>
      <c r="D29" s="33"/>
      <c r="E29" s="33"/>
      <c r="F29" s="33"/>
      <c r="G29" s="33"/>
      <c r="M29" s="19"/>
      <c r="N29" s="19"/>
      <c r="O29" s="19"/>
    </row>
    <row r="30" spans="1:15" s="2" customFormat="1" ht="14.25" x14ac:dyDescent="0.2">
      <c r="C30" s="33"/>
      <c r="D30" s="33"/>
      <c r="E30" s="33"/>
      <c r="F30" s="33"/>
      <c r="G30" s="33"/>
      <c r="M30" s="19"/>
      <c r="N30" s="19"/>
      <c r="O30" s="19"/>
    </row>
    <row r="31" spans="1:15" s="2" customFormat="1" x14ac:dyDescent="0.25">
      <c r="A31" s="27" t="s">
        <v>71</v>
      </c>
      <c r="C31" s="55" t="s">
        <v>0</v>
      </c>
      <c r="D31" s="55" t="s">
        <v>86</v>
      </c>
      <c r="E31" s="55" t="s">
        <v>94</v>
      </c>
      <c r="F31" s="55" t="s">
        <v>93</v>
      </c>
      <c r="G31" s="55" t="s">
        <v>91</v>
      </c>
      <c r="H31" s="55" t="s">
        <v>92</v>
      </c>
      <c r="I31" s="55"/>
      <c r="J31" s="55" t="s">
        <v>95</v>
      </c>
      <c r="K31" s="55" t="s">
        <v>96</v>
      </c>
      <c r="L31" s="55" t="s">
        <v>90</v>
      </c>
      <c r="M31" s="12" t="s">
        <v>60</v>
      </c>
      <c r="N31" s="12" t="s">
        <v>59</v>
      </c>
      <c r="O31" s="13" t="s">
        <v>58</v>
      </c>
    </row>
    <row r="32" spans="1:15" s="2" customFormat="1" ht="14.25" x14ac:dyDescent="0.2">
      <c r="A32" s="8"/>
      <c r="C32" s="74"/>
      <c r="D32" s="74"/>
      <c r="E32" s="74"/>
      <c r="F32" s="74"/>
      <c r="G32" s="74"/>
      <c r="H32" s="74"/>
      <c r="I32" s="74"/>
      <c r="J32" s="74"/>
      <c r="K32" s="74"/>
      <c r="L32" s="74"/>
      <c r="M32" s="12"/>
      <c r="N32" s="12"/>
      <c r="O32" s="12"/>
    </row>
    <row r="33" spans="1:15" s="2" customFormat="1" ht="14.25" x14ac:dyDescent="0.2">
      <c r="A33" s="8"/>
      <c r="C33" s="76" t="s">
        <v>887</v>
      </c>
      <c r="D33" s="76" t="s">
        <v>87</v>
      </c>
      <c r="E33" s="77">
        <v>0</v>
      </c>
      <c r="F33" s="77">
        <v>100000000</v>
      </c>
      <c r="G33" s="77">
        <v>25</v>
      </c>
      <c r="H33" s="77">
        <v>100000000</v>
      </c>
      <c r="I33" s="77"/>
      <c r="J33" s="77">
        <v>-100000000</v>
      </c>
      <c r="K33" s="77">
        <v>1000000</v>
      </c>
      <c r="L33" s="78">
        <f>'Indicator sheet'!R9</f>
        <v>0</v>
      </c>
      <c r="M33" s="76">
        <f>IF('Indicator sheet'!S9=Berechnung1!$G$4,1,IF('Indicator sheet'!S9=Berechnung1!$F$4,1,IF('Indicator sheet'!S9=Berechnung1!$E$4,2,IF('Indicator sheet'!S9=Berechnung1!$D$4,3,IF('Indicator sheet'!S9=Berechnung1!$C$4,4,"")))))</f>
        <v>1</v>
      </c>
      <c r="N33" s="76">
        <f>IF(M33&gt;1,M33+3,M33)</f>
        <v>1</v>
      </c>
      <c r="O33" s="76">
        <f>IF('Indicator sheet'!U9="",0,1)</f>
        <v>0</v>
      </c>
    </row>
    <row r="34" spans="1:15" s="2" customFormat="1" ht="14.25" x14ac:dyDescent="0.2">
      <c r="A34" s="8"/>
      <c r="C34" s="40"/>
      <c r="D34" s="40"/>
      <c r="E34" s="83"/>
      <c r="F34" s="83"/>
      <c r="G34" s="83"/>
      <c r="H34" s="83"/>
      <c r="I34" s="83"/>
      <c r="J34" s="83"/>
      <c r="K34" s="83"/>
      <c r="L34" s="81"/>
      <c r="M34" s="40"/>
      <c r="N34" s="40"/>
      <c r="O34" s="40"/>
    </row>
    <row r="35" spans="1:15" s="2" customFormat="1" ht="14.25" x14ac:dyDescent="0.2">
      <c r="A35" s="8"/>
      <c r="C35" s="40"/>
      <c r="D35" s="40"/>
      <c r="E35" s="83"/>
      <c r="F35" s="83"/>
      <c r="G35" s="83"/>
      <c r="H35" s="83"/>
      <c r="I35" s="83"/>
      <c r="J35" s="83"/>
      <c r="K35" s="83"/>
      <c r="L35" s="81"/>
      <c r="M35" s="40"/>
      <c r="N35" s="40"/>
      <c r="O35" s="40"/>
    </row>
    <row r="36" spans="1:15" s="2" customFormat="1" ht="14.25" x14ac:dyDescent="0.2">
      <c r="A36" s="8"/>
      <c r="C36" s="449" t="s">
        <v>888</v>
      </c>
      <c r="D36" s="449" t="s">
        <v>87</v>
      </c>
      <c r="E36" s="450">
        <v>0</v>
      </c>
      <c r="F36" s="450">
        <v>100000000</v>
      </c>
      <c r="G36" s="450">
        <v>-100000000</v>
      </c>
      <c r="H36" s="450">
        <v>100000000</v>
      </c>
      <c r="I36" s="450"/>
      <c r="J36" s="450">
        <v>-100000000</v>
      </c>
      <c r="K36" s="450">
        <v>1000000</v>
      </c>
      <c r="L36" s="451">
        <f>'Indicator sheet'!R12</f>
        <v>0</v>
      </c>
      <c r="M36" s="449">
        <f>IF('Indicator sheet'!S12=Berechnung1!$H$4,5,IF('Indicator sheet'!S12=Berechnung1!$G$4,1,IF('Indicator sheet'!S12=Berechnung1!$F$4,1,IF('Indicator sheet'!S12=Berechnung1!$E$4,2,IF('Indicator sheet'!S12=Berechnung1!$D$4,3,IF('Indicator sheet'!S12=Berechnung1!$C$4,4,""))))))</f>
        <v>1</v>
      </c>
      <c r="N36" s="449">
        <f t="shared" ref="N36" si="1">IF(M36&gt;1,M36+3,M36)</f>
        <v>1</v>
      </c>
      <c r="O36" s="449">
        <f>IF('Indicator sheet'!U12="",0,1)</f>
        <v>0</v>
      </c>
    </row>
    <row r="37" spans="1:15" s="2" customFormat="1" ht="14.25" x14ac:dyDescent="0.2">
      <c r="A37" s="8"/>
      <c r="C37" s="79"/>
      <c r="D37" s="40"/>
      <c r="E37" s="80"/>
      <c r="F37" s="80"/>
      <c r="G37" s="80"/>
      <c r="H37" s="80"/>
      <c r="I37" s="80"/>
      <c r="J37" s="80"/>
      <c r="K37" s="80"/>
      <c r="L37" s="81"/>
      <c r="M37" s="40"/>
      <c r="N37" s="40"/>
      <c r="O37" s="82"/>
    </row>
    <row r="38" spans="1:15" s="2" customFormat="1" ht="14.25" x14ac:dyDescent="0.2">
      <c r="A38" s="8"/>
      <c r="C38" s="79"/>
      <c r="D38" s="40"/>
      <c r="E38" s="80"/>
      <c r="F38" s="80"/>
      <c r="G38" s="80"/>
      <c r="H38" s="80"/>
      <c r="I38" s="80"/>
      <c r="J38" s="80"/>
      <c r="K38" s="80"/>
      <c r="L38" s="81"/>
      <c r="M38" s="40"/>
      <c r="N38" s="40"/>
      <c r="O38" s="82"/>
    </row>
    <row r="39" spans="1:15" s="2" customFormat="1" ht="14.25" x14ac:dyDescent="0.2">
      <c r="A39" s="8"/>
      <c r="C39" s="85" t="s">
        <v>1375</v>
      </c>
      <c r="D39" s="85" t="s">
        <v>87</v>
      </c>
      <c r="E39" s="86">
        <v>0</v>
      </c>
      <c r="F39" s="86">
        <v>1</v>
      </c>
      <c r="G39" s="86">
        <v>0.95</v>
      </c>
      <c r="H39" s="86">
        <v>10000</v>
      </c>
      <c r="I39" s="87"/>
      <c r="J39" s="86">
        <v>-10000</v>
      </c>
      <c r="K39" s="86">
        <v>10000</v>
      </c>
      <c r="L39" s="370" t="str">
        <f>'Indicator sheet'!R17</f>
        <v>n.d.</v>
      </c>
      <c r="M39" s="85">
        <f>IF('Indicator sheet'!S15=Berechnung1!$G$4,1,IF('Indicator sheet'!S15=Berechnung1!$F$4,1,IF('Indicator sheet'!S15=Berechnung1!$E$4,2,IF('Indicator sheet'!S15=Berechnung1!$D$4,3,IF('Indicator sheet'!S15=Berechnung1!$C$4,4,"")))))</f>
        <v>1</v>
      </c>
      <c r="N39" s="85">
        <f>IF(M39&gt;1,M39+3,M39)</f>
        <v>1</v>
      </c>
      <c r="O39" s="85">
        <f>IF('Indicator sheet'!U15="",0,1)</f>
        <v>0</v>
      </c>
    </row>
    <row r="40" spans="1:15" s="2" customFormat="1" ht="14.25" x14ac:dyDescent="0.2">
      <c r="A40" s="8"/>
      <c r="C40" s="40"/>
      <c r="D40" s="83"/>
      <c r="E40" s="83"/>
      <c r="F40" s="83"/>
      <c r="G40" s="83"/>
      <c r="H40" s="83"/>
      <c r="I40" s="83"/>
      <c r="J40" s="83"/>
      <c r="K40" s="83"/>
      <c r="L40" s="371"/>
      <c r="M40" s="155"/>
      <c r="N40" s="155"/>
      <c r="O40" s="155"/>
    </row>
    <row r="41" spans="1:15" s="2" customFormat="1" ht="14.25" x14ac:dyDescent="0.2">
      <c r="A41" s="8"/>
      <c r="C41" s="40"/>
      <c r="D41" s="40"/>
      <c r="E41" s="83"/>
      <c r="F41" s="83"/>
      <c r="G41" s="83"/>
      <c r="H41" s="83"/>
      <c r="I41" s="83"/>
      <c r="J41" s="83"/>
      <c r="K41" s="83"/>
      <c r="L41" s="371"/>
      <c r="M41" s="155"/>
      <c r="N41" s="155"/>
      <c r="O41" s="155"/>
    </row>
    <row r="42" spans="1:15" s="2" customFormat="1" ht="14.25" x14ac:dyDescent="0.2">
      <c r="A42" s="8"/>
      <c r="B42" s="2" t="s">
        <v>1401</v>
      </c>
      <c r="C42" s="449" t="s">
        <v>1376</v>
      </c>
      <c r="D42" s="449" t="s">
        <v>87</v>
      </c>
      <c r="E42" s="479">
        <v>0</v>
      </c>
      <c r="F42" s="479">
        <v>1</v>
      </c>
      <c r="G42" s="479">
        <v>0.95</v>
      </c>
      <c r="H42" s="479">
        <v>10000</v>
      </c>
      <c r="I42" s="450"/>
      <c r="J42" s="479">
        <v>-10000</v>
      </c>
      <c r="K42" s="479">
        <v>10000</v>
      </c>
      <c r="L42" s="480" t="str">
        <f>'Indicator sheet'!R20</f>
        <v>n.d.</v>
      </c>
      <c r="M42" s="449">
        <f>IF('Indicator sheet'!S18=Berechnung1!$G$17,1,IF('Indicator sheet'!S18=Berechnung1!$F$17,1,IF('Indicator sheet'!S18=Berechnung1!$E$17,2,IF('Indicator sheet'!S18=Berechnung1!$D$17,3,IF('Indicator sheet'!S18=Berechnung1!$C$17,4,"")))))</f>
        <v>1</v>
      </c>
      <c r="N42" s="449">
        <f>IF(M42&gt;1,M42+3,M42)</f>
        <v>1</v>
      </c>
      <c r="O42" s="449">
        <f>IF('Indicator sheet'!U18="",0,1)</f>
        <v>0</v>
      </c>
    </row>
    <row r="43" spans="1:15" s="2" customFormat="1" ht="14.25" x14ac:dyDescent="0.2">
      <c r="A43" s="8"/>
      <c r="C43" s="40"/>
      <c r="D43" s="40"/>
      <c r="E43" s="83"/>
      <c r="F43" s="83"/>
      <c r="G43" s="83"/>
      <c r="H43" s="83"/>
      <c r="I43" s="83"/>
      <c r="J43" s="83"/>
      <c r="K43" s="83"/>
      <c r="L43" s="371"/>
      <c r="M43" s="155"/>
      <c r="N43" s="155"/>
      <c r="O43" s="155"/>
    </row>
    <row r="44" spans="1:15" s="2" customFormat="1" ht="14.25" x14ac:dyDescent="0.2">
      <c r="A44" s="8"/>
      <c r="C44" s="40"/>
      <c r="D44" s="40"/>
      <c r="E44" s="83"/>
      <c r="F44" s="83"/>
      <c r="G44" s="83"/>
      <c r="H44" s="83"/>
      <c r="I44" s="83"/>
      <c r="J44" s="83"/>
      <c r="K44" s="83"/>
      <c r="L44" s="371"/>
      <c r="M44" s="155"/>
      <c r="N44" s="155"/>
      <c r="O44" s="155"/>
    </row>
    <row r="45" spans="1:15" s="2" customFormat="1" ht="14.25" x14ac:dyDescent="0.2">
      <c r="A45" s="8"/>
      <c r="C45" s="85">
        <v>3</v>
      </c>
      <c r="D45" s="85" t="s">
        <v>87</v>
      </c>
      <c r="E45" s="86">
        <v>0</v>
      </c>
      <c r="F45" s="86">
        <v>1</v>
      </c>
      <c r="G45" s="86">
        <v>0.95</v>
      </c>
      <c r="H45" s="86">
        <v>10000</v>
      </c>
      <c r="I45" s="87"/>
      <c r="J45" s="86">
        <v>-10000</v>
      </c>
      <c r="K45" s="86">
        <v>10000</v>
      </c>
      <c r="L45" s="370" t="str">
        <f>'Indicator sheet'!R23</f>
        <v>n.d.</v>
      </c>
      <c r="M45" s="85">
        <f>IF('Indicator sheet'!S21=Berechnung1!$G$4,1,IF('Indicator sheet'!S21=Berechnung1!$F$4,1,IF('Indicator sheet'!S21=Berechnung1!$E$4,2,IF('Indicator sheet'!S21=Berechnung1!$D$4,3,IF('Indicator sheet'!S21=Berechnung1!$C$4,4,"")))))</f>
        <v>1</v>
      </c>
      <c r="N45" s="85">
        <f>IF(M45&gt;1,M45+3,M45)</f>
        <v>1</v>
      </c>
      <c r="O45" s="85">
        <f>IF('Indicator sheet'!U21="",0,1)</f>
        <v>0</v>
      </c>
    </row>
    <row r="46" spans="1:15" s="2" customFormat="1" ht="14.25" x14ac:dyDescent="0.2">
      <c r="A46" s="8"/>
      <c r="C46" s="40"/>
      <c r="D46" s="40"/>
      <c r="E46" s="83"/>
      <c r="F46" s="83"/>
      <c r="G46" s="83"/>
      <c r="H46" s="83"/>
      <c r="I46" s="83"/>
      <c r="J46" s="83"/>
      <c r="K46" s="83"/>
      <c r="L46" s="371"/>
      <c r="M46" s="155"/>
      <c r="N46" s="155"/>
      <c r="O46" s="155"/>
    </row>
    <row r="47" spans="1:15" s="2" customFormat="1" ht="14.25" x14ac:dyDescent="0.2">
      <c r="A47" s="8"/>
      <c r="C47" s="40"/>
      <c r="D47" s="40"/>
      <c r="E47" s="83"/>
      <c r="F47" s="83"/>
      <c r="G47" s="83"/>
      <c r="H47" s="83"/>
      <c r="I47" s="83"/>
      <c r="J47" s="83"/>
      <c r="K47" s="83"/>
      <c r="L47" s="371"/>
      <c r="M47" s="155"/>
      <c r="N47" s="155"/>
      <c r="O47" s="155"/>
    </row>
    <row r="48" spans="1:15" s="2" customFormat="1" ht="14.25" x14ac:dyDescent="0.2">
      <c r="A48" s="8"/>
      <c r="C48" s="85">
        <v>4</v>
      </c>
      <c r="D48" s="85" t="s">
        <v>87</v>
      </c>
      <c r="E48" s="86">
        <v>0</v>
      </c>
      <c r="F48" s="86">
        <v>1</v>
      </c>
      <c r="G48" s="86">
        <v>0.65</v>
      </c>
      <c r="H48" s="86">
        <v>10000</v>
      </c>
      <c r="I48" s="87"/>
      <c r="J48" s="86">
        <v>-10000</v>
      </c>
      <c r="K48" s="86">
        <v>10000</v>
      </c>
      <c r="L48" s="370" t="str">
        <f>'Indicator sheet'!R26</f>
        <v>n.d.</v>
      </c>
      <c r="M48" s="85">
        <f>IF('Indicator sheet'!S24=Berechnung1!$G$4,1,IF('Indicator sheet'!S24=Berechnung1!$F$4,1,IF('Indicator sheet'!S24=Berechnung1!$E$4,2,IF('Indicator sheet'!S24=Berechnung1!$D$4,3,IF('Indicator sheet'!S24=Berechnung1!$C$4,4,"")))))</f>
        <v>1</v>
      </c>
      <c r="N48" s="85">
        <f>IF(M48&gt;1,M48+3,M48)</f>
        <v>1</v>
      </c>
      <c r="O48" s="85">
        <f>IF('Indicator sheet'!U24="",0,1)</f>
        <v>0</v>
      </c>
    </row>
    <row r="49" spans="1:15" s="2" customFormat="1" ht="14.25" x14ac:dyDescent="0.2">
      <c r="A49" s="8"/>
      <c r="C49" s="40"/>
      <c r="D49" s="40"/>
      <c r="E49" s="84"/>
      <c r="F49" s="84"/>
      <c r="G49" s="84"/>
      <c r="H49" s="84"/>
      <c r="I49" s="84"/>
      <c r="J49" s="84"/>
      <c r="K49" s="84"/>
      <c r="L49" s="371"/>
      <c r="M49" s="155"/>
      <c r="N49" s="155"/>
      <c r="O49" s="155"/>
    </row>
    <row r="50" spans="1:15" s="2" customFormat="1" ht="14.25" x14ac:dyDescent="0.2">
      <c r="A50" s="8"/>
      <c r="C50" s="40"/>
      <c r="D50" s="40"/>
      <c r="E50" s="84"/>
      <c r="F50" s="84"/>
      <c r="G50" s="84"/>
      <c r="H50" s="84"/>
      <c r="I50" s="84"/>
      <c r="J50" s="84"/>
      <c r="K50" s="84"/>
      <c r="L50" s="371"/>
      <c r="M50" s="155"/>
      <c r="N50" s="155"/>
      <c r="O50" s="155"/>
    </row>
    <row r="51" spans="1:15" s="2" customFormat="1" ht="14.25" x14ac:dyDescent="0.2">
      <c r="A51" s="8"/>
      <c r="C51" s="85">
        <v>5</v>
      </c>
      <c r="D51" s="85" t="s">
        <v>87</v>
      </c>
      <c r="E51" s="86">
        <v>0</v>
      </c>
      <c r="F51" s="86">
        <v>1</v>
      </c>
      <c r="G51" s="86">
        <v>-10000</v>
      </c>
      <c r="H51" s="86">
        <v>10000</v>
      </c>
      <c r="I51" s="87"/>
      <c r="J51" s="86">
        <v>0.45</v>
      </c>
      <c r="K51" s="86">
        <v>10000</v>
      </c>
      <c r="L51" s="370" t="str">
        <f>'Indicator sheet'!R29</f>
        <v>n.d.</v>
      </c>
      <c r="M51" s="85">
        <f>IF('Indicator sheet'!S27=Berechnung1!$G$4,1,IF('Indicator sheet'!S27=Berechnung1!$F$4,1,IF('Indicator sheet'!S27=Berechnung1!$E$4,2,IF('Indicator sheet'!S27=Berechnung1!$D$4,3,IF('Indicator sheet'!S27=Berechnung1!$C$4,4,"")))))</f>
        <v>1</v>
      </c>
      <c r="N51" s="85">
        <f>IF(M51&gt;1,M51+3,M51)</f>
        <v>1</v>
      </c>
      <c r="O51" s="85">
        <f>IF('Indicator sheet'!U27="",0,1)</f>
        <v>0</v>
      </c>
    </row>
    <row r="52" spans="1:15" s="2" customFormat="1" ht="14.25" x14ac:dyDescent="0.2">
      <c r="A52" s="8"/>
      <c r="C52" s="79"/>
      <c r="D52" s="40"/>
      <c r="E52" s="80"/>
      <c r="F52" s="80"/>
      <c r="G52" s="80"/>
      <c r="H52" s="80"/>
      <c r="I52" s="80"/>
      <c r="J52" s="80"/>
      <c r="K52" s="80"/>
      <c r="L52" s="371"/>
      <c r="M52" s="155"/>
      <c r="N52" s="155"/>
      <c r="O52" s="155"/>
    </row>
    <row r="53" spans="1:15" s="2" customFormat="1" ht="14.25" x14ac:dyDescent="0.2">
      <c r="A53" s="8"/>
      <c r="C53" s="79"/>
      <c r="D53" s="40"/>
      <c r="E53" s="80"/>
      <c r="F53" s="80"/>
      <c r="G53" s="80"/>
      <c r="H53" s="80"/>
      <c r="I53" s="80"/>
      <c r="J53" s="80"/>
      <c r="K53" s="80"/>
      <c r="L53" s="371"/>
      <c r="M53" s="155"/>
      <c r="N53" s="155"/>
      <c r="O53" s="155"/>
    </row>
    <row r="54" spans="1:15" s="2" customFormat="1" ht="14.25" x14ac:dyDescent="0.2">
      <c r="A54" s="8"/>
      <c r="C54" s="85">
        <v>6</v>
      </c>
      <c r="D54" s="85" t="s">
        <v>87</v>
      </c>
      <c r="E54" s="86">
        <v>0</v>
      </c>
      <c r="F54" s="86">
        <v>10</v>
      </c>
      <c r="G54" s="86">
        <v>0.05</v>
      </c>
      <c r="H54" s="86">
        <v>10000</v>
      </c>
      <c r="I54" s="86"/>
      <c r="J54" s="86">
        <v>-10000</v>
      </c>
      <c r="K54" s="86">
        <v>10000</v>
      </c>
      <c r="L54" s="370" t="str">
        <f>'Indicator sheet'!R32</f>
        <v>n.d.</v>
      </c>
      <c r="M54" s="85">
        <f>IF('Indicator sheet'!S30=Berechnung1!$G$4,1,IF('Indicator sheet'!S30=Berechnung1!$F$4,1,IF('Indicator sheet'!S30=Berechnung1!$E$4,2,IF('Indicator sheet'!S30=Berechnung1!$D$4,3,IF('Indicator sheet'!S30=Berechnung1!$C$4,4,"")))))</f>
        <v>1</v>
      </c>
      <c r="N54" s="85">
        <f>IF(M54&gt;1,M54+3,M54)</f>
        <v>1</v>
      </c>
      <c r="O54" s="85">
        <f>IF('Indicator sheet'!U30="",0,1)</f>
        <v>0</v>
      </c>
    </row>
    <row r="55" spans="1:15" s="2" customFormat="1" ht="14.25" x14ac:dyDescent="0.2">
      <c r="A55" s="8"/>
      <c r="C55" s="79"/>
      <c r="D55" s="40"/>
      <c r="E55" s="80"/>
      <c r="F55" s="80"/>
      <c r="G55" s="80"/>
      <c r="H55" s="80"/>
      <c r="I55" s="80"/>
      <c r="J55" s="80"/>
      <c r="K55" s="80"/>
      <c r="L55" s="371"/>
      <c r="M55" s="155"/>
      <c r="N55" s="155"/>
      <c r="O55" s="155"/>
    </row>
    <row r="56" spans="1:15" s="2" customFormat="1" ht="14.25" x14ac:dyDescent="0.2">
      <c r="A56" s="8"/>
      <c r="C56" s="79"/>
      <c r="D56" s="40"/>
      <c r="E56" s="80"/>
      <c r="F56" s="80"/>
      <c r="G56" s="80"/>
      <c r="H56" s="80"/>
      <c r="I56" s="80"/>
      <c r="J56" s="80"/>
      <c r="K56" s="80"/>
      <c r="L56" s="371"/>
      <c r="M56" s="155"/>
      <c r="N56" s="155"/>
      <c r="O56" s="155"/>
    </row>
    <row r="57" spans="1:15" s="2" customFormat="1" ht="14.25" x14ac:dyDescent="0.2">
      <c r="A57" s="8"/>
      <c r="C57" s="88" t="s">
        <v>303</v>
      </c>
      <c r="D57" s="85" t="s">
        <v>87</v>
      </c>
      <c r="E57" s="86">
        <v>0</v>
      </c>
      <c r="F57" s="86">
        <v>1</v>
      </c>
      <c r="G57" s="86">
        <v>-10000</v>
      </c>
      <c r="H57" s="86">
        <v>0.1</v>
      </c>
      <c r="I57" s="86"/>
      <c r="J57" s="175">
        <v>1E-4</v>
      </c>
      <c r="K57" s="86">
        <v>10000</v>
      </c>
      <c r="L57" s="370" t="str">
        <f>'Indicator sheet'!R35</f>
        <v>n.d.</v>
      </c>
      <c r="M57" s="85">
        <f>IF('Indicator sheet'!S33=Berechnung1!$G$4,1,IF('Indicator sheet'!S33=Berechnung1!$F$4,1,IF('Indicator sheet'!S33=Berechnung1!$E$4,2,IF('Indicator sheet'!S33=Berechnung1!$D$4,3,IF('Indicator sheet'!S33=Berechnung1!$C$4,4,"")))))</f>
        <v>1</v>
      </c>
      <c r="N57" s="85">
        <f>IF(M57&gt;1,M57+3,M57)</f>
        <v>1</v>
      </c>
      <c r="O57" s="85">
        <f>IF('Indicator sheet'!U33="",0,1)</f>
        <v>0</v>
      </c>
    </row>
    <row r="58" spans="1:15" s="2" customFormat="1" ht="14.25" x14ac:dyDescent="0.2">
      <c r="A58" s="8"/>
      <c r="C58" s="79"/>
      <c r="D58" s="40"/>
      <c r="E58" s="80"/>
      <c r="F58" s="80"/>
      <c r="G58" s="80"/>
      <c r="H58" s="80"/>
      <c r="I58" s="80"/>
      <c r="J58" s="80"/>
      <c r="K58" s="80"/>
      <c r="L58" s="371"/>
      <c r="M58" s="155"/>
      <c r="N58" s="155"/>
      <c r="O58" s="155"/>
    </row>
    <row r="59" spans="1:15" s="2" customFormat="1" ht="14.25" x14ac:dyDescent="0.2">
      <c r="A59" s="8"/>
      <c r="C59" s="79"/>
      <c r="D59" s="40"/>
      <c r="E59" s="80"/>
      <c r="F59" s="80"/>
      <c r="G59" s="80"/>
      <c r="H59" s="80"/>
      <c r="I59" s="80"/>
      <c r="J59" s="80"/>
      <c r="K59" s="80"/>
      <c r="L59" s="371"/>
      <c r="M59" s="155"/>
      <c r="N59" s="155"/>
      <c r="O59" s="155"/>
    </row>
    <row r="60" spans="1:15" s="2" customFormat="1" ht="14.25" x14ac:dyDescent="0.2">
      <c r="A60" s="8"/>
      <c r="C60" s="88" t="s">
        <v>304</v>
      </c>
      <c r="D60" s="85" t="s">
        <v>87</v>
      </c>
      <c r="E60" s="86">
        <v>0</v>
      </c>
      <c r="F60" s="86">
        <v>1</v>
      </c>
      <c r="G60" s="86">
        <v>-10000</v>
      </c>
      <c r="H60" s="86">
        <v>0.05</v>
      </c>
      <c r="I60" s="86"/>
      <c r="J60" s="175">
        <v>1E-4</v>
      </c>
      <c r="K60" s="86">
        <v>10000</v>
      </c>
      <c r="L60" s="370" t="str">
        <f>'Indicator sheet'!R38</f>
        <v>n.d.</v>
      </c>
      <c r="M60" s="85">
        <f>IF('Indicator sheet'!S36=Berechnung1!$G$4,1,IF('Indicator sheet'!S36=Berechnung1!$F$4,1,IF('Indicator sheet'!S36=Berechnung1!$E$4,2,IF('Indicator sheet'!S36=Berechnung1!$D$4,3,IF('Indicator sheet'!S36=Berechnung1!$C$4,4,"")))))</f>
        <v>1</v>
      </c>
      <c r="N60" s="85">
        <f>IF(M60&gt;1,M60+3,M60)</f>
        <v>1</v>
      </c>
      <c r="O60" s="85">
        <f>IF('Indicator sheet'!U36="",0,1)</f>
        <v>0</v>
      </c>
    </row>
    <row r="61" spans="1:15" s="2" customFormat="1" ht="14.25" x14ac:dyDescent="0.2">
      <c r="A61" s="8"/>
      <c r="C61" s="79"/>
      <c r="D61" s="40"/>
      <c r="E61" s="80"/>
      <c r="F61" s="80"/>
      <c r="G61" s="80"/>
      <c r="H61" s="80"/>
      <c r="I61" s="80"/>
      <c r="J61" s="80"/>
      <c r="K61" s="80"/>
      <c r="L61" s="371"/>
      <c r="M61" s="155"/>
      <c r="N61" s="155"/>
      <c r="O61" s="155"/>
    </row>
    <row r="62" spans="1:15" s="2" customFormat="1" ht="14.25" x14ac:dyDescent="0.2">
      <c r="A62" s="8"/>
      <c r="C62" s="79"/>
      <c r="D62" s="40"/>
      <c r="E62" s="80"/>
      <c r="F62" s="80"/>
      <c r="G62" s="80"/>
      <c r="H62" s="80"/>
      <c r="I62" s="80"/>
      <c r="J62" s="80"/>
      <c r="K62" s="80"/>
      <c r="L62" s="371"/>
      <c r="M62" s="155"/>
      <c r="N62" s="155"/>
      <c r="O62" s="155"/>
    </row>
    <row r="63" spans="1:15" s="2" customFormat="1" ht="14.25" x14ac:dyDescent="0.2">
      <c r="A63" s="8"/>
      <c r="C63" s="76">
        <v>8</v>
      </c>
      <c r="D63" s="76" t="s">
        <v>87</v>
      </c>
      <c r="E63" s="77">
        <v>0</v>
      </c>
      <c r="F63" s="77">
        <v>100000000</v>
      </c>
      <c r="G63" s="77">
        <v>12</v>
      </c>
      <c r="H63" s="77">
        <v>100000000</v>
      </c>
      <c r="I63" s="153"/>
      <c r="J63" s="77">
        <v>-100000000</v>
      </c>
      <c r="K63" s="77">
        <v>1000000</v>
      </c>
      <c r="L63" s="78">
        <f>'Indicator sheet'!R39</f>
        <v>0</v>
      </c>
      <c r="M63" s="76">
        <f>IF('Indicator sheet'!S39=Berechnung1!$G$4,1,IF('Indicator sheet'!S39=Berechnung1!$F$4,1,IF('Indicator sheet'!S39=Berechnung1!$E$4,2,IF('Indicator sheet'!S39=Berechnung1!$D$4,3,IF('Indicator sheet'!S39=Berechnung1!$C$4,4,"")))))</f>
        <v>1</v>
      </c>
      <c r="N63" s="76">
        <f>IF(M63&gt;1,M63+3,M63)</f>
        <v>1</v>
      </c>
      <c r="O63" s="76">
        <f>IF('Indicator sheet'!U39="",0,1)</f>
        <v>0</v>
      </c>
    </row>
    <row r="64" spans="1:15" s="2" customFormat="1" ht="14.25" x14ac:dyDescent="0.2">
      <c r="A64" s="8"/>
      <c r="C64" s="79"/>
      <c r="D64" s="40"/>
      <c r="E64" s="80"/>
      <c r="F64" s="80"/>
      <c r="G64" s="80"/>
      <c r="H64" s="80"/>
      <c r="I64" s="80"/>
      <c r="J64" s="80"/>
      <c r="K64" s="80"/>
      <c r="L64" s="81"/>
      <c r="M64" s="40"/>
      <c r="N64" s="40"/>
      <c r="O64" s="40"/>
    </row>
    <row r="65" spans="1:15" s="2" customFormat="1" ht="14.25" x14ac:dyDescent="0.2">
      <c r="A65" s="8"/>
      <c r="C65" s="79"/>
      <c r="D65" s="40"/>
      <c r="E65" s="80"/>
      <c r="F65" s="80"/>
      <c r="G65" s="80"/>
      <c r="H65" s="80"/>
      <c r="I65" s="80"/>
      <c r="J65" s="80"/>
      <c r="K65" s="80"/>
      <c r="L65" s="81"/>
      <c r="M65" s="40"/>
      <c r="N65" s="40"/>
      <c r="O65" s="40"/>
    </row>
    <row r="66" spans="1:15" s="2" customFormat="1" ht="14.25" x14ac:dyDescent="0.2">
      <c r="A66" s="8"/>
      <c r="C66" s="76">
        <v>9</v>
      </c>
      <c r="D66" s="76" t="s">
        <v>87</v>
      </c>
      <c r="E66" s="77">
        <v>0</v>
      </c>
      <c r="F66" s="77">
        <v>100000000</v>
      </c>
      <c r="G66" s="77">
        <v>20</v>
      </c>
      <c r="H66" s="77">
        <v>100000000</v>
      </c>
      <c r="I66" s="153"/>
      <c r="J66" s="77">
        <v>-100000000</v>
      </c>
      <c r="K66" s="77">
        <v>1000000</v>
      </c>
      <c r="L66" s="78">
        <f>'Indicator sheet'!R42</f>
        <v>0</v>
      </c>
      <c r="M66" s="76">
        <f>IF('Indicator sheet'!S42=Berechnung1!$G$4,1,IF('Indicator sheet'!S42=Berechnung1!$F$4,1,IF('Indicator sheet'!S42=Berechnung1!$E$4,2,IF('Indicator sheet'!S42=Berechnung1!$D$4,3,IF('Indicator sheet'!S42=Berechnung1!$C$4,4,"")))))</f>
        <v>1</v>
      </c>
      <c r="N66" s="76">
        <f>IF(M66&gt;1,M66+3,M66)</f>
        <v>1</v>
      </c>
      <c r="O66" s="76">
        <f>IF('Indicator sheet'!U42="",0,1)</f>
        <v>0</v>
      </c>
    </row>
    <row r="67" spans="1:15" s="2" customFormat="1" ht="14.25" x14ac:dyDescent="0.2">
      <c r="A67" s="8"/>
      <c r="C67" s="79"/>
      <c r="D67" s="40"/>
      <c r="E67" s="80"/>
      <c r="F67" s="80"/>
      <c r="G67" s="80"/>
      <c r="H67" s="80"/>
      <c r="I67" s="80"/>
      <c r="J67" s="80"/>
      <c r="K67" s="80"/>
      <c r="L67" s="81"/>
      <c r="M67" s="40"/>
      <c r="N67" s="40"/>
      <c r="O67" s="40"/>
    </row>
    <row r="68" spans="1:15" s="2" customFormat="1" ht="14.25" x14ac:dyDescent="0.2">
      <c r="A68" s="8"/>
      <c r="C68" s="79"/>
      <c r="D68" s="40"/>
      <c r="E68" s="80"/>
      <c r="F68" s="80"/>
      <c r="G68" s="80"/>
      <c r="H68" s="80"/>
      <c r="I68" s="80"/>
      <c r="J68" s="80"/>
      <c r="K68" s="80"/>
      <c r="L68" s="81"/>
      <c r="M68" s="40"/>
      <c r="N68" s="40"/>
      <c r="O68" s="40"/>
    </row>
    <row r="69" spans="1:15" s="2" customFormat="1" ht="14.25" x14ac:dyDescent="0.2">
      <c r="A69" s="8"/>
      <c r="C69" s="85">
        <v>10</v>
      </c>
      <c r="D69" s="85" t="s">
        <v>87</v>
      </c>
      <c r="E69" s="86">
        <v>0</v>
      </c>
      <c r="F69" s="86">
        <v>1</v>
      </c>
      <c r="G69" s="86">
        <v>-10000</v>
      </c>
      <c r="H69" s="86">
        <v>0.1</v>
      </c>
      <c r="I69" s="86"/>
      <c r="J69" s="175">
        <v>1E-4</v>
      </c>
      <c r="K69" s="86">
        <v>10000</v>
      </c>
      <c r="L69" s="370" t="str">
        <f>'Indicator sheet'!R47</f>
        <v>n.d.</v>
      </c>
      <c r="M69" s="85">
        <f>IF('Indicator sheet'!S45=Berechnung1!$G$4,1,IF('Indicator sheet'!S45=Berechnung1!$F$4,1,IF('Indicator sheet'!S45=Berechnung1!$E$4,2,IF('Indicator sheet'!S45=Berechnung1!$D$4,3,IF('Indicator sheet'!S45=Berechnung1!$C$4,4,"")))))</f>
        <v>1</v>
      </c>
      <c r="N69" s="85">
        <f>IF(M69&gt;1,M69+3,M69)</f>
        <v>1</v>
      </c>
      <c r="O69" s="85">
        <f>IF('Indicator sheet'!U45="",0,1)</f>
        <v>0</v>
      </c>
    </row>
    <row r="70" spans="1:15" s="2" customFormat="1" ht="14.25" x14ac:dyDescent="0.2">
      <c r="A70" s="8"/>
      <c r="C70" s="79"/>
      <c r="D70" s="40"/>
      <c r="E70" s="80"/>
      <c r="F70" s="80"/>
      <c r="G70" s="80"/>
      <c r="H70" s="80"/>
      <c r="I70" s="80"/>
      <c r="J70" s="80"/>
      <c r="K70" s="80"/>
      <c r="L70" s="371"/>
      <c r="M70" s="155"/>
      <c r="N70" s="155"/>
      <c r="O70" s="155"/>
    </row>
    <row r="71" spans="1:15" s="2" customFormat="1" ht="14.25" x14ac:dyDescent="0.2">
      <c r="A71" s="8"/>
      <c r="C71" s="79"/>
      <c r="D71" s="40"/>
      <c r="E71" s="80"/>
      <c r="F71" s="80"/>
      <c r="G71" s="80"/>
      <c r="H71" s="80"/>
      <c r="I71" s="80"/>
      <c r="J71" s="80"/>
      <c r="K71" s="80"/>
      <c r="L71" s="371"/>
      <c r="M71" s="155"/>
      <c r="N71" s="155"/>
      <c r="O71" s="155"/>
    </row>
    <row r="72" spans="1:15" s="2" customFormat="1" ht="14.25" x14ac:dyDescent="0.2">
      <c r="A72" s="8"/>
      <c r="C72" s="85" t="s">
        <v>1377</v>
      </c>
      <c r="D72" s="85" t="s">
        <v>87</v>
      </c>
      <c r="E72" s="86">
        <v>0</v>
      </c>
      <c r="F72" s="86">
        <v>1</v>
      </c>
      <c r="G72" s="86">
        <v>-10000</v>
      </c>
      <c r="H72" s="86">
        <v>0.05</v>
      </c>
      <c r="I72" s="86"/>
      <c r="J72" s="483">
        <v>1E-4</v>
      </c>
      <c r="K72" s="86">
        <v>10000</v>
      </c>
      <c r="L72" s="370" t="str">
        <f>'Indicator sheet'!R50</f>
        <v>n.d.</v>
      </c>
      <c r="M72" s="85">
        <f>IF('Indicator sheet'!S48=Berechnung1!$G$4,1,IF('Indicator sheet'!S48=Berechnung1!$F$4,1,IF('Indicator sheet'!S48=Berechnung1!$E$4,2,IF('Indicator sheet'!S48=Berechnung1!$D$4,3,IF('Indicator sheet'!S48=Berechnung1!$C$4,4,"")))))</f>
        <v>1</v>
      </c>
      <c r="N72" s="85">
        <f>IF(M72&gt;1,M72+3,M72)</f>
        <v>1</v>
      </c>
      <c r="O72" s="85">
        <f>IF('Indicator sheet'!U48="",0,1)</f>
        <v>0</v>
      </c>
    </row>
    <row r="73" spans="1:15" s="2" customFormat="1" ht="14.25" x14ac:dyDescent="0.2">
      <c r="A73" s="8"/>
      <c r="C73" s="79"/>
      <c r="D73" s="40"/>
      <c r="E73" s="80"/>
      <c r="F73" s="80"/>
      <c r="G73" s="80"/>
      <c r="H73" s="80"/>
      <c r="I73" s="80"/>
      <c r="J73" s="80"/>
      <c r="K73" s="80"/>
      <c r="L73" s="80"/>
      <c r="M73" s="80"/>
      <c r="N73" s="80"/>
      <c r="O73" s="80"/>
    </row>
    <row r="74" spans="1:15" s="2" customFormat="1" ht="14.25" x14ac:dyDescent="0.2">
      <c r="A74" s="8"/>
      <c r="C74" s="79"/>
      <c r="D74" s="40"/>
      <c r="E74" s="80"/>
      <c r="F74" s="80"/>
      <c r="G74" s="80"/>
      <c r="H74" s="80"/>
      <c r="I74" s="80"/>
      <c r="J74" s="80"/>
      <c r="K74" s="80"/>
      <c r="L74" s="80"/>
      <c r="M74" s="80"/>
      <c r="N74" s="80"/>
      <c r="O74" s="80"/>
    </row>
    <row r="75" spans="1:15" s="2" customFormat="1" ht="14.25" x14ac:dyDescent="0.2">
      <c r="A75" s="8"/>
      <c r="C75" s="85" t="s">
        <v>1378</v>
      </c>
      <c r="D75" s="85" t="s">
        <v>87</v>
      </c>
      <c r="E75" s="86">
        <v>0</v>
      </c>
      <c r="F75" s="86">
        <v>1</v>
      </c>
      <c r="G75" s="86">
        <v>-10000</v>
      </c>
      <c r="H75" s="86">
        <v>10000</v>
      </c>
      <c r="I75" s="86"/>
      <c r="J75" s="175">
        <v>-10000</v>
      </c>
      <c r="K75" s="86">
        <v>10000</v>
      </c>
      <c r="L75" s="370" t="str">
        <f>'Indicator sheet'!R53</f>
        <v>n.d.</v>
      </c>
      <c r="M75" s="85">
        <f>IF('Indicator sheet'!S51=Berechnung1!$G$4,1,IF('Indicator sheet'!S51=Berechnung1!$F$4,1,IF('Indicator sheet'!S51=Berechnung1!$E$4,2,IF('Indicator sheet'!S51=Berechnung1!$D$4,3,IF('Indicator sheet'!S51=Berechnung1!$C$4,4,"")))))</f>
        <v>1</v>
      </c>
      <c r="N75" s="85">
        <f t="shared" ref="N75" si="2">IF(M75&gt;1,M75+3,M75)</f>
        <v>1</v>
      </c>
      <c r="O75" s="85">
        <f>IF('Indicator sheet'!U51="",0,1)</f>
        <v>0</v>
      </c>
    </row>
    <row r="76" spans="1:15" s="2" customFormat="1" ht="14.25" x14ac:dyDescent="0.2">
      <c r="A76" s="8"/>
      <c r="C76" s="79"/>
      <c r="D76" s="40"/>
      <c r="E76" s="80"/>
      <c r="F76" s="80"/>
      <c r="G76" s="80"/>
      <c r="H76" s="80"/>
      <c r="I76" s="80"/>
      <c r="J76" s="80"/>
      <c r="K76" s="80"/>
      <c r="L76" s="371"/>
      <c r="M76" s="155"/>
      <c r="N76" s="155"/>
      <c r="O76" s="155"/>
    </row>
    <row r="77" spans="1:15" s="2" customFormat="1" ht="14.25" x14ac:dyDescent="0.2">
      <c r="A77" s="8"/>
      <c r="C77" s="79"/>
      <c r="D77" s="40"/>
      <c r="E77" s="80"/>
      <c r="F77" s="80"/>
      <c r="G77" s="80"/>
      <c r="H77" s="80"/>
      <c r="I77" s="80"/>
      <c r="J77" s="80"/>
      <c r="K77" s="80"/>
      <c r="L77" s="371"/>
      <c r="M77" s="155"/>
      <c r="N77" s="155"/>
      <c r="O77" s="155"/>
    </row>
    <row r="78" spans="1:15" s="2" customFormat="1" ht="14.25" x14ac:dyDescent="0.2">
      <c r="A78" s="8"/>
      <c r="C78" s="85">
        <v>12</v>
      </c>
      <c r="D78" s="85" t="s">
        <v>87</v>
      </c>
      <c r="E78" s="86">
        <v>0</v>
      </c>
      <c r="F78" s="86">
        <v>1</v>
      </c>
      <c r="G78" s="86">
        <v>0.4</v>
      </c>
      <c r="H78" s="86">
        <v>10000</v>
      </c>
      <c r="I78" s="86"/>
      <c r="J78" s="175">
        <v>-10000</v>
      </c>
      <c r="K78" s="86">
        <v>10000</v>
      </c>
      <c r="L78" s="370" t="str">
        <f>'Indicator sheet'!R56</f>
        <v>n.d.</v>
      </c>
      <c r="M78" s="85">
        <f>IF('Indicator sheet'!S54=Berechnung1!$G$4,1,IF('Indicator sheet'!S54=Berechnung1!$F$4,1,IF('Indicator sheet'!S54=Berechnung1!$E$4,2,IF('Indicator sheet'!S54=Berechnung1!$D$4,3,IF('Indicator sheet'!S54=Berechnung1!$C$4,4,"")))))</f>
        <v>1</v>
      </c>
      <c r="N78" s="85">
        <f>IF(M78&gt;1,M78+3,M78)</f>
        <v>1</v>
      </c>
      <c r="O78" s="85">
        <f>IF('Indicator sheet'!U54="",0,1)</f>
        <v>0</v>
      </c>
    </row>
    <row r="79" spans="1:15" s="2" customFormat="1" ht="14.25" x14ac:dyDescent="0.2">
      <c r="A79" s="8"/>
      <c r="C79" s="79"/>
      <c r="D79" s="40"/>
      <c r="E79" s="80"/>
      <c r="F79" s="80"/>
      <c r="G79" s="80"/>
      <c r="H79" s="80"/>
      <c r="I79" s="80"/>
      <c r="J79" s="80"/>
      <c r="K79" s="80"/>
      <c r="L79" s="371"/>
      <c r="M79" s="155"/>
      <c r="N79" s="155"/>
      <c r="O79" s="155"/>
    </row>
    <row r="80" spans="1:15" s="2" customFormat="1" ht="14.25" x14ac:dyDescent="0.2">
      <c r="A80" s="8"/>
      <c r="C80" s="79"/>
      <c r="D80" s="40"/>
      <c r="E80" s="89"/>
      <c r="F80" s="89"/>
      <c r="G80" s="89"/>
      <c r="H80" s="89"/>
      <c r="I80" s="89"/>
      <c r="J80" s="89"/>
      <c r="K80" s="89"/>
      <c r="L80" s="371"/>
      <c r="M80" s="155"/>
      <c r="N80" s="155"/>
      <c r="O80" s="155"/>
    </row>
    <row r="81" spans="1:15" s="2" customFormat="1" ht="14.25" x14ac:dyDescent="0.2">
      <c r="A81" s="8"/>
      <c r="C81" s="85">
        <v>13</v>
      </c>
      <c r="D81" s="85" t="s">
        <v>87</v>
      </c>
      <c r="E81" s="86">
        <v>0</v>
      </c>
      <c r="F81" s="86">
        <v>1</v>
      </c>
      <c r="G81" s="86">
        <v>0.8</v>
      </c>
      <c r="H81" s="86">
        <v>10000</v>
      </c>
      <c r="I81" s="86"/>
      <c r="J81" s="175">
        <v>-10000</v>
      </c>
      <c r="K81" s="86">
        <v>10000</v>
      </c>
      <c r="L81" s="370" t="str">
        <f>'Indicator sheet'!R59</f>
        <v>n.d.</v>
      </c>
      <c r="M81" s="85">
        <f>IF('Indicator sheet'!S57=Berechnung1!$G$4,1,IF('Indicator sheet'!S57=Berechnung1!$F$4,1,IF('Indicator sheet'!S57=Berechnung1!$E$4,2,IF('Indicator sheet'!S57=Berechnung1!$D$4,3,IF('Indicator sheet'!S57=Berechnung1!$C$4,4,"")))))</f>
        <v>1</v>
      </c>
      <c r="N81" s="85">
        <f>IF(M81&gt;1,M81+3,M81)</f>
        <v>1</v>
      </c>
      <c r="O81" s="85">
        <f>IF('Indicator sheet'!U57="",0,1)</f>
        <v>0</v>
      </c>
    </row>
    <row r="82" spans="1:15" s="2" customFormat="1" ht="14.25" x14ac:dyDescent="0.2">
      <c r="A82" s="8"/>
      <c r="C82" s="79"/>
      <c r="D82" s="40"/>
      <c r="E82" s="80"/>
      <c r="F82" s="80"/>
      <c r="G82" s="80"/>
      <c r="H82" s="80"/>
      <c r="I82" s="80"/>
      <c r="J82" s="80"/>
      <c r="K82" s="80"/>
      <c r="L82" s="371"/>
      <c r="M82" s="155"/>
      <c r="N82" s="155"/>
      <c r="O82" s="155"/>
    </row>
    <row r="83" spans="1:15" s="2" customFormat="1" ht="14.25" x14ac:dyDescent="0.2">
      <c r="A83" s="8"/>
      <c r="C83" s="79"/>
      <c r="D83" s="40"/>
      <c r="E83" s="80"/>
      <c r="F83" s="80"/>
      <c r="G83" s="80"/>
      <c r="H83" s="80"/>
      <c r="I83" s="80"/>
      <c r="J83" s="80"/>
      <c r="K83" s="80"/>
      <c r="L83" s="371"/>
      <c r="M83" s="155"/>
      <c r="N83" s="155"/>
      <c r="O83" s="155"/>
    </row>
    <row r="84" spans="1:15" s="2" customFormat="1" ht="16.5" customHeight="1" x14ac:dyDescent="0.2">
      <c r="A84" s="8"/>
      <c r="C84" s="85">
        <v>14</v>
      </c>
      <c r="D84" s="85" t="s">
        <v>87</v>
      </c>
      <c r="E84" s="86">
        <v>0</v>
      </c>
      <c r="F84" s="86">
        <v>1</v>
      </c>
      <c r="G84" s="86">
        <v>0.9</v>
      </c>
      <c r="H84" s="86">
        <v>10000</v>
      </c>
      <c r="I84" s="86"/>
      <c r="J84" s="175">
        <v>-10000</v>
      </c>
      <c r="K84" s="86">
        <v>10000</v>
      </c>
      <c r="L84" s="370" t="str">
        <f>'Indicator sheet'!R62</f>
        <v>n.d.</v>
      </c>
      <c r="M84" s="85">
        <f>IF('Indicator sheet'!S60=Berechnung1!$G$4,1,IF('Indicator sheet'!S60=Berechnung1!$F$4,1,IF('Indicator sheet'!S60=Berechnung1!$E$4,2,IF('Indicator sheet'!S60=Berechnung1!$D$4,3,IF('Indicator sheet'!S60=Berechnung1!$C$4,4,"")))))</f>
        <v>1</v>
      </c>
      <c r="N84" s="85">
        <f>IF(M84&gt;1,M84+3,M84)</f>
        <v>1</v>
      </c>
      <c r="O84" s="85">
        <f>IF('Indicator sheet'!U60="",0,1)</f>
        <v>0</v>
      </c>
    </row>
    <row r="85" spans="1:15" s="2" customFormat="1" ht="14.25" x14ac:dyDescent="0.2">
      <c r="A85" s="8"/>
      <c r="C85" s="79"/>
      <c r="D85" s="40"/>
      <c r="E85" s="80"/>
      <c r="F85" s="80"/>
      <c r="G85" s="80"/>
      <c r="H85" s="80"/>
      <c r="I85" s="80"/>
      <c r="J85" s="80"/>
      <c r="K85" s="80"/>
      <c r="L85" s="371"/>
      <c r="M85" s="40" t="str">
        <f>IF('Indicator sheet'!S61=Berechnung1!$G$4,1,IF('Indicator sheet'!S61=Berechnung1!$F$4,1,IF('Indicator sheet'!S61=Berechnung1!$E$4,2,IF('Indicator sheet'!S61=Berechnung1!$D$4,3,IF('Indicator sheet'!S61=Berechnung1!$C$4,4,"")))))</f>
        <v/>
      </c>
      <c r="N85" s="155"/>
      <c r="O85" s="155"/>
    </row>
    <row r="86" spans="1:15" s="2" customFormat="1" ht="14.25" x14ac:dyDescent="0.2">
      <c r="A86" s="8"/>
      <c r="C86" s="79"/>
      <c r="D86" s="40"/>
      <c r="E86" s="80"/>
      <c r="F86" s="80"/>
      <c r="G86" s="80"/>
      <c r="H86" s="80"/>
      <c r="I86" s="80"/>
      <c r="J86" s="80"/>
      <c r="K86" s="80"/>
      <c r="L86" s="371"/>
      <c r="M86" s="40" t="str">
        <f>IF('Indicator sheet'!S62=Berechnung1!$G$4,1,IF('Indicator sheet'!S62=Berechnung1!$F$4,1,IF('Indicator sheet'!S62=Berechnung1!$E$4,2,IF('Indicator sheet'!S62=Berechnung1!$D$4,3,IF('Indicator sheet'!S62=Berechnung1!$C$4,4,"")))))</f>
        <v/>
      </c>
      <c r="N86" s="155"/>
      <c r="O86" s="155"/>
    </row>
    <row r="87" spans="1:15" s="2" customFormat="1" ht="14.25" x14ac:dyDescent="0.2">
      <c r="A87" s="8"/>
      <c r="C87" s="85">
        <v>15</v>
      </c>
      <c r="D87" s="85" t="s">
        <v>87</v>
      </c>
      <c r="E87" s="86">
        <v>0</v>
      </c>
      <c r="F87" s="86">
        <v>1</v>
      </c>
      <c r="G87" s="86">
        <v>0.5</v>
      </c>
      <c r="H87" s="86">
        <v>10000</v>
      </c>
      <c r="I87" s="86"/>
      <c r="J87" s="86">
        <v>-10000</v>
      </c>
      <c r="K87" s="86">
        <v>10000</v>
      </c>
      <c r="L87" s="370" t="str">
        <f>'Indicator sheet'!R65</f>
        <v>n.d.</v>
      </c>
      <c r="M87" s="85">
        <f>IF('Indicator sheet'!S63=Berechnung1!$G$4,1,IF('Indicator sheet'!S63=Berechnung1!$F$4,1,IF('Indicator sheet'!S63=Berechnung1!$E$4,2,IF('Indicator sheet'!S63=Berechnung1!$D$4,3,IF('Indicator sheet'!S63=Berechnung1!$C$4,4,"")))))</f>
        <v>1</v>
      </c>
      <c r="N87" s="85">
        <f>IF(M87&gt;1,M87+3,M87)</f>
        <v>1</v>
      </c>
      <c r="O87" s="85">
        <f>IF('Indicator sheet'!U63="",0,1)</f>
        <v>0</v>
      </c>
    </row>
    <row r="88" spans="1:15" s="2" customFormat="1" ht="14.25" x14ac:dyDescent="0.2">
      <c r="A88" s="8"/>
      <c r="C88" s="79"/>
      <c r="D88" s="40"/>
      <c r="E88" s="80"/>
      <c r="F88" s="80"/>
      <c r="G88" s="80"/>
      <c r="H88" s="80"/>
      <c r="I88" s="80"/>
      <c r="J88" s="80"/>
      <c r="K88" s="80"/>
      <c r="L88" s="371"/>
      <c r="M88" s="40" t="str">
        <f>IF('Indicator sheet'!S64=Berechnung1!$G$4,1,IF('Indicator sheet'!S64=Berechnung1!$F$4,1,IF('Indicator sheet'!S64=Berechnung1!$E$4,2,IF('Indicator sheet'!S64=Berechnung1!$D$4,3,IF('Indicator sheet'!S64=Berechnung1!$C$4,4,"")))))</f>
        <v/>
      </c>
      <c r="N88" s="155"/>
      <c r="O88" s="155"/>
    </row>
    <row r="89" spans="1:15" s="2" customFormat="1" ht="14.25" x14ac:dyDescent="0.2">
      <c r="A89" s="8"/>
      <c r="C89" s="79"/>
      <c r="D89" s="40"/>
      <c r="E89" s="80"/>
      <c r="F89" s="80"/>
      <c r="G89" s="80"/>
      <c r="H89" s="80"/>
      <c r="I89" s="80"/>
      <c r="J89" s="80"/>
      <c r="K89" s="80"/>
      <c r="L89" s="371"/>
      <c r="M89" s="40" t="str">
        <f>IF('Indicator sheet'!S65=Berechnung1!$G$4,1,IF('Indicator sheet'!S65=Berechnung1!$F$4,1,IF('Indicator sheet'!S65=Berechnung1!$E$4,2,IF('Indicator sheet'!S65=Berechnung1!$D$4,3,IF('Indicator sheet'!S65=Berechnung1!$C$4,4,"")))))</f>
        <v/>
      </c>
      <c r="N89" s="155"/>
      <c r="O89" s="155"/>
    </row>
    <row r="90" spans="1:15" s="2" customFormat="1" ht="14.25" x14ac:dyDescent="0.2">
      <c r="A90" s="8"/>
      <c r="C90" s="85">
        <v>16</v>
      </c>
      <c r="D90" s="85" t="s">
        <v>87</v>
      </c>
      <c r="E90" s="86">
        <v>0</v>
      </c>
      <c r="F90" s="86">
        <v>1</v>
      </c>
      <c r="G90" s="86">
        <v>0.5</v>
      </c>
      <c r="H90" s="86">
        <v>10000</v>
      </c>
      <c r="I90" s="86"/>
      <c r="J90" s="86">
        <v>-10000</v>
      </c>
      <c r="K90" s="86">
        <v>10000</v>
      </c>
      <c r="L90" s="370" t="str">
        <f>'Indicator sheet'!R68</f>
        <v>n.d.</v>
      </c>
      <c r="M90" s="85">
        <f>IF('Indicator sheet'!S66=Berechnung1!$G$4,1,IF('Indicator sheet'!S66=Berechnung1!$F$4,1,IF('Indicator sheet'!S66=Berechnung1!$E$4,2,IF('Indicator sheet'!S66=Berechnung1!$D$4,3,IF('Indicator sheet'!S66=Berechnung1!$C$4,4,"")))))</f>
        <v>1</v>
      </c>
      <c r="N90" s="85">
        <f>IF(M90&gt;1,M90+3,M90)</f>
        <v>1</v>
      </c>
      <c r="O90" s="85">
        <f>IF('Indicator sheet'!U66="",0,1)</f>
        <v>0</v>
      </c>
    </row>
    <row r="91" spans="1:15" s="2" customFormat="1" ht="14.25" x14ac:dyDescent="0.2">
      <c r="A91" s="8"/>
      <c r="C91" s="79"/>
      <c r="D91" s="40"/>
      <c r="E91" s="80"/>
      <c r="F91" s="80"/>
      <c r="G91" s="80"/>
      <c r="H91" s="80"/>
      <c r="I91" s="80"/>
      <c r="J91" s="80"/>
      <c r="K91" s="80"/>
      <c r="L91" s="154"/>
      <c r="M91" s="155"/>
      <c r="N91" s="155"/>
      <c r="O91" s="155"/>
    </row>
    <row r="92" spans="1:15" s="2" customFormat="1" ht="14.25" x14ac:dyDescent="0.2">
      <c r="A92" s="8"/>
      <c r="C92" s="79"/>
      <c r="D92" s="40"/>
      <c r="E92" s="80"/>
      <c r="F92" s="80"/>
      <c r="G92" s="80"/>
      <c r="H92" s="80"/>
      <c r="I92" s="80"/>
      <c r="J92" s="80"/>
      <c r="K92" s="80"/>
      <c r="L92" s="154"/>
      <c r="M92" s="155"/>
      <c r="N92" s="155"/>
      <c r="O92" s="155"/>
    </row>
    <row r="93" spans="1:15" s="2" customFormat="1" ht="14.25" x14ac:dyDescent="0.2">
      <c r="A93" s="8"/>
      <c r="B93" s="2" t="s">
        <v>1400</v>
      </c>
      <c r="C93" s="449">
        <v>17</v>
      </c>
      <c r="D93" s="449" t="s">
        <v>87</v>
      </c>
      <c r="E93" s="479">
        <v>0</v>
      </c>
      <c r="F93" s="479">
        <v>1</v>
      </c>
      <c r="G93" s="479">
        <v>-10000</v>
      </c>
      <c r="H93" s="479">
        <v>10000</v>
      </c>
      <c r="I93" s="479"/>
      <c r="J93" s="479">
        <v>-10000</v>
      </c>
      <c r="K93" s="479">
        <v>0.1</v>
      </c>
      <c r="L93" s="480" t="str">
        <f>'Indicator sheet'!R71</f>
        <v>n.d.</v>
      </c>
      <c r="M93" s="449">
        <f>IF('Indicator sheet'!S69=Berechnung1!$H$4,5,IF('Indicator sheet'!S69=Berechnung1!$G$4,1,IF('Indicator sheet'!S69=Berechnung1!$F$4,1,IF('Indicator sheet'!S69=Berechnung1!$E$4,2,IF('Indicator sheet'!S69=Berechnung1!$D$4,3,IF('Indicator sheet'!S69=Berechnung1!$C$4,4,""))))))</f>
        <v>1</v>
      </c>
      <c r="N93" s="449">
        <f>IF(M93&gt;1,M93+3,M93)</f>
        <v>1</v>
      </c>
      <c r="O93" s="449">
        <f>IF('Indicator sheet'!U69="",0,1)</f>
        <v>0</v>
      </c>
    </row>
    <row r="94" spans="1:15" s="2" customFormat="1" ht="14.25" x14ac:dyDescent="0.2">
      <c r="A94" s="8"/>
      <c r="C94" s="79"/>
      <c r="D94" s="40"/>
      <c r="E94" s="80"/>
      <c r="F94" s="80"/>
      <c r="G94" s="80"/>
      <c r="H94" s="80"/>
      <c r="I94" s="80"/>
      <c r="J94" s="80"/>
      <c r="K94" s="80"/>
      <c r="L94" s="154"/>
      <c r="M94" s="155"/>
      <c r="N94" s="155"/>
      <c r="O94" s="155"/>
    </row>
    <row r="95" spans="1:15" s="2" customFormat="1" ht="14.25" x14ac:dyDescent="0.2">
      <c r="A95" s="8"/>
      <c r="C95" s="79"/>
      <c r="D95" s="40"/>
      <c r="E95" s="80"/>
      <c r="F95" s="80"/>
      <c r="G95" s="80"/>
      <c r="H95" s="80"/>
      <c r="I95" s="80"/>
      <c r="J95" s="80"/>
      <c r="K95" s="80"/>
      <c r="L95" s="154"/>
      <c r="M95" s="155"/>
      <c r="N95" s="155"/>
      <c r="O95" s="155"/>
    </row>
    <row r="96" spans="1:15" s="2" customFormat="1" ht="14.25" x14ac:dyDescent="0.2">
      <c r="A96" s="8"/>
      <c r="B96" s="2" t="s">
        <v>1400</v>
      </c>
      <c r="C96" s="449">
        <v>18</v>
      </c>
      <c r="D96" s="449" t="s">
        <v>87</v>
      </c>
      <c r="E96" s="479">
        <v>0</v>
      </c>
      <c r="F96" s="479">
        <v>1</v>
      </c>
      <c r="G96" s="479">
        <v>-10000</v>
      </c>
      <c r="H96" s="479">
        <v>10000</v>
      </c>
      <c r="I96" s="479"/>
      <c r="J96" s="479">
        <v>0.3</v>
      </c>
      <c r="K96" s="479">
        <v>10000</v>
      </c>
      <c r="L96" s="480" t="str">
        <f>'Indicator sheet'!R74</f>
        <v>n.d.</v>
      </c>
      <c r="M96" s="449">
        <f>IF('Indicator sheet'!S72=Berechnung1!$H$4,5,IF('Indicator sheet'!S72=Berechnung1!$G$4,1,IF('Indicator sheet'!S72=Berechnung1!$F$4,1,IF('Indicator sheet'!S72=Berechnung1!$E$4,2,IF('Indicator sheet'!S72=Berechnung1!$D$4,3,IF('Indicator sheet'!S72=Berechnung1!$C$4,4,""))))))</f>
        <v>1</v>
      </c>
      <c r="N96" s="449">
        <f>IF(M96&gt;1,M96+3,M96)</f>
        <v>1</v>
      </c>
      <c r="O96" s="449">
        <f>IF('Indicator sheet'!U72="",0,1)</f>
        <v>0</v>
      </c>
    </row>
    <row r="97" spans="2:15" x14ac:dyDescent="0.25">
      <c r="C97" s="79"/>
      <c r="D97" s="40"/>
      <c r="E97" s="80"/>
      <c r="F97" s="80"/>
      <c r="G97" s="80"/>
      <c r="H97" s="80"/>
      <c r="I97" s="80"/>
      <c r="J97" s="80"/>
      <c r="K97" s="80"/>
      <c r="L97" s="80"/>
      <c r="M97" s="80"/>
      <c r="N97" s="80"/>
      <c r="O97" s="80"/>
    </row>
    <row r="98" spans="2:15" x14ac:dyDescent="0.25">
      <c r="C98" s="79"/>
      <c r="D98" s="40"/>
      <c r="E98" s="80"/>
      <c r="F98" s="80"/>
      <c r="G98" s="80"/>
      <c r="H98" s="80"/>
      <c r="I98" s="80"/>
      <c r="J98" s="80"/>
      <c r="K98" s="80"/>
      <c r="L98" s="80"/>
      <c r="M98" s="80"/>
      <c r="N98" s="80"/>
      <c r="O98" s="80"/>
    </row>
    <row r="99" spans="2:15" x14ac:dyDescent="0.25">
      <c r="B99" s="2" t="s">
        <v>1401</v>
      </c>
      <c r="C99" s="449">
        <v>19</v>
      </c>
      <c r="D99" s="449" t="s">
        <v>87</v>
      </c>
      <c r="E99" s="479">
        <v>0</v>
      </c>
      <c r="F99" s="479">
        <v>1</v>
      </c>
      <c r="G99" s="479">
        <v>-10000</v>
      </c>
      <c r="H99" s="479">
        <v>10000</v>
      </c>
      <c r="I99" s="479"/>
      <c r="J99" s="479">
        <v>-10000</v>
      </c>
      <c r="K99" s="479">
        <v>0.25</v>
      </c>
      <c r="L99" s="480" t="str">
        <f>'Indicator sheet'!R77</f>
        <v>n.d.</v>
      </c>
      <c r="M99" s="449">
        <f>IF('Indicator sheet'!S75=Berechnung1!$H$17,5,IF('Indicator sheet'!S75=Berechnung1!$G$17,1,IF('Indicator sheet'!S75=Berechnung1!$F$17,1,IF('Indicator sheet'!S75=Berechnung1!$E$7,2,IF('Indicator sheet'!S75=Berechnung1!$D$17,3,IF('Indicator sheet'!S75=Berechnung1!$C$17,4,""))))))</f>
        <v>1</v>
      </c>
      <c r="N99" s="449">
        <f t="shared" ref="N99:N102" si="3">IF(M99&gt;1,M99+3,M99)</f>
        <v>1</v>
      </c>
      <c r="O99" s="449">
        <f>IF('Indicator sheet'!U75="",0,1)</f>
        <v>0</v>
      </c>
    </row>
    <row r="100" spans="2:15" x14ac:dyDescent="0.25">
      <c r="C100" s="79"/>
      <c r="D100" s="40"/>
      <c r="E100" s="80"/>
      <c r="F100" s="80"/>
      <c r="G100" s="80"/>
      <c r="H100" s="80"/>
      <c r="I100" s="80"/>
      <c r="J100" s="80"/>
      <c r="K100" s="80"/>
      <c r="L100" s="80"/>
      <c r="M100" s="80"/>
      <c r="N100" s="80"/>
      <c r="O100" s="80"/>
    </row>
    <row r="101" spans="2:15" x14ac:dyDescent="0.25">
      <c r="C101" s="79"/>
      <c r="D101" s="40"/>
      <c r="E101" s="80"/>
      <c r="F101" s="80"/>
      <c r="G101" s="80"/>
      <c r="H101" s="80"/>
      <c r="I101" s="80"/>
      <c r="J101" s="80"/>
      <c r="K101" s="80"/>
      <c r="L101" s="80"/>
      <c r="M101" s="80"/>
      <c r="N101" s="80"/>
      <c r="O101" s="80"/>
    </row>
    <row r="102" spans="2:15" x14ac:dyDescent="0.25">
      <c r="B102" s="2" t="s">
        <v>1401</v>
      </c>
      <c r="C102" s="449">
        <v>20</v>
      </c>
      <c r="D102" s="449" t="s">
        <v>87</v>
      </c>
      <c r="E102" s="479">
        <v>0</v>
      </c>
      <c r="F102" s="479">
        <v>1</v>
      </c>
      <c r="G102" s="479">
        <v>0.5</v>
      </c>
      <c r="H102" s="479">
        <v>10000</v>
      </c>
      <c r="I102" s="479"/>
      <c r="J102" s="479">
        <v>-10000</v>
      </c>
      <c r="K102" s="479">
        <v>10000</v>
      </c>
      <c r="L102" s="480" t="str">
        <f>'Indicator sheet'!R80</f>
        <v>n.d.</v>
      </c>
      <c r="M102" s="449">
        <f>IF('Indicator sheet'!S78=Berechnung1!$H$17,5,IF('Indicator sheet'!S78=Berechnung1!$G$17,1,IF('Indicator sheet'!S78=Berechnung1!$F$17,1,IF('Indicator sheet'!S78=Berechnung1!$E$17,2,IF('Indicator sheet'!S78=Berechnung1!$D$17,3,IF('Indicator sheet'!S78=Berechnung1!$C$17,4,""))))))</f>
        <v>1</v>
      </c>
      <c r="N102" s="449">
        <f t="shared" si="3"/>
        <v>1</v>
      </c>
      <c r="O102" s="449">
        <f>IF('Indicator sheet'!U78="",0,1)</f>
        <v>0</v>
      </c>
    </row>
    <row r="103" spans="2:15" x14ac:dyDescent="0.25">
      <c r="C103" s="79"/>
      <c r="D103" s="40"/>
      <c r="E103" s="80"/>
      <c r="F103" s="80"/>
      <c r="G103" s="80"/>
      <c r="H103" s="80"/>
      <c r="I103" s="80"/>
      <c r="J103" s="80"/>
      <c r="K103" s="80"/>
      <c r="L103" s="80"/>
      <c r="M103" s="80"/>
      <c r="N103" s="80"/>
      <c r="O103" s="80"/>
    </row>
    <row r="104" spans="2:15" x14ac:dyDescent="0.25">
      <c r="C104" s="79"/>
      <c r="D104" s="40"/>
      <c r="E104" s="80"/>
      <c r="F104" s="80"/>
      <c r="G104" s="80"/>
      <c r="H104" s="80"/>
      <c r="I104" s="80"/>
      <c r="J104" s="80"/>
      <c r="K104" s="80"/>
      <c r="L104" s="80"/>
      <c r="M104" s="80"/>
      <c r="N104" s="80"/>
      <c r="O104" s="80"/>
    </row>
    <row r="119" spans="1:5" x14ac:dyDescent="0.25">
      <c r="B119" s="70" t="s">
        <v>143</v>
      </c>
    </row>
    <row r="125" spans="1:5" x14ac:dyDescent="0.25">
      <c r="A125" s="393"/>
      <c r="B125" s="393"/>
      <c r="C125" s="393"/>
      <c r="D125" s="393"/>
      <c r="E125" s="393"/>
    </row>
    <row r="126" spans="1:5" x14ac:dyDescent="0.25">
      <c r="A126" s="393"/>
      <c r="B126" s="393"/>
      <c r="C126" s="393"/>
      <c r="D126" s="393"/>
      <c r="E126" s="393"/>
    </row>
    <row r="127" spans="1:5" x14ac:dyDescent="0.25">
      <c r="A127" s="393"/>
      <c r="B127" s="393"/>
      <c r="C127" s="393"/>
      <c r="D127" s="393"/>
      <c r="E127" s="393"/>
    </row>
    <row r="128" spans="1:5" x14ac:dyDescent="0.25">
      <c r="A128" s="393"/>
      <c r="B128" s="393"/>
      <c r="C128" s="393"/>
      <c r="D128" s="393"/>
      <c r="E128" s="393"/>
    </row>
    <row r="129" spans="1:5" x14ac:dyDescent="0.25">
      <c r="A129" s="393"/>
      <c r="B129" s="393"/>
      <c r="C129" s="393"/>
      <c r="D129" s="393"/>
      <c r="E129" s="393"/>
    </row>
    <row r="130" spans="1:5" x14ac:dyDescent="0.25">
      <c r="A130" s="393"/>
      <c r="B130" s="393"/>
      <c r="C130" s="393"/>
      <c r="D130" s="393"/>
      <c r="E130" s="393"/>
    </row>
    <row r="131" spans="1:5" x14ac:dyDescent="0.25">
      <c r="A131" s="393"/>
      <c r="B131" s="393"/>
      <c r="C131" s="393"/>
      <c r="D131" s="393"/>
      <c r="E131" s="393"/>
    </row>
    <row r="132" spans="1:5" x14ac:dyDescent="0.25">
      <c r="A132" s="393"/>
      <c r="B132" s="393"/>
      <c r="C132" s="393"/>
      <c r="D132" s="393"/>
      <c r="E132" s="393"/>
    </row>
    <row r="133" spans="1:5" x14ac:dyDescent="0.25">
      <c r="A133" s="393"/>
      <c r="B133" s="393"/>
      <c r="C133" s="393"/>
      <c r="D133" s="393"/>
      <c r="E133" s="393"/>
    </row>
    <row r="134" spans="1:5" x14ac:dyDescent="0.25">
      <c r="A134" s="393"/>
      <c r="B134" s="393"/>
      <c r="C134" s="393"/>
      <c r="D134" s="393"/>
      <c r="E134" s="393"/>
    </row>
    <row r="135" spans="1:5" x14ac:dyDescent="0.25">
      <c r="A135" s="393"/>
      <c r="B135" s="393"/>
      <c r="C135" s="393"/>
      <c r="D135" s="393"/>
      <c r="E135" s="393"/>
    </row>
    <row r="136" spans="1:5" x14ac:dyDescent="0.25">
      <c r="A136" s="393"/>
      <c r="B136" s="393"/>
      <c r="C136" s="393"/>
      <c r="D136" s="393"/>
      <c r="E136" s="393"/>
    </row>
    <row r="137" spans="1:5" x14ac:dyDescent="0.25">
      <c r="A137" s="393"/>
      <c r="B137" s="393"/>
      <c r="C137" s="393"/>
      <c r="D137" s="393"/>
      <c r="E137" s="393"/>
    </row>
    <row r="138" spans="1:5" x14ac:dyDescent="0.25">
      <c r="A138" s="393"/>
      <c r="B138" s="393"/>
      <c r="C138" s="393"/>
      <c r="D138" s="393"/>
      <c r="E138" s="393"/>
    </row>
    <row r="139" spans="1:5" x14ac:dyDescent="0.25">
      <c r="A139" s="393"/>
      <c r="B139" s="393"/>
      <c r="C139" s="393"/>
      <c r="D139" s="393"/>
      <c r="E139" s="393"/>
    </row>
    <row r="140" spans="1:5" x14ac:dyDescent="0.25">
      <c r="A140" s="393"/>
      <c r="B140" s="393"/>
      <c r="C140" s="393"/>
      <c r="D140" s="393"/>
      <c r="E140" s="393"/>
    </row>
    <row r="141" spans="1:5" x14ac:dyDescent="0.25">
      <c r="A141" s="393"/>
      <c r="B141" s="393"/>
      <c r="C141" s="393"/>
      <c r="D141" s="393"/>
      <c r="E141" s="393"/>
    </row>
    <row r="142" spans="1:5" x14ac:dyDescent="0.25">
      <c r="A142" s="393"/>
      <c r="B142" s="393"/>
      <c r="C142" s="393"/>
      <c r="D142" s="393"/>
      <c r="E142" s="393"/>
    </row>
    <row r="143" spans="1:5" x14ac:dyDescent="0.25">
      <c r="A143" s="393"/>
      <c r="B143" s="393"/>
      <c r="C143" s="393"/>
      <c r="D143" s="393"/>
      <c r="E143" s="393"/>
    </row>
  </sheetData>
  <customSheetViews>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1"/>
    </customSheetView>
    <customSheetView guid="{AD479C9E-06F7-4C03-8179-295428B49475}" scale="80">
      <selection activeCell="E38" sqref="E38"/>
      <pageMargins left="0.7" right="0.7" top="0.78740157499999996" bottom="0.78740157499999996" header="0.3" footer="0.3"/>
      <pageSetup paperSize="9" orientation="portrait" horizontalDpi="0" verticalDpi="0" copies="0" r:id="rId2"/>
    </customSheetView>
  </customSheetViews>
  <mergeCells count="1">
    <mergeCell ref="C25:I25"/>
  </mergeCells>
  <phoneticPr fontId="42" type="noConversion"/>
  <conditionalFormatting sqref="M31:O32 O33:O38">
    <cfRule type="cellIs" dxfId="120" priority="1995" operator="equal">
      <formula>$G$4</formula>
    </cfRule>
    <cfRule type="cellIs" dxfId="119" priority="1996" operator="equal">
      <formula>$F$4</formula>
    </cfRule>
    <cfRule type="cellIs" dxfId="118" priority="1997" operator="equal">
      <formula>$E$4</formula>
    </cfRule>
    <cfRule type="cellIs" dxfId="117" priority="1998" operator="equal">
      <formula>$D$4</formula>
    </cfRule>
  </conditionalFormatting>
  <dataValidations disablePrompts="1" count="1">
    <dataValidation type="whole" operator="greaterThanOrEqual" allowBlank="1" showInputMessage="1" showErrorMessage="1" errorTitle="Error" error="Eingabe nur von Zahlen möglich. " sqref="J23:J25" xr:uid="{00000000-0002-0000-0600-000000000000}">
      <formula1>0</formula1>
    </dataValidation>
  </dataValidations>
  <pageMargins left="0.7" right="0.7" top="0.78740157499999996" bottom="0.78740157499999996" header="0.3" footer="0.3"/>
  <pageSetup paperSize="9" orientation="portrait"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5"/>
  <dimension ref="A1:K35"/>
  <sheetViews>
    <sheetView workbookViewId="0">
      <selection activeCell="B1" sqref="B1"/>
    </sheetView>
  </sheetViews>
  <sheetFormatPr defaultColWidth="11.42578125" defaultRowHeight="15" x14ac:dyDescent="0.25"/>
  <cols>
    <col min="1" max="1" width="23" style="171" customWidth="1"/>
    <col min="2" max="4" width="28.140625" style="171" customWidth="1"/>
    <col min="5" max="5" width="9.140625" style="171" customWidth="1"/>
    <col min="6" max="6" width="44.5703125" style="172" bestFit="1" customWidth="1"/>
    <col min="7" max="7" width="51.85546875" style="172" bestFit="1" customWidth="1"/>
    <col min="8" max="8" width="10.5703125" style="172" customWidth="1"/>
    <col min="9" max="11" width="29.5703125" customWidth="1"/>
  </cols>
  <sheetData>
    <row r="1" spans="1:11" x14ac:dyDescent="0.25">
      <c r="A1" s="166" t="s">
        <v>66</v>
      </c>
      <c r="B1" s="555"/>
      <c r="C1" s="162"/>
      <c r="D1" s="162"/>
      <c r="E1" s="162"/>
      <c r="F1" s="167"/>
      <c r="G1" s="167"/>
      <c r="H1" s="167"/>
    </row>
    <row r="2" spans="1:11" x14ac:dyDescent="0.25">
      <c r="A2" s="166" t="s">
        <v>11</v>
      </c>
      <c r="B2" s="170" t="str">
        <f>IF('Basic data'!C6=0,"",'Basic data'!C6)</f>
        <v>Not listed</v>
      </c>
      <c r="C2" s="162"/>
      <c r="D2" s="162"/>
      <c r="E2" s="162"/>
      <c r="F2" s="167"/>
      <c r="G2" s="167"/>
      <c r="H2" s="167"/>
      <c r="K2" s="4"/>
    </row>
    <row r="3" spans="1:11" x14ac:dyDescent="0.25">
      <c r="A3" s="166" t="s">
        <v>72</v>
      </c>
      <c r="B3" s="301" t="str">
        <f>IF('Basic data'!I12=0,"",'Basic data'!I12)</f>
        <v/>
      </c>
      <c r="C3" s="162"/>
      <c r="D3" s="162"/>
      <c r="E3" s="162"/>
      <c r="F3" s="167"/>
      <c r="G3" s="167"/>
      <c r="H3" s="167"/>
    </row>
    <row r="4" spans="1:11" x14ac:dyDescent="0.25">
      <c r="A4" s="166"/>
      <c r="B4" s="234"/>
      <c r="C4" s="162"/>
      <c r="D4" s="162"/>
      <c r="E4" s="162"/>
      <c r="F4" s="167"/>
      <c r="G4" s="167"/>
      <c r="H4" s="167"/>
    </row>
    <row r="5" spans="1:11" x14ac:dyDescent="0.25">
      <c r="A5" s="240" t="s">
        <v>370</v>
      </c>
      <c r="B5" s="247"/>
      <c r="C5" s="162"/>
      <c r="D5" s="162"/>
      <c r="E5" s="162"/>
      <c r="F5" s="167"/>
      <c r="G5" s="167"/>
      <c r="H5" s="167"/>
    </row>
    <row r="6" spans="1:11" x14ac:dyDescent="0.25">
      <c r="A6" s="240" t="s">
        <v>371</v>
      </c>
      <c r="B6" s="247"/>
      <c r="C6" s="162"/>
      <c r="D6" s="162"/>
      <c r="E6" s="162"/>
      <c r="F6" s="167"/>
      <c r="G6" s="167"/>
      <c r="H6" s="167"/>
    </row>
    <row r="7" spans="1:11" x14ac:dyDescent="0.25">
      <c r="A7" s="240" t="s">
        <v>372</v>
      </c>
      <c r="B7" s="247"/>
      <c r="C7" s="162"/>
      <c r="D7" s="162"/>
      <c r="E7" s="162"/>
      <c r="F7" s="167"/>
      <c r="G7" s="167"/>
      <c r="H7" s="167"/>
    </row>
    <row r="8" spans="1:11" x14ac:dyDescent="0.25">
      <c r="A8" s="240" t="s">
        <v>373</v>
      </c>
      <c r="B8" s="247"/>
      <c r="C8" s="162"/>
      <c r="D8" s="162"/>
      <c r="E8" s="162"/>
      <c r="F8" s="167"/>
      <c r="G8" s="167"/>
      <c r="H8" s="167"/>
    </row>
    <row r="9" spans="1:11" x14ac:dyDescent="0.25">
      <c r="A9" s="240" t="s">
        <v>374</v>
      </c>
      <c r="B9" s="247"/>
      <c r="C9" s="162"/>
      <c r="D9" s="162"/>
      <c r="E9" s="162"/>
      <c r="F9" s="167"/>
      <c r="G9" s="167"/>
      <c r="H9" s="167"/>
    </row>
    <row r="10" spans="1:11" x14ac:dyDescent="0.25">
      <c r="A10" s="166"/>
      <c r="B10" s="234"/>
      <c r="C10" s="162"/>
      <c r="D10" s="162"/>
      <c r="E10" s="162"/>
      <c r="F10" s="167"/>
      <c r="G10" s="167"/>
      <c r="H10" s="167"/>
    </row>
    <row r="11" spans="1:11" x14ac:dyDescent="0.25">
      <c r="A11" s="55" t="s">
        <v>65</v>
      </c>
      <c r="B11" s="55" t="s">
        <v>64</v>
      </c>
      <c r="C11" s="55" t="s">
        <v>2</v>
      </c>
      <c r="D11" s="55" t="s">
        <v>10</v>
      </c>
      <c r="E11" s="55" t="s">
        <v>63</v>
      </c>
      <c r="F11" s="168" t="s">
        <v>67</v>
      </c>
      <c r="G11" s="168" t="s">
        <v>61</v>
      </c>
      <c r="H11" s="55" t="s">
        <v>62</v>
      </c>
      <c r="I11" s="161" t="s">
        <v>375</v>
      </c>
      <c r="J11" s="161" t="s">
        <v>376</v>
      </c>
      <c r="K11" s="161" t="s">
        <v>377</v>
      </c>
    </row>
    <row r="12" spans="1:11" x14ac:dyDescent="0.25">
      <c r="A12" s="79" t="s">
        <v>887</v>
      </c>
      <c r="B12" s="185">
        <f>IF('Indicator sheet'!R9="","n.d.",'Indicator sheet'!R9)</f>
        <v>0</v>
      </c>
      <c r="C12" s="186"/>
      <c r="D12" s="372"/>
      <c r="E12" s="185">
        <f>Berechnung1!N33</f>
        <v>1</v>
      </c>
      <c r="F12" s="170" t="str">
        <f>IF('Indicator sheet'!T9=0,"",'Indicator sheet'!T9)</f>
        <v/>
      </c>
      <c r="G12" s="170" t="str">
        <f>IF('Indicator sheet'!U9=0,"",'Indicator sheet'!U9)</f>
        <v/>
      </c>
      <c r="H12" s="185">
        <f>Berechnung1!O33</f>
        <v>0</v>
      </c>
      <c r="I12" s="240"/>
      <c r="J12" s="170"/>
      <c r="K12" s="170"/>
    </row>
    <row r="13" spans="1:11" x14ac:dyDescent="0.25">
      <c r="A13" s="79" t="s">
        <v>888</v>
      </c>
      <c r="B13" s="448" t="str">
        <f>IF('Indicator sheet'!R12=0,"n.d.",'Indicator sheet'!R12)</f>
        <v>n.d.</v>
      </c>
      <c r="C13" s="186"/>
      <c r="D13" s="372"/>
      <c r="E13" s="185">
        <f>Berechnung1!N36</f>
        <v>1</v>
      </c>
      <c r="F13" s="170" t="str">
        <f>IF('Indicator sheet'!T12=0,"",'Indicator sheet'!T12)</f>
        <v/>
      </c>
      <c r="G13" s="170" t="str">
        <f>IF('Indicator sheet'!U12=0,"",'Indicator sheet'!U12)</f>
        <v/>
      </c>
      <c r="H13" s="185">
        <f>Berechnung1!O36</f>
        <v>0</v>
      </c>
      <c r="I13" s="240"/>
      <c r="J13" s="170"/>
      <c r="K13" s="170"/>
    </row>
    <row r="14" spans="1:11" x14ac:dyDescent="0.25">
      <c r="A14" s="79" t="s">
        <v>1375</v>
      </c>
      <c r="B14" s="185" t="str">
        <f>IF('Indicator sheet'!R15= "", "",'Indicator sheet'!R15)</f>
        <v/>
      </c>
      <c r="C14" s="185">
        <f>IF('Indicator sheet'!R16= "", "",'Indicator sheet'!R16)</f>
        <v>0</v>
      </c>
      <c r="D14" s="373" t="str">
        <f>IF('Indicator sheet'!R17="n.d.","n.d.",'Indicator sheet'!R17*100)</f>
        <v>n.d.</v>
      </c>
      <c r="E14" s="185">
        <f>Berechnung1!N39</f>
        <v>1</v>
      </c>
      <c r="F14" s="170" t="str">
        <f>IF('Indicator sheet'!T15=0,"",'Indicator sheet'!T15)</f>
        <v/>
      </c>
      <c r="G14" s="170" t="str">
        <f>IF('Indicator sheet'!U15=0,"",'Indicator sheet'!U15)</f>
        <v/>
      </c>
      <c r="H14" s="185">
        <f>Berechnung1!O39</f>
        <v>0</v>
      </c>
      <c r="I14" s="240"/>
      <c r="J14" s="170"/>
      <c r="K14" s="170"/>
    </row>
    <row r="15" spans="1:11" x14ac:dyDescent="0.25">
      <c r="A15" s="79" t="s">
        <v>1376</v>
      </c>
      <c r="B15" s="185" t="str">
        <f>IF('Indicator sheet'!R18= "", "",'Indicator sheet'!R18)</f>
        <v/>
      </c>
      <c r="C15" s="185">
        <f>IF('Indicator sheet'!R19= "", "",'Indicator sheet'!R19)</f>
        <v>0</v>
      </c>
      <c r="D15" s="373" t="str">
        <f>IF('Indicator sheet'!R20="n.d.","n.d.",'Indicator sheet'!R20*100)</f>
        <v>n.d.</v>
      </c>
      <c r="E15" s="185">
        <f>Berechnung1!N42</f>
        <v>1</v>
      </c>
      <c r="F15" s="170" t="str">
        <f>IF('Indicator sheet'!T18=0,"",'Indicator sheet'!T18)</f>
        <v/>
      </c>
      <c r="G15" s="170" t="str">
        <f>IF('Indicator sheet'!U18=0,"",'Indicator sheet'!U18)</f>
        <v/>
      </c>
      <c r="H15" s="185">
        <f>Berechnung1!O42</f>
        <v>0</v>
      </c>
      <c r="I15" s="240"/>
      <c r="J15" s="170"/>
      <c r="K15" s="170"/>
    </row>
    <row r="16" spans="1:11" x14ac:dyDescent="0.25">
      <c r="A16" s="169" t="s">
        <v>130</v>
      </c>
      <c r="B16" s="185" t="str">
        <f>IF('Indicator sheet'!$R21= "", "",'Indicator sheet'!$R21)</f>
        <v/>
      </c>
      <c r="C16" s="185">
        <f>IF('Indicator sheet'!$R22= "", "",'Indicator sheet'!$R22)</f>
        <v>0</v>
      </c>
      <c r="D16" s="373" t="str">
        <f>IF('Indicator sheet'!R23="n.d.","n.d.",'Indicator sheet'!R23*100)</f>
        <v>n.d.</v>
      </c>
      <c r="E16" s="185">
        <f>Berechnung1!N45</f>
        <v>1</v>
      </c>
      <c r="F16" s="170" t="str">
        <f>IF('Indicator sheet'!T21=0,"",'Indicator sheet'!T21)</f>
        <v/>
      </c>
      <c r="G16" s="170" t="str">
        <f>IF('Indicator sheet'!U21=0,"",'Indicator sheet'!U21)</f>
        <v/>
      </c>
      <c r="H16" s="185">
        <f>Berechnung1!O45</f>
        <v>0</v>
      </c>
      <c r="I16" s="240"/>
      <c r="J16" s="170"/>
      <c r="K16" s="239"/>
    </row>
    <row r="17" spans="1:11" x14ac:dyDescent="0.25">
      <c r="A17" s="169" t="s">
        <v>131</v>
      </c>
      <c r="B17" s="185" t="str">
        <f>IF('Indicator sheet'!$R24= "", "",'Indicator sheet'!$R24)</f>
        <v/>
      </c>
      <c r="C17" s="185">
        <f>IF('Indicator sheet'!$R25= "", "",'Indicator sheet'!$R25)</f>
        <v>0</v>
      </c>
      <c r="D17" s="373" t="str">
        <f>IF('Indicator sheet'!R26="n.d.","n.d.",'Indicator sheet'!R26*100)</f>
        <v>n.d.</v>
      </c>
      <c r="E17" s="185">
        <f>Berechnung1!N48</f>
        <v>1</v>
      </c>
      <c r="F17" s="170" t="str">
        <f>IF('Indicator sheet'!T24=0,"",'Indicator sheet'!T24)</f>
        <v/>
      </c>
      <c r="G17" s="170" t="str">
        <f>IF('Indicator sheet'!U24=0,"",'Indicator sheet'!U24)</f>
        <v/>
      </c>
      <c r="H17" s="185">
        <f>Berechnung1!O48</f>
        <v>0</v>
      </c>
      <c r="I17" s="240"/>
      <c r="J17" s="170"/>
      <c r="K17" s="239"/>
    </row>
    <row r="18" spans="1:11" x14ac:dyDescent="0.25">
      <c r="A18" s="169" t="s">
        <v>132</v>
      </c>
      <c r="B18" s="185" t="str">
        <f>IF('Indicator sheet'!$R27= "", "",'Indicator sheet'!$R27)</f>
        <v/>
      </c>
      <c r="C18" s="185">
        <f>IF('Indicator sheet'!$R28= "", "",'Indicator sheet'!$R28)</f>
        <v>0</v>
      </c>
      <c r="D18" s="373" t="str">
        <f>IF('Indicator sheet'!R29="n.d.","n.d.",'Indicator sheet'!R29*100)</f>
        <v>n.d.</v>
      </c>
      <c r="E18" s="185">
        <f>Berechnung1!N51</f>
        <v>1</v>
      </c>
      <c r="F18" s="170" t="str">
        <f>IF('Indicator sheet'!T27=0,"",'Indicator sheet'!T27)</f>
        <v/>
      </c>
      <c r="G18" s="170" t="str">
        <f>IF('Indicator sheet'!U27=0,"",'Indicator sheet'!U27)</f>
        <v/>
      </c>
      <c r="H18" s="185">
        <f>Berechnung1!O51</f>
        <v>0</v>
      </c>
      <c r="I18" s="240"/>
      <c r="J18" s="170"/>
      <c r="K18" s="239"/>
    </row>
    <row r="19" spans="1:11" x14ac:dyDescent="0.25">
      <c r="A19" s="169" t="s">
        <v>133</v>
      </c>
      <c r="B19" s="185">
        <f>IF('Indicator sheet'!$R30= "", "",'Indicator sheet'!$R30)</f>
        <v>0</v>
      </c>
      <c r="C19" s="185">
        <f>IF('Indicator sheet'!$R31 = "", "",'Indicator sheet'!$R31)</f>
        <v>0</v>
      </c>
      <c r="D19" s="373" t="str">
        <f>IF('Indicator sheet'!R32="n.d.","n.d.",'Indicator sheet'!R32*100)</f>
        <v>n.d.</v>
      </c>
      <c r="E19" s="185">
        <f>Berechnung1!N54</f>
        <v>1</v>
      </c>
      <c r="F19" s="170" t="str">
        <f>IF('Indicator sheet'!T30=0,"",'Indicator sheet'!T30)</f>
        <v/>
      </c>
      <c r="G19" s="170" t="str">
        <f>IF('Indicator sheet'!U30=0,"",'Indicator sheet'!U30)</f>
        <v/>
      </c>
      <c r="H19" s="185">
        <f>Berechnung1!O54</f>
        <v>0</v>
      </c>
      <c r="I19" s="240"/>
      <c r="J19" s="170"/>
      <c r="K19" s="170"/>
    </row>
    <row r="20" spans="1:11" x14ac:dyDescent="0.25">
      <c r="A20" s="169" t="s">
        <v>303</v>
      </c>
      <c r="B20" s="185" t="str">
        <f>IF('Indicator sheet'!$R33 ="", "",'Indicator sheet'!$R33)</f>
        <v/>
      </c>
      <c r="C20" s="185" t="str">
        <f>IF('Indicator sheet'!$R34 = "", "",'Indicator sheet'!$R34)</f>
        <v/>
      </c>
      <c r="D20" s="373" t="str">
        <f>IF('Indicator sheet'!R35="n.d.","n.d.",'Indicator sheet'!R35*100)</f>
        <v>n.d.</v>
      </c>
      <c r="E20" s="185">
        <f>Berechnung1!N57</f>
        <v>1</v>
      </c>
      <c r="F20" s="170" t="str">
        <f>IF('Indicator sheet'!T33=0,"",'Indicator sheet'!T33)</f>
        <v/>
      </c>
      <c r="G20" s="170" t="str">
        <f>IF('Indicator sheet'!U33=0,"",'Indicator sheet'!U33)</f>
        <v/>
      </c>
      <c r="H20" s="185">
        <f>Berechnung1!O57</f>
        <v>0</v>
      </c>
      <c r="I20" s="240"/>
      <c r="J20" s="170"/>
      <c r="K20" s="170"/>
    </row>
    <row r="21" spans="1:11" x14ac:dyDescent="0.25">
      <c r="A21" s="169" t="s">
        <v>304</v>
      </c>
      <c r="B21" s="185" t="str">
        <f>IF('Indicator sheet'!$R36= "", "",'Indicator sheet'!$R36)</f>
        <v/>
      </c>
      <c r="C21" s="185">
        <f>IF('Indicator sheet'!$R37= "", "",'Indicator sheet'!$R37)</f>
        <v>0</v>
      </c>
      <c r="D21" s="373" t="str">
        <f>IF('Indicator sheet'!R38="n.d.","n.d.",'Indicator sheet'!R38*100)</f>
        <v>n.d.</v>
      </c>
      <c r="E21" s="185">
        <f>Berechnung1!N60</f>
        <v>1</v>
      </c>
      <c r="F21" s="170" t="str">
        <f>IF('Indicator sheet'!T36=0,"",'Indicator sheet'!T36)</f>
        <v/>
      </c>
      <c r="G21" s="170" t="str">
        <f>IF('Indicator sheet'!U36=0,"",'Indicator sheet'!U36)</f>
        <v/>
      </c>
      <c r="H21" s="185">
        <f>Berechnung1!O60</f>
        <v>0</v>
      </c>
      <c r="I21" s="240"/>
      <c r="J21" s="170"/>
      <c r="K21" s="170"/>
    </row>
    <row r="22" spans="1:11" x14ac:dyDescent="0.25">
      <c r="A22" s="169" t="s">
        <v>135</v>
      </c>
      <c r="B22" s="185">
        <f>IF('Indicator sheet'!$R39= "", "n.d.",'Indicator sheet'!$R39)</f>
        <v>0</v>
      </c>
      <c r="C22" s="186"/>
      <c r="D22" s="372"/>
      <c r="E22" s="185">
        <f>Berechnung1!N63</f>
        <v>1</v>
      </c>
      <c r="F22" s="170" t="str">
        <f>IF('Indicator sheet'!T39=0,"",'Indicator sheet'!T39)</f>
        <v/>
      </c>
      <c r="G22" s="170" t="str">
        <f>IF('Indicator sheet'!U39=0,"",'Indicator sheet'!U39)</f>
        <v/>
      </c>
      <c r="H22" s="185">
        <f>Berechnung1!O63</f>
        <v>0</v>
      </c>
      <c r="I22" s="240"/>
      <c r="J22" s="170"/>
      <c r="K22" s="170"/>
    </row>
    <row r="23" spans="1:11" x14ac:dyDescent="0.25">
      <c r="A23" s="169" t="s">
        <v>136</v>
      </c>
      <c r="B23" s="185">
        <f>IF('Indicator sheet'!$R42= "", "n.d.",'Indicator sheet'!$R42)</f>
        <v>0</v>
      </c>
      <c r="C23" s="186"/>
      <c r="D23" s="372"/>
      <c r="E23" s="185">
        <f>Berechnung1!N66</f>
        <v>1</v>
      </c>
      <c r="F23" s="170" t="str">
        <f>IF('Indicator sheet'!T42=0,"",'Indicator sheet'!T42)</f>
        <v/>
      </c>
      <c r="G23" s="170" t="str">
        <f>IF('Indicator sheet'!U42=0,"",'Indicator sheet'!U42)</f>
        <v/>
      </c>
      <c r="H23" s="185">
        <f>Berechnung1!O66</f>
        <v>0</v>
      </c>
      <c r="I23" s="240"/>
      <c r="J23" s="170"/>
      <c r="K23" s="170"/>
    </row>
    <row r="24" spans="1:11" x14ac:dyDescent="0.25">
      <c r="A24" s="169" t="s">
        <v>137</v>
      </c>
      <c r="B24" s="185" t="str">
        <f>IF('Indicator sheet'!$R45= "", "",'Indicator sheet'!$R45)</f>
        <v/>
      </c>
      <c r="C24" s="185">
        <f>IF('Indicator sheet'!$R46= "", "",'Indicator sheet'!$R46)</f>
        <v>0</v>
      </c>
      <c r="D24" s="373" t="str">
        <f>IF('Indicator sheet'!R47="n.d.","n.d.",'Indicator sheet'!R47*100)</f>
        <v>n.d.</v>
      </c>
      <c r="E24" s="185">
        <f>Berechnung1!N69</f>
        <v>1</v>
      </c>
      <c r="F24" s="170" t="str">
        <f>IF('Indicator sheet'!T45=0,"",'Indicator sheet'!T45)</f>
        <v/>
      </c>
      <c r="G24" s="170" t="str">
        <f>IF('Indicator sheet'!U45=0,"",'Indicator sheet'!U45)</f>
        <v/>
      </c>
      <c r="H24" s="185">
        <f>Berechnung1!O69</f>
        <v>0</v>
      </c>
      <c r="I24" s="240"/>
      <c r="J24" s="170"/>
      <c r="K24" s="170"/>
    </row>
    <row r="25" spans="1:11" x14ac:dyDescent="0.25">
      <c r="A25" s="79" t="s">
        <v>1377</v>
      </c>
      <c r="B25" s="185" t="str">
        <f>IF('Indicator sheet'!$R48= "", "",'Indicator sheet'!$R48)</f>
        <v/>
      </c>
      <c r="C25" s="185" t="str">
        <f>IF('Indicator sheet'!$R49= "", "",'Indicator sheet'!$R49)</f>
        <v/>
      </c>
      <c r="D25" s="373" t="str">
        <f>IF('Indicator sheet'!R50="n.d.","n.d.",'Indicator sheet'!R50*100)</f>
        <v>n.d.</v>
      </c>
      <c r="E25" s="185">
        <f>Berechnung1!N72</f>
        <v>1</v>
      </c>
      <c r="F25" s="170" t="str">
        <f>IF('Indicator sheet'!T48=0,"",'Indicator sheet'!T48)</f>
        <v/>
      </c>
      <c r="G25" s="170" t="str">
        <f>IF('Indicator sheet'!U48=0,"",'Indicator sheet'!U48)</f>
        <v/>
      </c>
      <c r="H25" s="185">
        <f>Berechnung1!O72</f>
        <v>0</v>
      </c>
      <c r="I25" s="240"/>
      <c r="J25" s="170"/>
      <c r="K25" s="170"/>
    </row>
    <row r="26" spans="1:11" x14ac:dyDescent="0.25">
      <c r="A26" s="79" t="s">
        <v>1378</v>
      </c>
      <c r="B26" s="185" t="str">
        <f>IF('Indicator sheet'!$R51= "", "",'Indicator sheet'!$R51)</f>
        <v/>
      </c>
      <c r="C26" s="185" t="str">
        <f>IF('Indicator sheet'!$R52= "", "",'Indicator sheet'!$R52)</f>
        <v/>
      </c>
      <c r="D26" s="373" t="str">
        <f>IF('Indicator sheet'!R53="n.d.","n.d.",'Indicator sheet'!R53*100)</f>
        <v>n.d.</v>
      </c>
      <c r="E26" s="185">
        <f>Berechnung1!N75</f>
        <v>1</v>
      </c>
      <c r="F26" s="170" t="str">
        <f>IF('Indicator sheet'!T51=0,"",'Indicator sheet'!T51)</f>
        <v/>
      </c>
      <c r="G26" s="170" t="str">
        <f>IF('Indicator sheet'!U51=0,"",'Indicator sheet'!U51)</f>
        <v/>
      </c>
      <c r="H26" s="185">
        <f>Berechnung1!O75</f>
        <v>0</v>
      </c>
      <c r="I26" s="240"/>
      <c r="J26" s="170"/>
      <c r="K26" s="170"/>
    </row>
    <row r="27" spans="1:11" x14ac:dyDescent="0.25">
      <c r="A27" s="79" t="s">
        <v>85</v>
      </c>
      <c r="B27" s="185" t="str">
        <f>IF('Indicator sheet'!$R54= "", "",'Indicator sheet'!$R54)</f>
        <v/>
      </c>
      <c r="C27" s="185">
        <f>IF('Indicator sheet'!$R55= "", "",'Indicator sheet'!$R55)</f>
        <v>0</v>
      </c>
      <c r="D27" s="373" t="str">
        <f>IF('Indicator sheet'!R56="n.d.","n.d.",'Indicator sheet'!R56*100)</f>
        <v>n.d.</v>
      </c>
      <c r="E27" s="185">
        <f>Berechnung1!N78</f>
        <v>1</v>
      </c>
      <c r="F27" s="170" t="str">
        <f>IF('Indicator sheet'!T54=0,"",'Indicator sheet'!T54)</f>
        <v/>
      </c>
      <c r="G27" s="170" t="str">
        <f>IF('Indicator sheet'!U54=0,"",'Indicator sheet'!U54)</f>
        <v/>
      </c>
      <c r="H27" s="185">
        <f>Berechnung1!O78</f>
        <v>0</v>
      </c>
      <c r="I27" s="240"/>
      <c r="J27" s="170"/>
      <c r="K27" s="170"/>
    </row>
    <row r="28" spans="1:11" x14ac:dyDescent="0.25">
      <c r="A28" s="40">
        <v>13</v>
      </c>
      <c r="B28" s="185" t="str">
        <f>IF('Indicator sheet'!$R57= "", "",'Indicator sheet'!$R57)</f>
        <v/>
      </c>
      <c r="C28" s="185" t="str">
        <f>IF('Indicator sheet'!$R58= "", "",'Indicator sheet'!$R58)</f>
        <v/>
      </c>
      <c r="D28" s="373" t="str">
        <f>IF('Indicator sheet'!R59="n.d.","n.d.",'Indicator sheet'!R59*100)</f>
        <v>n.d.</v>
      </c>
      <c r="E28" s="185">
        <f>Berechnung1!N81</f>
        <v>1</v>
      </c>
      <c r="F28" s="170" t="str">
        <f>IF('Indicator sheet'!T57=0,"",'Indicator sheet'!T57)</f>
        <v/>
      </c>
      <c r="G28" s="170" t="str">
        <f>IF('Indicator sheet'!U57=0,"",'Indicator sheet'!U57)</f>
        <v/>
      </c>
      <c r="H28" s="185">
        <f>Berechnung1!O81</f>
        <v>0</v>
      </c>
      <c r="I28" s="240"/>
      <c r="J28" s="170"/>
      <c r="K28" s="170"/>
    </row>
    <row r="29" spans="1:11" s="75" customFormat="1" x14ac:dyDescent="0.25">
      <c r="A29" s="79" t="s">
        <v>1379</v>
      </c>
      <c r="B29" s="368" t="str">
        <f>IF('Indicator sheet'!$R60= "", "",'Indicator sheet'!$R60)</f>
        <v/>
      </c>
      <c r="C29" s="368">
        <f>IF('Indicator sheet'!$R61= "", "",'Indicator sheet'!$R61)</f>
        <v>0</v>
      </c>
      <c r="D29" s="374" t="str">
        <f>IF('Indicator sheet'!R62="n.d.","n.d.",'Indicator sheet'!R62*100)</f>
        <v>n.d.</v>
      </c>
      <c r="E29" s="368">
        <f>Berechnung1!N84</f>
        <v>1</v>
      </c>
      <c r="F29" s="369" t="str">
        <f>IF('Indicator sheet'!T60=0,"",'Indicator sheet'!T60)</f>
        <v/>
      </c>
      <c r="G29" s="369" t="str">
        <f>IF('Indicator sheet'!U60=0,"",'Indicator sheet'!U60)</f>
        <v/>
      </c>
      <c r="H29" s="368">
        <f>Berechnung1!O84</f>
        <v>0</v>
      </c>
      <c r="I29" s="369"/>
      <c r="J29" s="369"/>
      <c r="K29" s="369"/>
    </row>
    <row r="30" spans="1:11" s="75" customFormat="1" x14ac:dyDescent="0.25">
      <c r="A30" s="40">
        <v>15</v>
      </c>
      <c r="B30" s="368" t="str">
        <f>IF('Indicator sheet'!$R63= "", "",'Indicator sheet'!$R63)</f>
        <v/>
      </c>
      <c r="C30" s="368" t="str">
        <f>IF('Indicator sheet'!$R64= "", "",'Indicator sheet'!$R64)</f>
        <v/>
      </c>
      <c r="D30" s="374" t="str">
        <f>IF('Indicator sheet'!R65="n.d.","n.d.",'Indicator sheet'!R65*100)</f>
        <v>n.d.</v>
      </c>
      <c r="E30" s="368">
        <f>Berechnung1!N87</f>
        <v>1</v>
      </c>
      <c r="F30" s="369" t="str">
        <f>IF('Indicator sheet'!T63=0,"",'Indicator sheet'!T63)</f>
        <v/>
      </c>
      <c r="G30" s="369" t="str">
        <f>IF('Indicator sheet'!U63=0,"",'Indicator sheet'!U63)</f>
        <v/>
      </c>
      <c r="H30" s="368">
        <f>Berechnung1!O87</f>
        <v>0</v>
      </c>
      <c r="I30" s="369"/>
      <c r="J30" s="369"/>
      <c r="K30" s="369"/>
    </row>
    <row r="31" spans="1:11" s="75" customFormat="1" x14ac:dyDescent="0.25">
      <c r="A31" s="79" t="s">
        <v>1380</v>
      </c>
      <c r="B31" s="368" t="str">
        <f>IF('Indicator sheet'!$R66= "", "",'Indicator sheet'!$R66)</f>
        <v/>
      </c>
      <c r="C31" s="368" t="str">
        <f>IF('Indicator sheet'!$R67= "", "",'Indicator sheet'!$R67)</f>
        <v/>
      </c>
      <c r="D31" s="374" t="str">
        <f>IF('Indicator sheet'!R68="n.d.","n.d.",'Indicator sheet'!R68*100)</f>
        <v>n.d.</v>
      </c>
      <c r="E31" s="368">
        <f>Berechnung1!N90</f>
        <v>1</v>
      </c>
      <c r="F31" s="369" t="str">
        <f>IF('Indicator sheet'!T66=0,"",'Indicator sheet'!T66)</f>
        <v/>
      </c>
      <c r="G31" s="369" t="str">
        <f>IF('Indicator sheet'!U66=0,"",'Indicator sheet'!U66)</f>
        <v/>
      </c>
      <c r="H31" s="368">
        <f>Berechnung1!O90</f>
        <v>0</v>
      </c>
      <c r="I31" s="369"/>
      <c r="J31" s="369"/>
      <c r="K31" s="369"/>
    </row>
    <row r="32" spans="1:11" x14ac:dyDescent="0.25">
      <c r="A32" s="40">
        <v>17</v>
      </c>
      <c r="B32" s="368" t="str">
        <f>IF('Indicator sheet'!$R69= "", "",'Indicator sheet'!$R69)</f>
        <v/>
      </c>
      <c r="C32" s="368">
        <f>IF('Indicator sheet'!$R70= "", "",'Indicator sheet'!$R70)</f>
        <v>0</v>
      </c>
      <c r="D32" s="481" t="str">
        <f>IF('Indicator sheet'!R71="n.d.","n.d.",IF('Indicator sheet'!R71="","n.d.",'Indicator sheet'!R71*100))</f>
        <v>n.d.</v>
      </c>
      <c r="E32" s="368">
        <f>Berechnung1!N93</f>
        <v>1</v>
      </c>
      <c r="F32" s="369" t="str">
        <f>IF('Indicator sheet'!T69=0,"",'Indicator sheet'!T69)</f>
        <v/>
      </c>
      <c r="G32" s="369" t="str">
        <f>IF('Indicator sheet'!U69=0,"",'Indicator sheet'!U69)</f>
        <v/>
      </c>
      <c r="H32" s="368">
        <f>Berechnung1!O93</f>
        <v>0</v>
      </c>
      <c r="I32" s="369"/>
      <c r="J32" s="369"/>
      <c r="K32" s="369"/>
    </row>
    <row r="33" spans="1:11" x14ac:dyDescent="0.25">
      <c r="A33" s="79" t="s">
        <v>1381</v>
      </c>
      <c r="B33" s="368" t="str">
        <f>IF('Indicator sheet'!$R72= "", "",'Indicator sheet'!$R72)</f>
        <v/>
      </c>
      <c r="C33" s="368" t="str">
        <f>IF('Indicator sheet'!$R73= "", "",'Indicator sheet'!$R73)</f>
        <v/>
      </c>
      <c r="D33" s="481" t="str">
        <f>IF('Indicator sheet'!R74="n.d.","n.d.",IF('Indicator sheet'!R74="","n.d.",'Indicator sheet'!R74*100))</f>
        <v>n.d.</v>
      </c>
      <c r="E33" s="368">
        <f>Berechnung1!N96</f>
        <v>1</v>
      </c>
      <c r="F33" s="369" t="str">
        <f>IF('Indicator sheet'!T72=0,"",'Indicator sheet'!T72)</f>
        <v/>
      </c>
      <c r="G33" s="369" t="str">
        <f>IF('Indicator sheet'!U72=0,"",'Indicator sheet'!U72)</f>
        <v/>
      </c>
      <c r="H33" s="368">
        <f>Berechnung1!O96</f>
        <v>0</v>
      </c>
      <c r="I33" s="369"/>
      <c r="J33" s="369"/>
      <c r="K33" s="369"/>
    </row>
    <row r="34" spans="1:11" x14ac:dyDescent="0.25">
      <c r="A34" s="558">
        <v>19</v>
      </c>
      <c r="B34" s="368" t="str">
        <f>IF('Indicator sheet'!$R75= "", "",'Indicator sheet'!$R75)</f>
        <v/>
      </c>
      <c r="C34" s="368">
        <f>IF('Indicator sheet'!$R76= "", "",'Indicator sheet'!$R76)</f>
        <v>0</v>
      </c>
      <c r="D34" s="481" t="str">
        <f>IF('Indicator sheet'!R77="n.d.","n.d.",IF('Indicator sheet'!R77="","n.d.",'Indicator sheet'!R77*100))</f>
        <v>n.d.</v>
      </c>
      <c r="E34" s="368">
        <f>Berechnung1!N99</f>
        <v>1</v>
      </c>
      <c r="F34" s="369" t="str">
        <f>IF('Indicator sheet'!T75=0,"",'Indicator sheet'!T75)</f>
        <v/>
      </c>
      <c r="G34" s="369" t="str">
        <f>IF('Indicator sheet'!U75=0,"",'Indicator sheet'!U75)</f>
        <v/>
      </c>
      <c r="H34" s="368">
        <f>Berechnung1!O99</f>
        <v>0</v>
      </c>
      <c r="I34" s="369"/>
      <c r="J34" s="369"/>
      <c r="K34" s="369"/>
    </row>
    <row r="35" spans="1:11" x14ac:dyDescent="0.25">
      <c r="A35" s="558">
        <v>20</v>
      </c>
      <c r="B35" s="368" t="str">
        <f>IF('Indicator sheet'!$R78= "", "",'Indicator sheet'!$R78)</f>
        <v/>
      </c>
      <c r="C35" s="368">
        <f>IF('Indicator sheet'!$R79= "", "",'Indicator sheet'!$R79)</f>
        <v>0</v>
      </c>
      <c r="D35" s="481" t="str">
        <f>IF('Indicator sheet'!R80="n.d.","n.d.",IF('Indicator sheet'!R80="","n.d.",'Indicator sheet'!R80*100))</f>
        <v>n.d.</v>
      </c>
      <c r="E35" s="368">
        <f>Berechnung1!N102</f>
        <v>1</v>
      </c>
      <c r="F35" s="369" t="str">
        <f>IF('Indicator sheet'!T78=0,"",'Indicator sheet'!T78)</f>
        <v/>
      </c>
      <c r="G35" s="369" t="str">
        <f>IF('Indicator sheet'!U78=0,"",'Indicator sheet'!U78)</f>
        <v/>
      </c>
      <c r="H35" s="368">
        <f>Berechnung1!O102</f>
        <v>0</v>
      </c>
      <c r="I35" s="369"/>
      <c r="J35" s="369"/>
      <c r="K35" s="369"/>
    </row>
  </sheetData>
  <phoneticPr fontId="126" type="noConversion"/>
  <pageMargins left="0.7" right="0.7" top="0.78740157499999996" bottom="0.78740157499999996" header="0.3" footer="0.3"/>
  <pageSetup paperSize="9" orientation="portrait" r:id="rId1"/>
  <ignoredErrors>
    <ignoredError sqref="A16:A2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4"/>
  <dimension ref="A1:Y19"/>
  <sheetViews>
    <sheetView topLeftCell="A4" workbookViewId="0">
      <selection activeCell="Q3" sqref="Q3"/>
    </sheetView>
  </sheetViews>
  <sheetFormatPr defaultColWidth="11.42578125" defaultRowHeight="11.25" x14ac:dyDescent="0.25"/>
  <cols>
    <col min="1" max="1" width="13.140625" style="342" customWidth="1"/>
    <col min="2" max="2" width="8" style="342" customWidth="1"/>
    <col min="3" max="3" width="4.85546875" style="344" customWidth="1"/>
    <col min="4" max="4" width="25.7109375" style="343" customWidth="1"/>
    <col min="5" max="5" width="9.28515625" style="344" customWidth="1"/>
    <col min="6" max="6" width="10.5703125" style="350" customWidth="1"/>
    <col min="7" max="7" width="8.5703125" style="344" customWidth="1"/>
    <col min="8" max="8" width="10" style="344" customWidth="1"/>
    <col min="9" max="9" width="8.5703125" style="344" customWidth="1"/>
    <col min="10" max="10" width="9.7109375" style="344" customWidth="1"/>
    <col min="11" max="11" width="9.140625" style="344" customWidth="1"/>
    <col min="12" max="13" width="32.85546875" style="345" customWidth="1"/>
    <col min="14" max="14" width="9.140625" style="342" customWidth="1"/>
    <col min="15" max="15" width="10.28515625" style="342" customWidth="1"/>
    <col min="16" max="16" width="28.85546875" style="342" customWidth="1"/>
    <col min="17" max="19" width="10.140625" style="342" customWidth="1"/>
    <col min="20" max="22" width="9.7109375" style="344" customWidth="1"/>
    <col min="23" max="23" width="9.140625" style="344" customWidth="1"/>
    <col min="24" max="25" width="28.42578125" style="342" customWidth="1"/>
    <col min="26" max="16384" width="11.42578125" style="342"/>
  </cols>
  <sheetData>
    <row r="1" spans="1:25" ht="22.5" x14ac:dyDescent="0.25">
      <c r="A1" s="337" t="s">
        <v>57</v>
      </c>
      <c r="C1" s="336" t="s">
        <v>0</v>
      </c>
      <c r="D1" s="336" t="s">
        <v>344</v>
      </c>
      <c r="E1" s="336" t="s">
        <v>365</v>
      </c>
      <c r="F1" s="339" t="s">
        <v>1</v>
      </c>
      <c r="G1" s="336" t="s">
        <v>365</v>
      </c>
      <c r="H1" s="336" t="s">
        <v>139</v>
      </c>
      <c r="I1" s="336" t="s">
        <v>2</v>
      </c>
      <c r="J1" s="336" t="s">
        <v>10</v>
      </c>
      <c r="K1" s="336" t="s">
        <v>57</v>
      </c>
      <c r="L1" s="341" t="s">
        <v>346</v>
      </c>
      <c r="M1" s="341" t="s">
        <v>347</v>
      </c>
      <c r="O1" s="338" t="s">
        <v>397</v>
      </c>
    </row>
    <row r="2" spans="1:25" ht="34.5" customHeight="1" x14ac:dyDescent="0.25">
      <c r="A2" s="349" t="str">
        <f>IF('Indicator sheet'!S9=0,"",'Indicator sheet'!S9)</f>
        <v>Incomplete</v>
      </c>
      <c r="C2" s="346" t="str">
        <f>IF($A2="I.O.","",'Indicator sheet'!B9)</f>
        <v>1a</v>
      </c>
      <c r="D2" s="347" t="str">
        <f>IF($A2="I.O.","",'Indicator sheet'!E9)</f>
        <v>Primary cases Centre</v>
      </c>
      <c r="E2" s="351" t="str">
        <f>IF(AND('Indicator sheet'!M9="",$A2&lt;&gt;"I.O."),"-----",IF($A2="I.O.","",'Indicator sheet'!M9))</f>
        <v>-----</v>
      </c>
      <c r="F2" s="352" t="str">
        <f>IF($A2="I.O.","",'Indicator sheet'!N9)</f>
        <v>≥  25</v>
      </c>
      <c r="G2" s="351" t="str">
        <f>IF(AND('Indicator sheet'!P9="",$A2&lt;&gt;"I.O."),"-----",IF($A2="I.O.","",'Indicator sheet'!P9))</f>
        <v>-----</v>
      </c>
      <c r="H2" s="346">
        <f>IF($A2="I.O.","",IF('Indicator sheet'!R9="","-----",'Indicator sheet'!R9))</f>
        <v>0</v>
      </c>
      <c r="I2" s="346" t="str">
        <f>IF($A2="I.O.","","-----")</f>
        <v>-----</v>
      </c>
      <c r="J2" s="346" t="str">
        <f>IF($A2="I.O.","","-----")</f>
        <v>-----</v>
      </c>
      <c r="K2" s="346" t="str">
        <f>IF($A2="I.O.","",'Indicator sheet'!S9)</f>
        <v>Incomplete</v>
      </c>
      <c r="L2" s="348" t="str">
        <f>IF(AND('Indicator sheet'!T9="",$A2&lt;&gt;"I.O."),"-----",IF($A2="I.O.","",'Indicator sheet'!T9))</f>
        <v>-----</v>
      </c>
      <c r="M2" s="348" t="str">
        <f>IF(AND('Indicator sheet'!U9="",$A2&lt;&gt;"I.O."),"-----",IF($A2="I.O.","",'Indicator sheet'!U9))</f>
        <v>-----</v>
      </c>
      <c r="O2" s="346" t="e">
        <f t="array" aca="1" ref="O2" ca="1">IF(ROW()-ROW($D$2:$D$19)+1&gt;ROWS($C$2:$C$19)-COUNTBLANK($C$2:$C$19),"",INDIRECT(ADDRESS(SMALL((IF($C$2:$C$19&lt;&gt;"",ROW($C$2:$C$19),ROW()+ROWS($C$2:$C$19))),ROW()-ROW($D$2:$D$19)+1),COLUMN($C$2:$C$19),4)))</f>
        <v>#REF!</v>
      </c>
      <c r="P2" s="349" t="e">
        <f t="array" aca="1" ref="P2" ca="1">IF(ROW()-ROW($E$2:$E$19)+1&gt;ROWS($D$2:$D$19)-COUNTBLANK($D$2:$D$19),"",INDIRECT(ADDRESS(SMALL((IF($D$2:$D$19&gt;"",ROW($D$2:$D$19),ROW()+ROWS($D$2:$D$19))),ROW()-ROW($E$2:$E$19)+1),COLUMN($D$2:$D$19),4)))</f>
        <v>#REF!</v>
      </c>
      <c r="Q2" s="352" t="str">
        <f ca="1">IF(ROW()-ROW($F$2:$F$19)+1&gt;ROWS($E$2:$E$19)-COUNTBLANK($E$2:$E$19),"",INDIRECT(ADDRESS(SMALL((IF($E$2:$E$19&gt;"",ROW($E$2:$E$19),ROW()+ROWS($E$2:$E$19))),ROW()-ROW($F$2:$F$19)+1),COLUMN($E$2:$E$19),4)))</f>
        <v>-----</v>
      </c>
      <c r="R2" s="352" t="e">
        <f t="array" aca="1" ref="R2" ca="1">IF(ROW()-ROW($G$2:$G$19)+1&gt;ROWS($F$2:$F$19)-COUNTBLANK($F$2:$F$19),"",INDIRECT(ADDRESS(SMALL((IF($F$2:$F$19&gt;"",ROW($F$2:$F$19),ROW()+ROWS($F$2:$F$19))),ROW()-ROW($G$2:$G$19)+1),COLUMN($F$2:$F$19),4)))</f>
        <v>#REF!</v>
      </c>
      <c r="S2" s="352" t="e">
        <f t="array" aca="1" ref="S2" ca="1">IF(ROW()-ROW($H$2:$H$19)+1&gt;ROWS($G$2:$G$19)-COUNTBLANK($G$2:$G$19),"",INDIRECT(ADDRESS(SMALL((IF($G$2:$G$19&lt;&gt;"",ROW($G$2:$G$19),ROW()+ROWS($G$2:$G$19))),ROW()-ROW($H$2:$H$19)+1),COLUMN($G$2:$G$19),4)))</f>
        <v>#REF!</v>
      </c>
      <c r="T2" s="346" t="e">
        <f t="array" aca="1" ref="T2" ca="1">IF(ROW()-ROW($I$2:$I$19)+1&gt;ROWS($H$2:$H$19)-COUNTBLANK($H$2:$H$19),"",INDIRECT(ADDRESS(SMALL((IF($H$2:$H$19&lt;&gt;"",ROW($H$2:$H$19),ROW()+ROWS($H$2:$H$19))),ROW()-ROW($I$2:$I$19)+1),COLUMN($H$2:$H$19),4)))</f>
        <v>#REF!</v>
      </c>
      <c r="U2" s="346" t="e">
        <f t="array" aca="1" ref="U2" ca="1">IF(ROW()-ROW($J$2:$J$19)+1&gt;ROWS($I$2:$I$19)-COUNTBLANK($I$2:$I$19),"",INDIRECT(ADDRESS(SMALL((IF($I$2:$I$19&lt;&gt;"",ROW($I$2:$I$19),ROW()+ROWS($I$2:$I$19))),ROW()-ROW($J$2:$J$19)+1),COLUMN($I$2:$I$19),4)))</f>
        <v>#REF!</v>
      </c>
      <c r="V2" s="346" t="e">
        <f t="array" aca="1" ref="V2" ca="1">IF(ROW()-ROW($K$2:$K$19)+1&gt;ROWS($J$2:$J$19)-COUNTBLANK($J$2:$J$19),"",INDIRECT(ADDRESS(SMALL((IF($J$2:$J$19&lt;&gt;"",ROW($J$2:$J$19),ROW()+ROWS($J$2:$J$19))),ROW()-ROW($K$2:$K$19)+1),COLUMN($J$2:$J$19),4)))</f>
        <v>#REF!</v>
      </c>
      <c r="W2" s="346" t="e">
        <f t="array" aca="1" ref="W2" ca="1">IF(ROW()-ROW($L$2:$L$19)+1&gt;ROWS($K$2:$K$19)-COUNTBLANK($K$2:$K$19),"",INDIRECT(ADDRESS(SMALL((IF($K$2:$K$19&lt;&gt;"",ROW($K$2:$K$19),ROW()+ROWS($K$2:$K$19))),ROW()-ROW($L$2:$L$19)+1),COLUMN($K$2:$K$19),4)))</f>
        <v>#REF!</v>
      </c>
      <c r="X2" s="349" t="e">
        <f t="array" aca="1" ref="X2" ca="1">IF(ROW()-ROW($M$2:$M$19)+1&gt;ROWS($L$2:$L$19)-COUNTBLANK($L$2:$L$19),"",INDIRECT(ADDRESS(SMALL((IF($L$2:$L$19&lt;&gt;"",ROW($L$2:$L$19),ROW()+ROWS($L$2:$L$19))),ROW()-ROW($M$2:$M$19)+1),COLUMN($L$2:$L$19),4)))</f>
        <v>#REF!</v>
      </c>
      <c r="Y2" s="349" t="e">
        <f t="array" aca="1" ref="Y2" ca="1">IF(ROW()-ROW($N$2:$N$19)+1&gt;ROWS($M$2:$M$19)-COUNTBLANK($M$2:$M$19),"",INDIRECT(ADDRESS(SMALL((IF($M$2:$M$19&lt;&gt;"",ROW($M$2:$M$19),ROW()+ROWS($M$2:$M$19))),ROW()-ROW($N$2:$N$19)+1),COLUMN($M$2:$M$19),4)))</f>
        <v>#REF!</v>
      </c>
    </row>
    <row r="3" spans="1:25" ht="34.5" customHeight="1" x14ac:dyDescent="0.25">
      <c r="A3" s="349" t="str">
        <f>IF('Indicator sheet'!S15=0,"",'Indicator sheet'!S15)</f>
        <v>Incomplete</v>
      </c>
      <c r="C3" s="346" t="str">
        <f>IF($A3="I.O.","",'Indicator sheet'!B15)</f>
        <v>2</v>
      </c>
      <c r="D3" s="347" t="str">
        <f>IF($A3="I.O.","",'Indicator sheet'!E15)</f>
        <v>Pretherapeutic tumour board</v>
      </c>
      <c r="E3" s="351" t="str">
        <f>IF(AND('Indicator sheet'!M15="",$A3&lt;&gt;"I.O."),"-----",IF($A3="I.O.","",'Indicator sheet'!M15))</f>
        <v>-----</v>
      </c>
      <c r="F3" s="352" t="str">
        <f>IF($A3="I.O.","",'Indicator sheet'!N15)</f>
        <v>≥  95%</v>
      </c>
      <c r="G3" s="351" t="str">
        <f>IF(AND('Indicator sheet'!P15="",$A3&lt;&gt;"I.O."),"-----",IF($A3="I.O.","",'Indicator sheet'!P15))</f>
        <v>-----</v>
      </c>
      <c r="H3" s="346" t="str">
        <f>IF($A3="I.O.","",IF('Indicator sheet'!R15="","-----",'Indicator sheet'!R15))</f>
        <v>-----</v>
      </c>
      <c r="I3" s="346">
        <f>IF($A3="I.O.","",IF('Indicator sheet'!R16="","-----",'Indicator sheet'!R16))</f>
        <v>0</v>
      </c>
      <c r="J3" s="346" t="str">
        <f>IF($A3="I.O.","",IF('Indicator sheet'!R17="",0,'Indicator sheet'!R17))</f>
        <v>n.d.</v>
      </c>
      <c r="K3" s="346" t="str">
        <f>IF($A3="I.O.","",'Indicator sheet'!S15)</f>
        <v>Incomplete</v>
      </c>
      <c r="L3" s="348" t="str">
        <f>IF(AND('Indicator sheet'!T15="",$A3&lt;&gt;"I.O."),"-----",IF($A3="I.O.","",'Indicator sheet'!T15))</f>
        <v>-----</v>
      </c>
      <c r="M3" s="348" t="str">
        <f>IF(AND('Indicator sheet'!U15="",$A3&lt;&gt;"I.O."),"-----",IF($A3="I.O.","",'Indicator sheet'!U15))</f>
        <v>-----</v>
      </c>
      <c r="O3" s="346" t="e">
        <f t="array" aca="1" ref="O3" ca="1">IF(ROW()-ROW($D$2:$D$19)+1&gt;ROWS($C$2:$C$19)-COUNTBLANK($C$2:$C$19),"",INDIRECT(ADDRESS(SMALL((IF($C$2:$C$19&lt;&gt;"",ROW($C$2:$C$19),ROW()+ROWS($C$2:$C$19))),ROW()-ROW($D$2:$D$19)+1),COLUMN($C$2:$C$19),4)))</f>
        <v>#REF!</v>
      </c>
      <c r="P3" s="349" t="e">
        <f t="array" aca="1" ref="P3" ca="1">IF(ROW()-ROW($E$2:$E$19)+1&gt;ROWS($D$2:$D$19)-COUNTBLANK($D$2:$D$19),"",INDIRECT(ADDRESS(SMALL((IF($D$2:$D$19&gt;"",ROW($D$2:$D$19),ROW()+ROWS($D$2:$D$19))),ROW()-ROW($E$2:$E$19)+1),COLUMN($D$2:$D$19),4)))</f>
        <v>#REF!</v>
      </c>
      <c r="Q3" s="352" t="e">
        <f t="array" aca="1" ref="Q3" ca="1">IF(ROW()-ROW($F$2:$F$19)+1&gt;ROWS($E$2:$E$19)-COUNTBLANK($E$2:$E$19),"",INDIRECT(ADDRESS(SMALL((IF($E$2:$E$19&gt;"",ROW($E$2:$E$19),ROW()+ROWS($E$2:$E$19))),ROW()-ROW($F$2:$F$19)+1),COLUMN($E$2:$E$19),4)))</f>
        <v>#REF!</v>
      </c>
      <c r="R3" s="352" t="e">
        <f t="array" aca="1" ref="R3" ca="1">IF(ROW()-ROW($G$2:$G$19)+1&gt;ROWS($F$2:$F$19)-COUNTBLANK($F$2:$F$19),"",INDIRECT(ADDRESS(SMALL((IF($F$2:$F$19&gt;"",ROW($F$2:$F$19),ROW()+ROWS($F$2:$F$19))),ROW()-ROW($G$2:$G$19)+1),COLUMN($F$2:$F$19),4)))</f>
        <v>#REF!</v>
      </c>
      <c r="S3" s="352" t="e">
        <f t="array" aca="1" ref="S3" ca="1">IF(ROW()-ROW($H$2:$H$19)+1&gt;ROWS($G$2:$G$19)-COUNTBLANK($G$2:$G$19),"",INDIRECT(ADDRESS(SMALL((IF($G$2:$G$19&lt;&gt;"",ROW($G$2:$G$19),ROW()+ROWS($G$2:$G$19))),ROW()-ROW($H$2:$H$19)+1),COLUMN($G$2:$G$19),4)))</f>
        <v>#REF!</v>
      </c>
      <c r="T3" s="346" t="e">
        <f t="array" aca="1" ref="T3" ca="1">IF(ROW()-ROW($I$2:$I$19)+1&gt;ROWS($H$2:$H$19)-COUNTBLANK($H$2:$H$19),"",INDIRECT(ADDRESS(SMALL((IF($H$2:$H$19&lt;&gt;"",ROW($H$2:$H$19),ROW()+ROWS($H$2:$H$19))),ROW()-ROW($I$2:$I$19)+1),COLUMN($H$2:$H$19),4)))</f>
        <v>#REF!</v>
      </c>
      <c r="U3" s="346" t="e">
        <f t="array" aca="1" ref="U3" ca="1">IF(ROW()-ROW($J$2:$J$19)+1&gt;ROWS($I$2:$I$19)-COUNTBLANK($I$2:$I$19),"",INDIRECT(ADDRESS(SMALL((IF($I$2:$I$19&lt;&gt;"",ROW($I$2:$I$19),ROW()+ROWS($I$2:$I$19))),ROW()-ROW($J$2:$J$19)+1),COLUMN($I$2:$I$19),4)))</f>
        <v>#REF!</v>
      </c>
      <c r="V3" s="346" t="e">
        <f t="array" aca="1" ref="V3" ca="1">IF(ROW()-ROW($K$2:$K$19)+1&gt;ROWS($J$2:$J$19)-COUNTBLANK($J$2:$J$19),"",INDIRECT(ADDRESS(SMALL((IF($J$2:$J$19&lt;&gt;"",ROW($J$2:$J$19),ROW()+ROWS($J$2:$J$19))),ROW()-ROW($K$2:$K$19)+1),COLUMN($J$2:$J$19),4)))</f>
        <v>#REF!</v>
      </c>
      <c r="W3" s="346" t="e">
        <f t="array" aca="1" ref="W3" ca="1">IF(ROW()-ROW($L$2:$L$19)+1&gt;ROWS($K$2:$K$19)-COUNTBLANK($K$2:$K$19),"",INDIRECT(ADDRESS(SMALL((IF($K$2:$K$19&lt;&gt;"",ROW($K$2:$K$19),ROW()+ROWS($K$2:$K$19))),ROW()-ROW($L$2:$L$19)+1),COLUMN($K$2:$K$19),4)))</f>
        <v>#REF!</v>
      </c>
      <c r="X3" s="349" t="e">
        <f t="array" aca="1" ref="X3" ca="1">IF(ROW()-ROW($M$2:$M$19)+1&gt;ROWS($L$2:$L$19)-COUNTBLANK($L$2:$L$19),"",INDIRECT(ADDRESS(SMALL((IF($L$2:$L$19&lt;&gt;"",ROW($L$2:$L$19),ROW()+ROWS($L$2:$L$19))),ROW()-ROW($M$2:$M$19)+1),COLUMN($L$2:$L$19),4)))</f>
        <v>#REF!</v>
      </c>
      <c r="Y3" s="349" t="e">
        <f t="array" aca="1" ref="Y3" ca="1">IF(ROW()-ROW($N$2:$N$19)+1&gt;ROWS($M$2:$M$19)-COUNTBLANK($M$2:$M$19),"",INDIRECT(ADDRESS(SMALL((IF($M$2:$M$19&lt;&gt;"",ROW($M$2:$M$19),ROW()+ROWS($M$2:$M$19))),ROW()-ROW($N$2:$N$19)+1),COLUMN($M$2:$M$19),4)))</f>
        <v>#REF!</v>
      </c>
    </row>
    <row r="4" spans="1:25" ht="34.5" customHeight="1" x14ac:dyDescent="0.25">
      <c r="A4" s="349" t="str">
        <f>IF('Indicator sheet'!S21=0,"",'Indicator sheet'!S21)</f>
        <v>Incomplete</v>
      </c>
      <c r="C4" s="346" t="str">
        <f>IF($A4="I.O.","",'Indicator sheet'!B21)</f>
        <v>3</v>
      </c>
      <c r="D4" s="347" t="str">
        <f>IF($A4="I.O.","",'Indicator sheet'!E21)</f>
        <v>Post-operative tumour board</v>
      </c>
      <c r="E4" s="351" t="str">
        <f>IF(AND('Indicator sheet'!M21="",$A4&lt;&gt;"I.O."),"-----",IF($A4="I.O.","",'Indicator sheet'!M21))</f>
        <v>-----</v>
      </c>
      <c r="F4" s="352" t="str">
        <f>IF($A4="I.O.","",'Indicator sheet'!N21)</f>
        <v>≥  95%</v>
      </c>
      <c r="G4" s="351" t="str">
        <f>IF(AND('Indicator sheet'!P21="",$A4&lt;&gt;"I.O."),"-----",IF($A4="I.O.","",'Indicator sheet'!P21))</f>
        <v>-----</v>
      </c>
      <c r="H4" s="346" t="str">
        <f>IF($A4="I.O.","",IF('Indicator sheet'!R21="","-----",'Indicator sheet'!R21))</f>
        <v>-----</v>
      </c>
      <c r="I4" s="346">
        <f>IF($A4="I.O.","",IF('Indicator sheet'!R22="","-----",'Indicator sheet'!R22))</f>
        <v>0</v>
      </c>
      <c r="J4" s="346" t="str">
        <f>IF($A4="I.O.","",IF('Indicator sheet'!R23="",0,'Indicator sheet'!R23))</f>
        <v>n.d.</v>
      </c>
      <c r="K4" s="346" t="str">
        <f>IF($A4="I.O.","",'Indicator sheet'!S21)</f>
        <v>Incomplete</v>
      </c>
      <c r="L4" s="348" t="str">
        <f>IF(AND('Indicator sheet'!T21="",$A4&lt;&gt;"I.O."),"-----",IF($A4="I.O.","",'Indicator sheet'!T21))</f>
        <v>-----</v>
      </c>
      <c r="M4" s="348" t="str">
        <f>IF(AND('Indicator sheet'!U21="",$A4&lt;&gt;"I.O."),"-----",IF($A4="I.O.","",'Indicator sheet'!U21))</f>
        <v>-----</v>
      </c>
      <c r="O4" s="346" t="e">
        <f t="array" aca="1" ref="O4" ca="1">IF(ROW()-ROW($D$2:$D$19)+1&gt;ROWS($C$2:$C$19)-COUNTBLANK($C$2:$C$19),"",INDIRECT(ADDRESS(SMALL((IF($C$2:$C$19&lt;&gt;"",ROW($C$2:$C$19),ROW()+ROWS($C$2:$C$19))),ROW()-ROW($D$2:$D$19)+1),COLUMN($C$2:$C$19),4)))</f>
        <v>#REF!</v>
      </c>
      <c r="P4" s="349" t="e">
        <f t="array" aca="1" ref="P4" ca="1">IF(ROW()-ROW($E$2:$E$19)+1&gt;ROWS($D$2:$D$19)-COUNTBLANK($D$2:$D$19),"",INDIRECT(ADDRESS(SMALL((IF($D$2:$D$19&gt;"",ROW($D$2:$D$19),ROW()+ROWS($D$2:$D$19))),ROW()-ROW($E$2:$E$19)+1),COLUMN($D$2:$D$19),4)))</f>
        <v>#REF!</v>
      </c>
      <c r="Q4" s="352" t="e">
        <f t="array" aca="1" ref="Q4" ca="1">IF(ROW()-ROW($F$2:$F$19)+1&gt;ROWS($E$2:$E$19)-COUNTBLANK($E$2:$E$19),"",INDIRECT(ADDRESS(SMALL((IF($E$2:$E$19&gt;"",ROW($E$2:$E$19),ROW()+ROWS($E$2:$E$19))),ROW()-ROW($F$2:$F$19)+1),COLUMN($E$2:$E$19),4)))</f>
        <v>#REF!</v>
      </c>
      <c r="R4" s="352" t="e">
        <f t="array" aca="1" ref="R4" ca="1">IF(ROW()-ROW($G$2:$G$19)+1&gt;ROWS($F$2:$F$19)-COUNTBLANK($F$2:$F$19),"",INDIRECT(ADDRESS(SMALL((IF($F$2:$F$19&gt;"",ROW($F$2:$F$19),ROW()+ROWS($F$2:$F$19))),ROW()-ROW($G$2:$G$19)+1),COLUMN($F$2:$F$19),4)))</f>
        <v>#REF!</v>
      </c>
      <c r="S4" s="352" t="e">
        <f t="array" aca="1" ref="S4" ca="1">IF(ROW()-ROW($H$2:$H$19)+1&gt;ROWS($G$2:$G$19)-COUNTBLANK($G$2:$G$19),"",INDIRECT(ADDRESS(SMALL((IF($G$2:$G$19&lt;&gt;"",ROW($G$2:$G$19),ROW()+ROWS($G$2:$G$19))),ROW()-ROW($H$2:$H$19)+1),COLUMN($G$2:$G$19),4)))</f>
        <v>#REF!</v>
      </c>
      <c r="T4" s="346" t="e">
        <f t="array" aca="1" ref="T4" ca="1">IF(ROW()-ROW($I$2:$I$19)+1&gt;ROWS($H$2:$H$19)-COUNTBLANK($H$2:$H$19),"",INDIRECT(ADDRESS(SMALL((IF($H$2:$H$19&lt;&gt;"",ROW($H$2:$H$19),ROW()+ROWS($H$2:$H$19))),ROW()-ROW($I$2:$I$19)+1),COLUMN($H$2:$H$19),4)))</f>
        <v>#REF!</v>
      </c>
      <c r="U4" s="346" t="e">
        <f t="array" aca="1" ref="U4" ca="1">IF(ROW()-ROW($J$2:$J$19)+1&gt;ROWS($I$2:$I$19)-COUNTBLANK($I$2:$I$19),"",INDIRECT(ADDRESS(SMALL((IF($I$2:$I$19&lt;&gt;"",ROW($I$2:$I$19),ROW()+ROWS($I$2:$I$19))),ROW()-ROW($J$2:$J$19)+1),COLUMN($I$2:$I$19),4)))</f>
        <v>#REF!</v>
      </c>
      <c r="V4" s="346" t="e">
        <f t="array" aca="1" ref="V4" ca="1">IF(ROW()-ROW($K$2:$K$19)+1&gt;ROWS($J$2:$J$19)-COUNTBLANK($J$2:$J$19),"",INDIRECT(ADDRESS(SMALL((IF($J$2:$J$19&lt;&gt;"",ROW($J$2:$J$19),ROW()+ROWS($J$2:$J$19))),ROW()-ROW($K$2:$K$19)+1),COLUMN($J$2:$J$19),4)))</f>
        <v>#REF!</v>
      </c>
      <c r="W4" s="346" t="e">
        <f t="array" aca="1" ref="W4" ca="1">IF(ROW()-ROW($L$2:$L$19)+1&gt;ROWS($K$2:$K$19)-COUNTBLANK($K$2:$K$19),"",INDIRECT(ADDRESS(SMALL((IF($K$2:$K$19&lt;&gt;"",ROW($K$2:$K$19),ROW()+ROWS($K$2:$K$19))),ROW()-ROW($L$2:$L$19)+1),COLUMN($K$2:$K$19),4)))</f>
        <v>#REF!</v>
      </c>
      <c r="X4" s="349" t="e">
        <f t="array" aca="1" ref="X4" ca="1">IF(ROW()-ROW($M$2:$M$19)+1&gt;ROWS($L$2:$L$19)-COUNTBLANK($L$2:$L$19),"",INDIRECT(ADDRESS(SMALL((IF($L$2:$L$19&lt;&gt;"",ROW($L$2:$L$19),ROW()+ROWS($L$2:$L$19))),ROW()-ROW($M$2:$M$19)+1),COLUMN($L$2:$L$19),4)))</f>
        <v>#REF!</v>
      </c>
      <c r="Y4" s="349" t="e">
        <f t="array" aca="1" ref="Y4" ca="1">IF(ROW()-ROW($N$2:$N$19)+1&gt;ROWS($M$2:$M$19)-COUNTBLANK($M$2:$M$19),"",INDIRECT(ADDRESS(SMALL((IF($M$2:$M$19&lt;&gt;"",ROW($M$2:$M$19),ROW()+ROWS($M$2:$M$19))),ROW()-ROW($N$2:$N$19)+1),COLUMN($M$2:$M$19),4)))</f>
        <v>#REF!</v>
      </c>
    </row>
    <row r="5" spans="1:25" ht="34.5" customHeight="1" x14ac:dyDescent="0.25">
      <c r="A5" s="349" t="str">
        <f>IF('Indicator sheet'!S24=0,"",'Indicator sheet'!S24)</f>
        <v>Incomplete</v>
      </c>
      <c r="C5" s="346" t="str">
        <f>IF($A5="I.O.","",'Indicator sheet'!B24)</f>
        <v xml:space="preserve">4
</v>
      </c>
      <c r="D5" s="347" t="str">
        <f>IF($A5="I.O.","",'Indicator sheet'!E24)</f>
        <v xml:space="preserve">Psycho-oncological distress screening </v>
      </c>
      <c r="E5" s="351" t="str">
        <f>IF(AND('Indicator sheet'!M24="",$A5&lt;&gt;"I.O."),"-----",IF($A5="I.O.","",'Indicator sheet'!M24))</f>
        <v>-----</v>
      </c>
      <c r="F5" s="352" t="str">
        <f>IF($A5="I.O.","",'Indicator sheet'!N24)</f>
        <v>≥  65%</v>
      </c>
      <c r="G5" s="351" t="str">
        <f>IF(AND('Indicator sheet'!P24="",$A5&lt;&gt;"I.O."),"-----",IF($A5="I.O.","",'Indicator sheet'!P24))</f>
        <v>-----</v>
      </c>
      <c r="H5" s="346" t="str">
        <f>IF($A5="I.O.","",IF('Indicator sheet'!R24="","-----",'Indicator sheet'!R24))</f>
        <v>-----</v>
      </c>
      <c r="I5" s="346">
        <f>IF($A5="I.O.","",IF('Indicator sheet'!R25="","-----",'Indicator sheet'!R25))</f>
        <v>0</v>
      </c>
      <c r="J5" s="346" t="str">
        <f>IF($A5="I.O.","",IF('Indicator sheet'!R26="",0,'Indicator sheet'!R26))</f>
        <v>n.d.</v>
      </c>
      <c r="K5" s="346" t="str">
        <f>IF($A5="I.O.","",'Indicator sheet'!S24)</f>
        <v>Incomplete</v>
      </c>
      <c r="L5" s="348" t="str">
        <f>IF(AND('Indicator sheet'!T24="",$A5&lt;&gt;"I.O."),"-----",IF($A5="I.O.","",'Indicator sheet'!T24))</f>
        <v>-----</v>
      </c>
      <c r="M5" s="348" t="str">
        <f>IF(AND('Indicator sheet'!U24="",$A5&lt;&gt;"I.O."),"-----",IF($A5="I.O.","",'Indicator sheet'!U24))</f>
        <v>-----</v>
      </c>
      <c r="O5" s="346" t="e">
        <f t="array" aca="1" ref="O5" ca="1">IF(ROW()-ROW($D$2:$D$19)+1&gt;ROWS($C$2:$C$19)-COUNTBLANK($C$2:$C$19),"",INDIRECT(ADDRESS(SMALL((IF($C$2:$C$19&lt;&gt;"",ROW($C$2:$C$19),ROW()+ROWS($C$2:$C$19))),ROW()-ROW($D$2:$D$19)+1),COLUMN($C$2:$C$19),4)))</f>
        <v>#REF!</v>
      </c>
      <c r="P5" s="349" t="e">
        <f t="array" aca="1" ref="P5" ca="1">IF(ROW()-ROW($E$2:$E$19)+1&gt;ROWS($D$2:$D$19)-COUNTBLANK($D$2:$D$19),"",INDIRECT(ADDRESS(SMALL((IF($D$2:$D$19&gt;"",ROW($D$2:$D$19),ROW()+ROWS($D$2:$D$19))),ROW()-ROW($E$2:$E$19)+1),COLUMN($D$2:$D$19),4)))</f>
        <v>#REF!</v>
      </c>
      <c r="Q5" s="352" t="e">
        <f t="array" aca="1" ref="Q5" ca="1">IF(ROW()-ROW($F$2:$F$19)+1&gt;ROWS($E$2:$E$19)-COUNTBLANK($E$2:$E$19),"",INDIRECT(ADDRESS(SMALL((IF($E$2:$E$19&gt;"",ROW($E$2:$E$19),ROW()+ROWS($E$2:$E$19))),ROW()-ROW($F$2:$F$19)+1),COLUMN($E$2:$E$19),4)))</f>
        <v>#REF!</v>
      </c>
      <c r="R5" s="352" t="e">
        <f t="array" aca="1" ref="R5" ca="1">IF(ROW()-ROW($G$2:$G$19)+1&gt;ROWS($F$2:$F$19)-COUNTBLANK($F$2:$F$19),"",INDIRECT(ADDRESS(SMALL((IF($F$2:$F$19&gt;"",ROW($F$2:$F$19),ROW()+ROWS($F$2:$F$19))),ROW()-ROW($G$2:$G$19)+1),COLUMN($F$2:$F$19),4)))</f>
        <v>#REF!</v>
      </c>
      <c r="S5" s="352" t="e">
        <f t="array" aca="1" ref="S5" ca="1">IF(ROW()-ROW($H$2:$H$19)+1&gt;ROWS($G$2:$G$19)-COUNTBLANK($G$2:$G$19),"",INDIRECT(ADDRESS(SMALL((IF($G$2:$G$19&lt;&gt;"",ROW($G$2:$G$19),ROW()+ROWS($G$2:$G$19))),ROW()-ROW($H$2:$H$19)+1),COLUMN($G$2:$G$19),4)))</f>
        <v>#REF!</v>
      </c>
      <c r="T5" s="346" t="e">
        <f t="array" aca="1" ref="T5" ca="1">IF(ROW()-ROW($I$2:$I$19)+1&gt;ROWS($H$2:$H$19)-COUNTBLANK($H$2:$H$19),"",INDIRECT(ADDRESS(SMALL((IF($H$2:$H$19&lt;&gt;"",ROW($H$2:$H$19),ROW()+ROWS($H$2:$H$19))),ROW()-ROW($I$2:$I$19)+1),COLUMN($H$2:$H$19),4)))</f>
        <v>#REF!</v>
      </c>
      <c r="U5" s="346" t="e">
        <f t="array" aca="1" ref="U5" ca="1">IF(ROW()-ROW($J$2:$J$19)+1&gt;ROWS($I$2:$I$19)-COUNTBLANK($I$2:$I$19),"",INDIRECT(ADDRESS(SMALL((IF($I$2:$I$19&lt;&gt;"",ROW($I$2:$I$19),ROW()+ROWS($I$2:$I$19))),ROW()-ROW($J$2:$J$19)+1),COLUMN($I$2:$I$19),4)))</f>
        <v>#REF!</v>
      </c>
      <c r="V5" s="346" t="e">
        <f t="array" aca="1" ref="V5" ca="1">IF(ROW()-ROW($K$2:$K$19)+1&gt;ROWS($J$2:$J$19)-COUNTBLANK($J$2:$J$19),"",INDIRECT(ADDRESS(SMALL((IF($J$2:$J$19&lt;&gt;"",ROW($J$2:$J$19),ROW()+ROWS($J$2:$J$19))),ROW()-ROW($K$2:$K$19)+1),COLUMN($J$2:$J$19),4)))</f>
        <v>#REF!</v>
      </c>
      <c r="W5" s="346" t="e">
        <f t="array" aca="1" ref="W5" ca="1">IF(ROW()-ROW($L$2:$L$19)+1&gt;ROWS($K$2:$K$19)-COUNTBLANK($K$2:$K$19),"",INDIRECT(ADDRESS(SMALL((IF($K$2:$K$19&lt;&gt;"",ROW($K$2:$K$19),ROW()+ROWS($K$2:$K$19))),ROW()-ROW($L$2:$L$19)+1),COLUMN($K$2:$K$19),4)))</f>
        <v>#REF!</v>
      </c>
      <c r="X5" s="349" t="e">
        <f t="array" aca="1" ref="X5" ca="1">IF(ROW()-ROW($M$2:$M$19)+1&gt;ROWS($L$2:$L$19)-COUNTBLANK($L$2:$L$19),"",INDIRECT(ADDRESS(SMALL((IF($L$2:$L$19&lt;&gt;"",ROW($L$2:$L$19),ROW()+ROWS($L$2:$L$19))),ROW()-ROW($M$2:$M$19)+1),COLUMN($L$2:$L$19),4)))</f>
        <v>#REF!</v>
      </c>
      <c r="Y5" s="349" t="e">
        <f t="array" aca="1" ref="Y5" ca="1">IF(ROW()-ROW($N$2:$N$19)+1&gt;ROWS($M$2:$M$19)-COUNTBLANK($M$2:$M$19),"",INDIRECT(ADDRESS(SMALL((IF($M$2:$M$19&lt;&gt;"",ROW($M$2:$M$19),ROW()+ROWS($M$2:$M$19))),ROW()-ROW($N$2:$N$19)+1),COLUMN($M$2:$M$19),4)))</f>
        <v>#REF!</v>
      </c>
    </row>
    <row r="6" spans="1:25" ht="34.5" customHeight="1" x14ac:dyDescent="0.25">
      <c r="A6" s="349" t="str">
        <f>IF('Indicator sheet'!S27=0,"",'Indicator sheet'!S27)</f>
        <v>Incomplete</v>
      </c>
      <c r="C6" s="346" t="str">
        <f>IF($A6="I.O.","",'Indicator sheet'!B27)</f>
        <v>5</v>
      </c>
      <c r="D6" s="347" t="str">
        <f>IF($A6="I.O.","",'Indicator sheet'!E27)</f>
        <v>Social service counselling</v>
      </c>
      <c r="E6" s="351" t="str">
        <f>IF(AND('Indicator sheet'!M27="",$A6&lt;&gt;"I.O."),"-----",IF($A6="I.O.","",'Indicator sheet'!M27))</f>
        <v>&lt; 45%</v>
      </c>
      <c r="F6" s="352" t="str">
        <f>IF($A6="I.O.","",'Indicator sheet'!N27)</f>
        <v>No target value</v>
      </c>
      <c r="G6" s="351" t="str">
        <f>IF(AND('Indicator sheet'!P27="",$A6&lt;&gt;"I.O."),"-----",IF($A6="I.O.","",'Indicator sheet'!P27))</f>
        <v>-----</v>
      </c>
      <c r="H6" s="346" t="str">
        <f>IF($A6="I.O.","",IF('Indicator sheet'!R27="","-----",'Indicator sheet'!R27))</f>
        <v>-----</v>
      </c>
      <c r="I6" s="346">
        <f>IF($A6="I.O.","",IF('Indicator sheet'!R28="","-----",'Indicator sheet'!R28))</f>
        <v>0</v>
      </c>
      <c r="J6" s="346" t="str">
        <f>IF($A6="I.O.","",IF('Indicator sheet'!R29="",0,'Indicator sheet'!R29))</f>
        <v>n.d.</v>
      </c>
      <c r="K6" s="346" t="str">
        <f>IF($A6="I.O.","",'Indicator sheet'!S27)</f>
        <v>Incomplete</v>
      </c>
      <c r="L6" s="348" t="str">
        <f>IF(AND('Indicator sheet'!T27="",$A6&lt;&gt;"I.O."),"-----",IF($A6="I.O.","",'Indicator sheet'!T27))</f>
        <v>-----</v>
      </c>
      <c r="M6" s="348" t="str">
        <f>IF(AND('Indicator sheet'!U27="",$A6&lt;&gt;"I.O."),"-----",IF($A6="I.O.","",'Indicator sheet'!U27))</f>
        <v>-----</v>
      </c>
      <c r="O6" s="346" t="e">
        <f t="array" aca="1" ref="O6" ca="1">IF(ROW()-ROW($D$2:$D$19)+1&gt;ROWS($C$2:$C$19)-COUNTBLANK($C$2:$C$19),"",INDIRECT(ADDRESS(SMALL((IF($C$2:$C$19&lt;&gt;"",ROW($C$2:$C$19),ROW()+ROWS($C$2:$C$19))),ROW()-ROW($D$2:$D$19)+1),COLUMN($C$2:$C$19),4)))</f>
        <v>#REF!</v>
      </c>
      <c r="P6" s="349" t="e">
        <f t="array" aca="1" ref="P6" ca="1">IF(ROW()-ROW($E$2:$E$19)+1&gt;ROWS($D$2:$D$19)-COUNTBLANK($D$2:$D$19),"",INDIRECT(ADDRESS(SMALL((IF($D$2:$D$19&gt;"",ROW($D$2:$D$19),ROW()+ROWS($D$2:$D$19))),ROW()-ROW($E$2:$E$19)+1),COLUMN($D$2:$D$19),4)))</f>
        <v>#REF!</v>
      </c>
      <c r="Q6" s="352" t="e">
        <f t="array" aca="1" ref="Q6" ca="1">IF(ROW()-ROW($F$2:$F$19)+1&gt;ROWS($E$2:$E$19)-COUNTBLANK($E$2:$E$19),"",INDIRECT(ADDRESS(SMALL((IF($E$2:$E$19&gt;"",ROW($E$2:$E$19),ROW()+ROWS($E$2:$E$19))),ROW()-ROW($F$2:$F$19)+1),COLUMN($E$2:$E$19),4)))</f>
        <v>#REF!</v>
      </c>
      <c r="R6" s="352" t="e">
        <f t="array" aca="1" ref="R6" ca="1">IF(ROW()-ROW($G$2:$G$19)+1&gt;ROWS($F$2:$F$19)-COUNTBLANK($F$2:$F$19),"",INDIRECT(ADDRESS(SMALL((IF($F$2:$F$19&gt;"",ROW($F$2:$F$19),ROW()+ROWS($F$2:$F$19))),ROW()-ROW($G$2:$G$19)+1),COLUMN($F$2:$F$19),4)))</f>
        <v>#REF!</v>
      </c>
      <c r="S6" s="352" t="e">
        <f t="array" aca="1" ref="S6" ca="1">IF(ROW()-ROW($H$2:$H$19)+1&gt;ROWS($G$2:$G$19)-COUNTBLANK($G$2:$G$19),"",INDIRECT(ADDRESS(SMALL((IF($G$2:$G$19&lt;&gt;"",ROW($G$2:$G$19),ROW()+ROWS($G$2:$G$19))),ROW()-ROW($H$2:$H$19)+1),COLUMN($G$2:$G$19),4)))</f>
        <v>#REF!</v>
      </c>
      <c r="T6" s="346" t="e">
        <f t="array" aca="1" ref="T6" ca="1">IF(ROW()-ROW($I$2:$I$19)+1&gt;ROWS($H$2:$H$19)-COUNTBLANK($H$2:$H$19),"",INDIRECT(ADDRESS(SMALL((IF($H$2:$H$19&lt;&gt;"",ROW($H$2:$H$19),ROW()+ROWS($H$2:$H$19))),ROW()-ROW($I$2:$I$19)+1),COLUMN($H$2:$H$19),4)))</f>
        <v>#REF!</v>
      </c>
      <c r="U6" s="346" t="e">
        <f t="array" aca="1" ref="U6" ca="1">IF(ROW()-ROW($J$2:$J$19)+1&gt;ROWS($I$2:$I$19)-COUNTBLANK($I$2:$I$19),"",INDIRECT(ADDRESS(SMALL((IF($I$2:$I$19&lt;&gt;"",ROW($I$2:$I$19),ROW()+ROWS($I$2:$I$19))),ROW()-ROW($J$2:$J$19)+1),COLUMN($I$2:$I$19),4)))</f>
        <v>#REF!</v>
      </c>
      <c r="V6" s="346" t="e">
        <f t="array" aca="1" ref="V6" ca="1">IF(ROW()-ROW($K$2:$K$19)+1&gt;ROWS($J$2:$J$19)-COUNTBLANK($J$2:$J$19),"",INDIRECT(ADDRESS(SMALL((IF($J$2:$J$19&lt;&gt;"",ROW($J$2:$J$19),ROW()+ROWS($J$2:$J$19))),ROW()-ROW($K$2:$K$19)+1),COLUMN($J$2:$J$19),4)))</f>
        <v>#REF!</v>
      </c>
      <c r="W6" s="346" t="e">
        <f t="array" aca="1" ref="W6" ca="1">IF(ROW()-ROW($L$2:$L$19)+1&gt;ROWS($K$2:$K$19)-COUNTBLANK($K$2:$K$19),"",INDIRECT(ADDRESS(SMALL((IF($K$2:$K$19&lt;&gt;"",ROW($K$2:$K$19),ROW()+ROWS($K$2:$K$19))),ROW()-ROW($L$2:$L$19)+1),COLUMN($K$2:$K$19),4)))</f>
        <v>#REF!</v>
      </c>
      <c r="X6" s="349" t="e">
        <f t="array" aca="1" ref="X6" ca="1">IF(ROW()-ROW($M$2:$M$19)+1&gt;ROWS($L$2:$L$19)-COUNTBLANK($L$2:$L$19),"",INDIRECT(ADDRESS(SMALL((IF($L$2:$L$19&lt;&gt;"",ROW($L$2:$L$19),ROW()+ROWS($L$2:$L$19))),ROW()-ROW($M$2:$M$19)+1),COLUMN($L$2:$L$19),4)))</f>
        <v>#REF!</v>
      </c>
      <c r="Y6" s="349" t="e">
        <f t="array" aca="1" ref="Y6" ca="1">IF(ROW()-ROW($N$2:$N$19)+1&gt;ROWS($M$2:$M$19)-COUNTBLANK($M$2:$M$19),"",INDIRECT(ADDRESS(SMALL((IF($M$2:$M$19&lt;&gt;"",ROW($M$2:$M$19),ROW()+ROWS($M$2:$M$19))),ROW()-ROW($N$2:$N$19)+1),COLUMN($M$2:$M$19),4)))</f>
        <v>#REF!</v>
      </c>
    </row>
    <row r="7" spans="1:25" ht="34.5" customHeight="1" x14ac:dyDescent="0.25">
      <c r="A7" s="349" t="str">
        <f>IF('Indicator sheet'!S30=0,"",'Indicator sheet'!S30)</f>
        <v>Incomplete</v>
      </c>
      <c r="C7" s="346" t="str">
        <f>IF($A7="I.O.","",'Indicator sheet'!B30)</f>
        <v>6</v>
      </c>
      <c r="D7" s="347" t="str">
        <f>IF($A7="I.O.","",'Indicator sheet'!E30)</f>
        <v>Patients enrolled in a study</v>
      </c>
      <c r="E7" s="351" t="str">
        <f>IF(AND('Indicator sheet'!M30="",$A7&lt;&gt;"I.O."),"-----",IF($A7="I.O.","",'Indicator sheet'!M30))</f>
        <v>-----</v>
      </c>
      <c r="F7" s="352" t="str">
        <f>IF($A7="I.O.","",'Indicator sheet'!N30)</f>
        <v>≥  5%</v>
      </c>
      <c r="G7" s="351" t="str">
        <f>IF(AND('Indicator sheet'!P30="",$A7&lt;&gt;"I.O."),"-----",IF($A7="I.O.","",'Indicator sheet'!P30))</f>
        <v>-----</v>
      </c>
      <c r="H7" s="346">
        <f>IF($A7="I.O.","",IF('Indicator sheet'!R30="","-----",'Indicator sheet'!R30))</f>
        <v>0</v>
      </c>
      <c r="I7" s="346">
        <f>IF($A7="I.O.","",IF('Indicator sheet'!R31="","-----",'Indicator sheet'!R31))</f>
        <v>0</v>
      </c>
      <c r="J7" s="346" t="str">
        <f>IF($A7="I.O.","",IF('Indicator sheet'!R32="",0,'Indicator sheet'!R32))</f>
        <v>n.d.</v>
      </c>
      <c r="K7" s="346" t="str">
        <f>IF($A7="I.O.","",'Indicator sheet'!S30)</f>
        <v>Incomplete</v>
      </c>
      <c r="L7" s="348" t="str">
        <f>IF(AND('Indicator sheet'!T30="",$A7&lt;&gt;"I.O."),"-----",IF($A7="I.O.","",'Indicator sheet'!T30))</f>
        <v>-----</v>
      </c>
      <c r="M7" s="348" t="str">
        <f>IF(AND('Indicator sheet'!U30="",$A7&lt;&gt;"I.O."),"-----",IF($A7="I.O.","",'Indicator sheet'!U30))</f>
        <v>-----</v>
      </c>
      <c r="O7" s="346" t="e">
        <f t="array" aca="1" ref="O7" ca="1">IF(ROW()-ROW($D$2:$D$19)+1&gt;ROWS($C$2:$C$19)-COUNTBLANK($C$2:$C$19),"",INDIRECT(ADDRESS(SMALL((IF($C$2:$C$19&lt;&gt;"",ROW($C$2:$C$19),ROW()+ROWS($C$2:$C$19))),ROW()-ROW($D$2:$D$19)+1),COLUMN($C$2:$C$19),4)))</f>
        <v>#REF!</v>
      </c>
      <c r="P7" s="349" t="e">
        <f t="array" aca="1" ref="P7" ca="1">IF(ROW()-ROW($E$2:$E$19)+1&gt;ROWS($D$2:$D$19)-COUNTBLANK($D$2:$D$19),"",INDIRECT(ADDRESS(SMALL((IF($D$2:$D$19&gt;"",ROW($D$2:$D$19),ROW()+ROWS($D$2:$D$19))),ROW()-ROW($E$2:$E$19)+1),COLUMN($D$2:$D$19),4)))</f>
        <v>#REF!</v>
      </c>
      <c r="Q7" s="352" t="e">
        <f t="array" aca="1" ref="Q7" ca="1">IF(ROW()-ROW($F$2:$F$19)+1&gt;ROWS($E$2:$E$19)-COUNTBLANK($E$2:$E$19),"",INDIRECT(ADDRESS(SMALL((IF($E$2:$E$19&gt;"",ROW($E$2:$E$19),ROW()+ROWS($E$2:$E$19))),ROW()-ROW($F$2:$F$19)+1),COLUMN($E$2:$E$19),4)))</f>
        <v>#REF!</v>
      </c>
      <c r="R7" s="352" t="e">
        <f t="array" aca="1" ref="R7" ca="1">IF(ROW()-ROW($G$2:$G$19)+1&gt;ROWS($F$2:$F$19)-COUNTBLANK($F$2:$F$19),"",INDIRECT(ADDRESS(SMALL((IF($F$2:$F$19&gt;"",ROW($F$2:$F$19),ROW()+ROWS($F$2:$F$19))),ROW()-ROW($G$2:$G$19)+1),COLUMN($F$2:$F$19),4)))</f>
        <v>#REF!</v>
      </c>
      <c r="S7" s="352" t="e">
        <f t="array" aca="1" ref="S7" ca="1">IF(ROW()-ROW($H$2:$H$19)+1&gt;ROWS($G$2:$G$19)-COUNTBLANK($G$2:$G$19),"",INDIRECT(ADDRESS(SMALL((IF($G$2:$G$19&lt;&gt;"",ROW($G$2:$G$19),ROW()+ROWS($G$2:$G$19))),ROW()-ROW($H$2:$H$19)+1),COLUMN($G$2:$G$19),4)))</f>
        <v>#REF!</v>
      </c>
      <c r="T7" s="346" t="e">
        <f t="array" aca="1" ref="T7" ca="1">IF(ROW()-ROW($I$2:$I$19)+1&gt;ROWS($H$2:$H$19)-COUNTBLANK($H$2:$H$19),"",INDIRECT(ADDRESS(SMALL((IF($H$2:$H$19&lt;&gt;"",ROW($H$2:$H$19),ROW()+ROWS($H$2:$H$19))),ROW()-ROW($I$2:$I$19)+1),COLUMN($H$2:$H$19),4)))</f>
        <v>#REF!</v>
      </c>
      <c r="U7" s="346" t="e">
        <f t="array" aca="1" ref="U7" ca="1">IF(ROW()-ROW($J$2:$J$19)+1&gt;ROWS($I$2:$I$19)-COUNTBLANK($I$2:$I$19),"",INDIRECT(ADDRESS(SMALL((IF($I$2:$I$19&lt;&gt;"",ROW($I$2:$I$19),ROW()+ROWS($I$2:$I$19))),ROW()-ROW($J$2:$J$19)+1),COLUMN($I$2:$I$19),4)))</f>
        <v>#REF!</v>
      </c>
      <c r="V7" s="346" t="e">
        <f t="array" aca="1" ref="V7" ca="1">IF(ROW()-ROW($K$2:$K$19)+1&gt;ROWS($J$2:$J$19)-COUNTBLANK($J$2:$J$19),"",INDIRECT(ADDRESS(SMALL((IF($J$2:$J$19&lt;&gt;"",ROW($J$2:$J$19),ROW()+ROWS($J$2:$J$19))),ROW()-ROW($K$2:$K$19)+1),COLUMN($J$2:$J$19),4)))</f>
        <v>#REF!</v>
      </c>
      <c r="W7" s="346" t="e">
        <f t="array" aca="1" ref="W7" ca="1">IF(ROW()-ROW($L$2:$L$19)+1&gt;ROWS($K$2:$K$19)-COUNTBLANK($K$2:$K$19),"",INDIRECT(ADDRESS(SMALL((IF($K$2:$K$19&lt;&gt;"",ROW($K$2:$K$19),ROW()+ROWS($K$2:$K$19))),ROW()-ROW($L$2:$L$19)+1),COLUMN($K$2:$K$19),4)))</f>
        <v>#REF!</v>
      </c>
      <c r="X7" s="349" t="e">
        <f t="array" aca="1" ref="X7" ca="1">IF(ROW()-ROW($M$2:$M$19)+1&gt;ROWS($L$2:$L$19)-COUNTBLANK($L$2:$L$19),"",INDIRECT(ADDRESS(SMALL((IF($L$2:$L$19&lt;&gt;"",ROW($L$2:$L$19),ROW()+ROWS($L$2:$L$19))),ROW()-ROW($M$2:$M$19)+1),COLUMN($L$2:$L$19),4)))</f>
        <v>#REF!</v>
      </c>
      <c r="Y7" s="349" t="e">
        <f t="array" aca="1" ref="Y7" ca="1">IF(ROW()-ROW($N$2:$N$19)+1&gt;ROWS($M$2:$M$19)-COUNTBLANK($M$2:$M$19),"",INDIRECT(ADDRESS(SMALL((IF($M$2:$M$19&lt;&gt;"",ROW($M$2:$M$19),ROW()+ROWS($M$2:$M$19))),ROW()-ROW($N$2:$N$19)+1),COLUMN($M$2:$M$19),4)))</f>
        <v>#REF!</v>
      </c>
    </row>
    <row r="8" spans="1:25" ht="34.5" customHeight="1" x14ac:dyDescent="0.25">
      <c r="A8" s="349" t="str">
        <f>IF('Indicator sheet'!S33=0,"",'Indicator sheet'!S33)</f>
        <v>Incomplete</v>
      </c>
      <c r="C8" s="346" t="str">
        <f>IF($A8="I.O.","",CONCATENATE('Indicator sheet'!B33,'Indicator sheet'!C33))</f>
        <v>7a</v>
      </c>
      <c r="D8" s="347" t="str">
        <f>IF($A8="I.O.","",CONCATENATE('Indicator sheet'!E33," - ",'Indicator sheet'!J33))</f>
        <v>Endoscopy complications - Pancreatitis after ERCP
(CR 2.1)</v>
      </c>
      <c r="E8" s="351" t="str">
        <f>IF(AND('Indicator sheet'!M33="",$A8&lt;&gt;"I.O."),"-----",IF($A8="I.O.","",'Indicator sheet'!M33))</f>
        <v>&lt; 0,01%</v>
      </c>
      <c r="F8" s="352" t="str">
        <f>IF($A8="I.O.","",'Indicator sheet'!N33)</f>
        <v xml:space="preserve">≤ 10% </v>
      </c>
      <c r="G8" s="351" t="str">
        <f>IF(AND('Indicator sheet'!P33="",$A8&lt;&gt;"I.O."),"-----",IF($A8="I.O.","",'Indicator sheet'!P33))</f>
        <v>-----</v>
      </c>
      <c r="H8" s="346" t="str">
        <f>IF($A8="I.O.","",IF('Indicator sheet'!R33="","-----",'Indicator sheet'!R33))</f>
        <v>-----</v>
      </c>
      <c r="I8" s="346" t="str">
        <f>IF($A8="I.O.","",IF('Indicator sheet'!R34="","-----",'Indicator sheet'!R34))</f>
        <v>-----</v>
      </c>
      <c r="J8" s="346" t="str">
        <f>IF($A8="I.O.","",IF('Indicator sheet'!R35="",0,'Indicator sheet'!R35))</f>
        <v>n.d.</v>
      </c>
      <c r="K8" s="346" t="str">
        <f>IF($A8="I.O.","",'Indicator sheet'!S33)</f>
        <v>Incomplete</v>
      </c>
      <c r="L8" s="348" t="str">
        <f>IF(AND('Indicator sheet'!T33="",$A8&lt;&gt;"I.O."),"-----",IF($A8="I.O.","",'Indicator sheet'!T33))</f>
        <v>-----</v>
      </c>
      <c r="M8" s="348" t="str">
        <f>IF(AND('Indicator sheet'!U33="",$A8&lt;&gt;"I.O."),"-----",IF($A8="I.O.","",'Indicator sheet'!U33))</f>
        <v>-----</v>
      </c>
      <c r="O8" s="346" t="e">
        <f t="array" aca="1" ref="O8" ca="1">IF(ROW()-ROW($D$2:$D$19)+1&gt;ROWS($C$2:$C$19)-COUNTBLANK($C$2:$C$19),"",INDIRECT(ADDRESS(SMALL((IF($C$2:$C$19&lt;&gt;"",ROW($C$2:$C$19),ROW()+ROWS($C$2:$C$19))),ROW()-ROW($D$2:$D$19)+1),COLUMN($C$2:$C$19),4)))</f>
        <v>#REF!</v>
      </c>
      <c r="P8" s="349" t="e">
        <f t="array" aca="1" ref="P8" ca="1">IF(ROW()-ROW($E$2:$E$19)+1&gt;ROWS($D$2:$D$19)-COUNTBLANK($D$2:$D$19),"",INDIRECT(ADDRESS(SMALL((IF($D$2:$D$19&gt;"",ROW($D$2:$D$19),ROW()+ROWS($D$2:$D$19))),ROW()-ROW($E$2:$E$19)+1),COLUMN($D$2:$D$19),4)))</f>
        <v>#REF!</v>
      </c>
      <c r="Q8" s="352" t="e">
        <f t="array" aca="1" ref="Q8" ca="1">IF(ROW()-ROW($F$2:$F$19)+1&gt;ROWS($E$2:$E$19)-COUNTBLANK($E$2:$E$19),"",INDIRECT(ADDRESS(SMALL((IF($E$2:$E$19&gt;"",ROW($E$2:$E$19),ROW()+ROWS($E$2:$E$19))),ROW()-ROW($F$2:$F$19)+1),COLUMN($E$2:$E$19),4)))</f>
        <v>#REF!</v>
      </c>
      <c r="R8" s="352" t="e">
        <f t="array" aca="1" ref="R8" ca="1">IF(ROW()-ROW($G$2:$G$19)+1&gt;ROWS($F$2:$F$19)-COUNTBLANK($F$2:$F$19),"",INDIRECT(ADDRESS(SMALL((IF($F$2:$F$19&gt;"",ROW($F$2:$F$19),ROW()+ROWS($F$2:$F$19))),ROW()-ROW($G$2:$G$19)+1),COLUMN($F$2:$F$19),4)))</f>
        <v>#REF!</v>
      </c>
      <c r="S8" s="352" t="e">
        <f t="array" aca="1" ref="S8" ca="1">IF(ROW()-ROW($H$2:$H$19)+1&gt;ROWS($G$2:$G$19)-COUNTBLANK($G$2:$G$19),"",INDIRECT(ADDRESS(SMALL((IF($G$2:$G$19&lt;&gt;"",ROW($G$2:$G$19),ROW()+ROWS($G$2:$G$19))),ROW()-ROW($H$2:$H$19)+1),COLUMN($G$2:$G$19),4)))</f>
        <v>#REF!</v>
      </c>
      <c r="T8" s="346" t="e">
        <f t="array" aca="1" ref="T8" ca="1">IF(ROW()-ROW($I$2:$I$19)+1&gt;ROWS($H$2:$H$19)-COUNTBLANK($H$2:$H$19),"",INDIRECT(ADDRESS(SMALL((IF($H$2:$H$19&lt;&gt;"",ROW($H$2:$H$19),ROW()+ROWS($H$2:$H$19))),ROW()-ROW($I$2:$I$19)+1),COLUMN($H$2:$H$19),4)))</f>
        <v>#REF!</v>
      </c>
      <c r="U8" s="346" t="e">
        <f t="array" aca="1" ref="U8" ca="1">IF(ROW()-ROW($J$2:$J$19)+1&gt;ROWS($I$2:$I$19)-COUNTBLANK($I$2:$I$19),"",INDIRECT(ADDRESS(SMALL((IF($I$2:$I$19&lt;&gt;"",ROW($I$2:$I$19),ROW()+ROWS($I$2:$I$19))),ROW()-ROW($J$2:$J$19)+1),COLUMN($I$2:$I$19),4)))</f>
        <v>#REF!</v>
      </c>
      <c r="V8" s="346" t="e">
        <f t="array" aca="1" ref="V8" ca="1">IF(ROW()-ROW($K$2:$K$19)+1&gt;ROWS($J$2:$J$19)-COUNTBLANK($J$2:$J$19),"",INDIRECT(ADDRESS(SMALL((IF($J$2:$J$19&lt;&gt;"",ROW($J$2:$J$19),ROW()+ROWS($J$2:$J$19))),ROW()-ROW($K$2:$K$19)+1),COLUMN($J$2:$J$19),4)))</f>
        <v>#REF!</v>
      </c>
      <c r="W8" s="346" t="e">
        <f t="array" aca="1" ref="W8" ca="1">IF(ROW()-ROW($L$2:$L$19)+1&gt;ROWS($K$2:$K$19)-COUNTBLANK($K$2:$K$19),"",INDIRECT(ADDRESS(SMALL((IF($K$2:$K$19&lt;&gt;"",ROW($K$2:$K$19),ROW()+ROWS($K$2:$K$19))),ROW()-ROW($L$2:$L$19)+1),COLUMN($K$2:$K$19),4)))</f>
        <v>#REF!</v>
      </c>
      <c r="X8" s="349" t="e">
        <f t="array" aca="1" ref="X8" ca="1">IF(ROW()-ROW($M$2:$M$19)+1&gt;ROWS($L$2:$L$19)-COUNTBLANK($L$2:$L$19),"",INDIRECT(ADDRESS(SMALL((IF($L$2:$L$19&lt;&gt;"",ROW($L$2:$L$19),ROW()+ROWS($L$2:$L$19))),ROW()-ROW($M$2:$M$19)+1),COLUMN($L$2:$L$19),4)))</f>
        <v>#REF!</v>
      </c>
      <c r="Y8" s="349" t="e">
        <f t="array" aca="1" ref="Y8" ca="1">IF(ROW()-ROW($N$2:$N$19)+1&gt;ROWS($M$2:$M$19)-COUNTBLANK($M$2:$M$19),"",INDIRECT(ADDRESS(SMALL((IF($M$2:$M$19&lt;&gt;"",ROW($M$2:$M$19),ROW()+ROWS($M$2:$M$19))),ROW()-ROW($N$2:$N$19)+1),COLUMN($M$2:$M$19),4)))</f>
        <v>#REF!</v>
      </c>
    </row>
    <row r="9" spans="1:25" ht="34.5" customHeight="1" x14ac:dyDescent="0.25">
      <c r="A9" s="349" t="str">
        <f>IF('Indicator sheet'!S36=0,"",'Indicator sheet'!S36)</f>
        <v>Incomplete</v>
      </c>
      <c r="C9" s="346" t="str">
        <f>IF($A9="I.O.","",CONCATENATE('Indicator sheet'!B33,'Indicator sheet'!C36))</f>
        <v>7b</v>
      </c>
      <c r="D9" s="347" t="str">
        <f>IF($A9="I.O.","",CONCATENATE('Indicator sheet'!E33," - ",'Indicator sheet'!J36))</f>
        <v>Endoscopy complications - Bleeding and perforation after ERCP 
(CR 2.1)</v>
      </c>
      <c r="E9" s="351" t="str">
        <f>IF(AND('Indicator sheet'!M36="",$A9&lt;&gt;"I.O."),"-----",IF($A9="I.O.","",'Indicator sheet'!M36))</f>
        <v>&lt; 0,01%</v>
      </c>
      <c r="F9" s="352" t="str">
        <f>IF($A9="I.O.","",'Indicator sheet'!N36)</f>
        <v xml:space="preserve">≤ 5% </v>
      </c>
      <c r="G9" s="351" t="str">
        <f>IF(AND('Indicator sheet'!P36="",$A9&lt;&gt;"I.O."),"-----",IF($A9="I.O.","",'Indicator sheet'!P36))</f>
        <v>-----</v>
      </c>
      <c r="H9" s="346" t="str">
        <f>IF($A9="I.O.","",IF('Indicator sheet'!R36="","-----",'Indicator sheet'!R36))</f>
        <v>-----</v>
      </c>
      <c r="I9" s="346">
        <f>IF($A9="I.O.","",IF('Indicator sheet'!R37="","-----",'Indicator sheet'!R37))</f>
        <v>0</v>
      </c>
      <c r="J9" s="346" t="str">
        <f>IF($A9="I.O.","",IF('Indicator sheet'!R38="",0,'Indicator sheet'!R38))</f>
        <v>n.d.</v>
      </c>
      <c r="K9" s="346" t="str">
        <f>IF($A9="I.O.","",'Indicator sheet'!S36)</f>
        <v>Incomplete</v>
      </c>
      <c r="L9" s="348" t="str">
        <f>IF(AND('Indicator sheet'!T36="",$A9&lt;&gt;"I.O."),"-----",IF($A9="I.O.","",'Indicator sheet'!T36))</f>
        <v>-----</v>
      </c>
      <c r="M9" s="348" t="str">
        <f>IF(AND('Indicator sheet'!U36="",$A9&lt;&gt;"I.O."),"-----",IF($A9="I.O.","",'Indicator sheet'!U36))</f>
        <v>-----</v>
      </c>
      <c r="O9" s="346" t="e">
        <f t="array" aca="1" ref="O9" ca="1">IF(ROW()-ROW($D$2:$D$19)+1&gt;ROWS($C$2:$C$19)-COUNTBLANK($C$2:$C$19),"",INDIRECT(ADDRESS(SMALL((IF($C$2:$C$19&lt;&gt;"",ROW($C$2:$C$19),ROW()+ROWS($C$2:$C$19))),ROW()-ROW($D$2:$D$19)+1),COLUMN($C$2:$C$19),4)))</f>
        <v>#REF!</v>
      </c>
      <c r="P9" s="349" t="e">
        <f t="array" aca="1" ref="P9" ca="1">IF(ROW()-ROW($E$2:$E$19)+1&gt;ROWS($D$2:$D$19)-COUNTBLANK($D$2:$D$19),"",INDIRECT(ADDRESS(SMALL((IF($D$2:$D$19&gt;"",ROW($D$2:$D$19),ROW()+ROWS($D$2:$D$19))),ROW()-ROW($E$2:$E$19)+1),COLUMN($D$2:$D$19),4)))</f>
        <v>#REF!</v>
      </c>
      <c r="Q9" s="352" t="e">
        <f t="array" aca="1" ref="Q9" ca="1">IF(ROW()-ROW($F$2:$F$19)+1&gt;ROWS($E$2:$E$19)-COUNTBLANK($E$2:$E$19),"",INDIRECT(ADDRESS(SMALL((IF($E$2:$E$19&gt;"",ROW($E$2:$E$19),ROW()+ROWS($E$2:$E$19))),ROW()-ROW($F$2:$F$19)+1),COLUMN($E$2:$E$19),4)))</f>
        <v>#REF!</v>
      </c>
      <c r="R9" s="352" t="e">
        <f t="array" aca="1" ref="R9" ca="1">IF(ROW()-ROW($G$2:$G$19)+1&gt;ROWS($F$2:$F$19)-COUNTBLANK($F$2:$F$19),"",INDIRECT(ADDRESS(SMALL((IF($F$2:$F$19&gt;"",ROW($F$2:$F$19),ROW()+ROWS($F$2:$F$19))),ROW()-ROW($G$2:$G$19)+1),COLUMN($F$2:$F$19),4)))</f>
        <v>#REF!</v>
      </c>
      <c r="S9" s="352" t="e">
        <f t="array" aca="1" ref="S9" ca="1">IF(ROW()-ROW($H$2:$H$19)+1&gt;ROWS($G$2:$G$19)-COUNTBLANK($G$2:$G$19),"",INDIRECT(ADDRESS(SMALL((IF($G$2:$G$19&lt;&gt;"",ROW($G$2:$G$19),ROW()+ROWS($G$2:$G$19))),ROW()-ROW($H$2:$H$19)+1),COLUMN($G$2:$G$19),4)))</f>
        <v>#REF!</v>
      </c>
      <c r="T9" s="346" t="e">
        <f t="array" aca="1" ref="T9" ca="1">IF(ROW()-ROW($I$2:$I$19)+1&gt;ROWS($H$2:$H$19)-COUNTBLANK($H$2:$H$19),"",INDIRECT(ADDRESS(SMALL((IF($H$2:$H$19&lt;&gt;"",ROW($H$2:$H$19),ROW()+ROWS($H$2:$H$19))),ROW()-ROW($I$2:$I$19)+1),COLUMN($H$2:$H$19),4)))</f>
        <v>#REF!</v>
      </c>
      <c r="U9" s="346" t="e">
        <f t="array" aca="1" ref="U9" ca="1">IF(ROW()-ROW($J$2:$J$19)+1&gt;ROWS($I$2:$I$19)-COUNTBLANK($I$2:$I$19),"",INDIRECT(ADDRESS(SMALL((IF($I$2:$I$19&lt;&gt;"",ROW($I$2:$I$19),ROW()+ROWS($I$2:$I$19))),ROW()-ROW($J$2:$J$19)+1),COLUMN($I$2:$I$19),4)))</f>
        <v>#REF!</v>
      </c>
      <c r="V9" s="346" t="e">
        <f t="array" aca="1" ref="V9" ca="1">IF(ROW()-ROW($K$2:$K$19)+1&gt;ROWS($J$2:$J$19)-COUNTBLANK($J$2:$J$19),"",INDIRECT(ADDRESS(SMALL((IF($J$2:$J$19&lt;&gt;"",ROW($J$2:$J$19),ROW()+ROWS($J$2:$J$19))),ROW()-ROW($K$2:$K$19)+1),COLUMN($J$2:$J$19),4)))</f>
        <v>#REF!</v>
      </c>
      <c r="W9" s="346" t="e">
        <f t="array" aca="1" ref="W9" ca="1">IF(ROW()-ROW($L$2:$L$19)+1&gt;ROWS($K$2:$K$19)-COUNTBLANK($K$2:$K$19),"",INDIRECT(ADDRESS(SMALL((IF($K$2:$K$19&lt;&gt;"",ROW($K$2:$K$19),ROW()+ROWS($K$2:$K$19))),ROW()-ROW($L$2:$L$19)+1),COLUMN($K$2:$K$19),4)))</f>
        <v>#REF!</v>
      </c>
      <c r="X9" s="349" t="e">
        <f t="array" aca="1" ref="X9" ca="1">IF(ROW()-ROW($M$2:$M$19)+1&gt;ROWS($L$2:$L$19)-COUNTBLANK($L$2:$L$19),"",INDIRECT(ADDRESS(SMALL((IF($L$2:$L$19&lt;&gt;"",ROW($L$2:$L$19),ROW()+ROWS($L$2:$L$19))),ROW()-ROW($M$2:$M$19)+1),COLUMN($L$2:$L$19),4)))</f>
        <v>#REF!</v>
      </c>
      <c r="Y9" s="349" t="e">
        <f t="array" aca="1" ref="Y9" ca="1">IF(ROW()-ROW($N$2:$N$19)+1&gt;ROWS($M$2:$M$19)-COUNTBLANK($M$2:$M$19),"",INDIRECT(ADDRESS(SMALL((IF($M$2:$M$19&lt;&gt;"",ROW($M$2:$M$19),ROW()+ROWS($M$2:$M$19))),ROW()-ROW($N$2:$N$19)+1),COLUMN($M$2:$M$19),4)))</f>
        <v>#REF!</v>
      </c>
    </row>
    <row r="10" spans="1:25" ht="51" customHeight="1" x14ac:dyDescent="0.25">
      <c r="A10" s="349" t="str">
        <f>IF('Indicator sheet'!S39=0,"",'Indicator sheet'!S39)</f>
        <v>Incomplete</v>
      </c>
      <c r="C10" s="346" t="str">
        <f>IF($A10="I.O.","",'Indicator sheet'!B39)</f>
        <v>8</v>
      </c>
      <c r="D10" s="347" t="str">
        <f>IF($A10="I.O.","",'Indicator sheet'!E39)</f>
        <v>Surgical primary cases pancreas 
(only ICD-10 C25 in combination with OPS: 5-524* and 5-525*)</v>
      </c>
      <c r="E10" s="351" t="str">
        <f>IF(AND('Indicator sheet'!M39="",$A10&lt;&gt;"I.O."),"-----",IF($A10="I.O.","",'Indicator sheet'!M39))</f>
        <v>-----</v>
      </c>
      <c r="F10" s="352" t="str">
        <f>IF($A10="I.O.","",'Indicator sheet'!N39)</f>
        <v>≥  12</v>
      </c>
      <c r="G10" s="351" t="str">
        <f>IF(AND('Indicator sheet'!P39="",$A10&lt;&gt;"I.O."),"-----",IF($A10="I.O.","",'Indicator sheet'!P39))</f>
        <v>-----</v>
      </c>
      <c r="H10" s="346">
        <f>IF($A10="I.O.","",IF('Indicator sheet'!R39="","-----",'Indicator sheet'!R39))</f>
        <v>0</v>
      </c>
      <c r="I10" s="346" t="str">
        <f>IF($A10="I.O.","","-----")</f>
        <v>-----</v>
      </c>
      <c r="J10" s="346" t="str">
        <f>IF($A10="I.O.","","-----")</f>
        <v>-----</v>
      </c>
      <c r="K10" s="346" t="str">
        <f>IF($A10="I.O.","",'Indicator sheet'!S39)</f>
        <v>Incomplete</v>
      </c>
      <c r="L10" s="348" t="str">
        <f>IF(AND('Indicator sheet'!T39="",$A10&lt;&gt;"I.O."),"-----",IF($A10="I.O.","",'Indicator sheet'!T39))</f>
        <v>-----</v>
      </c>
      <c r="M10" s="348" t="str">
        <f>IF(AND('Indicator sheet'!U39="",$A10&lt;&gt;"I.O."),"-----",IF($A10="I.O.","",'Indicator sheet'!U39))</f>
        <v>-----</v>
      </c>
      <c r="O10" s="346" t="e">
        <f t="array" aca="1" ref="O10" ca="1">IF(ROW()-ROW($D$2:$D$19)+1&gt;ROWS($C$2:$C$19)-COUNTBLANK($C$2:$C$19),"",INDIRECT(ADDRESS(SMALL((IF($C$2:$C$19&lt;&gt;"",ROW($C$2:$C$19),ROW()+ROWS($C$2:$C$19))),ROW()-ROW($D$2:$D$19)+1),COLUMN($C$2:$C$19),4)))</f>
        <v>#REF!</v>
      </c>
      <c r="P10" s="349" t="e">
        <f t="array" aca="1" ref="P10" ca="1">IF(ROW()-ROW($E$2:$E$19)+1&gt;ROWS($D$2:$D$19)-COUNTBLANK($D$2:$D$19),"",INDIRECT(ADDRESS(SMALL((IF($D$2:$D$19&gt;"",ROW($D$2:$D$19),ROW()+ROWS($D$2:$D$19))),ROW()-ROW($E$2:$E$19)+1),COLUMN($D$2:$D$19),4)))</f>
        <v>#REF!</v>
      </c>
      <c r="Q10" s="352" t="e">
        <f t="array" aca="1" ref="Q10" ca="1">IF(ROW()-ROW($F$2:$F$19)+1&gt;ROWS($E$2:$E$19)-COUNTBLANK($E$2:$E$19),"",INDIRECT(ADDRESS(SMALL((IF($E$2:$E$19&gt;"",ROW($E$2:$E$19),ROW()+ROWS($E$2:$E$19))),ROW()-ROW($F$2:$F$19)+1),COLUMN($E$2:$E$19),4)))</f>
        <v>#REF!</v>
      </c>
      <c r="R10" s="352" t="e">
        <f t="array" aca="1" ref="R10" ca="1">IF(ROW()-ROW($G$2:$G$19)+1&gt;ROWS($F$2:$F$19)-COUNTBLANK($F$2:$F$19),"",INDIRECT(ADDRESS(SMALL((IF($F$2:$F$19&gt;"",ROW($F$2:$F$19),ROW()+ROWS($F$2:$F$19))),ROW()-ROW($G$2:$G$19)+1),COLUMN($F$2:$F$19),4)))</f>
        <v>#REF!</v>
      </c>
      <c r="S10" s="352" t="e">
        <f t="array" aca="1" ref="S10" ca="1">IF(ROW()-ROW($H$2:$H$19)+1&gt;ROWS($G$2:$G$19)-COUNTBLANK($G$2:$G$19),"",INDIRECT(ADDRESS(SMALL((IF($G$2:$G$19&lt;&gt;"",ROW($G$2:$G$19),ROW()+ROWS($G$2:$G$19))),ROW()-ROW($H$2:$H$19)+1),COLUMN($G$2:$G$19),4)))</f>
        <v>#REF!</v>
      </c>
      <c r="T10" s="346" t="e">
        <f t="array" aca="1" ref="T10" ca="1">IF(ROW()-ROW($I$2:$I$19)+1&gt;ROWS($H$2:$H$19)-COUNTBLANK($H$2:$H$19),"",INDIRECT(ADDRESS(SMALL((IF($H$2:$H$19&lt;&gt;"",ROW($H$2:$H$19),ROW()+ROWS($H$2:$H$19))),ROW()-ROW($I$2:$I$19)+1),COLUMN($H$2:$H$19),4)))</f>
        <v>#REF!</v>
      </c>
      <c r="U10" s="346" t="e">
        <f t="array" aca="1" ref="U10" ca="1">IF(ROW()-ROW($J$2:$J$19)+1&gt;ROWS($I$2:$I$19)-COUNTBLANK($I$2:$I$19),"",INDIRECT(ADDRESS(SMALL((IF($I$2:$I$19&lt;&gt;"",ROW($I$2:$I$19),ROW()+ROWS($I$2:$I$19))),ROW()-ROW($J$2:$J$19)+1),COLUMN($I$2:$I$19),4)))</f>
        <v>#REF!</v>
      </c>
      <c r="V10" s="346" t="e">
        <f t="array" aca="1" ref="V10" ca="1">IF(ROW()-ROW($K$2:$K$19)+1&gt;ROWS($J$2:$J$19)-COUNTBLANK($J$2:$J$19),"",INDIRECT(ADDRESS(SMALL((IF($J$2:$J$19&lt;&gt;"",ROW($J$2:$J$19),ROW()+ROWS($J$2:$J$19))),ROW()-ROW($K$2:$K$19)+1),COLUMN($J$2:$J$19),4)))</f>
        <v>#REF!</v>
      </c>
      <c r="W10" s="346" t="e">
        <f t="array" aca="1" ref="W10" ca="1">IF(ROW()-ROW($L$2:$L$19)+1&gt;ROWS($K$2:$K$19)-COUNTBLANK($K$2:$K$19),"",INDIRECT(ADDRESS(SMALL((IF($K$2:$K$19&lt;&gt;"",ROW($K$2:$K$19),ROW()+ROWS($K$2:$K$19))),ROW()-ROW($L$2:$L$19)+1),COLUMN($K$2:$K$19),4)))</f>
        <v>#REF!</v>
      </c>
      <c r="X10" s="349" t="e">
        <f t="array" aca="1" ref="X10" ca="1">IF(ROW()-ROW($M$2:$M$19)+1&gt;ROWS($L$2:$L$19)-COUNTBLANK($L$2:$L$19),"",INDIRECT(ADDRESS(SMALL((IF($L$2:$L$19&lt;&gt;"",ROW($L$2:$L$19),ROW()+ROWS($L$2:$L$19))),ROW()-ROW($M$2:$M$19)+1),COLUMN($L$2:$L$19),4)))</f>
        <v>#REF!</v>
      </c>
      <c r="Y10" s="349" t="e">
        <f t="array" aca="1" ref="Y10" ca="1">IF(ROW()-ROW($N$2:$N$19)+1&gt;ROWS($M$2:$M$19)-COUNTBLANK($M$2:$M$19),"",INDIRECT(ADDRESS(SMALL((IF($M$2:$M$19&lt;&gt;"",ROW($M$2:$M$19),ROW()+ROWS($M$2:$M$19))),ROW()-ROW($N$2:$N$19)+1),COLUMN($M$2:$M$19),4)))</f>
        <v>#REF!</v>
      </c>
    </row>
    <row r="11" spans="1:25" ht="34.5" customHeight="1" x14ac:dyDescent="0.25">
      <c r="A11" s="349" t="str">
        <f>IF('Indicator sheet'!S42=0,"",'Indicator sheet'!S42)</f>
        <v>Incomplete</v>
      </c>
      <c r="C11" s="346" t="str">
        <f>IF($A11="I.O.","",'Indicator sheet'!B42)</f>
        <v>9</v>
      </c>
      <c r="D11" s="347" t="str">
        <f>IF($A11="I.O.","",'Indicator sheet'!E42)</f>
        <v xml:space="preserve">Overall surgical expertise pancreas </v>
      </c>
      <c r="E11" s="351" t="str">
        <f>IF(AND('Indicator sheet'!M42="",$A11&lt;&gt;"I.O."),"-----",IF($A11="I.O.","",'Indicator sheet'!M42))</f>
        <v>-----</v>
      </c>
      <c r="F11" s="352" t="str">
        <f>IF($A11="I.O.","",'Indicator sheet'!N42)</f>
        <v>≥  20</v>
      </c>
      <c r="G11" s="351" t="str">
        <f>IF(AND('Indicator sheet'!P42="",$A11&lt;&gt;"I.O."),"-----",IF($A11="I.O.","",'Indicator sheet'!P42))</f>
        <v>-----</v>
      </c>
      <c r="H11" s="346">
        <f>IF($A11="I.O.","",IF('Indicator sheet'!R42="","-----",'Indicator sheet'!R42))</f>
        <v>0</v>
      </c>
      <c r="I11" s="346" t="str">
        <f>IF($A11="I.O.","","-----")</f>
        <v>-----</v>
      </c>
      <c r="J11" s="346" t="str">
        <f>IF($A11="I.O.","","-----")</f>
        <v>-----</v>
      </c>
      <c r="K11" s="346" t="str">
        <f>IF($A11="I.O.","",'Indicator sheet'!S42)</f>
        <v>Incomplete</v>
      </c>
      <c r="L11" s="348" t="str">
        <f>IF(AND('Indicator sheet'!T42="",$A11&lt;&gt;"I.O."),"-----",IF($A11="I.O.","",'Indicator sheet'!T42))</f>
        <v>-----</v>
      </c>
      <c r="M11" s="348" t="str">
        <f>IF(AND('Indicator sheet'!U42="",$A11&lt;&gt;"I.O."),"-----",IF($A11="I.O.","",'Indicator sheet'!U42))</f>
        <v>-----</v>
      </c>
      <c r="O11" s="346" t="e">
        <f t="array" aca="1" ref="O11" ca="1">IF(ROW()-ROW($D$2:$D$19)+1&gt;ROWS($C$2:$C$19)-COUNTBLANK($C$2:$C$19),"",INDIRECT(ADDRESS(SMALL((IF($C$2:$C$19&lt;&gt;"",ROW($C$2:$C$19),ROW()+ROWS($C$2:$C$19))),ROW()-ROW($D$2:$D$19)+1),COLUMN($C$2:$C$19),4)))</f>
        <v>#REF!</v>
      </c>
      <c r="P11" s="349" t="e">
        <f t="array" aca="1" ref="P11" ca="1">IF(ROW()-ROW($E$2:$E$19)+1&gt;ROWS($D$2:$D$19)-COUNTBLANK($D$2:$D$19),"",INDIRECT(ADDRESS(SMALL((IF($D$2:$D$19&gt;"",ROW($D$2:$D$19),ROW()+ROWS($D$2:$D$19))),ROW()-ROW($E$2:$E$19)+1),COLUMN($D$2:$D$19),4)))</f>
        <v>#REF!</v>
      </c>
      <c r="Q11" s="352" t="e">
        <f t="array" aca="1" ref="Q11" ca="1">IF(ROW()-ROW($F$2:$F$19)+1&gt;ROWS($E$2:$E$19)-COUNTBLANK($E$2:$E$19),"",INDIRECT(ADDRESS(SMALL((IF($E$2:$E$19&gt;"",ROW($E$2:$E$19),ROW()+ROWS($E$2:$E$19))),ROW()-ROW($F$2:$F$19)+1),COLUMN($E$2:$E$19),4)))</f>
        <v>#REF!</v>
      </c>
      <c r="R11" s="352" t="e">
        <f t="array" aca="1" ref="R11" ca="1">IF(ROW()-ROW($G$2:$G$19)+1&gt;ROWS($F$2:$F$19)-COUNTBLANK($F$2:$F$19),"",INDIRECT(ADDRESS(SMALL((IF($F$2:$F$19&gt;"",ROW($F$2:$F$19),ROW()+ROWS($F$2:$F$19))),ROW()-ROW($G$2:$G$19)+1),COLUMN($F$2:$F$19),4)))</f>
        <v>#REF!</v>
      </c>
      <c r="S11" s="352" t="e">
        <f t="array" aca="1" ref="S11" ca="1">IF(ROW()-ROW($H$2:$H$19)+1&gt;ROWS($G$2:$G$19)-COUNTBLANK($G$2:$G$19),"",INDIRECT(ADDRESS(SMALL((IF($G$2:$G$19&lt;&gt;"",ROW($G$2:$G$19),ROW()+ROWS($G$2:$G$19))),ROW()-ROW($H$2:$H$19)+1),COLUMN($G$2:$G$19),4)))</f>
        <v>#REF!</v>
      </c>
      <c r="T11" s="346" t="e">
        <f t="array" aca="1" ref="T11" ca="1">IF(ROW()-ROW($I$2:$I$19)+1&gt;ROWS($H$2:$H$19)-COUNTBLANK($H$2:$H$19),"",INDIRECT(ADDRESS(SMALL((IF($H$2:$H$19&lt;&gt;"",ROW($H$2:$H$19),ROW()+ROWS($H$2:$H$19))),ROW()-ROW($I$2:$I$19)+1),COLUMN($H$2:$H$19),4)))</f>
        <v>#REF!</v>
      </c>
      <c r="U11" s="346" t="e">
        <f t="array" aca="1" ref="U11" ca="1">IF(ROW()-ROW($J$2:$J$19)+1&gt;ROWS($I$2:$I$19)-COUNTBLANK($I$2:$I$19),"",INDIRECT(ADDRESS(SMALL((IF($I$2:$I$19&lt;&gt;"",ROW($I$2:$I$19),ROW()+ROWS($I$2:$I$19))),ROW()-ROW($J$2:$J$19)+1),COLUMN($I$2:$I$19),4)))</f>
        <v>#REF!</v>
      </c>
      <c r="V11" s="346" t="e">
        <f t="array" aca="1" ref="V11" ca="1">IF(ROW()-ROW($K$2:$K$19)+1&gt;ROWS($J$2:$J$19)-COUNTBLANK($J$2:$J$19),"",INDIRECT(ADDRESS(SMALL((IF($J$2:$J$19&lt;&gt;"",ROW($J$2:$J$19),ROW()+ROWS($J$2:$J$19))),ROW()-ROW($K$2:$K$19)+1),COLUMN($J$2:$J$19),4)))</f>
        <v>#REF!</v>
      </c>
      <c r="W11" s="346" t="e">
        <f t="array" aca="1" ref="W11" ca="1">IF(ROW()-ROW($L$2:$L$19)+1&gt;ROWS($K$2:$K$19)-COUNTBLANK($K$2:$K$19),"",INDIRECT(ADDRESS(SMALL((IF($K$2:$K$19&lt;&gt;"",ROW($K$2:$K$19),ROW()+ROWS($K$2:$K$19))),ROW()-ROW($L$2:$L$19)+1),COLUMN($K$2:$K$19),4)))</f>
        <v>#REF!</v>
      </c>
      <c r="X11" s="349" t="e">
        <f t="array" aca="1" ref="X11" ca="1">IF(ROW()-ROW($M$2:$M$19)+1&gt;ROWS($L$2:$L$19)-COUNTBLANK($L$2:$L$19),"",INDIRECT(ADDRESS(SMALL((IF($L$2:$L$19&lt;&gt;"",ROW($L$2:$L$19),ROW()+ROWS($L$2:$L$19))),ROW()-ROW($M$2:$M$19)+1),COLUMN($L$2:$L$19),4)))</f>
        <v>#REF!</v>
      </c>
      <c r="Y11" s="349" t="e">
        <f t="array" aca="1" ref="Y11" ca="1">IF(ROW()-ROW($N$2:$N$19)+1&gt;ROWS($M$2:$M$19)-COUNTBLANK($M$2:$M$19),"",INDIRECT(ADDRESS(SMALL((IF($M$2:$M$19&lt;&gt;"",ROW($M$2:$M$19),ROW()+ROWS($M$2:$M$19))),ROW()-ROW($N$2:$N$19)+1),COLUMN($M$2:$M$19),4)))</f>
        <v>#REF!</v>
      </c>
    </row>
    <row r="12" spans="1:25" ht="34.5" customHeight="1" x14ac:dyDescent="0.25">
      <c r="A12" s="349" t="str">
        <f>IF('Indicator sheet'!S45=0,"",'Indicator sheet'!S45)</f>
        <v>Incomplete</v>
      </c>
      <c r="C12" s="346" t="str">
        <f>IF($A12="I.O.","",'Indicator sheet'!B45)</f>
        <v>10</v>
      </c>
      <c r="D12" s="347" t="str">
        <f>IF($A12="I.O.","",'Indicator sheet'!E45)</f>
        <v xml:space="preserve">Revision surgeries pancreas </v>
      </c>
      <c r="E12" s="351" t="str">
        <f>IF(AND('Indicator sheet'!M45="",$A12&lt;&gt;"I.O."),"-----",IF($A12="I.O.","",'Indicator sheet'!M45))</f>
        <v>&lt; 0,01%</v>
      </c>
      <c r="F12" s="352" t="str">
        <f>IF($A12="I.O.","",'Indicator sheet'!N45)</f>
        <v xml:space="preserve">≤  10% </v>
      </c>
      <c r="G12" s="351" t="str">
        <f>IF(AND('Indicator sheet'!P45="",$A12&lt;&gt;"I.O."),"-----",IF($A12="I.O.","",'Indicator sheet'!P45))</f>
        <v>-----</v>
      </c>
      <c r="H12" s="346" t="str">
        <f>IF($A12="I.O.","",IF('Indicator sheet'!R45="","-----",'Indicator sheet'!R45))</f>
        <v>-----</v>
      </c>
      <c r="I12" s="346">
        <f>IF($A12="I.O.","",IF('Indicator sheet'!R46="","-----",'Indicator sheet'!R46))</f>
        <v>0</v>
      </c>
      <c r="J12" s="346" t="str">
        <f>IF($A12="I.O.","",IF('Indicator sheet'!R47="",0,'Indicator sheet'!R47))</f>
        <v>n.d.</v>
      </c>
      <c r="K12" s="346" t="str">
        <f>IF($A12="I.O.","",'Indicator sheet'!S45)</f>
        <v>Incomplete</v>
      </c>
      <c r="L12" s="348" t="str">
        <f>IF(AND('Indicator sheet'!T45="",$A12&lt;&gt;"I.O."),"-----",IF($A12="I.O.","",'Indicator sheet'!T45))</f>
        <v>-----</v>
      </c>
      <c r="M12" s="348" t="str">
        <f>IF(AND('Indicator sheet'!U45="",$A12&lt;&gt;"I.O."),"-----",IF($A12="I.O.","",'Indicator sheet'!U45))</f>
        <v>-----</v>
      </c>
      <c r="O12" s="346" t="e">
        <f t="array" aca="1" ref="O12" ca="1">IF(ROW()-ROW($D$2:$D$19)+1&gt;ROWS($C$2:$C$19)-COUNTBLANK($C$2:$C$19),"",INDIRECT(ADDRESS(SMALL((IF($C$2:$C$19&lt;&gt;"",ROW($C$2:$C$19),ROW()+ROWS($C$2:$C$19))),ROW()-ROW($D$2:$D$19)+1),COLUMN($C$2:$C$19),4)))</f>
        <v>#REF!</v>
      </c>
      <c r="P12" s="349" t="e">
        <f t="array" aca="1" ref="P12" ca="1">IF(ROW()-ROW($E$2:$E$19)+1&gt;ROWS($D$2:$D$19)-COUNTBLANK($D$2:$D$19),"",INDIRECT(ADDRESS(SMALL((IF($D$2:$D$19&gt;"",ROW($D$2:$D$19),ROW()+ROWS($D$2:$D$19))),ROW()-ROW($E$2:$E$19)+1),COLUMN($D$2:$D$19),4)))</f>
        <v>#REF!</v>
      </c>
      <c r="Q12" s="352" t="e">
        <f t="array" aca="1" ref="Q12" ca="1">IF(ROW()-ROW($F$2:$F$19)+1&gt;ROWS($E$2:$E$19)-COUNTBLANK($E$2:$E$19),"",INDIRECT(ADDRESS(SMALL((IF($E$2:$E$19&gt;"",ROW($E$2:$E$19),ROW()+ROWS($E$2:$E$19))),ROW()-ROW($F$2:$F$19)+1),COLUMN($E$2:$E$19),4)))</f>
        <v>#REF!</v>
      </c>
      <c r="R12" s="352" t="e">
        <f t="array" aca="1" ref="R12" ca="1">IF(ROW()-ROW($G$2:$G$19)+1&gt;ROWS($F$2:$F$19)-COUNTBLANK($F$2:$F$19),"",INDIRECT(ADDRESS(SMALL((IF($F$2:$F$19&gt;"",ROW($F$2:$F$19),ROW()+ROWS($F$2:$F$19))),ROW()-ROW($G$2:$G$19)+1),COLUMN($F$2:$F$19),4)))</f>
        <v>#REF!</v>
      </c>
      <c r="S12" s="352" t="e">
        <f t="array" aca="1" ref="S12" ca="1">IF(ROW()-ROW($H$2:$H$19)+1&gt;ROWS($G$2:$G$19)-COUNTBLANK($G$2:$G$19),"",INDIRECT(ADDRESS(SMALL((IF($G$2:$G$19&lt;&gt;"",ROW($G$2:$G$19),ROW()+ROWS($G$2:$G$19))),ROW()-ROW($H$2:$H$19)+1),COLUMN($G$2:$G$19),4)))</f>
        <v>#REF!</v>
      </c>
      <c r="T12" s="346" t="e">
        <f t="array" aca="1" ref="T12" ca="1">IF(ROW()-ROW($I$2:$I$19)+1&gt;ROWS($H$2:$H$19)-COUNTBLANK($H$2:$H$19),"",INDIRECT(ADDRESS(SMALL((IF($H$2:$H$19&lt;&gt;"",ROW($H$2:$H$19),ROW()+ROWS($H$2:$H$19))),ROW()-ROW($I$2:$I$19)+1),COLUMN($H$2:$H$19),4)))</f>
        <v>#REF!</v>
      </c>
      <c r="U12" s="346" t="e">
        <f t="array" aca="1" ref="U12" ca="1">IF(ROW()-ROW($J$2:$J$19)+1&gt;ROWS($I$2:$I$19)-COUNTBLANK($I$2:$I$19),"",INDIRECT(ADDRESS(SMALL((IF($I$2:$I$19&lt;&gt;"",ROW($I$2:$I$19),ROW()+ROWS($I$2:$I$19))),ROW()-ROW($J$2:$J$19)+1),COLUMN($I$2:$I$19),4)))</f>
        <v>#REF!</v>
      </c>
      <c r="V12" s="346" t="e">
        <f t="array" aca="1" ref="V12" ca="1">IF(ROW()-ROW($K$2:$K$19)+1&gt;ROWS($J$2:$J$19)-COUNTBLANK($J$2:$J$19),"",INDIRECT(ADDRESS(SMALL((IF($J$2:$J$19&lt;&gt;"",ROW($J$2:$J$19),ROW()+ROWS($J$2:$J$19))),ROW()-ROW($K$2:$K$19)+1),COLUMN($J$2:$J$19),4)))</f>
        <v>#REF!</v>
      </c>
      <c r="W12" s="346" t="e">
        <f t="array" aca="1" ref="W12" ca="1">IF(ROW()-ROW($L$2:$L$19)+1&gt;ROWS($K$2:$K$19)-COUNTBLANK($K$2:$K$19),"",INDIRECT(ADDRESS(SMALL((IF($K$2:$K$19&lt;&gt;"",ROW($K$2:$K$19),ROW()+ROWS($K$2:$K$19))),ROW()-ROW($L$2:$L$19)+1),COLUMN($K$2:$K$19),4)))</f>
        <v>#REF!</v>
      </c>
      <c r="X12" s="349" t="e">
        <f t="array" aca="1" ref="X12" ca="1">IF(ROW()-ROW($M$2:$M$19)+1&gt;ROWS($L$2:$L$19)-COUNTBLANK($L$2:$L$19),"",INDIRECT(ADDRESS(SMALL((IF($L$2:$L$19&lt;&gt;"",ROW($L$2:$L$19),ROW()+ROWS($L$2:$L$19))),ROW()-ROW($M$2:$M$19)+1),COLUMN($L$2:$L$19),4)))</f>
        <v>#REF!</v>
      </c>
      <c r="Y12" s="349" t="e">
        <f t="array" aca="1" ref="Y12" ca="1">IF(ROW()-ROW($N$2:$N$19)+1&gt;ROWS($M$2:$M$19)-COUNTBLANK($M$2:$M$19),"",INDIRECT(ADDRESS(SMALL((IF($M$2:$M$19&lt;&gt;"",ROW($M$2:$M$19),ROW()+ROWS($M$2:$M$19))),ROW()-ROW($N$2:$N$19)+1),COLUMN($M$2:$M$19),4)))</f>
        <v>#REF!</v>
      </c>
    </row>
    <row r="13" spans="1:25" ht="34.5" customHeight="1" x14ac:dyDescent="0.25">
      <c r="A13" s="349" t="e">
        <f>IF('Indicator sheet'!#REF!=0,"",'Indicator sheet'!#REF!)</f>
        <v>#REF!</v>
      </c>
      <c r="C13" s="346" t="e">
        <f>IF($A13="I.O.","",'Indicator sheet'!#REF!)</f>
        <v>#REF!</v>
      </c>
      <c r="D13" s="347" t="e">
        <f>IF($A13="I.O.","",'Indicator sheet'!#REF!)</f>
        <v>#REF!</v>
      </c>
      <c r="E13" s="351" t="e">
        <f>IF(AND('Indicator sheet'!#REF!="",$A13&lt;&gt;"I.O."),"-----",IF($A13="I.O.","",'Indicator sheet'!#REF!))</f>
        <v>#REF!</v>
      </c>
      <c r="F13" s="352" t="e">
        <f>IF($A13="I.O.","",'Indicator sheet'!#REF!)</f>
        <v>#REF!</v>
      </c>
      <c r="G13" s="351" t="e">
        <f>IF(AND('Indicator sheet'!#REF!="",$A13&lt;&gt;"I.O."),"-----",IF($A13="I.O.","",'Indicator sheet'!#REF!))</f>
        <v>#REF!</v>
      </c>
      <c r="H13" s="346" t="e">
        <f>IF($A13="I.O.","",IF('Indicator sheet'!#REF!="","-----",'Indicator sheet'!#REF!))</f>
        <v>#REF!</v>
      </c>
      <c r="I13" s="346" t="e">
        <f>IF($A13="I.O.","",IF('Indicator sheet'!#REF!="","-----",'Indicator sheet'!#REF!))</f>
        <v>#REF!</v>
      </c>
      <c r="J13" s="346" t="e">
        <f>IF($A13="I.O.","",IF('Indicator sheet'!#REF!="",0,'Indicator sheet'!#REF!))</f>
        <v>#REF!</v>
      </c>
      <c r="K13" s="346" t="e">
        <f>IF($A13="I.O.","",'Indicator sheet'!#REF!)</f>
        <v>#REF!</v>
      </c>
      <c r="L13" s="348" t="e">
        <f>IF(AND('Indicator sheet'!#REF!="",$A13&lt;&gt;"I.O."),"-----",IF($A13="I.O.","",'Indicator sheet'!#REF!))</f>
        <v>#REF!</v>
      </c>
      <c r="M13" s="348" t="e">
        <f>IF(AND('Indicator sheet'!#REF!="",$A13&lt;&gt;"I.O."),"-----",IF($A13="I.O.","",'Indicator sheet'!#REF!))</f>
        <v>#REF!</v>
      </c>
      <c r="O13" s="346" t="e">
        <f t="array" aca="1" ref="O13" ca="1">IF(ROW()-ROW($D$2:$D$19)+1&gt;ROWS($C$2:$C$19)-COUNTBLANK($C$2:$C$19),"",INDIRECT(ADDRESS(SMALL((IF($C$2:$C$19&lt;&gt;"",ROW($C$2:$C$19),ROW()+ROWS($C$2:$C$19))),ROW()-ROW($D$2:$D$19)+1),COLUMN($C$2:$C$19),4)))</f>
        <v>#REF!</v>
      </c>
      <c r="P13" s="349" t="e">
        <f t="array" aca="1" ref="P13" ca="1">IF(ROW()-ROW($E$2:$E$19)+1&gt;ROWS($D$2:$D$19)-COUNTBLANK($D$2:$D$19),"",INDIRECT(ADDRESS(SMALL((IF($D$2:$D$19&gt;"",ROW($D$2:$D$19),ROW()+ROWS($D$2:$D$19))),ROW()-ROW($E$2:$E$19)+1),COLUMN($D$2:$D$19),4)))</f>
        <v>#REF!</v>
      </c>
      <c r="Q13" s="352" t="e">
        <f t="array" aca="1" ref="Q13" ca="1">IF(ROW()-ROW($F$2:$F$19)+1&gt;ROWS($E$2:$E$19)-COUNTBLANK($E$2:$E$19),"",INDIRECT(ADDRESS(SMALL((IF($E$2:$E$19&gt;"",ROW($E$2:$E$19),ROW()+ROWS($E$2:$E$19))),ROW()-ROW($F$2:$F$19)+1),COLUMN($E$2:$E$19),4)))</f>
        <v>#REF!</v>
      </c>
      <c r="R13" s="352" t="e">
        <f t="array" aca="1" ref="R13" ca="1">IF(ROW()-ROW($G$2:$G$19)+1&gt;ROWS($F$2:$F$19)-COUNTBLANK($F$2:$F$19),"",INDIRECT(ADDRESS(SMALL((IF($F$2:$F$19&gt;"",ROW($F$2:$F$19),ROW()+ROWS($F$2:$F$19))),ROW()-ROW($G$2:$G$19)+1),COLUMN($F$2:$F$19),4)))</f>
        <v>#REF!</v>
      </c>
      <c r="S13" s="352" t="e">
        <f t="array" aca="1" ref="S13" ca="1">IF(ROW()-ROW($H$2:$H$19)+1&gt;ROWS($G$2:$G$19)-COUNTBLANK($G$2:$G$19),"",INDIRECT(ADDRESS(SMALL((IF($G$2:$G$19&lt;&gt;"",ROW($G$2:$G$19),ROW()+ROWS($G$2:$G$19))),ROW()-ROW($H$2:$H$19)+1),COLUMN($G$2:$G$19),4)))</f>
        <v>#REF!</v>
      </c>
      <c r="T13" s="346" t="e">
        <f t="array" aca="1" ref="T13" ca="1">IF(ROW()-ROW($I$2:$I$19)+1&gt;ROWS($H$2:$H$19)-COUNTBLANK($H$2:$H$19),"",INDIRECT(ADDRESS(SMALL((IF($H$2:$H$19&lt;&gt;"",ROW($H$2:$H$19),ROW()+ROWS($H$2:$H$19))),ROW()-ROW($I$2:$I$19)+1),COLUMN($H$2:$H$19),4)))</f>
        <v>#REF!</v>
      </c>
      <c r="U13" s="346" t="e">
        <f t="array" aca="1" ref="U13" ca="1">IF(ROW()-ROW($J$2:$J$19)+1&gt;ROWS($I$2:$I$19)-COUNTBLANK($I$2:$I$19),"",INDIRECT(ADDRESS(SMALL((IF($I$2:$I$19&lt;&gt;"",ROW($I$2:$I$19),ROW()+ROWS($I$2:$I$19))),ROW()-ROW($J$2:$J$19)+1),COLUMN($I$2:$I$19),4)))</f>
        <v>#REF!</v>
      </c>
      <c r="V13" s="346" t="e">
        <f t="array" aca="1" ref="V13" ca="1">IF(ROW()-ROW($K$2:$K$19)+1&gt;ROWS($J$2:$J$19)-COUNTBLANK($J$2:$J$19),"",INDIRECT(ADDRESS(SMALL((IF($J$2:$J$19&lt;&gt;"",ROW($J$2:$J$19),ROW()+ROWS($J$2:$J$19))),ROW()-ROW($K$2:$K$19)+1),COLUMN($J$2:$J$19),4)))</f>
        <v>#REF!</v>
      </c>
      <c r="W13" s="346" t="e">
        <f t="array" aca="1" ref="W13" ca="1">IF(ROW()-ROW($L$2:$L$19)+1&gt;ROWS($K$2:$K$19)-COUNTBLANK($K$2:$K$19),"",INDIRECT(ADDRESS(SMALL((IF($K$2:$K$19&lt;&gt;"",ROW($K$2:$K$19),ROW()+ROWS($K$2:$K$19))),ROW()-ROW($L$2:$L$19)+1),COLUMN($K$2:$K$19),4)))</f>
        <v>#REF!</v>
      </c>
      <c r="X13" s="349" t="e">
        <f t="array" aca="1" ref="X13" ca="1">IF(ROW()-ROW($M$2:$M$19)+1&gt;ROWS($L$2:$L$19)-COUNTBLANK($L$2:$L$19),"",INDIRECT(ADDRESS(SMALL((IF($L$2:$L$19&lt;&gt;"",ROW($L$2:$L$19),ROW()+ROWS($L$2:$L$19))),ROW()-ROW($M$2:$M$19)+1),COLUMN($L$2:$L$19),4)))</f>
        <v>#REF!</v>
      </c>
      <c r="Y13" s="349" t="e">
        <f t="array" aca="1" ref="Y13" ca="1">IF(ROW()-ROW($N$2:$N$19)+1&gt;ROWS($M$2:$M$19)-COUNTBLANK($M$2:$M$19),"",INDIRECT(ADDRESS(SMALL((IF($M$2:$M$19&lt;&gt;"",ROW($M$2:$M$19),ROW()+ROWS($M$2:$M$19))),ROW()-ROW($N$2:$N$19)+1),COLUMN($M$2:$M$19),4)))</f>
        <v>#REF!</v>
      </c>
    </row>
    <row r="14" spans="1:25" ht="34.5" customHeight="1" x14ac:dyDescent="0.25">
      <c r="A14" s="349" t="str">
        <f>IF('Indicator sheet'!S48=0,"",'Indicator sheet'!S48)</f>
        <v>Incomplete</v>
      </c>
      <c r="C14" s="346" t="str">
        <f>IF($A14="I.O.","",'Indicator sheet'!B48)</f>
        <v>11</v>
      </c>
      <c r="D14" s="347" t="str">
        <f>IF($A14="I.O.","",'Indicator sheet'!E48)</f>
        <v>30d-Post-operative mortality</v>
      </c>
      <c r="E14" s="351" t="str">
        <f>IF(AND('Indicator sheet'!M48="",$A14&lt;&gt;"I.O."),"-----",IF($A14="I.O.","",'Indicator sheet'!M48))</f>
        <v>&lt; 0,01%</v>
      </c>
      <c r="F14" s="352" t="str">
        <f>IF($A14="I.O.","",'Indicator sheet'!N48)</f>
        <v xml:space="preserve">≤ 5% </v>
      </c>
      <c r="G14" s="351" t="str">
        <f>IF(AND('Indicator sheet'!P48="",$A14&lt;&gt;"I.O."),"-----",IF($A14="I.O.","",'Indicator sheet'!P48))</f>
        <v>-----</v>
      </c>
      <c r="H14" s="346" t="str">
        <f>IF($A14="I.O.","",IF('Indicator sheet'!R48="","-----",'Indicator sheet'!R48))</f>
        <v>-----</v>
      </c>
      <c r="I14" s="346" t="str">
        <f>IF($A14="I.O.","",IF('Indicator sheet'!R49="","-----",'Indicator sheet'!R49))</f>
        <v>-----</v>
      </c>
      <c r="J14" s="346" t="str">
        <f>IF($A14="I.O.","",IF('Indicator sheet'!R50="",0,'Indicator sheet'!R50))</f>
        <v>n.d.</v>
      </c>
      <c r="K14" s="346" t="str">
        <f>IF($A14="I.O.","",'Indicator sheet'!S48)</f>
        <v>Incomplete</v>
      </c>
      <c r="L14" s="348" t="str">
        <f>IF(AND('Indicator sheet'!T48="",$A14&lt;&gt;"I.O."),"-----",IF($A14="I.O.","",'Indicator sheet'!T48))</f>
        <v>-----</v>
      </c>
      <c r="M14" s="348" t="str">
        <f>IF(AND('Indicator sheet'!U48="",$A14&lt;&gt;"I.O."),"-----",IF($A14="I.O.","",'Indicator sheet'!U48))</f>
        <v>-----</v>
      </c>
      <c r="O14" s="346" t="e">
        <f t="array" aca="1" ref="O14" ca="1">IF(ROW()-ROW($D$2:$D$19)+1&gt;ROWS($C$2:$C$19)-COUNTBLANK($C$2:$C$19),"",INDIRECT(ADDRESS(SMALL((IF($C$2:$C$19&lt;&gt;"",ROW($C$2:$C$19),ROW()+ROWS($C$2:$C$19))),ROW()-ROW($D$2:$D$19)+1),COLUMN($C$2:$C$19),4)))</f>
        <v>#REF!</v>
      </c>
      <c r="P14" s="349" t="e">
        <f t="array" aca="1" ref="P14" ca="1">IF(ROW()-ROW($E$2:$E$19)+1&gt;ROWS($D$2:$D$19)-COUNTBLANK($D$2:$D$19),"",INDIRECT(ADDRESS(SMALL((IF($D$2:$D$19&gt;"",ROW($D$2:$D$19),ROW()+ROWS($D$2:$D$19))),ROW()-ROW($E$2:$E$19)+1),COLUMN($D$2:$D$19),4)))</f>
        <v>#REF!</v>
      </c>
      <c r="Q14" s="352" t="e">
        <f t="array" aca="1" ref="Q14" ca="1">IF(ROW()-ROW($F$2:$F$19)+1&gt;ROWS($E$2:$E$19)-COUNTBLANK($E$2:$E$19),"",INDIRECT(ADDRESS(SMALL((IF($E$2:$E$19&gt;"",ROW($E$2:$E$19),ROW()+ROWS($E$2:$E$19))),ROW()-ROW($F$2:$F$19)+1),COLUMN($E$2:$E$19),4)))</f>
        <v>#REF!</v>
      </c>
      <c r="R14" s="352" t="e">
        <f t="array" aca="1" ref="R14" ca="1">IF(ROW()-ROW($G$2:$G$19)+1&gt;ROWS($F$2:$F$19)-COUNTBLANK($F$2:$F$19),"",INDIRECT(ADDRESS(SMALL((IF($F$2:$F$19&gt;"",ROW($F$2:$F$19),ROW()+ROWS($F$2:$F$19))),ROW()-ROW($G$2:$G$19)+1),COLUMN($F$2:$F$19),4)))</f>
        <v>#REF!</v>
      </c>
      <c r="S14" s="352" t="e">
        <f t="array" aca="1" ref="S14" ca="1">IF(ROW()-ROW($H$2:$H$19)+1&gt;ROWS($G$2:$G$19)-COUNTBLANK($G$2:$G$19),"",INDIRECT(ADDRESS(SMALL((IF($G$2:$G$19&lt;&gt;"",ROW($G$2:$G$19),ROW()+ROWS($G$2:$G$19))),ROW()-ROW($H$2:$H$19)+1),COLUMN($G$2:$G$19),4)))</f>
        <v>#REF!</v>
      </c>
      <c r="T14" s="346" t="e">
        <f t="array" aca="1" ref="T14" ca="1">IF(ROW()-ROW($I$2:$I$19)+1&gt;ROWS($H$2:$H$19)-COUNTBLANK($H$2:$H$19),"",INDIRECT(ADDRESS(SMALL((IF($H$2:$H$19&lt;&gt;"",ROW($H$2:$H$19),ROW()+ROWS($H$2:$H$19))),ROW()-ROW($I$2:$I$19)+1),COLUMN($H$2:$H$19),4)))</f>
        <v>#REF!</v>
      </c>
      <c r="U14" s="346" t="e">
        <f t="array" aca="1" ref="U14" ca="1">IF(ROW()-ROW($J$2:$J$19)+1&gt;ROWS($I$2:$I$19)-COUNTBLANK($I$2:$I$19),"",INDIRECT(ADDRESS(SMALL((IF($I$2:$I$19&lt;&gt;"",ROW($I$2:$I$19),ROW()+ROWS($I$2:$I$19))),ROW()-ROW($J$2:$J$19)+1),COLUMN($I$2:$I$19),4)))</f>
        <v>#REF!</v>
      </c>
      <c r="V14" s="346" t="e">
        <f t="array" aca="1" ref="V14" ca="1">IF(ROW()-ROW($K$2:$K$19)+1&gt;ROWS($J$2:$J$19)-COUNTBLANK($J$2:$J$19),"",INDIRECT(ADDRESS(SMALL((IF($J$2:$J$19&lt;&gt;"",ROW($J$2:$J$19),ROW()+ROWS($J$2:$J$19))),ROW()-ROW($K$2:$K$19)+1),COLUMN($J$2:$J$19),4)))</f>
        <v>#REF!</v>
      </c>
      <c r="W14" s="346" t="e">
        <f t="array" aca="1" ref="W14" ca="1">IF(ROW()-ROW($L$2:$L$19)+1&gt;ROWS($K$2:$K$19)-COUNTBLANK($K$2:$K$19),"",INDIRECT(ADDRESS(SMALL((IF($K$2:$K$19&lt;&gt;"",ROW($K$2:$K$19),ROW()+ROWS($K$2:$K$19))),ROW()-ROW($L$2:$L$19)+1),COLUMN($K$2:$K$19),4)))</f>
        <v>#REF!</v>
      </c>
      <c r="X14" s="349" t="e">
        <f t="array" aca="1" ref="X14" ca="1">IF(ROW()-ROW($M$2:$M$19)+1&gt;ROWS($L$2:$L$19)-COUNTBLANK($L$2:$L$19),"",INDIRECT(ADDRESS(SMALL((IF($L$2:$L$19&lt;&gt;"",ROW($L$2:$L$19),ROW()+ROWS($L$2:$L$19))),ROW()-ROW($M$2:$M$19)+1),COLUMN($L$2:$L$19),4)))</f>
        <v>#REF!</v>
      </c>
      <c r="Y14" s="349" t="e">
        <f t="array" aca="1" ref="Y14" ca="1">IF(ROW()-ROW($N$2:$N$19)+1&gt;ROWS($M$2:$M$19)-COUNTBLANK($M$2:$M$19),"",INDIRECT(ADDRESS(SMALL((IF($M$2:$M$19&lt;&gt;"",ROW($M$2:$M$19),ROW()+ROWS($M$2:$M$19))),ROW()-ROW($N$2:$N$19)+1),COLUMN($M$2:$M$19),4)))</f>
        <v>#REF!</v>
      </c>
    </row>
    <row r="15" spans="1:25" ht="34.5" customHeight="1" x14ac:dyDescent="0.25">
      <c r="A15" s="349" t="str">
        <f>IF('Indicator sheet'!S54=0,"",'Indicator sheet'!S54)</f>
        <v>Incomplete</v>
      </c>
      <c r="C15" s="346" t="str">
        <f>IF($A15="I.O.","",'Indicator sheet'!B54)</f>
        <v>12</v>
      </c>
      <c r="D15" s="347" t="str">
        <f>IF($A15="I.O.","",'Indicator sheet'!E54)</f>
        <v>Local R0 resections pancreas</v>
      </c>
      <c r="E15" s="351" t="str">
        <f>IF(AND('Indicator sheet'!M54="",$A15&lt;&gt;"I.O."),"-----",IF($A15="I.O.","",'Indicator sheet'!M54))</f>
        <v>-----</v>
      </c>
      <c r="F15" s="352" t="str">
        <f>IF($A15="I.O.","",'Indicator sheet'!N54)</f>
        <v>≥ 40%</v>
      </c>
      <c r="G15" s="351" t="str">
        <f>IF(AND('Indicator sheet'!P54="",$A15&lt;&gt;"I.O."),"-----",IF($A15="I.O.","",'Indicator sheet'!P54))</f>
        <v>-----</v>
      </c>
      <c r="H15" s="346" t="str">
        <f>IF($A15="I.O.","",IF('Indicator sheet'!R54="","-----",'Indicator sheet'!R54))</f>
        <v>-----</v>
      </c>
      <c r="I15" s="346">
        <f>IF($A15="I.O.","",IF('Indicator sheet'!R55="","-----",'Indicator sheet'!R55))</f>
        <v>0</v>
      </c>
      <c r="J15" s="346" t="str">
        <f>IF($A15="I.O.","",IF('Indicator sheet'!R56="",0,'Indicator sheet'!R56))</f>
        <v>n.d.</v>
      </c>
      <c r="K15" s="346" t="str">
        <f>IF($A15="I.O.","",'Indicator sheet'!S54)</f>
        <v>Incomplete</v>
      </c>
      <c r="L15" s="348" t="str">
        <f>IF(AND('Indicator sheet'!T54="",$A15&lt;&gt;"I.O."),"-----",IF($A15="I.O.","",'Indicator sheet'!T54))</f>
        <v>-----</v>
      </c>
      <c r="M15" s="348" t="str">
        <f>IF(AND('Indicator sheet'!U54="",$A15&lt;&gt;"I.O."),"-----",IF($A15="I.O.","",'Indicator sheet'!U54))</f>
        <v>-----</v>
      </c>
      <c r="O15" s="346" t="e">
        <f t="array" aca="1" ref="O15" ca="1">IF(ROW()-ROW($D$2:$D$19)+1&gt;ROWS($C$2:$C$19)-COUNTBLANK($C$2:$C$19),"",INDIRECT(ADDRESS(SMALL((IF($C$2:$C$19&lt;&gt;"",ROW($C$2:$C$19),ROW()+ROWS($C$2:$C$19))),ROW()-ROW($D$2:$D$19)+1),COLUMN($C$2:$C$19),4)))</f>
        <v>#REF!</v>
      </c>
      <c r="P15" s="349" t="e">
        <f t="array" aca="1" ref="P15" ca="1">IF(ROW()-ROW($E$2:$E$19)+1&gt;ROWS($D$2:$D$19)-COUNTBLANK($D$2:$D$19),"",INDIRECT(ADDRESS(SMALL((IF($D$2:$D$19&gt;"",ROW($D$2:$D$19),ROW()+ROWS($D$2:$D$19))),ROW()-ROW($E$2:$E$19)+1),COLUMN($D$2:$D$19),4)))</f>
        <v>#REF!</v>
      </c>
      <c r="Q15" s="352" t="e">
        <f t="array" aca="1" ref="Q15" ca="1">IF(ROW()-ROW($F$2:$F$19)+1&gt;ROWS($E$2:$E$19)-COUNTBLANK($E$2:$E$19),"",INDIRECT(ADDRESS(SMALL((IF($E$2:$E$19&gt;"",ROW($E$2:$E$19),ROW()+ROWS($E$2:$E$19))),ROW()-ROW($F$2:$F$19)+1),COLUMN($E$2:$E$19),4)))</f>
        <v>#REF!</v>
      </c>
      <c r="R15" s="352" t="e">
        <f t="array" aca="1" ref="R15" ca="1">IF(ROW()-ROW($G$2:$G$19)+1&gt;ROWS($F$2:$F$19)-COUNTBLANK($F$2:$F$19),"",INDIRECT(ADDRESS(SMALL((IF($F$2:$F$19&gt;"",ROW($F$2:$F$19),ROW()+ROWS($F$2:$F$19))),ROW()-ROW($G$2:$G$19)+1),COLUMN($F$2:$F$19),4)))</f>
        <v>#REF!</v>
      </c>
      <c r="S15" s="352" t="e">
        <f t="array" aca="1" ref="S15" ca="1">IF(ROW()-ROW($H$2:$H$19)+1&gt;ROWS($G$2:$G$19)-COUNTBLANK($G$2:$G$19),"",INDIRECT(ADDRESS(SMALL((IF($G$2:$G$19&lt;&gt;"",ROW($G$2:$G$19),ROW()+ROWS($G$2:$G$19))),ROW()-ROW($H$2:$H$19)+1),COLUMN($G$2:$G$19),4)))</f>
        <v>#REF!</v>
      </c>
      <c r="T15" s="346" t="e">
        <f t="array" aca="1" ref="T15" ca="1">IF(ROW()-ROW($I$2:$I$19)+1&gt;ROWS($H$2:$H$19)-COUNTBLANK($H$2:$H$19),"",INDIRECT(ADDRESS(SMALL((IF($H$2:$H$19&lt;&gt;"",ROW($H$2:$H$19),ROW()+ROWS($H$2:$H$19))),ROW()-ROW($I$2:$I$19)+1),COLUMN($H$2:$H$19),4)))</f>
        <v>#REF!</v>
      </c>
      <c r="U15" s="346" t="e">
        <f t="array" aca="1" ref="U15" ca="1">IF(ROW()-ROW($J$2:$J$19)+1&gt;ROWS($I$2:$I$19)-COUNTBLANK($I$2:$I$19),"",INDIRECT(ADDRESS(SMALL((IF($I$2:$I$19&lt;&gt;"",ROW($I$2:$I$19),ROW()+ROWS($I$2:$I$19))),ROW()-ROW($J$2:$J$19)+1),COLUMN($I$2:$I$19),4)))</f>
        <v>#REF!</v>
      </c>
      <c r="V15" s="346" t="e">
        <f t="array" aca="1" ref="V15" ca="1">IF(ROW()-ROW($K$2:$K$19)+1&gt;ROWS($J$2:$J$19)-COUNTBLANK($J$2:$J$19),"",INDIRECT(ADDRESS(SMALL((IF($J$2:$J$19&lt;&gt;"",ROW($J$2:$J$19),ROW()+ROWS($J$2:$J$19))),ROW()-ROW($K$2:$K$19)+1),COLUMN($J$2:$J$19),4)))</f>
        <v>#REF!</v>
      </c>
      <c r="W15" s="346" t="e">
        <f t="array" aca="1" ref="W15" ca="1">IF(ROW()-ROW($L$2:$L$19)+1&gt;ROWS($K$2:$K$19)-COUNTBLANK($K$2:$K$19),"",INDIRECT(ADDRESS(SMALL((IF($K$2:$K$19&lt;&gt;"",ROW($K$2:$K$19),ROW()+ROWS($K$2:$K$19))),ROW()-ROW($L$2:$L$19)+1),COLUMN($K$2:$K$19),4)))</f>
        <v>#REF!</v>
      </c>
      <c r="X15" s="349" t="e">
        <f t="array" aca="1" ref="X15" ca="1">IF(ROW()-ROW($M$2:$M$19)+1&gt;ROWS($L$2:$L$19)-COUNTBLANK($L$2:$L$19),"",INDIRECT(ADDRESS(SMALL((IF($L$2:$L$19&lt;&gt;"",ROW($L$2:$L$19),ROW()+ROWS($L$2:$L$19))),ROW()-ROW($M$2:$M$19)+1),COLUMN($L$2:$L$19),4)))</f>
        <v>#REF!</v>
      </c>
      <c r="Y15" s="349" t="e">
        <f t="array" aca="1" ref="Y15" ca="1">IF(ROW()-ROW($N$2:$N$19)+1&gt;ROWS($M$2:$M$19)-COUNTBLANK($M$2:$M$19),"",INDIRECT(ADDRESS(SMALL((IF($M$2:$M$19&lt;&gt;"",ROW($M$2:$M$19),ROW()+ROWS($M$2:$M$19))),ROW()-ROW($N$2:$N$19)+1),COLUMN($M$2:$M$19),4)))</f>
        <v>#REF!</v>
      </c>
    </row>
    <row r="16" spans="1:25" ht="34.5" customHeight="1" x14ac:dyDescent="0.25">
      <c r="A16" s="349" t="str">
        <f>IF('Indicator sheet'!S57=0,"",'Indicator sheet'!S57)</f>
        <v>Incomplete</v>
      </c>
      <c r="C16" s="346">
        <f>IF($A16="I.O.","",'Indicator sheet'!B57)</f>
        <v>13</v>
      </c>
      <c r="D16" s="347" t="str">
        <f>IF($A16="I.O.","",'Indicator sheet'!E57)</f>
        <v>Lymph node removal</v>
      </c>
      <c r="E16" s="351" t="str">
        <f>IF(AND('Indicator sheet'!M57="",$A16&lt;&gt;"I.O."),"-----",IF($A16="I.O.","",'Indicator sheet'!M57))</f>
        <v>-----</v>
      </c>
      <c r="F16" s="352" t="str">
        <f>IF($A16="I.O.","",'Indicator sheet'!N57)</f>
        <v>≥ 80%</v>
      </c>
      <c r="G16" s="351" t="str">
        <f>IF(AND('Indicator sheet'!P57="",$A16&lt;&gt;"I.O."),"-----",IF($A16="I.O.","",'Indicator sheet'!P57))</f>
        <v>-----</v>
      </c>
      <c r="H16" s="346" t="str">
        <f>IF($A16="I.O.","",IF('Indicator sheet'!R57="","-----",'Indicator sheet'!R57))</f>
        <v>-----</v>
      </c>
      <c r="I16" s="346" t="str">
        <f>IF($A16="I.O.","",IF('Indicator sheet'!R58="","-----",'Indicator sheet'!R58))</f>
        <v>-----</v>
      </c>
      <c r="J16" s="346" t="str">
        <f>IF($A16="I.O.","",IF('Indicator sheet'!R59="",0,'Indicator sheet'!R59))</f>
        <v>n.d.</v>
      </c>
      <c r="K16" s="346" t="str">
        <f>IF($A16="I.O.","",'Indicator sheet'!S57)</f>
        <v>Incomplete</v>
      </c>
      <c r="L16" s="348" t="str">
        <f>IF(AND('Indicator sheet'!T57="",$A16&lt;&gt;"I.O."),"-----",IF($A16="I.O.","",'Indicator sheet'!T57))</f>
        <v>-----</v>
      </c>
      <c r="M16" s="348" t="str">
        <f>IF(AND('Indicator sheet'!U57="",$A16&lt;&gt;"I.O."),"-----",IF($A16="I.O.","",'Indicator sheet'!U57))</f>
        <v>-----</v>
      </c>
      <c r="O16" s="346" t="e">
        <f t="array" aca="1" ref="O16" ca="1">IF(ROW()-ROW($D$2:$D$19)+1&gt;ROWS($C$2:$C$19)-COUNTBLANK($C$2:$C$19),"",INDIRECT(ADDRESS(SMALL((IF($C$2:$C$19&lt;&gt;"",ROW($C$2:$C$19),ROW()+ROWS($C$2:$C$19))),ROW()-ROW($D$2:$D$19)+1),COLUMN($C$2:$C$19),4)))</f>
        <v>#REF!</v>
      </c>
      <c r="P16" s="349" t="e">
        <f t="array" aca="1" ref="P16" ca="1">IF(ROW()-ROW($E$2:$E$19)+1&gt;ROWS($D$2:$D$19)-COUNTBLANK($D$2:$D$19),"",INDIRECT(ADDRESS(SMALL((IF($D$2:$D$19&gt;"",ROW($D$2:$D$19),ROW()+ROWS($D$2:$D$19))),ROW()-ROW($E$2:$E$19)+1),COLUMN($D$2:$D$19),4)))</f>
        <v>#REF!</v>
      </c>
      <c r="Q16" s="352" t="e">
        <f t="array" aca="1" ref="Q16" ca="1">IF(ROW()-ROW($F$2:$F$19)+1&gt;ROWS($E$2:$E$19)-COUNTBLANK($E$2:$E$19),"",INDIRECT(ADDRESS(SMALL((IF($E$2:$E$19&gt;"",ROW($E$2:$E$19),ROW()+ROWS($E$2:$E$19))),ROW()-ROW($F$2:$F$19)+1),COLUMN($E$2:$E$19),4)))</f>
        <v>#REF!</v>
      </c>
      <c r="R16" s="352" t="e">
        <f t="array" aca="1" ref="R16" ca="1">IF(ROW()-ROW($G$2:$G$19)+1&gt;ROWS($F$2:$F$19)-COUNTBLANK($F$2:$F$19),"",INDIRECT(ADDRESS(SMALL((IF($F$2:$F$19&gt;"",ROW($F$2:$F$19),ROW()+ROWS($F$2:$F$19))),ROW()-ROW($G$2:$G$19)+1),COLUMN($F$2:$F$19),4)))</f>
        <v>#REF!</v>
      </c>
      <c r="S16" s="352" t="e">
        <f t="array" aca="1" ref="S16" ca="1">IF(ROW()-ROW($H$2:$H$19)+1&gt;ROWS($G$2:$G$19)-COUNTBLANK($G$2:$G$19),"",INDIRECT(ADDRESS(SMALL((IF($G$2:$G$19&lt;&gt;"",ROW($G$2:$G$19),ROW()+ROWS($G$2:$G$19))),ROW()-ROW($H$2:$H$19)+1),COLUMN($G$2:$G$19),4)))</f>
        <v>#REF!</v>
      </c>
      <c r="T16" s="346" t="e">
        <f t="array" aca="1" ref="T16" ca="1">IF(ROW()-ROW($I$2:$I$19)+1&gt;ROWS($H$2:$H$19)-COUNTBLANK($H$2:$H$19),"",INDIRECT(ADDRESS(SMALL((IF($H$2:$H$19&lt;&gt;"",ROW($H$2:$H$19),ROW()+ROWS($H$2:$H$19))),ROW()-ROW($I$2:$I$19)+1),COLUMN($H$2:$H$19),4)))</f>
        <v>#REF!</v>
      </c>
      <c r="U16" s="346" t="e">
        <f t="array" aca="1" ref="U16" ca="1">IF(ROW()-ROW($J$2:$J$19)+1&gt;ROWS($I$2:$I$19)-COUNTBLANK($I$2:$I$19),"",INDIRECT(ADDRESS(SMALL((IF($I$2:$I$19&lt;&gt;"",ROW($I$2:$I$19),ROW()+ROWS($I$2:$I$19))),ROW()-ROW($J$2:$J$19)+1),COLUMN($I$2:$I$19),4)))</f>
        <v>#REF!</v>
      </c>
      <c r="V16" s="346" t="e">
        <f t="array" aca="1" ref="V16" ca="1">IF(ROW()-ROW($K$2:$K$19)+1&gt;ROWS($J$2:$J$19)-COUNTBLANK($J$2:$J$19),"",INDIRECT(ADDRESS(SMALL((IF($J$2:$J$19&lt;&gt;"",ROW($J$2:$J$19),ROW()+ROWS($J$2:$J$19))),ROW()-ROW($K$2:$K$19)+1),COLUMN($J$2:$J$19),4)))</f>
        <v>#REF!</v>
      </c>
      <c r="W16" s="346" t="e">
        <f t="array" aca="1" ref="W16" ca="1">IF(ROW()-ROW($L$2:$L$19)+1&gt;ROWS($K$2:$K$19)-COUNTBLANK($K$2:$K$19),"",INDIRECT(ADDRESS(SMALL((IF($K$2:$K$19&lt;&gt;"",ROW($K$2:$K$19),ROW()+ROWS($K$2:$K$19))),ROW()-ROW($L$2:$L$19)+1),COLUMN($K$2:$K$19),4)))</f>
        <v>#REF!</v>
      </c>
      <c r="X16" s="349" t="e">
        <f t="array" aca="1" ref="X16" ca="1">IF(ROW()-ROW($M$2:$M$19)+1&gt;ROWS($L$2:$L$19)-COUNTBLANK($L$2:$L$19),"",INDIRECT(ADDRESS(SMALL((IF($L$2:$L$19&lt;&gt;"",ROW($L$2:$L$19),ROW()+ROWS($L$2:$L$19))),ROW()-ROW($M$2:$M$19)+1),COLUMN($L$2:$L$19),4)))</f>
        <v>#REF!</v>
      </c>
      <c r="Y16" s="349" t="e">
        <f t="array" aca="1" ref="Y16" ca="1">IF(ROW()-ROW($N$2:$N$19)+1&gt;ROWS($M$2:$M$19)-COUNTBLANK($M$2:$M$19),"",INDIRECT(ADDRESS(SMALL((IF($M$2:$M$19&lt;&gt;"",ROW($M$2:$M$19),ROW()+ROWS($M$2:$M$19))),ROW()-ROW($N$2:$N$19)+1),COLUMN($M$2:$M$19),4)))</f>
        <v>#REF!</v>
      </c>
    </row>
    <row r="17" spans="1:25" ht="34.5" customHeight="1" x14ac:dyDescent="0.25">
      <c r="A17" s="349" t="str">
        <f>IF('Indicator sheet'!S60=0,"",'Indicator sheet'!S60)</f>
        <v>Incomplete</v>
      </c>
      <c r="C17" s="346">
        <f>IF($A17="I.O.","",'Indicator sheet'!B60)</f>
        <v>14</v>
      </c>
      <c r="D17" s="347" t="str">
        <f>IF($A17="I.O.","",'Indicator sheet'!E60)</f>
        <v>Pathology reports</v>
      </c>
      <c r="E17" s="351" t="str">
        <f>IF(AND('Indicator sheet'!M60="",$A17&lt;&gt;"I.O."),"-----",IF($A17="I.O.","",'Indicator sheet'!M60))</f>
        <v>-----</v>
      </c>
      <c r="F17" s="352" t="str">
        <f>IF($A17="I.O.","",'Indicator sheet'!N60)</f>
        <v>≥ 90%</v>
      </c>
      <c r="G17" s="351" t="str">
        <f>IF(AND('Indicator sheet'!P60="",$A17&lt;&gt;"I.O."),"-----",IF($A17="I.O.","",'Indicator sheet'!P60))</f>
        <v>-----</v>
      </c>
      <c r="H17" s="346" t="str">
        <f>IF($A17="I.O.","",IF('Indicator sheet'!R60="","-----",'Indicator sheet'!R60))</f>
        <v>-----</v>
      </c>
      <c r="I17" s="346">
        <f>IF($A17="I.O.","",IF('Indicator sheet'!R61="","-----",'Indicator sheet'!R61))</f>
        <v>0</v>
      </c>
      <c r="J17" s="346" t="str">
        <f>IF($A17="I.O.","",IF('Indicator sheet'!R62="",0,'Indicator sheet'!R62))</f>
        <v>n.d.</v>
      </c>
      <c r="K17" s="346" t="str">
        <f>IF($A17="I.O.","",'Indicator sheet'!S60)</f>
        <v>Incomplete</v>
      </c>
      <c r="L17" s="348" t="str">
        <f>IF(AND('Indicator sheet'!T60="",$A17&lt;&gt;"I.O."),"-----",IF($A17="I.O.","",'Indicator sheet'!T60))</f>
        <v>-----</v>
      </c>
      <c r="M17" s="348" t="str">
        <f>IF(AND('Indicator sheet'!U60="",$A17&lt;&gt;"I.O."),"-----",IF($A17="I.O.","",'Indicator sheet'!U60))</f>
        <v>-----</v>
      </c>
      <c r="O17" s="346" t="e">
        <f t="array" aca="1" ref="O17" ca="1">IF(ROW()-ROW($D$2:$D$19)+1&gt;ROWS($C$2:$C$19)-COUNTBLANK($C$2:$C$19),"",INDIRECT(ADDRESS(SMALL((IF($C$2:$C$19&lt;&gt;"",ROW($C$2:$C$19),ROW()+ROWS($C$2:$C$19))),ROW()-ROW($D$2:$D$19)+1),COLUMN($C$2:$C$19),4)))</f>
        <v>#REF!</v>
      </c>
      <c r="P17" s="349" t="e">
        <f t="array" aca="1" ref="P17" ca="1">IF(ROW()-ROW($E$2:$E$19)+1&gt;ROWS($D$2:$D$19)-COUNTBLANK($D$2:$D$19),"",INDIRECT(ADDRESS(SMALL((IF($D$2:$D$19&gt;"",ROW($D$2:$D$19),ROW()+ROWS($D$2:$D$19))),ROW()-ROW($E$2:$E$19)+1),COLUMN($D$2:$D$19),4)))</f>
        <v>#REF!</v>
      </c>
      <c r="Q17" s="352" t="e">
        <f t="array" aca="1" ref="Q17" ca="1">IF(ROW()-ROW($F$2:$F$19)+1&gt;ROWS($E$2:$E$19)-COUNTBLANK($E$2:$E$19),"",INDIRECT(ADDRESS(SMALL((IF($E$2:$E$19&gt;"",ROW($E$2:$E$19),ROW()+ROWS($E$2:$E$19))),ROW()-ROW($F$2:$F$19)+1),COLUMN($E$2:$E$19),4)))</f>
        <v>#REF!</v>
      </c>
      <c r="R17" s="352" t="e">
        <f t="array" aca="1" ref="R17" ca="1">IF(ROW()-ROW($G$2:$G$19)+1&gt;ROWS($F$2:$F$19)-COUNTBLANK($F$2:$F$19),"",INDIRECT(ADDRESS(SMALL((IF($F$2:$F$19&gt;"",ROW($F$2:$F$19),ROW()+ROWS($F$2:$F$19))),ROW()-ROW($G$2:$G$19)+1),COLUMN($F$2:$F$19),4)))</f>
        <v>#REF!</v>
      </c>
      <c r="S17" s="352" t="e">
        <f t="array" aca="1" ref="S17" ca="1">IF(ROW()-ROW($H$2:$H$19)+1&gt;ROWS($G$2:$G$19)-COUNTBLANK($G$2:$G$19),"",INDIRECT(ADDRESS(SMALL((IF($G$2:$G$19&lt;&gt;"",ROW($G$2:$G$19),ROW()+ROWS($G$2:$G$19))),ROW()-ROW($H$2:$H$19)+1),COLUMN($G$2:$G$19),4)))</f>
        <v>#REF!</v>
      </c>
      <c r="T17" s="346" t="e">
        <f t="array" aca="1" ref="T17" ca="1">IF(ROW()-ROW($I$2:$I$19)+1&gt;ROWS($H$2:$H$19)-COUNTBLANK($H$2:$H$19),"",INDIRECT(ADDRESS(SMALL((IF($H$2:$H$19&lt;&gt;"",ROW($H$2:$H$19),ROW()+ROWS($H$2:$H$19))),ROW()-ROW($I$2:$I$19)+1),COLUMN($H$2:$H$19),4)))</f>
        <v>#REF!</v>
      </c>
      <c r="U17" s="346" t="e">
        <f t="array" aca="1" ref="U17" ca="1">IF(ROW()-ROW($J$2:$J$19)+1&gt;ROWS($I$2:$I$19)-COUNTBLANK($I$2:$I$19),"",INDIRECT(ADDRESS(SMALL((IF($I$2:$I$19&lt;&gt;"",ROW($I$2:$I$19),ROW()+ROWS($I$2:$I$19))),ROW()-ROW($J$2:$J$19)+1),COLUMN($I$2:$I$19),4)))</f>
        <v>#REF!</v>
      </c>
      <c r="V17" s="346" t="e">
        <f t="array" aca="1" ref="V17" ca="1">IF(ROW()-ROW($K$2:$K$19)+1&gt;ROWS($J$2:$J$19)-COUNTBLANK($J$2:$J$19),"",INDIRECT(ADDRESS(SMALL((IF($J$2:$J$19&lt;&gt;"",ROW($J$2:$J$19),ROW()+ROWS($J$2:$J$19))),ROW()-ROW($K$2:$K$19)+1),COLUMN($J$2:$J$19),4)))</f>
        <v>#REF!</v>
      </c>
      <c r="W17" s="346" t="e">
        <f t="array" aca="1" ref="W17" ca="1">IF(ROW()-ROW($L$2:$L$19)+1&gt;ROWS($K$2:$K$19)-COUNTBLANK($K$2:$K$19),"",INDIRECT(ADDRESS(SMALL((IF($K$2:$K$19&lt;&gt;"",ROW($K$2:$K$19),ROW()+ROWS($K$2:$K$19))),ROW()-ROW($L$2:$L$19)+1),COLUMN($K$2:$K$19),4)))</f>
        <v>#REF!</v>
      </c>
      <c r="X17" s="349" t="e">
        <f t="array" aca="1" ref="X17" ca="1">IF(ROW()-ROW($M$2:$M$19)+1&gt;ROWS($L$2:$L$19)-COUNTBLANK($L$2:$L$19),"",INDIRECT(ADDRESS(SMALL((IF($L$2:$L$19&lt;&gt;"",ROW($L$2:$L$19),ROW()+ROWS($L$2:$L$19))),ROW()-ROW($M$2:$M$19)+1),COLUMN($L$2:$L$19),4)))</f>
        <v>#REF!</v>
      </c>
      <c r="Y17" s="349" t="e">
        <f t="array" aca="1" ref="Y17" ca="1">IF(ROW()-ROW($N$2:$N$19)+1&gt;ROWS($M$2:$M$19)-COUNTBLANK($M$2:$M$19),"",INDIRECT(ADDRESS(SMALL((IF($M$2:$M$19&lt;&gt;"",ROW($M$2:$M$19),ROW()+ROWS($M$2:$M$19))),ROW()-ROW($N$2:$N$19)+1),COLUMN($M$2:$M$19),4)))</f>
        <v>#REF!</v>
      </c>
    </row>
    <row r="18" spans="1:25" ht="30" customHeight="1" x14ac:dyDescent="0.25">
      <c r="A18" s="349" t="str">
        <f>IF('Indicator sheet'!S63=0,"",'Indicator sheet'!S63)</f>
        <v>Incomplete</v>
      </c>
      <c r="C18" s="346">
        <f>IF($A18="I.O.","",'Indicator sheet'!B63)</f>
        <v>15</v>
      </c>
      <c r="D18" s="347" t="str">
        <f>IF($A18="I.O.","",'Indicator sheet'!E63)</f>
        <v>Adjuvant chemotherapy</v>
      </c>
      <c r="E18" s="351" t="str">
        <f>IF(AND('Indicator sheet'!M63="",$A18&lt;&gt;"I.O."),"-----",IF($A18="I.O.","",'Indicator sheet'!M63))</f>
        <v>-----</v>
      </c>
      <c r="F18" s="352" t="str">
        <f>IF($A18="I.O.","",'Indicator sheet'!N63)</f>
        <v>≥ 50%</v>
      </c>
      <c r="G18" s="351" t="str">
        <f>IF(AND('Indicator sheet'!P63="",$A18&lt;&gt;"I.O."),"-----",IF($A18="I.O.","",'Indicator sheet'!P63))</f>
        <v>-----</v>
      </c>
      <c r="H18" s="346" t="str">
        <f>IF($A18="I.O.","",IF('Indicator sheet'!R63="","-----",'Indicator sheet'!R63))</f>
        <v>-----</v>
      </c>
      <c r="I18" s="346" t="str">
        <f>IF($A18="I.O.","",IF('Indicator sheet'!R64="","-----",'Indicator sheet'!R64))</f>
        <v>-----</v>
      </c>
      <c r="J18" s="346" t="str">
        <f>IF($A18="I.O.","",IF('Indicator sheet'!R65="",0,'Indicator sheet'!R65))</f>
        <v>n.d.</v>
      </c>
      <c r="K18" s="346" t="str">
        <f>IF($A18="I.O.","",'Indicator sheet'!S63)</f>
        <v>Incomplete</v>
      </c>
      <c r="L18" s="348" t="str">
        <f>IF(AND('Indicator sheet'!T63="",$A18&lt;&gt;"I.O."),"-----",IF($A18="I.O.","",'Indicator sheet'!T63))</f>
        <v>-----</v>
      </c>
      <c r="M18" s="348" t="str">
        <f>IF(AND('Indicator sheet'!U63="",$A18&lt;&gt;"I.O."),"-----",IF($A18="I.O.","",'Indicator sheet'!U63))</f>
        <v>-----</v>
      </c>
      <c r="O18" s="346" t="e">
        <f t="array" aca="1" ref="O18" ca="1">IF(ROW()-ROW($D$2:$D$19)+1&gt;ROWS($C$2:$C$19)-COUNTBLANK($C$2:$C$19),"",INDIRECT(ADDRESS(SMALL((IF($C$2:$C$19&lt;&gt;"",ROW($C$2:$C$19),ROW()+ROWS($C$2:$C$19))),ROW()-ROW($D$2:$D$19)+1),COLUMN($C$2:$C$19),4)))</f>
        <v>#REF!</v>
      </c>
      <c r="P18" s="349" t="e">
        <f t="array" aca="1" ref="P18" ca="1">IF(ROW()-ROW($E$2:$E$19)+1&gt;ROWS($D$2:$D$19)-COUNTBLANK($D$2:$D$19),"",INDIRECT(ADDRESS(SMALL((IF($D$2:$D$19&gt;"",ROW($D$2:$D$19),ROW()+ROWS($D$2:$D$19))),ROW()-ROW($E$2:$E$19)+1),COLUMN($D$2:$D$19),4)))</f>
        <v>#REF!</v>
      </c>
      <c r="Q18" s="352" t="e">
        <f t="array" aca="1" ref="Q18" ca="1">IF(ROW()-ROW($F$2:$F$19)+1&gt;ROWS($E$2:$E$19)-COUNTBLANK($E$2:$E$19),"",INDIRECT(ADDRESS(SMALL((IF($E$2:$E$19&gt;"",ROW($E$2:$E$19),ROW()+ROWS($E$2:$E$19))),ROW()-ROW($F$2:$F$19)+1),COLUMN($E$2:$E$19),4)))</f>
        <v>#REF!</v>
      </c>
      <c r="R18" s="352" t="e">
        <f t="array" aca="1" ref="R18" ca="1">IF(ROW()-ROW($G$2:$G$19)+1&gt;ROWS($F$2:$F$19)-COUNTBLANK($F$2:$F$19),"",INDIRECT(ADDRESS(SMALL((IF($F$2:$F$19&gt;"",ROW($F$2:$F$19),ROW()+ROWS($F$2:$F$19))),ROW()-ROW($G$2:$G$19)+1),COLUMN($F$2:$F$19),4)))</f>
        <v>#REF!</v>
      </c>
      <c r="S18" s="352" t="e">
        <f t="array" aca="1" ref="S18" ca="1">IF(ROW()-ROW($H$2:$H$19)+1&gt;ROWS($G$2:$G$19)-COUNTBLANK($G$2:$G$19),"",INDIRECT(ADDRESS(SMALL((IF($G$2:$G$19&lt;&gt;"",ROW($G$2:$G$19),ROW()+ROWS($G$2:$G$19))),ROW()-ROW($H$2:$H$19)+1),COLUMN($G$2:$G$19),4)))</f>
        <v>#REF!</v>
      </c>
      <c r="T18" s="346" t="e">
        <f t="array" aca="1" ref="T18" ca="1">IF(ROW()-ROW($I$2:$I$19)+1&gt;ROWS($H$2:$H$19)-COUNTBLANK($H$2:$H$19),"",INDIRECT(ADDRESS(SMALL((IF($H$2:$H$19&lt;&gt;"",ROW($H$2:$H$19),ROW()+ROWS($H$2:$H$19))),ROW()-ROW($I$2:$I$19)+1),COLUMN($H$2:$H$19),4)))</f>
        <v>#REF!</v>
      </c>
      <c r="U18" s="346" t="e">
        <f t="array" aca="1" ref="U18" ca="1">IF(ROW()-ROW($J$2:$J$19)+1&gt;ROWS($I$2:$I$19)-COUNTBLANK($I$2:$I$19),"",INDIRECT(ADDRESS(SMALL((IF($I$2:$I$19&lt;&gt;"",ROW($I$2:$I$19),ROW()+ROWS($I$2:$I$19))),ROW()-ROW($J$2:$J$19)+1),COLUMN($I$2:$I$19),4)))</f>
        <v>#REF!</v>
      </c>
      <c r="V18" s="346" t="e">
        <f t="array" aca="1" ref="V18" ca="1">IF(ROW()-ROW($K$2:$K$19)+1&gt;ROWS($J$2:$J$19)-COUNTBLANK($J$2:$J$19),"",INDIRECT(ADDRESS(SMALL((IF($J$2:$J$19&lt;&gt;"",ROW($J$2:$J$19),ROW()+ROWS($J$2:$J$19))),ROW()-ROW($K$2:$K$19)+1),COLUMN($J$2:$J$19),4)))</f>
        <v>#REF!</v>
      </c>
      <c r="W18" s="346" t="e">
        <f t="array" aca="1" ref="W18" ca="1">IF(ROW()-ROW($L$2:$L$19)+1&gt;ROWS($K$2:$K$19)-COUNTBLANK($K$2:$K$19),"",INDIRECT(ADDRESS(SMALL((IF($K$2:$K$19&lt;&gt;"",ROW($K$2:$K$19),ROW()+ROWS($K$2:$K$19))),ROW()-ROW($L$2:$L$19)+1),COLUMN($K$2:$K$19),4)))</f>
        <v>#REF!</v>
      </c>
      <c r="X18" s="349" t="e">
        <f t="array" aca="1" ref="X18" ca="1">IF(ROW()-ROW($M$2:$M$19)+1&gt;ROWS($L$2:$L$19)-COUNTBLANK($L$2:$L$19),"",INDIRECT(ADDRESS(SMALL((IF($L$2:$L$19&lt;&gt;"",ROW($L$2:$L$19),ROW()+ROWS($L$2:$L$19))),ROW()-ROW($M$2:$M$19)+1),COLUMN($L$2:$L$19),4)))</f>
        <v>#REF!</v>
      </c>
      <c r="Y18" s="349" t="e">
        <f t="array" aca="1" ref="Y18" ca="1">IF(ROW()-ROW($N$2:$N$19)+1&gt;ROWS($M$2:$M$19)-COUNTBLANK($M$2:$M$19),"",INDIRECT(ADDRESS(SMALL((IF($M$2:$M$19&lt;&gt;"",ROW($M$2:$M$19),ROW()+ROWS($M$2:$M$19))),ROW()-ROW($N$2:$N$19)+1),COLUMN($M$2:$M$19),4)))</f>
        <v>#REF!</v>
      </c>
    </row>
    <row r="19" spans="1:25" ht="24.75" customHeight="1" x14ac:dyDescent="0.25">
      <c r="A19" s="349" t="str">
        <f>IF('Indicator sheet'!S66=0,"",'Indicator sheet'!S66)</f>
        <v>Incomplete</v>
      </c>
      <c r="C19" s="346">
        <f>IF($A19="I.O.","",'Indicator sheet'!B66)</f>
        <v>16</v>
      </c>
      <c r="D19" s="347" t="str">
        <f>IF($A19="I.O.","",'Indicator sheet'!E66)</f>
        <v>Palliative chemotherapy</v>
      </c>
      <c r="E19" s="351" t="str">
        <f>IF(AND('Indicator sheet'!M66="",$A19&lt;&gt;"I.O."),"-----",IF($A19="I.O.","",'Indicator sheet'!M66))</f>
        <v>-----</v>
      </c>
      <c r="F19" s="352" t="str">
        <f>IF($A19="I.O.","",'Indicator sheet'!N66)</f>
        <v>≥ 50%</v>
      </c>
      <c r="G19" s="351" t="str">
        <f>IF(AND('Indicator sheet'!P66="",$A19&lt;&gt;"I.O."),"-----",IF($A19="I.O.","",'Indicator sheet'!P66))</f>
        <v>-----</v>
      </c>
      <c r="H19" s="346" t="str">
        <f>IF($A19="I.O.","",IF('Indicator sheet'!R66="","-----",'Indicator sheet'!R66))</f>
        <v>-----</v>
      </c>
      <c r="I19" s="346" t="str">
        <f>IF($A19="I.O.","",IF('Indicator sheet'!R67="","-----",'Indicator sheet'!R67))</f>
        <v>-----</v>
      </c>
      <c r="J19" s="346" t="str">
        <f>IF($A19="I.O.","",IF('Indicator sheet'!R68="",0,'Indicator sheet'!R68))</f>
        <v>n.d.</v>
      </c>
      <c r="K19" s="346" t="str">
        <f>IF($A19="I.O.","",'Indicator sheet'!S66)</f>
        <v>Incomplete</v>
      </c>
      <c r="L19" s="348" t="str">
        <f>IF(AND('Indicator sheet'!T66="",$A19&lt;&gt;"I.O."),"-----",IF($A19="I.O.","",'Indicator sheet'!T66))</f>
        <v>-----</v>
      </c>
      <c r="M19" s="348" t="str">
        <f>IF(AND('Indicator sheet'!U66="",$A19&lt;&gt;"I.O."),"-----",IF($A19="I.O.","",'Indicator sheet'!U66))</f>
        <v>-----</v>
      </c>
      <c r="O19" s="346" t="e">
        <f t="array" aca="1" ref="O19" ca="1">IF(ROW()-ROW($D$2:$D$19)+1&gt;ROWS($C$2:$C$19)-COUNTBLANK($C$2:$C$19),"",INDIRECT(ADDRESS(SMALL((IF($C$2:$C$19&lt;&gt;"",ROW($C$2:$C$19),ROW()+ROWS($C$2:$C$19))),ROW()-ROW($D$2:$D$19)+1),COLUMN($C$2:$C$19),4)))</f>
        <v>#REF!</v>
      </c>
      <c r="P19" s="349" t="e">
        <f t="array" aca="1" ref="P19" ca="1">IF(ROW()-ROW($E$2:$E$19)+1&gt;ROWS($D$2:$D$19)-COUNTBLANK($D$2:$D$19),"",INDIRECT(ADDRESS(SMALL((IF($D$2:$D$19&gt;"",ROW($D$2:$D$19),ROW()+ROWS($D$2:$D$19))),ROW()-ROW($E$2:$E$19)+1),COLUMN($D$2:$D$19),4)))</f>
        <v>#REF!</v>
      </c>
      <c r="Q19" s="352" t="e">
        <f t="array" aca="1" ref="Q19" ca="1">IF(ROW()-ROW($F$2:$F$19)+1&gt;ROWS($E$2:$E$19)-COUNTBLANK($E$2:$E$19),"",INDIRECT(ADDRESS(SMALL((IF($E$2:$E$19&gt;"",ROW($E$2:$E$19),ROW()+ROWS($E$2:$E$19))),ROW()-ROW($F$2:$F$19)+1),COLUMN($E$2:$E$19),4)))</f>
        <v>#REF!</v>
      </c>
      <c r="R19" s="352" t="e">
        <f t="array" aca="1" ref="R19" ca="1">IF(ROW()-ROW($G$2:$G$19)+1&gt;ROWS($F$2:$F$19)-COUNTBLANK($F$2:$F$19),"",INDIRECT(ADDRESS(SMALL((IF($F$2:$F$19&gt;"",ROW($F$2:$F$19),ROW()+ROWS($F$2:$F$19))),ROW()-ROW($G$2:$G$19)+1),COLUMN($F$2:$F$19),4)))</f>
        <v>#REF!</v>
      </c>
      <c r="S19" s="352" t="e">
        <f t="array" aca="1" ref="S19" ca="1">IF(ROW()-ROW($H$2:$H$19)+1&gt;ROWS($G$2:$G$19)-COUNTBLANK($G$2:$G$19),"",INDIRECT(ADDRESS(SMALL((IF($G$2:$G$19&lt;&gt;"",ROW($G$2:$G$19),ROW()+ROWS($G$2:$G$19))),ROW()-ROW($H$2:$H$19)+1),COLUMN($G$2:$G$19),4)))</f>
        <v>#REF!</v>
      </c>
      <c r="T19" s="346" t="e">
        <f t="array" aca="1" ref="T19" ca="1">IF(ROW()-ROW($I$2:$I$19)+1&gt;ROWS($H$2:$H$19)-COUNTBLANK($H$2:$H$19),"",INDIRECT(ADDRESS(SMALL((IF($H$2:$H$19&lt;&gt;"",ROW($H$2:$H$19),ROW()+ROWS($H$2:$H$19))),ROW()-ROW($I$2:$I$19)+1),COLUMN($H$2:$H$19),4)))</f>
        <v>#REF!</v>
      </c>
      <c r="U19" s="346" t="e">
        <f t="array" aca="1" ref="U19" ca="1">IF(ROW()-ROW($J$2:$J$19)+1&gt;ROWS($I$2:$I$19)-COUNTBLANK($I$2:$I$19),"",INDIRECT(ADDRESS(SMALL((IF($I$2:$I$19&lt;&gt;"",ROW($I$2:$I$19),ROW()+ROWS($I$2:$I$19))),ROW()-ROW($J$2:$J$19)+1),COLUMN($I$2:$I$19),4)))</f>
        <v>#REF!</v>
      </c>
      <c r="V19" s="346" t="e">
        <f t="array" aca="1" ref="V19" ca="1">IF(ROW()-ROW($K$2:$K$19)+1&gt;ROWS($J$2:$J$19)-COUNTBLANK($J$2:$J$19),"",INDIRECT(ADDRESS(SMALL((IF($J$2:$J$19&lt;&gt;"",ROW($J$2:$J$19),ROW()+ROWS($J$2:$J$19))),ROW()-ROW($K$2:$K$19)+1),COLUMN($J$2:$J$19),4)))</f>
        <v>#REF!</v>
      </c>
      <c r="W19" s="346" t="e">
        <f t="array" aca="1" ref="W19" ca="1">IF(ROW()-ROW($L$2:$L$19)+1&gt;ROWS($K$2:$K$19)-COUNTBLANK($K$2:$K$19),"",INDIRECT(ADDRESS(SMALL((IF($K$2:$K$19&lt;&gt;"",ROW($K$2:$K$19),ROW()+ROWS($K$2:$K$19))),ROW()-ROW($L$2:$L$19)+1),COLUMN($K$2:$K$19),4)))</f>
        <v>#REF!</v>
      </c>
      <c r="X19" s="349" t="e">
        <f t="array" aca="1" ref="X19" ca="1">IF(ROW()-ROW($M$2:$M$19)+1&gt;ROWS($L$2:$L$19)-COUNTBLANK($L$2:$L$19),"",INDIRECT(ADDRESS(SMALL((IF($L$2:$L$19&lt;&gt;"",ROW($L$2:$L$19),ROW()+ROWS($L$2:$L$19))),ROW()-ROW($M$2:$M$19)+1),COLUMN($L$2:$L$19),4)))</f>
        <v>#REF!</v>
      </c>
      <c r="Y19" s="349" t="e">
        <f t="array" aca="1" ref="Y19" ca="1">IF(ROW()-ROW($N$2:$N$19)+1&gt;ROWS($M$2:$M$19)-COUNTBLANK($M$2:$M$19),"",INDIRECT(ADDRESS(SMALL((IF($M$2:$M$19&lt;&gt;"",ROW($M$2:$M$19),ROW()+ROWS($M$2:$M$19))),ROW()-ROW($N$2:$N$19)+1),COLUMN($M$2:$M$19),4)))</f>
        <v>#REF!</v>
      </c>
    </row>
  </sheetData>
  <pageMargins left="0.7" right="0.7" top="0.78740157499999996" bottom="0.78740157499999996"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dimension ref="A1:M35"/>
  <sheetViews>
    <sheetView showGridLines="0" showWhiteSpace="0" topLeftCell="A2" zoomScaleNormal="100" workbookViewId="0">
      <selection activeCell="D17" sqref="D17:H17"/>
    </sheetView>
  </sheetViews>
  <sheetFormatPr defaultColWidth="11.42578125" defaultRowHeight="15" x14ac:dyDescent="0.25"/>
  <cols>
    <col min="1" max="1" width="2.85546875" style="171" customWidth="1"/>
    <col min="2" max="2" width="17.7109375" style="172" customWidth="1"/>
    <col min="3" max="3" width="6.7109375" style="75" customWidth="1"/>
    <col min="4" max="4" width="8.85546875" style="75" customWidth="1"/>
    <col min="5" max="5" width="6.28515625" style="75" customWidth="1"/>
    <col min="6" max="6" width="7.140625" style="75" customWidth="1"/>
    <col min="7" max="7" width="6.42578125" style="75" customWidth="1"/>
    <col min="8" max="8" width="6.85546875" style="75" customWidth="1"/>
    <col min="9" max="9" width="9.85546875" style="171" customWidth="1"/>
    <col min="10" max="11" width="34" style="75" customWidth="1"/>
    <col min="12" max="12" width="0.7109375" style="75" customWidth="1"/>
    <col min="13" max="13" width="13.85546875" style="75" hidden="1" customWidth="1"/>
    <col min="14" max="16384" width="11.42578125" style="75"/>
  </cols>
  <sheetData>
    <row r="1" spans="1:13" s="38" customFormat="1" ht="18" hidden="1" customHeight="1" x14ac:dyDescent="0.25">
      <c r="A1" s="9"/>
      <c r="B1" s="360" t="e">
        <f ca="1">IF(M11=TRUE,"A1:K15",CONCATENATE("A1:K",(MATCH("",A:A,-1)-1)))</f>
        <v>#REF!</v>
      </c>
      <c r="I1" s="9"/>
    </row>
    <row r="2" spans="1:13" s="38" customFormat="1" ht="18.75" customHeight="1" x14ac:dyDescent="0.2">
      <c r="A2" s="127" t="s">
        <v>539</v>
      </c>
      <c r="B2" s="359"/>
      <c r="I2" s="9"/>
    </row>
    <row r="3" spans="1:13" s="38" customFormat="1" ht="16.5" x14ac:dyDescent="0.25">
      <c r="A3" s="124" t="s">
        <v>309</v>
      </c>
      <c r="B3" s="359"/>
      <c r="I3" s="9"/>
      <c r="K3" s="358"/>
    </row>
    <row r="4" spans="1:13" s="38" customFormat="1" ht="14.25" x14ac:dyDescent="0.25">
      <c r="A4" s="9"/>
      <c r="B4" s="359"/>
      <c r="I4" s="9"/>
      <c r="K4" s="358"/>
    </row>
    <row r="5" spans="1:13" s="38" customFormat="1" ht="15" customHeight="1" x14ac:dyDescent="0.25">
      <c r="A5" s="9"/>
      <c r="B5" s="359"/>
      <c r="C5" s="9"/>
      <c r="D5" s="9"/>
      <c r="E5" s="9"/>
      <c r="F5" s="9"/>
      <c r="G5" s="9"/>
      <c r="H5" s="9"/>
      <c r="I5" s="9"/>
      <c r="J5" s="9"/>
      <c r="K5" s="358"/>
    </row>
    <row r="6" spans="1:13" s="128" customFormat="1" ht="15" customHeight="1" x14ac:dyDescent="0.25">
      <c r="A6" s="362"/>
      <c r="B6" s="340" t="s">
        <v>115</v>
      </c>
      <c r="C6" s="749" t="str">
        <f>IF('Basic data'!C8=0,"",'Basic data'!C8)</f>
        <v/>
      </c>
      <c r="D6" s="925"/>
      <c r="E6" s="925"/>
      <c r="F6" s="925"/>
      <c r="G6" s="925"/>
      <c r="H6" s="925"/>
      <c r="I6" s="925"/>
      <c r="J6" s="926"/>
      <c r="K6" s="358"/>
    </row>
    <row r="7" spans="1:13" s="128" customFormat="1" ht="6.95" customHeight="1" x14ac:dyDescent="0.25">
      <c r="A7" s="362"/>
      <c r="B7" s="356"/>
      <c r="C7" s="9"/>
      <c r="D7" s="9"/>
      <c r="E7" s="9"/>
      <c r="F7" s="9"/>
      <c r="G7" s="9"/>
      <c r="H7" s="9"/>
      <c r="I7" s="9"/>
      <c r="J7" s="9"/>
      <c r="K7" s="358"/>
    </row>
    <row r="8" spans="1:13" s="128" customFormat="1" ht="15" customHeight="1" x14ac:dyDescent="0.25">
      <c r="A8" s="362"/>
      <c r="B8" s="340" t="s">
        <v>74</v>
      </c>
      <c r="C8" s="749" t="str">
        <f>IF('Basic data'!C6=0,"",'Basic data'!C6)</f>
        <v>Not listed</v>
      </c>
      <c r="D8" s="925"/>
      <c r="E8" s="926"/>
      <c r="F8" s="358"/>
      <c r="H8" s="383" t="s">
        <v>72</v>
      </c>
      <c r="J8" s="361" t="str">
        <f>IF('Basic data'!I12=0,"",'Basic data'!I12)</f>
        <v/>
      </c>
      <c r="K8" s="358"/>
    </row>
    <row r="9" spans="1:13" s="38" customFormat="1" ht="13.5" customHeight="1" x14ac:dyDescent="0.25">
      <c r="A9" s="9"/>
      <c r="B9" s="359"/>
      <c r="I9" s="9"/>
      <c r="K9" s="358"/>
    </row>
    <row r="10" spans="1:13" s="38" customFormat="1" ht="13.5" customHeight="1" x14ac:dyDescent="0.25">
      <c r="A10" s="9"/>
      <c r="B10" s="384" t="e">
        <f ca="1">IF($M$11=TRUE,"Kein Datendefizit vorhanden","")</f>
        <v>#REF!</v>
      </c>
      <c r="I10" s="9"/>
      <c r="K10" s="358"/>
      <c r="M10" s="354" t="s">
        <v>398</v>
      </c>
    </row>
    <row r="11" spans="1:13" s="38" customFormat="1" ht="16.5" customHeight="1" x14ac:dyDescent="0.25">
      <c r="A11" s="9"/>
      <c r="B11" s="355" t="e">
        <f ca="1">IF($M$11=TRUE,"","Übertragung erfolgt automatisch aus Kennzahlenbogen (Ist-Werte, Begründungen und Aktionen)")</f>
        <v>#REF!</v>
      </c>
      <c r="I11" s="9"/>
      <c r="K11" s="358"/>
      <c r="M11" s="354" t="e">
        <f t="array" aca="1" ref="M11" ca="1">$A$14:$K$31=""</f>
        <v>#REF!</v>
      </c>
    </row>
    <row r="12" spans="1:13" ht="18.75" customHeight="1" x14ac:dyDescent="0.25">
      <c r="A12" s="929" t="e">
        <f ca="1">IF($M$11=TRUE,"","KN")</f>
        <v>#REF!</v>
      </c>
      <c r="B12" s="927" t="e">
        <f ca="1">IF($M$11=TRUE,"","Kennzahlendefinition")</f>
        <v>#REF!</v>
      </c>
      <c r="C12" s="929" t="e">
        <f ca="1">IF($M$11=TRUE,"","Vorgaben Datenqualität")</f>
        <v>#REF!</v>
      </c>
      <c r="D12" s="929"/>
      <c r="E12" s="929"/>
      <c r="F12" s="929" t="e">
        <f ca="1">IF($M$11=TRUE,"","Ist-Werte")</f>
        <v>#REF!</v>
      </c>
      <c r="G12" s="929"/>
      <c r="H12" s="929"/>
      <c r="I12" s="930" t="e">
        <f ca="1">IF($M$11=TRUE,"","Daten-qualität")</f>
        <v>#REF!</v>
      </c>
      <c r="J12" s="931" t="e">
        <f ca="1">IF($M$11=TRUE,"","Verifizierung Zentrum")</f>
        <v>#REF!</v>
      </c>
      <c r="K12" s="931"/>
      <c r="M12" s="367"/>
    </row>
    <row r="13" spans="1:13" ht="22.5" customHeight="1" x14ac:dyDescent="0.25">
      <c r="A13" s="927"/>
      <c r="B13" s="928"/>
      <c r="C13" s="363" t="e">
        <f ca="1">IF($M$11=TRUE,"","Plausi unklar")</f>
        <v>#REF!</v>
      </c>
      <c r="D13" s="363" t="e">
        <f ca="1">IF($M$11=TRUE,"","Sollvorgabe")</f>
        <v>#REF!</v>
      </c>
      <c r="E13" s="363" t="e">
        <f ca="1">IF($M$11=TRUE,"","Plausi unklar")</f>
        <v>#REF!</v>
      </c>
      <c r="F13" s="363" t="e">
        <f ca="1">IF($M$11=TRUE,"","Zähler / Anzahl")</f>
        <v>#REF!</v>
      </c>
      <c r="G13" s="363" t="e">
        <f ca="1">IF($M$11=TRUE,"","Nenner")</f>
        <v>#REF!</v>
      </c>
      <c r="H13" s="363" t="e">
        <f ca="1">IF($M$11=TRUE,"","Quote")</f>
        <v>#REF!</v>
      </c>
      <c r="I13" s="927"/>
      <c r="J13" s="420" t="e">
        <f ca="1">IF($M$11=TRUE,"","Begründung / Ursache")</f>
        <v>#REF!</v>
      </c>
      <c r="K13" s="419" t="e">
        <f ca="1">IF($M$11=TRUE,"","Eingeleitete / geplante Aktionen")</f>
        <v>#REF!</v>
      </c>
    </row>
    <row r="14" spans="1:13" ht="156" customHeight="1" x14ac:dyDescent="0.25">
      <c r="A14" s="364" t="e">
        <f ca="1">'Hilfstabelle Datendef KB'!O2</f>
        <v>#REF!</v>
      </c>
      <c r="B14" s="353" t="e">
        <f ca="1">'Hilfstabelle Datendef KB'!P2</f>
        <v>#REF!</v>
      </c>
      <c r="C14" s="366" t="str">
        <f ca="1">'Hilfstabelle Datendef KB'!Q2</f>
        <v>-----</v>
      </c>
      <c r="D14" s="366" t="e">
        <f ca="1">'Hilfstabelle Datendef KB'!R2</f>
        <v>#REF!</v>
      </c>
      <c r="E14" s="366" t="e">
        <f ca="1">'Hilfstabelle Datendef KB'!S2</f>
        <v>#REF!</v>
      </c>
      <c r="F14" s="364" t="e">
        <f ca="1">'Hilfstabelle Datendef KB'!T2</f>
        <v>#REF!</v>
      </c>
      <c r="G14" s="364" t="e">
        <f ca="1">'Hilfstabelle Datendef KB'!U2</f>
        <v>#REF!</v>
      </c>
      <c r="H14" s="365" t="e">
        <f ca="1">'Hilfstabelle Datendef KB'!V2</f>
        <v>#REF!</v>
      </c>
      <c r="I14" s="364" t="e">
        <f ca="1">'Hilfstabelle Datendef KB'!W2</f>
        <v>#REF!</v>
      </c>
      <c r="J14" s="382" t="e">
        <f ca="1">'Hilfstabelle Datendef KB'!X2</f>
        <v>#REF!</v>
      </c>
      <c r="K14" s="353" t="e">
        <f ca="1">'Hilfstabelle Datendef KB'!Y2</f>
        <v>#REF!</v>
      </c>
    </row>
    <row r="15" spans="1:13" ht="169.5" customHeight="1" x14ac:dyDescent="0.25">
      <c r="A15" s="364" t="e">
        <f ca="1">'Hilfstabelle Datendef KB'!O3</f>
        <v>#REF!</v>
      </c>
      <c r="B15" s="353" t="e">
        <f ca="1">'Hilfstabelle Datendef KB'!P3</f>
        <v>#REF!</v>
      </c>
      <c r="C15" s="366" t="e">
        <f ca="1">'Hilfstabelle Datendef KB'!Q3</f>
        <v>#REF!</v>
      </c>
      <c r="D15" s="366" t="e">
        <f ca="1">'Hilfstabelle Datendef KB'!R3</f>
        <v>#REF!</v>
      </c>
      <c r="E15" s="366" t="e">
        <f ca="1">'Hilfstabelle Datendef KB'!S3</f>
        <v>#REF!</v>
      </c>
      <c r="F15" s="364" t="e">
        <f ca="1">'Hilfstabelle Datendef KB'!T3</f>
        <v>#REF!</v>
      </c>
      <c r="G15" s="364" t="e">
        <f ca="1">'Hilfstabelle Datendef KB'!U3</f>
        <v>#REF!</v>
      </c>
      <c r="H15" s="365" t="e">
        <f ca="1">'Hilfstabelle Datendef KB'!V3</f>
        <v>#REF!</v>
      </c>
      <c r="I15" s="364" t="e">
        <f ca="1">'Hilfstabelle Datendef KB'!W3</f>
        <v>#REF!</v>
      </c>
      <c r="J15" s="382" t="e">
        <f ca="1">'Hilfstabelle Datendef KB'!X3</f>
        <v>#REF!</v>
      </c>
      <c r="K15" s="353" t="e">
        <f ca="1">'Hilfstabelle Datendef KB'!Y3</f>
        <v>#REF!</v>
      </c>
    </row>
    <row r="16" spans="1:13" ht="169.5" customHeight="1" x14ac:dyDescent="0.25">
      <c r="A16" s="364" t="e">
        <f ca="1">'Hilfstabelle Datendef KB'!O4</f>
        <v>#REF!</v>
      </c>
      <c r="B16" s="353" t="e">
        <f ca="1">'Hilfstabelle Datendef KB'!P4</f>
        <v>#REF!</v>
      </c>
      <c r="C16" s="366" t="e">
        <f ca="1">'Hilfstabelle Datendef KB'!Q4</f>
        <v>#REF!</v>
      </c>
      <c r="D16" s="366" t="e">
        <f ca="1">'Hilfstabelle Datendef KB'!R4</f>
        <v>#REF!</v>
      </c>
      <c r="E16" s="366" t="e">
        <f ca="1">'Hilfstabelle Datendef KB'!S4</f>
        <v>#REF!</v>
      </c>
      <c r="F16" s="364" t="e">
        <f ca="1">'Hilfstabelle Datendef KB'!T4</f>
        <v>#REF!</v>
      </c>
      <c r="G16" s="364" t="e">
        <f ca="1">'Hilfstabelle Datendef KB'!U4</f>
        <v>#REF!</v>
      </c>
      <c r="H16" s="365" t="e">
        <f ca="1">'Hilfstabelle Datendef KB'!V4</f>
        <v>#REF!</v>
      </c>
      <c r="I16" s="364" t="e">
        <f ca="1">'Hilfstabelle Datendef KB'!W4</f>
        <v>#REF!</v>
      </c>
      <c r="J16" s="382" t="e">
        <f ca="1">'Hilfstabelle Datendef KB'!X4</f>
        <v>#REF!</v>
      </c>
      <c r="K16" s="353" t="e">
        <f ca="1">'Hilfstabelle Datendef KB'!Y4</f>
        <v>#REF!</v>
      </c>
    </row>
    <row r="17" spans="1:11" ht="169.5" customHeight="1" x14ac:dyDescent="0.25">
      <c r="A17" s="364" t="e">
        <f ca="1">'Hilfstabelle Datendef KB'!O5</f>
        <v>#REF!</v>
      </c>
      <c r="B17" s="353" t="e">
        <f ca="1">'Hilfstabelle Datendef KB'!P5</f>
        <v>#REF!</v>
      </c>
      <c r="C17" s="366" t="e">
        <f ca="1">'Hilfstabelle Datendef KB'!Q5</f>
        <v>#REF!</v>
      </c>
      <c r="D17" s="366" t="e">
        <f ca="1">'Hilfstabelle Datendef KB'!R5</f>
        <v>#REF!</v>
      </c>
      <c r="E17" s="366" t="e">
        <f ca="1">'Hilfstabelle Datendef KB'!S5</f>
        <v>#REF!</v>
      </c>
      <c r="F17" s="364" t="e">
        <f ca="1">'Hilfstabelle Datendef KB'!T5</f>
        <v>#REF!</v>
      </c>
      <c r="G17" s="364" t="e">
        <f ca="1">'Hilfstabelle Datendef KB'!U5</f>
        <v>#REF!</v>
      </c>
      <c r="H17" s="365" t="e">
        <f ca="1">'Hilfstabelle Datendef KB'!V5</f>
        <v>#REF!</v>
      </c>
      <c r="I17" s="364" t="e">
        <f ca="1">'Hilfstabelle Datendef KB'!W5</f>
        <v>#REF!</v>
      </c>
      <c r="J17" s="382" t="e">
        <f ca="1">'Hilfstabelle Datendef KB'!X5</f>
        <v>#REF!</v>
      </c>
      <c r="K17" s="353" t="e">
        <f ca="1">'Hilfstabelle Datendef KB'!Y5</f>
        <v>#REF!</v>
      </c>
    </row>
    <row r="18" spans="1:11" ht="169.5" customHeight="1" x14ac:dyDescent="0.25">
      <c r="A18" s="364" t="e">
        <f ca="1">'Hilfstabelle Datendef KB'!O6</f>
        <v>#REF!</v>
      </c>
      <c r="B18" s="353" t="e">
        <f ca="1">'Hilfstabelle Datendef KB'!P6</f>
        <v>#REF!</v>
      </c>
      <c r="C18" s="366" t="e">
        <f ca="1">'Hilfstabelle Datendef KB'!Q6</f>
        <v>#REF!</v>
      </c>
      <c r="D18" s="366" t="e">
        <f ca="1">'Hilfstabelle Datendef KB'!R6</f>
        <v>#REF!</v>
      </c>
      <c r="E18" s="366" t="e">
        <f ca="1">'Hilfstabelle Datendef KB'!S6</f>
        <v>#REF!</v>
      </c>
      <c r="F18" s="364" t="e">
        <f ca="1">'Hilfstabelle Datendef KB'!T6</f>
        <v>#REF!</v>
      </c>
      <c r="G18" s="364" t="e">
        <f ca="1">'Hilfstabelle Datendef KB'!U6</f>
        <v>#REF!</v>
      </c>
      <c r="H18" s="365" t="e">
        <f ca="1">'Hilfstabelle Datendef KB'!V6</f>
        <v>#REF!</v>
      </c>
      <c r="I18" s="364" t="e">
        <f ca="1">'Hilfstabelle Datendef KB'!W6</f>
        <v>#REF!</v>
      </c>
      <c r="J18" s="382" t="e">
        <f ca="1">'Hilfstabelle Datendef KB'!X6</f>
        <v>#REF!</v>
      </c>
      <c r="K18" s="353" t="e">
        <f ca="1">'Hilfstabelle Datendef KB'!Y6</f>
        <v>#REF!</v>
      </c>
    </row>
    <row r="19" spans="1:11" ht="169.5" customHeight="1" x14ac:dyDescent="0.25">
      <c r="A19" s="364" t="e">
        <f ca="1">'Hilfstabelle Datendef KB'!O7</f>
        <v>#REF!</v>
      </c>
      <c r="B19" s="353" t="e">
        <f ca="1">'Hilfstabelle Datendef KB'!P7</f>
        <v>#REF!</v>
      </c>
      <c r="C19" s="366" t="e">
        <f ca="1">'Hilfstabelle Datendef KB'!Q7</f>
        <v>#REF!</v>
      </c>
      <c r="D19" s="366" t="e">
        <f ca="1">'Hilfstabelle Datendef KB'!R7</f>
        <v>#REF!</v>
      </c>
      <c r="E19" s="366" t="e">
        <f ca="1">'Hilfstabelle Datendef KB'!S7</f>
        <v>#REF!</v>
      </c>
      <c r="F19" s="364" t="e">
        <f ca="1">'Hilfstabelle Datendef KB'!T7</f>
        <v>#REF!</v>
      </c>
      <c r="G19" s="364" t="e">
        <f ca="1">'Hilfstabelle Datendef KB'!U7</f>
        <v>#REF!</v>
      </c>
      <c r="H19" s="365" t="e">
        <f ca="1">'Hilfstabelle Datendef KB'!V7</f>
        <v>#REF!</v>
      </c>
      <c r="I19" s="364" t="e">
        <f ca="1">'Hilfstabelle Datendef KB'!W7</f>
        <v>#REF!</v>
      </c>
      <c r="J19" s="382" t="e">
        <f ca="1">'Hilfstabelle Datendef KB'!X7</f>
        <v>#REF!</v>
      </c>
      <c r="K19" s="353" t="e">
        <f ca="1">'Hilfstabelle Datendef KB'!Y7</f>
        <v>#REF!</v>
      </c>
    </row>
    <row r="20" spans="1:11" ht="169.5" customHeight="1" x14ac:dyDescent="0.25">
      <c r="A20" s="364" t="e">
        <f ca="1">'Hilfstabelle Datendef KB'!O8</f>
        <v>#REF!</v>
      </c>
      <c r="B20" s="353" t="e">
        <f ca="1">'Hilfstabelle Datendef KB'!P8</f>
        <v>#REF!</v>
      </c>
      <c r="C20" s="366" t="e">
        <f ca="1">'Hilfstabelle Datendef KB'!Q8</f>
        <v>#REF!</v>
      </c>
      <c r="D20" s="366" t="e">
        <f ca="1">'Hilfstabelle Datendef KB'!R8</f>
        <v>#REF!</v>
      </c>
      <c r="E20" s="366" t="e">
        <f ca="1">'Hilfstabelle Datendef KB'!S8</f>
        <v>#REF!</v>
      </c>
      <c r="F20" s="364" t="e">
        <f ca="1">'Hilfstabelle Datendef KB'!T8</f>
        <v>#REF!</v>
      </c>
      <c r="G20" s="364" t="e">
        <f ca="1">'Hilfstabelle Datendef KB'!U8</f>
        <v>#REF!</v>
      </c>
      <c r="H20" s="365" t="e">
        <f ca="1">'Hilfstabelle Datendef KB'!V8</f>
        <v>#REF!</v>
      </c>
      <c r="I20" s="364" t="e">
        <f ca="1">'Hilfstabelle Datendef KB'!W8</f>
        <v>#REF!</v>
      </c>
      <c r="J20" s="382" t="e">
        <f ca="1">'Hilfstabelle Datendef KB'!X8</f>
        <v>#REF!</v>
      </c>
      <c r="K20" s="353" t="e">
        <f ca="1">'Hilfstabelle Datendef KB'!Y8</f>
        <v>#REF!</v>
      </c>
    </row>
    <row r="21" spans="1:11" ht="169.5" customHeight="1" x14ac:dyDescent="0.25">
      <c r="A21" s="364" t="e">
        <f ca="1">'Hilfstabelle Datendef KB'!O9</f>
        <v>#REF!</v>
      </c>
      <c r="B21" s="353" t="e">
        <f ca="1">'Hilfstabelle Datendef KB'!P9</f>
        <v>#REF!</v>
      </c>
      <c r="C21" s="366" t="e">
        <f ca="1">'Hilfstabelle Datendef KB'!Q9</f>
        <v>#REF!</v>
      </c>
      <c r="D21" s="366" t="e">
        <f ca="1">'Hilfstabelle Datendef KB'!R9</f>
        <v>#REF!</v>
      </c>
      <c r="E21" s="366" t="e">
        <f ca="1">'Hilfstabelle Datendef KB'!S9</f>
        <v>#REF!</v>
      </c>
      <c r="F21" s="364" t="e">
        <f ca="1">'Hilfstabelle Datendef KB'!T9</f>
        <v>#REF!</v>
      </c>
      <c r="G21" s="364" t="e">
        <f ca="1">'Hilfstabelle Datendef KB'!U9</f>
        <v>#REF!</v>
      </c>
      <c r="H21" s="365" t="e">
        <f ca="1">'Hilfstabelle Datendef KB'!V9</f>
        <v>#REF!</v>
      </c>
      <c r="I21" s="364" t="e">
        <f ca="1">'Hilfstabelle Datendef KB'!W9</f>
        <v>#REF!</v>
      </c>
      <c r="J21" s="382" t="e">
        <f ca="1">'Hilfstabelle Datendef KB'!X9</f>
        <v>#REF!</v>
      </c>
      <c r="K21" s="353" t="e">
        <f ca="1">'Hilfstabelle Datendef KB'!Y9</f>
        <v>#REF!</v>
      </c>
    </row>
    <row r="22" spans="1:11" ht="169.5" customHeight="1" x14ac:dyDescent="0.25">
      <c r="A22" s="364" t="e">
        <f ca="1">'Hilfstabelle Datendef KB'!O10</f>
        <v>#REF!</v>
      </c>
      <c r="B22" s="353" t="e">
        <f ca="1">'Hilfstabelle Datendef KB'!P10</f>
        <v>#REF!</v>
      </c>
      <c r="C22" s="366" t="e">
        <f ca="1">'Hilfstabelle Datendef KB'!Q10</f>
        <v>#REF!</v>
      </c>
      <c r="D22" s="366" t="e">
        <f ca="1">'Hilfstabelle Datendef KB'!R10</f>
        <v>#REF!</v>
      </c>
      <c r="E22" s="366" t="e">
        <f ca="1">'Hilfstabelle Datendef KB'!S10</f>
        <v>#REF!</v>
      </c>
      <c r="F22" s="364" t="e">
        <f ca="1">'Hilfstabelle Datendef KB'!T10</f>
        <v>#REF!</v>
      </c>
      <c r="G22" s="364" t="e">
        <f ca="1">'Hilfstabelle Datendef KB'!U10</f>
        <v>#REF!</v>
      </c>
      <c r="H22" s="365" t="e">
        <f ca="1">'Hilfstabelle Datendef KB'!V10</f>
        <v>#REF!</v>
      </c>
      <c r="I22" s="364" t="e">
        <f ca="1">'Hilfstabelle Datendef KB'!W10</f>
        <v>#REF!</v>
      </c>
      <c r="J22" s="382" t="e">
        <f ca="1">'Hilfstabelle Datendef KB'!X10</f>
        <v>#REF!</v>
      </c>
      <c r="K22" s="353" t="e">
        <f ca="1">'Hilfstabelle Datendef KB'!Y10</f>
        <v>#REF!</v>
      </c>
    </row>
    <row r="23" spans="1:11" ht="169.5" customHeight="1" x14ac:dyDescent="0.25">
      <c r="A23" s="364" t="e">
        <f ca="1">'Hilfstabelle Datendef KB'!O11</f>
        <v>#REF!</v>
      </c>
      <c r="B23" s="353" t="e">
        <f ca="1">'Hilfstabelle Datendef KB'!P11</f>
        <v>#REF!</v>
      </c>
      <c r="C23" s="366" t="e">
        <f ca="1">'Hilfstabelle Datendef KB'!Q11</f>
        <v>#REF!</v>
      </c>
      <c r="D23" s="366" t="e">
        <f ca="1">'Hilfstabelle Datendef KB'!R11</f>
        <v>#REF!</v>
      </c>
      <c r="E23" s="366" t="e">
        <f ca="1">'Hilfstabelle Datendef KB'!S11</f>
        <v>#REF!</v>
      </c>
      <c r="F23" s="364" t="e">
        <f ca="1">'Hilfstabelle Datendef KB'!T11</f>
        <v>#REF!</v>
      </c>
      <c r="G23" s="364" t="e">
        <f ca="1">'Hilfstabelle Datendef KB'!U11</f>
        <v>#REF!</v>
      </c>
      <c r="H23" s="365" t="e">
        <f ca="1">'Hilfstabelle Datendef KB'!V11</f>
        <v>#REF!</v>
      </c>
      <c r="I23" s="364" t="e">
        <f ca="1">'Hilfstabelle Datendef KB'!W11</f>
        <v>#REF!</v>
      </c>
      <c r="J23" s="382" t="e">
        <f ca="1">'Hilfstabelle Datendef KB'!X11</f>
        <v>#REF!</v>
      </c>
      <c r="K23" s="353" t="e">
        <f ca="1">'Hilfstabelle Datendef KB'!Y11</f>
        <v>#REF!</v>
      </c>
    </row>
    <row r="24" spans="1:11" ht="169.5" customHeight="1" x14ac:dyDescent="0.25">
      <c r="A24" s="364" t="e">
        <f ca="1">'Hilfstabelle Datendef KB'!O12</f>
        <v>#REF!</v>
      </c>
      <c r="B24" s="353" t="e">
        <f ca="1">'Hilfstabelle Datendef KB'!P12</f>
        <v>#REF!</v>
      </c>
      <c r="C24" s="366" t="e">
        <f ca="1">'Hilfstabelle Datendef KB'!Q12</f>
        <v>#REF!</v>
      </c>
      <c r="D24" s="366" t="e">
        <f ca="1">'Hilfstabelle Datendef KB'!R12</f>
        <v>#REF!</v>
      </c>
      <c r="E24" s="366" t="e">
        <f ca="1">'Hilfstabelle Datendef KB'!S12</f>
        <v>#REF!</v>
      </c>
      <c r="F24" s="364" t="e">
        <f ca="1">'Hilfstabelle Datendef KB'!T12</f>
        <v>#REF!</v>
      </c>
      <c r="G24" s="364" t="e">
        <f ca="1">'Hilfstabelle Datendef KB'!U12</f>
        <v>#REF!</v>
      </c>
      <c r="H24" s="365" t="e">
        <f ca="1">'Hilfstabelle Datendef KB'!V12</f>
        <v>#REF!</v>
      </c>
      <c r="I24" s="364" t="e">
        <f ca="1">'Hilfstabelle Datendef KB'!W12</f>
        <v>#REF!</v>
      </c>
      <c r="J24" s="382" t="e">
        <f ca="1">'Hilfstabelle Datendef KB'!X12</f>
        <v>#REF!</v>
      </c>
      <c r="K24" s="353" t="e">
        <f ca="1">'Hilfstabelle Datendef KB'!Y12</f>
        <v>#REF!</v>
      </c>
    </row>
    <row r="25" spans="1:11" ht="169.5" customHeight="1" x14ac:dyDescent="0.25">
      <c r="A25" s="364" t="e">
        <f ca="1">'Hilfstabelle Datendef KB'!O13</f>
        <v>#REF!</v>
      </c>
      <c r="B25" s="353" t="e">
        <f ca="1">'Hilfstabelle Datendef KB'!P13</f>
        <v>#REF!</v>
      </c>
      <c r="C25" s="366" t="e">
        <f ca="1">'Hilfstabelle Datendef KB'!Q13</f>
        <v>#REF!</v>
      </c>
      <c r="D25" s="366" t="e">
        <f ca="1">'Hilfstabelle Datendef KB'!R13</f>
        <v>#REF!</v>
      </c>
      <c r="E25" s="366" t="e">
        <f ca="1">'Hilfstabelle Datendef KB'!S13</f>
        <v>#REF!</v>
      </c>
      <c r="F25" s="364" t="e">
        <f ca="1">'Hilfstabelle Datendef KB'!T13</f>
        <v>#REF!</v>
      </c>
      <c r="G25" s="364" t="e">
        <f ca="1">'Hilfstabelle Datendef KB'!U13</f>
        <v>#REF!</v>
      </c>
      <c r="H25" s="365" t="e">
        <f ca="1">'Hilfstabelle Datendef KB'!V13</f>
        <v>#REF!</v>
      </c>
      <c r="I25" s="364" t="e">
        <f ca="1">'Hilfstabelle Datendef KB'!W13</f>
        <v>#REF!</v>
      </c>
      <c r="J25" s="382" t="e">
        <f ca="1">'Hilfstabelle Datendef KB'!X13</f>
        <v>#REF!</v>
      </c>
      <c r="K25" s="353" t="e">
        <f ca="1">'Hilfstabelle Datendef KB'!Y13</f>
        <v>#REF!</v>
      </c>
    </row>
    <row r="26" spans="1:11" ht="169.5" customHeight="1" x14ac:dyDescent="0.25">
      <c r="A26" s="364" t="e">
        <f ca="1">'Hilfstabelle Datendef KB'!O14</f>
        <v>#REF!</v>
      </c>
      <c r="B26" s="353" t="e">
        <f ca="1">'Hilfstabelle Datendef KB'!P14</f>
        <v>#REF!</v>
      </c>
      <c r="C26" s="366" t="e">
        <f ca="1">'Hilfstabelle Datendef KB'!Q14</f>
        <v>#REF!</v>
      </c>
      <c r="D26" s="366" t="e">
        <f ca="1">'Hilfstabelle Datendef KB'!R14</f>
        <v>#REF!</v>
      </c>
      <c r="E26" s="366" t="e">
        <f ca="1">'Hilfstabelle Datendef KB'!S14</f>
        <v>#REF!</v>
      </c>
      <c r="F26" s="364" t="e">
        <f ca="1">'Hilfstabelle Datendef KB'!T14</f>
        <v>#REF!</v>
      </c>
      <c r="G26" s="364" t="e">
        <f ca="1">'Hilfstabelle Datendef KB'!U14</f>
        <v>#REF!</v>
      </c>
      <c r="H26" s="365" t="e">
        <f ca="1">'Hilfstabelle Datendef KB'!V14</f>
        <v>#REF!</v>
      </c>
      <c r="I26" s="364" t="e">
        <f ca="1">'Hilfstabelle Datendef KB'!W14</f>
        <v>#REF!</v>
      </c>
      <c r="J26" s="382" t="e">
        <f ca="1">'Hilfstabelle Datendef KB'!X14</f>
        <v>#REF!</v>
      </c>
      <c r="K26" s="353" t="e">
        <f ca="1">'Hilfstabelle Datendef KB'!Y14</f>
        <v>#REF!</v>
      </c>
    </row>
    <row r="27" spans="1:11" ht="169.5" customHeight="1" x14ac:dyDescent="0.25">
      <c r="A27" s="364" t="e">
        <f ca="1">'Hilfstabelle Datendef KB'!O15</f>
        <v>#REF!</v>
      </c>
      <c r="B27" s="353" t="e">
        <f ca="1">'Hilfstabelle Datendef KB'!P15</f>
        <v>#REF!</v>
      </c>
      <c r="C27" s="366" t="e">
        <f ca="1">'Hilfstabelle Datendef KB'!Q15</f>
        <v>#REF!</v>
      </c>
      <c r="D27" s="366" t="e">
        <f ca="1">'Hilfstabelle Datendef KB'!R15</f>
        <v>#REF!</v>
      </c>
      <c r="E27" s="366" t="e">
        <f ca="1">'Hilfstabelle Datendef KB'!S15</f>
        <v>#REF!</v>
      </c>
      <c r="F27" s="364" t="e">
        <f ca="1">'Hilfstabelle Datendef KB'!T15</f>
        <v>#REF!</v>
      </c>
      <c r="G27" s="364" t="e">
        <f ca="1">'Hilfstabelle Datendef KB'!U15</f>
        <v>#REF!</v>
      </c>
      <c r="H27" s="365" t="e">
        <f ca="1">'Hilfstabelle Datendef KB'!V15</f>
        <v>#REF!</v>
      </c>
      <c r="I27" s="364" t="e">
        <f ca="1">'Hilfstabelle Datendef KB'!W15</f>
        <v>#REF!</v>
      </c>
      <c r="J27" s="382" t="e">
        <f ca="1">'Hilfstabelle Datendef KB'!X15</f>
        <v>#REF!</v>
      </c>
      <c r="K27" s="353" t="e">
        <f ca="1">'Hilfstabelle Datendef KB'!Y15</f>
        <v>#REF!</v>
      </c>
    </row>
    <row r="28" spans="1:11" ht="169.5" customHeight="1" x14ac:dyDescent="0.25">
      <c r="A28" s="364" t="e">
        <f ca="1">'Hilfstabelle Datendef KB'!O16</f>
        <v>#REF!</v>
      </c>
      <c r="B28" s="353" t="e">
        <f ca="1">'Hilfstabelle Datendef KB'!P16</f>
        <v>#REF!</v>
      </c>
      <c r="C28" s="366" t="e">
        <f ca="1">'Hilfstabelle Datendef KB'!Q16</f>
        <v>#REF!</v>
      </c>
      <c r="D28" s="366" t="e">
        <f ca="1">'Hilfstabelle Datendef KB'!R16</f>
        <v>#REF!</v>
      </c>
      <c r="E28" s="366" t="e">
        <f ca="1">'Hilfstabelle Datendef KB'!S16</f>
        <v>#REF!</v>
      </c>
      <c r="F28" s="364" t="e">
        <f ca="1">'Hilfstabelle Datendef KB'!T16</f>
        <v>#REF!</v>
      </c>
      <c r="G28" s="364" t="e">
        <f ca="1">'Hilfstabelle Datendef KB'!U16</f>
        <v>#REF!</v>
      </c>
      <c r="H28" s="365" t="e">
        <f ca="1">'Hilfstabelle Datendef KB'!V16</f>
        <v>#REF!</v>
      </c>
      <c r="I28" s="364" t="e">
        <f ca="1">'Hilfstabelle Datendef KB'!W16</f>
        <v>#REF!</v>
      </c>
      <c r="J28" s="382" t="e">
        <f ca="1">'Hilfstabelle Datendef KB'!X16</f>
        <v>#REF!</v>
      </c>
      <c r="K28" s="353" t="e">
        <f ca="1">'Hilfstabelle Datendef KB'!Y16</f>
        <v>#REF!</v>
      </c>
    </row>
    <row r="29" spans="1:11" ht="169.5" customHeight="1" x14ac:dyDescent="0.25">
      <c r="A29" s="364" t="e">
        <f ca="1">'Hilfstabelle Datendef KB'!O17</f>
        <v>#REF!</v>
      </c>
      <c r="B29" s="353" t="e">
        <f ca="1">'Hilfstabelle Datendef KB'!P17</f>
        <v>#REF!</v>
      </c>
      <c r="C29" s="366" t="e">
        <f ca="1">'Hilfstabelle Datendef KB'!Q17</f>
        <v>#REF!</v>
      </c>
      <c r="D29" s="366" t="e">
        <f ca="1">'Hilfstabelle Datendef KB'!R17</f>
        <v>#REF!</v>
      </c>
      <c r="E29" s="366" t="e">
        <f ca="1">'Hilfstabelle Datendef KB'!S17</f>
        <v>#REF!</v>
      </c>
      <c r="F29" s="364" t="e">
        <f ca="1">'Hilfstabelle Datendef KB'!T17</f>
        <v>#REF!</v>
      </c>
      <c r="G29" s="364" t="e">
        <f ca="1">'Hilfstabelle Datendef KB'!U17</f>
        <v>#REF!</v>
      </c>
      <c r="H29" s="365" t="e">
        <f ca="1">'Hilfstabelle Datendef KB'!V17</f>
        <v>#REF!</v>
      </c>
      <c r="I29" s="364" t="e">
        <f ca="1">'Hilfstabelle Datendef KB'!W17</f>
        <v>#REF!</v>
      </c>
      <c r="J29" s="382" t="e">
        <f ca="1">'Hilfstabelle Datendef KB'!X17</f>
        <v>#REF!</v>
      </c>
      <c r="K29" s="353" t="e">
        <f ca="1">'Hilfstabelle Datendef KB'!Y17</f>
        <v>#REF!</v>
      </c>
    </row>
    <row r="30" spans="1:11" ht="169.5" customHeight="1" x14ac:dyDescent="0.25">
      <c r="A30" s="364" t="e">
        <f ca="1">'Hilfstabelle Datendef KB'!O18</f>
        <v>#REF!</v>
      </c>
      <c r="B30" s="353" t="e">
        <f ca="1">'Hilfstabelle Datendef KB'!P18</f>
        <v>#REF!</v>
      </c>
      <c r="C30" s="366" t="e">
        <f ca="1">'Hilfstabelle Datendef KB'!Q18</f>
        <v>#REF!</v>
      </c>
      <c r="D30" s="366" t="e">
        <f ca="1">'Hilfstabelle Datendef KB'!R18</f>
        <v>#REF!</v>
      </c>
      <c r="E30" s="366" t="e">
        <f ca="1">'Hilfstabelle Datendef KB'!S18</f>
        <v>#REF!</v>
      </c>
      <c r="F30" s="364" t="e">
        <f ca="1">'Hilfstabelle Datendef KB'!T18</f>
        <v>#REF!</v>
      </c>
      <c r="G30" s="364" t="e">
        <f ca="1">'Hilfstabelle Datendef KB'!U18</f>
        <v>#REF!</v>
      </c>
      <c r="H30" s="365" t="e">
        <f ca="1">'Hilfstabelle Datendef KB'!V18</f>
        <v>#REF!</v>
      </c>
      <c r="I30" s="364" t="e">
        <f ca="1">'Hilfstabelle Datendef KB'!W18</f>
        <v>#REF!</v>
      </c>
      <c r="J30" s="382" t="e">
        <f ca="1">'Hilfstabelle Datendef KB'!X18</f>
        <v>#REF!</v>
      </c>
      <c r="K30" s="353" t="e">
        <f ca="1">'Hilfstabelle Datendef KB'!Y18</f>
        <v>#REF!</v>
      </c>
    </row>
    <row r="31" spans="1:11" ht="169.5" customHeight="1" x14ac:dyDescent="0.25">
      <c r="A31" s="364" t="e">
        <f ca="1">'Hilfstabelle Datendef KB'!O19</f>
        <v>#REF!</v>
      </c>
      <c r="B31" s="353" t="e">
        <f ca="1">'Hilfstabelle Datendef KB'!P19</f>
        <v>#REF!</v>
      </c>
      <c r="C31" s="366" t="e">
        <f ca="1">'Hilfstabelle Datendef KB'!Q19</f>
        <v>#REF!</v>
      </c>
      <c r="D31" s="366" t="e">
        <f ca="1">'Hilfstabelle Datendef KB'!R19</f>
        <v>#REF!</v>
      </c>
      <c r="E31" s="366" t="e">
        <f ca="1">'Hilfstabelle Datendef KB'!S19</f>
        <v>#REF!</v>
      </c>
      <c r="F31" s="364" t="e">
        <f ca="1">'Hilfstabelle Datendef KB'!T19</f>
        <v>#REF!</v>
      </c>
      <c r="G31" s="364" t="e">
        <f ca="1">'Hilfstabelle Datendef KB'!U19</f>
        <v>#REF!</v>
      </c>
      <c r="H31" s="365" t="e">
        <f ca="1">'Hilfstabelle Datendef KB'!V19</f>
        <v>#REF!</v>
      </c>
      <c r="I31" s="364" t="e">
        <f ca="1">'Hilfstabelle Datendef KB'!W19</f>
        <v>#REF!</v>
      </c>
      <c r="J31" s="382" t="e">
        <f ca="1">'Hilfstabelle Datendef KB'!X19</f>
        <v>#REF!</v>
      </c>
      <c r="K31" s="353" t="e">
        <f ca="1">'Hilfstabelle Datendef KB'!Y19</f>
        <v>#REF!</v>
      </c>
    </row>
    <row r="32" spans="1:11" x14ac:dyDescent="0.25">
      <c r="H32" s="357"/>
    </row>
    <row r="35" spans="8:8" x14ac:dyDescent="0.25">
      <c r="H35" s="357"/>
    </row>
  </sheetData>
  <sheetProtection selectLockedCells="1" selectUnlockedCells="1"/>
  <customSheetViews>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8">
    <mergeCell ref="C6:J6"/>
    <mergeCell ref="B12:B13"/>
    <mergeCell ref="A12:A13"/>
    <mergeCell ref="C8:E8"/>
    <mergeCell ref="I12:I13"/>
    <mergeCell ref="F12:H12"/>
    <mergeCell ref="C12:E12"/>
    <mergeCell ref="J12:K12"/>
  </mergeCells>
  <phoneticPr fontId="42" type="noConversion"/>
  <conditionalFormatting sqref="A14:H31 J14:K31">
    <cfRule type="notContainsBlanks" dxfId="116" priority="2" stopIfTrue="1">
      <formula>LEN(TRIM(A14))&gt;0</formula>
    </cfRule>
  </conditionalFormatting>
  <conditionalFormatting sqref="A12:J13">
    <cfRule type="expression" dxfId="115" priority="15" stopIfTrue="1">
      <formula>$B$10="Kein Datendefizit vorhanden"</formula>
    </cfRule>
  </conditionalFormatting>
  <conditionalFormatting sqref="I14:I31">
    <cfRule type="expression" dxfId="114" priority="3" stopIfTrue="1">
      <formula>AND($I14&lt;&gt;"",$I14="Sollvorgabe nicht erfüllt")</formula>
    </cfRule>
    <cfRule type="expression" dxfId="113" priority="4" stopIfTrue="1">
      <formula>AND($I14&lt;&gt;"",$I14="I.O. (Plausibilität unklar)")</formula>
    </cfRule>
    <cfRule type="expression" dxfId="112" priority="5" stopIfTrue="1">
      <formula>OR(AND($I14&lt;&gt;"",$I14="Unvollständig"),AND($I14&lt;&gt;"",$I14="Inkorrekt"))</formula>
    </cfRule>
  </conditionalFormatting>
  <conditionalFormatting sqref="J12:K12">
    <cfRule type="expression" dxfId="111" priority="1">
      <formula>$J$12="Verifizierung Zentrum"</formula>
    </cfRule>
  </conditionalFormatting>
  <conditionalFormatting sqref="K13">
    <cfRule type="expression" dxfId="110" priority="16" stopIfTrue="1">
      <formula>$B$10="Kein Datendefizit vorhanden"</formula>
    </cfRule>
  </conditionalFormatting>
  <pageMargins left="0.39370078740157483" right="3.937007874015748E-2" top="0.59055118110236227" bottom="0.39370078740157483" header="0.11811023622047245" footer="0.11811023622047245"/>
  <pageSetup paperSize="9" scale="98"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6" manualBreakCount="6">
    <brk id="15" max="16383" man="1"/>
    <brk id="18" max="16383" man="1"/>
    <brk id="21" max="16383" man="1"/>
    <brk id="24" max="16383" man="1"/>
    <brk id="27" max="16383" man="1"/>
    <brk id="29" max="11" man="1"/>
  </rowBreaks>
  <colBreaks count="1" manualBreakCount="1">
    <brk id="15" max="1048575" man="1"/>
  </colBreaks>
  <ignoredErrors>
    <ignoredError sqref="D13" formula="1"/>
  </ignoredErrors>
  <drawing r:id="rId4"/>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4"/>
  <dimension ref="A1:AN78"/>
  <sheetViews>
    <sheetView showGridLines="0" showRuler="0" zoomScaleNormal="100" workbookViewId="0">
      <selection activeCell="D17" sqref="D17:H18"/>
    </sheetView>
  </sheetViews>
  <sheetFormatPr defaultColWidth="5.28515625" defaultRowHeight="14.25" x14ac:dyDescent="0.2"/>
  <cols>
    <col min="1" max="1" width="10.140625" style="2" customWidth="1"/>
    <col min="2" max="3" width="4.7109375" style="2" customWidth="1"/>
    <col min="4" max="9" width="5.28515625" style="2" customWidth="1"/>
    <col min="10" max="10" width="0.5703125" style="2" customWidth="1"/>
    <col min="11" max="14" width="4.7109375" style="2" customWidth="1"/>
    <col min="15" max="15" width="8.5703125" style="2" customWidth="1"/>
    <col min="16" max="16" width="0.5703125" style="2" customWidth="1"/>
    <col min="17" max="17" width="5.7109375" style="2" customWidth="1"/>
    <col min="18" max="18" width="5.28515625" style="2" customWidth="1"/>
    <col min="19" max="21" width="4.7109375" style="2" customWidth="1"/>
    <col min="22" max="23" width="4.85546875" style="2" customWidth="1"/>
    <col min="24" max="24" width="0.5703125" style="2" customWidth="1"/>
    <col min="25" max="25" width="7" style="2" customWidth="1"/>
    <col min="26" max="26" width="7" style="11" customWidth="1"/>
    <col min="27" max="27" width="8" style="2" customWidth="1"/>
    <col min="28" max="211" width="11.42578125" style="2" customWidth="1"/>
    <col min="212" max="250" width="9" style="2" customWidth="1"/>
    <col min="251" max="251" width="10.140625" style="2" customWidth="1"/>
    <col min="252" max="253" width="4.7109375" style="2" customWidth="1"/>
    <col min="254" max="16384" width="5.28515625" style="2"/>
  </cols>
  <sheetData>
    <row r="1" spans="1:40" ht="9.9499999999999993" customHeight="1" x14ac:dyDescent="0.2">
      <c r="C1" s="26"/>
      <c r="L1" s="15"/>
      <c r="M1" s="15"/>
      <c r="N1" s="15"/>
      <c r="O1" s="15"/>
      <c r="P1" s="15"/>
      <c r="Q1" s="15"/>
      <c r="R1" s="15"/>
      <c r="S1" s="15"/>
      <c r="T1" s="15"/>
    </row>
    <row r="2" spans="1:40" ht="12.95" customHeight="1" x14ac:dyDescent="0.2">
      <c r="A2" s="431" t="s">
        <v>538</v>
      </c>
      <c r="C2" s="284"/>
      <c r="D2" s="430"/>
      <c r="I2" s="129"/>
      <c r="L2" s="15"/>
      <c r="M2" s="15"/>
      <c r="N2" s="15"/>
      <c r="O2" s="15"/>
      <c r="P2" s="15"/>
      <c r="Q2" s="15"/>
      <c r="R2" s="15"/>
      <c r="S2" s="15"/>
      <c r="T2" s="15"/>
    </row>
    <row r="3" spans="1:40" ht="15.75" x14ac:dyDescent="0.25">
      <c r="A3" s="14" t="s">
        <v>196</v>
      </c>
      <c r="L3" s="15"/>
      <c r="M3" s="15"/>
      <c r="N3" s="15"/>
      <c r="O3" s="15"/>
      <c r="P3" s="15"/>
      <c r="Q3" s="15"/>
      <c r="R3" s="15"/>
      <c r="T3" s="16"/>
      <c r="U3" s="16"/>
    </row>
    <row r="4" spans="1:40" x14ac:dyDescent="0.2">
      <c r="A4" s="130"/>
      <c r="L4" s="15"/>
      <c r="M4" s="15"/>
      <c r="N4" s="15"/>
      <c r="O4" s="15"/>
      <c r="P4" s="15"/>
      <c r="Q4" s="15"/>
      <c r="R4" s="15"/>
      <c r="T4" s="16"/>
      <c r="U4" s="16"/>
      <c r="AK4" s="50"/>
      <c r="AL4" s="50"/>
      <c r="AM4" s="50"/>
      <c r="AN4" s="50"/>
    </row>
    <row r="5" spans="1:40" ht="6" customHeight="1" x14ac:dyDescent="0.2">
      <c r="Q5" s="15"/>
      <c r="R5" s="15"/>
      <c r="AK5" s="50"/>
      <c r="AL5" s="50"/>
      <c r="AM5" s="50"/>
      <c r="AN5" s="50"/>
    </row>
    <row r="6" spans="1:40" s="22" customFormat="1" ht="15" customHeight="1" x14ac:dyDescent="0.2">
      <c r="A6" s="1001" t="s">
        <v>115</v>
      </c>
      <c r="B6" s="1001"/>
      <c r="C6" s="749" t="str">
        <f>IF('Basic data'!C8=0,"",'Basic data'!C8)</f>
        <v/>
      </c>
      <c r="D6" s="925"/>
      <c r="E6" s="925"/>
      <c r="F6" s="925"/>
      <c r="G6" s="925"/>
      <c r="H6" s="925"/>
      <c r="I6" s="925"/>
      <c r="J6" s="925"/>
      <c r="K6" s="925"/>
      <c r="L6" s="925"/>
      <c r="M6" s="925"/>
      <c r="N6" s="925"/>
      <c r="O6" s="925"/>
      <c r="P6" s="925"/>
      <c r="Q6" s="925"/>
      <c r="R6" s="925"/>
      <c r="S6" s="925"/>
      <c r="T6" s="925"/>
      <c r="U6" s="925"/>
      <c r="V6" s="925"/>
      <c r="W6" s="926"/>
      <c r="Z6" s="10"/>
      <c r="AK6" s="50"/>
      <c r="AL6" s="50"/>
      <c r="AM6" s="50"/>
      <c r="AN6" s="50"/>
    </row>
    <row r="7" spans="1:40" s="22" customFormat="1" ht="6.95" customHeight="1" x14ac:dyDescent="0.2">
      <c r="B7" s="4"/>
      <c r="C7" s="21"/>
      <c r="D7" s="2"/>
      <c r="E7" s="2"/>
      <c r="F7" s="2"/>
      <c r="G7" s="2"/>
      <c r="H7" s="2"/>
      <c r="I7" s="2"/>
      <c r="J7" s="20"/>
      <c r="K7" s="29"/>
      <c r="L7" s="29"/>
      <c r="M7" s="29"/>
      <c r="AK7" s="50"/>
      <c r="AL7" s="50"/>
      <c r="AM7" s="50"/>
      <c r="AN7" s="50"/>
    </row>
    <row r="8" spans="1:40" s="22" customFormat="1" ht="15" customHeight="1" x14ac:dyDescent="0.2">
      <c r="A8" s="1002" t="s">
        <v>74</v>
      </c>
      <c r="B8" s="1002"/>
      <c r="C8" s="973" t="str">
        <f>IF('Basic data'!C6=0,"",'Basic data'!C6)</f>
        <v>Not listed</v>
      </c>
      <c r="D8" s="974"/>
      <c r="E8" s="974"/>
      <c r="F8" s="974"/>
      <c r="G8" s="975"/>
      <c r="H8" s="206"/>
      <c r="I8" s="206"/>
      <c r="J8" s="206"/>
      <c r="K8" s="206"/>
      <c r="L8" s="206"/>
      <c r="P8" s="3" t="s">
        <v>331</v>
      </c>
      <c r="S8" s="970" t="str">
        <f>IF('Basic data'!I12=0,"",'Basic data'!I12)</f>
        <v/>
      </c>
      <c r="T8" s="971"/>
      <c r="U8" s="971"/>
      <c r="V8" s="971"/>
      <c r="W8" s="972"/>
      <c r="AK8" s="50"/>
      <c r="AL8" s="50"/>
      <c r="AM8" s="50"/>
      <c r="AN8" s="50"/>
    </row>
    <row r="9" spans="1:40" s="22" customFormat="1" ht="6" customHeight="1" x14ac:dyDescent="0.2">
      <c r="B9" s="23"/>
      <c r="C9" s="24"/>
      <c r="D9" s="2"/>
      <c r="F9" s="2"/>
      <c r="G9" s="2"/>
      <c r="H9" s="2"/>
      <c r="I9" s="2"/>
      <c r="J9" s="131"/>
      <c r="L9" s="29"/>
      <c r="M9" s="29"/>
      <c r="N9" s="2"/>
      <c r="O9" s="2"/>
      <c r="Z9" s="10"/>
      <c r="AK9" s="50"/>
      <c r="AL9" s="50"/>
      <c r="AM9" s="50"/>
      <c r="AN9" s="50"/>
    </row>
    <row r="10" spans="1:40" ht="5.25" customHeight="1" x14ac:dyDescent="0.2">
      <c r="K10" s="22"/>
      <c r="AK10" s="50"/>
      <c r="AL10" s="50"/>
      <c r="AM10" s="50"/>
      <c r="AN10" s="50"/>
    </row>
    <row r="11" spans="1:40" ht="15" x14ac:dyDescent="0.25">
      <c r="A11" s="27" t="s">
        <v>89</v>
      </c>
      <c r="AK11" s="50"/>
      <c r="AL11" s="50"/>
      <c r="AM11" s="50"/>
      <c r="AN11" s="50"/>
    </row>
    <row r="12" spans="1:40" ht="11.25" customHeight="1" x14ac:dyDescent="0.2">
      <c r="A12" s="1043" t="str">
        <f>IF(OR(A13="",A13="Matrix kann eingereicht werden"),"In Ordnung",IF(A13="die inkorrekten und unvollständigen Einträge beheben","Nicht in Ordnung"))</f>
        <v>In Ordnung</v>
      </c>
      <c r="B12" s="1044"/>
      <c r="C12" s="1044"/>
      <c r="D12" s="1045"/>
      <c r="E12" s="1049" t="s">
        <v>73</v>
      </c>
      <c r="F12" s="1050"/>
      <c r="G12" s="1050"/>
      <c r="H12" s="1050"/>
      <c r="I12" s="1050"/>
      <c r="J12" s="1051"/>
      <c r="K12" s="982" t="s">
        <v>4</v>
      </c>
      <c r="L12" s="983"/>
      <c r="M12" s="983"/>
      <c r="N12" s="983"/>
      <c r="O12" s="984"/>
      <c r="P12" s="985" t="s">
        <v>82</v>
      </c>
      <c r="Q12" s="986"/>
      <c r="R12" s="986"/>
      <c r="S12" s="986"/>
      <c r="T12" s="986"/>
      <c r="U12" s="987"/>
      <c r="V12" s="986" t="s">
        <v>402</v>
      </c>
      <c r="W12" s="986"/>
      <c r="X12" s="986"/>
      <c r="Y12" s="986"/>
      <c r="Z12" s="987"/>
      <c r="AK12" s="50"/>
      <c r="AL12" s="50"/>
      <c r="AM12" s="50"/>
      <c r="AN12" s="50"/>
    </row>
    <row r="13" spans="1:40" ht="17.25" customHeight="1" x14ac:dyDescent="0.25">
      <c r="A13" s="1046" t="str">
        <f>Berechnung2!B6</f>
        <v/>
      </c>
      <c r="B13" s="1047"/>
      <c r="C13" s="1047"/>
      <c r="D13" s="1048"/>
      <c r="E13" s="1052">
        <f>Berechnung2!C6</f>
        <v>0</v>
      </c>
      <c r="F13" s="1053"/>
      <c r="G13" s="1053"/>
      <c r="H13" s="1053"/>
      <c r="I13" s="1053"/>
      <c r="J13" s="140"/>
      <c r="K13" s="988">
        <f>Berechnung2!D6</f>
        <v>0</v>
      </c>
      <c r="L13" s="989"/>
      <c r="M13" s="989"/>
      <c r="N13" s="989"/>
      <c r="O13" s="990"/>
      <c r="P13" s="976">
        <f>Berechnung2!E6</f>
        <v>0</v>
      </c>
      <c r="Q13" s="977"/>
      <c r="R13" s="977"/>
      <c r="S13" s="977"/>
      <c r="T13" s="977"/>
      <c r="U13" s="978"/>
      <c r="V13" s="977">
        <f>Berechnung2!F6</f>
        <v>0</v>
      </c>
      <c r="W13" s="977"/>
      <c r="X13" s="977"/>
      <c r="Y13" s="977"/>
      <c r="Z13" s="978"/>
      <c r="AK13" s="50"/>
      <c r="AL13" s="50"/>
      <c r="AM13" s="50"/>
      <c r="AN13" s="50"/>
    </row>
    <row r="14" spans="1:40" s="22" customFormat="1" ht="14.25" customHeight="1" thickBot="1" x14ac:dyDescent="0.25">
      <c r="B14" s="4"/>
      <c r="C14" s="9"/>
      <c r="D14" s="9"/>
      <c r="E14" s="9"/>
      <c r="F14" s="9"/>
      <c r="G14" s="9"/>
      <c r="H14" s="9"/>
      <c r="I14" s="9"/>
      <c r="Z14" s="10"/>
      <c r="AK14" s="50"/>
      <c r="AL14" s="50"/>
      <c r="AM14" s="50"/>
      <c r="AN14" s="50"/>
    </row>
    <row r="15" spans="1:40" ht="24" customHeight="1" thickTop="1" thickBot="1" x14ac:dyDescent="0.3">
      <c r="A15" s="222"/>
      <c r="B15" s="223"/>
      <c r="C15" s="1056" t="s">
        <v>177</v>
      </c>
      <c r="D15" s="1057"/>
      <c r="E15" s="1057"/>
      <c r="F15" s="1057"/>
      <c r="G15" s="1057"/>
      <c r="H15" s="1057"/>
      <c r="I15" s="1057"/>
      <c r="J15" s="959"/>
      <c r="K15" s="991" t="s">
        <v>78</v>
      </c>
      <c r="L15" s="992"/>
      <c r="M15" s="992"/>
      <c r="N15" s="992"/>
      <c r="O15" s="992"/>
      <c r="P15" s="992"/>
      <c r="Q15" s="992"/>
      <c r="R15" s="992"/>
      <c r="S15" s="992"/>
      <c r="T15" s="992"/>
      <c r="U15" s="992"/>
      <c r="V15" s="992"/>
      <c r="W15" s="993"/>
      <c r="X15" s="959"/>
      <c r="Y15" s="994" t="s">
        <v>553</v>
      </c>
      <c r="Z15" s="995"/>
      <c r="AK15" s="50"/>
      <c r="AL15" s="50"/>
      <c r="AM15" s="50"/>
      <c r="AN15" s="50"/>
    </row>
    <row r="16" spans="1:40" ht="15.75" customHeight="1" thickBot="1" x14ac:dyDescent="0.25">
      <c r="A16" s="132" t="s">
        <v>178</v>
      </c>
      <c r="B16" s="132" t="s">
        <v>153</v>
      </c>
      <c r="C16" s="133" t="s">
        <v>156</v>
      </c>
      <c r="D16" s="134" t="s">
        <v>150</v>
      </c>
      <c r="E16" s="134" t="s">
        <v>179</v>
      </c>
      <c r="F16" s="134" t="s">
        <v>5</v>
      </c>
      <c r="G16" s="134" t="s">
        <v>151</v>
      </c>
      <c r="H16" s="134" t="s">
        <v>197</v>
      </c>
      <c r="I16" s="134" t="s">
        <v>311</v>
      </c>
      <c r="J16" s="960"/>
      <c r="K16" s="135" t="s">
        <v>180</v>
      </c>
      <c r="L16" s="135" t="s">
        <v>77</v>
      </c>
      <c r="M16" s="135" t="s">
        <v>152</v>
      </c>
      <c r="N16" s="143" t="s">
        <v>198</v>
      </c>
      <c r="O16" s="133" t="s">
        <v>312</v>
      </c>
      <c r="P16" s="966"/>
      <c r="Q16" s="135" t="s">
        <v>181</v>
      </c>
      <c r="R16" s="135" t="s">
        <v>182</v>
      </c>
      <c r="S16" s="135" t="s">
        <v>183</v>
      </c>
      <c r="T16" s="135" t="s">
        <v>184</v>
      </c>
      <c r="U16" s="135" t="s">
        <v>185</v>
      </c>
      <c r="V16" s="133" t="s">
        <v>186</v>
      </c>
      <c r="W16" s="143" t="s">
        <v>313</v>
      </c>
      <c r="X16" s="960"/>
      <c r="Y16" s="134" t="s">
        <v>187</v>
      </c>
      <c r="Z16" s="224" t="s">
        <v>314</v>
      </c>
      <c r="AK16" s="50"/>
      <c r="AL16" s="50"/>
      <c r="AM16" s="50"/>
      <c r="AN16" s="50"/>
    </row>
    <row r="17" spans="1:40" ht="35.1" customHeight="1" x14ac:dyDescent="0.2">
      <c r="A17" s="1054" t="s">
        <v>54</v>
      </c>
      <c r="B17" s="1054" t="s">
        <v>6</v>
      </c>
      <c r="C17" s="998" t="s">
        <v>557</v>
      </c>
      <c r="D17" s="1011" t="s">
        <v>540</v>
      </c>
      <c r="E17" s="1011" t="s">
        <v>541</v>
      </c>
      <c r="F17" s="1011" t="s">
        <v>542</v>
      </c>
      <c r="G17" s="1011" t="s">
        <v>543</v>
      </c>
      <c r="H17" s="1011" t="s">
        <v>544</v>
      </c>
      <c r="I17" s="1011" t="s">
        <v>545</v>
      </c>
      <c r="J17" s="960"/>
      <c r="K17" s="1025" t="s">
        <v>546</v>
      </c>
      <c r="L17" s="968" t="s">
        <v>547</v>
      </c>
      <c r="M17" s="968" t="s">
        <v>548</v>
      </c>
      <c r="N17" s="968" t="s">
        <v>554</v>
      </c>
      <c r="O17" s="962" t="s">
        <v>450</v>
      </c>
      <c r="P17" s="960"/>
      <c r="Q17" s="964" t="s">
        <v>549</v>
      </c>
      <c r="R17" s="937" t="s">
        <v>550</v>
      </c>
      <c r="S17" s="998" t="s">
        <v>551</v>
      </c>
      <c r="T17" s="942" t="s">
        <v>552</v>
      </c>
      <c r="U17" s="939" t="s">
        <v>7</v>
      </c>
      <c r="V17" s="1019" t="s">
        <v>199</v>
      </c>
      <c r="W17" s="1021" t="s">
        <v>200</v>
      </c>
      <c r="X17" s="960"/>
      <c r="Y17" s="1023" t="s">
        <v>189</v>
      </c>
      <c r="Z17" s="952" t="s">
        <v>190</v>
      </c>
      <c r="AK17" s="50"/>
      <c r="AL17" s="50"/>
      <c r="AM17" s="50"/>
      <c r="AN17" s="50"/>
    </row>
    <row r="18" spans="1:40" ht="135" customHeight="1" thickBot="1" x14ac:dyDescent="0.25">
      <c r="A18" s="1055"/>
      <c r="B18" s="1055"/>
      <c r="C18" s="943"/>
      <c r="D18" s="1012"/>
      <c r="E18" s="1012"/>
      <c r="F18" s="1012"/>
      <c r="G18" s="1012"/>
      <c r="H18" s="1012"/>
      <c r="I18" s="1012"/>
      <c r="J18" s="960"/>
      <c r="K18" s="1026"/>
      <c r="L18" s="969"/>
      <c r="M18" s="969"/>
      <c r="N18" s="969"/>
      <c r="O18" s="963"/>
      <c r="P18" s="960"/>
      <c r="Q18" s="965"/>
      <c r="R18" s="938"/>
      <c r="S18" s="943"/>
      <c r="T18" s="943"/>
      <c r="U18" s="940"/>
      <c r="V18" s="1020"/>
      <c r="W18" s="1022"/>
      <c r="X18" s="960"/>
      <c r="Y18" s="1024"/>
      <c r="Z18" s="953"/>
      <c r="AK18" s="50"/>
      <c r="AL18" s="50"/>
      <c r="AM18" s="50"/>
      <c r="AN18" s="50"/>
    </row>
    <row r="19" spans="1:40" ht="20.100000000000001" customHeight="1" thickBot="1" x14ac:dyDescent="0.25">
      <c r="A19" s="225" t="str">
        <f>IF(Berechnung2!$B$27&gt;5,IF(Berechnung2!$B$27=6,"EZ",IF(Berechnung2!$B$27&gt;6,"relevant","?")),"nicht relevant")</f>
        <v>nicht relevant</v>
      </c>
      <c r="B19" s="137">
        <v>2013</v>
      </c>
      <c r="C19" s="173">
        <f t="shared" ref="C19:C24" si="0">SUM(D19:I19)</f>
        <v>0</v>
      </c>
      <c r="D19" s="205"/>
      <c r="E19" s="205"/>
      <c r="F19" s="205"/>
      <c r="G19" s="205"/>
      <c r="H19" s="205"/>
      <c r="I19" s="205"/>
      <c r="J19" s="960"/>
      <c r="K19" s="136" t="str">
        <f>IF(SUM(L19:N19)=0,"",SUM(L19:N19))</f>
        <v/>
      </c>
      <c r="L19" s="205"/>
      <c r="M19" s="205"/>
      <c r="N19" s="205"/>
      <c r="O19" s="375" t="str">
        <f>IF(K19="","",IF(K19&gt;0,SUM(L19:M19)/K19,0))</f>
        <v/>
      </c>
      <c r="P19" s="960"/>
      <c r="Q19" s="136" t="str">
        <f>IF(COUNTA(R19:W19)&lt;6,"",SUM(L19+M19-R19-S19-T19-U19-V19-W19))</f>
        <v/>
      </c>
      <c r="R19" s="205"/>
      <c r="S19" s="205"/>
      <c r="T19" s="205"/>
      <c r="U19" s="205"/>
      <c r="V19" s="205"/>
      <c r="W19" s="205"/>
      <c r="X19" s="960"/>
      <c r="Y19" s="416"/>
      <c r="Z19" s="417"/>
      <c r="AK19" s="50"/>
      <c r="AL19" s="50"/>
      <c r="AM19" s="50"/>
      <c r="AN19" s="50"/>
    </row>
    <row r="20" spans="1:40" s="9" customFormat="1" ht="20.100000000000001" customHeight="1" thickBot="1" x14ac:dyDescent="0.2">
      <c r="A20" s="225" t="str">
        <f>IF(Berechnung2!$B$27&gt;4,IF(Berechnung2!$B$27=5,"EZ",IF(Berechnung2!$B$27&gt;5,"relevant","?")),"nicht relevant")</f>
        <v>nicht relevant</v>
      </c>
      <c r="B20" s="137">
        <v>2014</v>
      </c>
      <c r="C20" s="173">
        <f t="shared" si="0"/>
        <v>0</v>
      </c>
      <c r="D20" s="205"/>
      <c r="E20" s="205"/>
      <c r="F20" s="205"/>
      <c r="G20" s="205"/>
      <c r="H20" s="205"/>
      <c r="I20" s="205"/>
      <c r="J20" s="960"/>
      <c r="K20" s="136" t="str">
        <f>IF(SUM(L20:N20)=0,"",SUM(L20:N20))</f>
        <v/>
      </c>
      <c r="L20" s="205"/>
      <c r="M20" s="205"/>
      <c r="N20" s="205"/>
      <c r="O20" s="375" t="str">
        <f>IF(K20="","",IF(K20&gt;0,SUM(L20:M20)/K20,0))</f>
        <v/>
      </c>
      <c r="P20" s="960"/>
      <c r="Q20" s="136" t="str">
        <f>IF(COUNTA(R20:W20)&lt;6,"",SUM(L20+M20-R20-S20-T20-U20-V20-W20))</f>
        <v/>
      </c>
      <c r="R20" s="205"/>
      <c r="S20" s="205"/>
      <c r="T20" s="205"/>
      <c r="U20" s="205"/>
      <c r="V20" s="205"/>
      <c r="W20" s="205"/>
      <c r="X20" s="960"/>
      <c r="Y20" s="416"/>
      <c r="Z20" s="417"/>
      <c r="AK20" s="50"/>
      <c r="AL20" s="50"/>
      <c r="AM20" s="50"/>
      <c r="AN20" s="50"/>
    </row>
    <row r="21" spans="1:40" s="9" customFormat="1" ht="20.100000000000001" customHeight="1" thickBot="1" x14ac:dyDescent="0.2">
      <c r="A21" s="225" t="str">
        <f>IF(Berechnung2!$B$27&gt;3,IF(Berechnung2!$B$27=4,"EZ",IF(Berechnung2!$B$27&gt;4,"relevant","?")),"nicht relevant")</f>
        <v>nicht relevant</v>
      </c>
      <c r="B21" s="137">
        <v>2015</v>
      </c>
      <c r="C21" s="173">
        <f t="shared" si="0"/>
        <v>0</v>
      </c>
      <c r="D21" s="205"/>
      <c r="E21" s="205"/>
      <c r="F21" s="205"/>
      <c r="G21" s="205"/>
      <c r="H21" s="205"/>
      <c r="I21" s="205"/>
      <c r="J21" s="960"/>
      <c r="K21" s="136" t="str">
        <f>IF(SUM(L21:N21)=0,"",SUM(L21:N21))</f>
        <v/>
      </c>
      <c r="L21" s="205"/>
      <c r="M21" s="205"/>
      <c r="N21" s="205"/>
      <c r="O21" s="375" t="str">
        <f>IF(K21="","",IF(K21&gt;0,SUM(L21:M21)/K21,0))</f>
        <v/>
      </c>
      <c r="P21" s="960"/>
      <c r="Q21" s="136" t="str">
        <f>IF(COUNTA(R21:W21)&lt;6,"",SUM(L21+M21-R21-S21-T21-U21-V21-W21))</f>
        <v/>
      </c>
      <c r="R21" s="205"/>
      <c r="S21" s="205"/>
      <c r="T21" s="205"/>
      <c r="U21" s="205"/>
      <c r="V21" s="205"/>
      <c r="W21" s="205"/>
      <c r="X21" s="960"/>
      <c r="Y21" s="416"/>
      <c r="Z21" s="417"/>
      <c r="AK21" s="50"/>
      <c r="AL21" s="50"/>
      <c r="AM21" s="50"/>
      <c r="AN21" s="50"/>
    </row>
    <row r="22" spans="1:40" s="9" customFormat="1" ht="20.100000000000001" customHeight="1" thickBot="1" x14ac:dyDescent="0.2">
      <c r="A22" s="225" t="str">
        <f>IF(Berechnung2!$B$27&gt;2,IF(Berechnung2!$B$27=3,"EZ",IF(Berechnung2!$B$27&gt;3,"relevant","?")),"nicht relevant")</f>
        <v>nicht relevant</v>
      </c>
      <c r="B22" s="137">
        <v>2016</v>
      </c>
      <c r="C22" s="173">
        <f t="shared" si="0"/>
        <v>0</v>
      </c>
      <c r="D22" s="205"/>
      <c r="E22" s="205"/>
      <c r="F22" s="205"/>
      <c r="G22" s="205"/>
      <c r="H22" s="205"/>
      <c r="I22" s="205"/>
      <c r="J22" s="960"/>
      <c r="K22" s="136" t="str">
        <f>IF(SUM(L22:N22)=0,"",SUM(L22:N22))</f>
        <v/>
      </c>
      <c r="L22" s="205"/>
      <c r="M22" s="205"/>
      <c r="N22" s="205"/>
      <c r="O22" s="375" t="str">
        <f>IF(K22="","",IF(K22&gt;0,SUM(L22:M22)/K22,0))</f>
        <v/>
      </c>
      <c r="P22" s="960"/>
      <c r="Q22" s="136" t="str">
        <f>IF(COUNTA(R22:W22)&lt;6,"",SUM(L22+M22-R22-S22-T22-U22-V22-W22))</f>
        <v/>
      </c>
      <c r="R22" s="205"/>
      <c r="S22" s="205"/>
      <c r="T22" s="205"/>
      <c r="U22" s="205"/>
      <c r="V22" s="205"/>
      <c r="W22" s="205"/>
      <c r="X22" s="960"/>
      <c r="Y22" s="232"/>
      <c r="Z22" s="233"/>
      <c r="AK22" s="50"/>
      <c r="AL22" s="50"/>
      <c r="AM22" s="50"/>
      <c r="AN22" s="50"/>
    </row>
    <row r="23" spans="1:40" s="9" customFormat="1" ht="20.100000000000001" customHeight="1" thickBot="1" x14ac:dyDescent="0.2">
      <c r="A23" s="226" t="str">
        <f>IF(Berechnung2!$B$27&gt;1,IF(Berechnung2!$B$27=2,"EZ",IF(Berechnung2!$B$27&gt;2,"relevant","?")),"nicht relevant")</f>
        <v>nicht relevant</v>
      </c>
      <c r="B23" s="137" t="s">
        <v>555</v>
      </c>
      <c r="C23" s="173">
        <f>SUM(D23:I23)</f>
        <v>0</v>
      </c>
      <c r="D23" s="205"/>
      <c r="E23" s="205"/>
      <c r="F23" s="205"/>
      <c r="G23" s="205"/>
      <c r="H23" s="205"/>
      <c r="I23" s="205"/>
      <c r="J23" s="960"/>
      <c r="K23" s="954" t="str">
        <f>IF(SUM(L23:N23)=0,"",SUM(L23:N23))</f>
        <v/>
      </c>
      <c r="L23" s="955"/>
      <c r="M23" s="955"/>
      <c r="N23" s="955"/>
      <c r="O23" s="956"/>
      <c r="P23" s="960"/>
      <c r="Q23" s="954" t="str">
        <f>IF(COUNTA(R23:W23)&lt;6,"",SUM(L23+M23-R23-S23-T23-U23-V23-W23))</f>
        <v/>
      </c>
      <c r="R23" s="955"/>
      <c r="S23" s="955"/>
      <c r="T23" s="955"/>
      <c r="U23" s="955"/>
      <c r="V23" s="955"/>
      <c r="W23" s="956"/>
      <c r="X23" s="960"/>
      <c r="Y23" s="957"/>
      <c r="Z23" s="958"/>
      <c r="AK23" s="50"/>
      <c r="AL23" s="50"/>
      <c r="AM23" s="50"/>
      <c r="AN23" s="50"/>
    </row>
    <row r="24" spans="1:40" s="9" customFormat="1" ht="20.100000000000001" customHeight="1" thickBot="1" x14ac:dyDescent="0.2">
      <c r="A24" s="227" t="str">
        <f>IF(Berechnung2!$B$27&gt;0,IF(Berechnung2!$B$27=1,"EZ",IF(Berechnung2!$B$27&gt;1,"relevant","?")),"nicht relevant")</f>
        <v>nicht relevant</v>
      </c>
      <c r="B24" s="228" t="s">
        <v>556</v>
      </c>
      <c r="C24" s="229">
        <f t="shared" si="0"/>
        <v>0</v>
      </c>
      <c r="D24" s="385" t="str">
        <f>IF('Basic data'!D31="","",'Basic data'!D31)</f>
        <v/>
      </c>
      <c r="E24" s="385" t="str">
        <f>IF('Basic data'!E31="","",'Basic data'!E31)</f>
        <v/>
      </c>
      <c r="F24" s="385" t="str">
        <f>IF('Basic data'!F31="","",'Basic data'!F31)</f>
        <v/>
      </c>
      <c r="G24" s="385" t="str">
        <f>IF('Basic data'!G31="","",'Basic data'!G31)</f>
        <v/>
      </c>
      <c r="H24" s="385" t="str">
        <f>IF('Basic data'!H31="","",'Basic data'!H31)</f>
        <v/>
      </c>
      <c r="I24" s="385" t="str">
        <f>IF('Basic data'!I31="","",'Basic data'!I31)</f>
        <v/>
      </c>
      <c r="J24" s="961"/>
      <c r="K24" s="979"/>
      <c r="L24" s="980"/>
      <c r="M24" s="980"/>
      <c r="N24" s="980"/>
      <c r="O24" s="981"/>
      <c r="P24" s="961"/>
      <c r="Q24" s="230"/>
      <c r="R24" s="230"/>
      <c r="S24" s="230"/>
      <c r="T24" s="230"/>
      <c r="U24" s="230"/>
      <c r="V24" s="230"/>
      <c r="W24" s="230"/>
      <c r="X24" s="961"/>
      <c r="Y24" s="996"/>
      <c r="Z24" s="997"/>
      <c r="AK24" s="50"/>
      <c r="AL24" s="50"/>
      <c r="AM24" s="50"/>
      <c r="AN24" s="50"/>
    </row>
    <row r="25" spans="1:40" ht="3.75" customHeight="1" thickTop="1" x14ac:dyDescent="0.25">
      <c r="B25" s="967"/>
      <c r="C25" s="967"/>
      <c r="D25" s="967"/>
      <c r="E25" s="967"/>
      <c r="F25" s="967"/>
      <c r="G25" s="967"/>
      <c r="H25" s="967"/>
      <c r="I25" s="967"/>
      <c r="J25" s="41"/>
      <c r="K25" s="936"/>
      <c r="L25" s="936"/>
      <c r="M25" s="936"/>
      <c r="N25" s="936"/>
      <c r="O25" s="936"/>
      <c r="P25" s="41"/>
      <c r="Q25" s="936"/>
      <c r="R25" s="936"/>
      <c r="S25" s="936"/>
      <c r="T25" s="936"/>
      <c r="U25" s="936"/>
      <c r="V25" s="936"/>
      <c r="W25" s="936"/>
      <c r="X25" s="41"/>
      <c r="Z25" s="2"/>
      <c r="AI25" s="50"/>
      <c r="AJ25" s="50"/>
      <c r="AK25" s="50"/>
      <c r="AL25" s="50"/>
    </row>
    <row r="26" spans="1:40" ht="5.25" customHeight="1" thickBot="1" x14ac:dyDescent="0.3">
      <c r="B26" s="210"/>
      <c r="C26" s="210"/>
      <c r="D26" s="210"/>
      <c r="E26" s="210"/>
      <c r="F26" s="210"/>
      <c r="G26" s="210"/>
      <c r="H26" s="210"/>
      <c r="I26" s="210"/>
      <c r="J26" s="41"/>
      <c r="K26" s="8"/>
      <c r="L26" s="8"/>
      <c r="M26" s="8"/>
      <c r="N26" s="8"/>
      <c r="O26" s="8"/>
      <c r="P26" s="41"/>
      <c r="Q26" s="8"/>
      <c r="R26" s="8"/>
      <c r="S26" s="8"/>
      <c r="T26" s="8"/>
      <c r="U26" s="8"/>
      <c r="V26" s="8"/>
      <c r="W26" s="8"/>
      <c r="X26" s="41"/>
      <c r="Z26" s="2"/>
      <c r="AI26" s="50"/>
      <c r="AJ26" s="50"/>
      <c r="AK26" s="50"/>
      <c r="AL26" s="50"/>
    </row>
    <row r="27" spans="1:40" ht="21.75" customHeight="1" thickBot="1" x14ac:dyDescent="0.3">
      <c r="A27" s="1013"/>
      <c r="B27" s="1014"/>
      <c r="C27" s="208"/>
      <c r="D27" s="208"/>
      <c r="G27" s="208"/>
      <c r="H27" s="208"/>
      <c r="I27" s="418" t="s">
        <v>478</v>
      </c>
      <c r="J27" s="36"/>
      <c r="K27" s="36"/>
      <c r="L27" s="36"/>
      <c r="M27" s="36"/>
      <c r="O27" s="376" t="str">
        <f>IF(A22="EZ","-----",IF(A22= "Nicht relevant","-----",IF(COUNTBLANK(O20:O22)=3,"",SUMIF(A20:A22,"relevant",O20:O22) /COUNTIF(A20:A22,"relevant"))))</f>
        <v>-----</v>
      </c>
      <c r="P27" s="41"/>
      <c r="Q27" s="209"/>
      <c r="R27" s="209"/>
      <c r="S27" s="208"/>
      <c r="T27" s="208"/>
      <c r="U27" s="208"/>
      <c r="V27" s="208"/>
      <c r="W27" s="208"/>
      <c r="X27" s="41"/>
      <c r="Z27" s="2"/>
      <c r="AI27" s="50"/>
      <c r="AJ27" s="50"/>
      <c r="AK27" s="50"/>
      <c r="AL27" s="50"/>
    </row>
    <row r="28" spans="1:40" ht="15" x14ac:dyDescent="0.25">
      <c r="A28" s="178"/>
      <c r="B28"/>
      <c r="C28" s="179"/>
      <c r="D28" s="179"/>
      <c r="E28" s="179"/>
      <c r="F28" s="179"/>
      <c r="G28" s="179"/>
      <c r="H28" s="179"/>
      <c r="I28" s="179"/>
      <c r="J28" s="180"/>
      <c r="K28" s="178"/>
      <c r="L28" s="179"/>
      <c r="M28" s="179"/>
      <c r="N28" s="179"/>
      <c r="O28" s="181"/>
      <c r="P28" s="180"/>
      <c r="Q28" s="178"/>
      <c r="R28" s="178"/>
      <c r="S28" s="179"/>
      <c r="T28" s="179"/>
      <c r="U28" s="179"/>
      <c r="V28" s="179"/>
      <c r="W28" s="179"/>
      <c r="X28" s="180"/>
      <c r="Y28" s="182"/>
      <c r="Z28" s="182"/>
      <c r="AA28" s="182"/>
      <c r="AI28" s="50"/>
      <c r="AJ28" s="50"/>
      <c r="AK28" s="50"/>
      <c r="AL28" s="50"/>
    </row>
    <row r="29" spans="1:40" s="6" customFormat="1" ht="126.75" customHeight="1" x14ac:dyDescent="0.2">
      <c r="A29" s="941" t="s">
        <v>558</v>
      </c>
      <c r="B29" s="941"/>
      <c r="C29" s="941"/>
      <c r="D29" s="941"/>
      <c r="E29" s="941"/>
      <c r="F29" s="941"/>
      <c r="G29" s="941"/>
      <c r="H29" s="941"/>
      <c r="I29" s="941"/>
      <c r="J29" s="941"/>
      <c r="K29" s="941"/>
      <c r="L29" s="941"/>
      <c r="M29" s="941"/>
      <c r="N29" s="941"/>
      <c r="O29" s="941"/>
      <c r="P29" s="941"/>
      <c r="Q29" s="941"/>
      <c r="R29" s="941"/>
      <c r="S29" s="941"/>
      <c r="T29" s="941"/>
      <c r="U29" s="941"/>
      <c r="V29" s="941"/>
      <c r="W29" s="941"/>
      <c r="X29" s="941"/>
      <c r="Y29" s="941"/>
      <c r="Z29" s="941"/>
      <c r="AA29" s="941"/>
    </row>
    <row r="30" spans="1:40" s="6" customFormat="1" ht="98.25" customHeight="1" x14ac:dyDescent="0.2">
      <c r="A30" s="932" t="s">
        <v>559</v>
      </c>
      <c r="B30" s="932"/>
      <c r="C30" s="932"/>
      <c r="D30" s="932"/>
      <c r="E30" s="932"/>
      <c r="F30" s="932"/>
      <c r="G30" s="932"/>
      <c r="H30" s="932"/>
      <c r="I30" s="932"/>
      <c r="J30" s="932"/>
      <c r="K30" s="932"/>
      <c r="L30" s="932"/>
      <c r="M30" s="932"/>
      <c r="N30" s="932"/>
      <c r="O30" s="932"/>
      <c r="P30" s="932"/>
      <c r="Q30" s="932"/>
      <c r="R30" s="932"/>
      <c r="S30" s="932"/>
      <c r="T30" s="932"/>
      <c r="U30" s="932"/>
      <c r="V30" s="932"/>
      <c r="W30" s="932"/>
      <c r="X30" s="932"/>
      <c r="Y30" s="932"/>
      <c r="Z30" s="932"/>
      <c r="AA30" s="932"/>
    </row>
    <row r="31" spans="1:40" s="6" customFormat="1" ht="47.25" customHeight="1" x14ac:dyDescent="0.2">
      <c r="A31" s="932" t="s">
        <v>403</v>
      </c>
      <c r="B31" s="932"/>
      <c r="C31" s="932"/>
      <c r="D31" s="932"/>
      <c r="E31" s="932"/>
      <c r="F31" s="932"/>
      <c r="G31" s="932"/>
      <c r="H31" s="932"/>
      <c r="I31" s="932"/>
      <c r="J31" s="932"/>
      <c r="K31" s="932"/>
      <c r="L31" s="932"/>
      <c r="M31" s="932"/>
      <c r="N31" s="932"/>
      <c r="O31" s="932"/>
      <c r="P31" s="932"/>
      <c r="Q31" s="932"/>
      <c r="R31" s="932"/>
      <c r="S31" s="932"/>
      <c r="T31" s="932"/>
      <c r="U31" s="932"/>
      <c r="V31" s="932"/>
      <c r="W31" s="932"/>
      <c r="X31" s="932"/>
      <c r="Y31" s="932"/>
      <c r="Z31" s="932"/>
      <c r="AA31" s="932"/>
    </row>
    <row r="32" spans="1:40" s="3" customFormat="1" ht="9" customHeight="1" x14ac:dyDescent="0.2">
      <c r="A32" s="142"/>
      <c r="B32" s="141"/>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41"/>
      <c r="AA32" s="141"/>
    </row>
    <row r="33" spans="1:27" s="3" customFormat="1" ht="12" x14ac:dyDescent="0.2">
      <c r="A33" s="177" t="s">
        <v>154</v>
      </c>
      <c r="B33" s="141"/>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row>
    <row r="34" spans="1:27" ht="23.25" customHeight="1" x14ac:dyDescent="0.2">
      <c r="A34" s="144" t="s">
        <v>191</v>
      </c>
      <c r="B34" s="1015" t="s">
        <v>192</v>
      </c>
      <c r="C34" s="945"/>
      <c r="D34" s="945"/>
      <c r="E34" s="1016" t="s">
        <v>57</v>
      </c>
      <c r="F34" s="1017"/>
      <c r="G34" s="1017"/>
      <c r="H34" s="1017"/>
      <c r="I34" s="1018"/>
      <c r="J34" s="1008" t="s">
        <v>113</v>
      </c>
      <c r="K34" s="1009"/>
      <c r="L34" s="1009"/>
      <c r="M34" s="1009"/>
      <c r="N34" s="1009"/>
      <c r="O34" s="1009"/>
      <c r="P34" s="1009"/>
      <c r="Q34" s="1009"/>
      <c r="R34" s="1009"/>
      <c r="S34" s="1009"/>
      <c r="T34" s="1009"/>
      <c r="U34" s="1009"/>
      <c r="V34" s="1009"/>
      <c r="W34" s="1009"/>
      <c r="X34" s="1009"/>
      <c r="Y34" s="1009"/>
      <c r="Z34" s="1009"/>
      <c r="AA34" s="1010"/>
    </row>
    <row r="35" spans="1:27" ht="12.95" customHeight="1" x14ac:dyDescent="0.2">
      <c r="A35" s="145" t="s">
        <v>97</v>
      </c>
      <c r="B35" s="944" t="s">
        <v>193</v>
      </c>
      <c r="C35" s="945"/>
      <c r="D35" s="945"/>
      <c r="E35" s="949"/>
      <c r="F35" s="950"/>
      <c r="G35" s="950"/>
      <c r="H35" s="950"/>
      <c r="I35" s="951"/>
      <c r="J35" s="933" t="s">
        <v>126</v>
      </c>
      <c r="K35" s="934"/>
      <c r="L35" s="934"/>
      <c r="M35" s="934"/>
      <c r="N35" s="934"/>
      <c r="O35" s="934"/>
      <c r="P35" s="934"/>
      <c r="Q35" s="934"/>
      <c r="R35" s="934"/>
      <c r="S35" s="934"/>
      <c r="T35" s="934"/>
      <c r="U35" s="934"/>
      <c r="V35" s="934"/>
      <c r="W35" s="934"/>
      <c r="X35" s="934"/>
      <c r="Y35" s="934"/>
      <c r="Z35" s="934"/>
      <c r="AA35" s="935"/>
    </row>
    <row r="36" spans="1:27" ht="12.95" customHeight="1" x14ac:dyDescent="0.2">
      <c r="A36" s="145" t="s">
        <v>97</v>
      </c>
      <c r="B36" s="944" t="s">
        <v>114</v>
      </c>
      <c r="C36" s="945"/>
      <c r="D36" s="946"/>
      <c r="E36" s="1003"/>
      <c r="F36" s="1004"/>
      <c r="G36" s="1004"/>
      <c r="H36" s="1004"/>
      <c r="I36" s="1005"/>
      <c r="J36" s="933" t="s">
        <v>334</v>
      </c>
      <c r="K36" s="934"/>
      <c r="L36" s="934"/>
      <c r="M36" s="934"/>
      <c r="N36" s="934"/>
      <c r="O36" s="934"/>
      <c r="P36" s="934"/>
      <c r="Q36" s="934"/>
      <c r="R36" s="934"/>
      <c r="S36" s="934"/>
      <c r="T36" s="934"/>
      <c r="U36" s="934"/>
      <c r="V36" s="934"/>
      <c r="W36" s="934"/>
      <c r="X36" s="934"/>
      <c r="Y36" s="934"/>
      <c r="Z36" s="934"/>
      <c r="AA36" s="935"/>
    </row>
    <row r="37" spans="1:27" ht="12.95" customHeight="1" x14ac:dyDescent="0.2">
      <c r="A37" s="145" t="s">
        <v>178</v>
      </c>
      <c r="B37" s="944" t="s">
        <v>194</v>
      </c>
      <c r="C37" s="945"/>
      <c r="D37" s="945"/>
      <c r="E37" s="1006" t="s">
        <v>402</v>
      </c>
      <c r="F37" s="1007"/>
      <c r="G37" s="1007"/>
      <c r="H37" s="1007"/>
      <c r="I37" s="1007"/>
      <c r="J37" s="933" t="s">
        <v>335</v>
      </c>
      <c r="K37" s="934"/>
      <c r="L37" s="934"/>
      <c r="M37" s="934"/>
      <c r="N37" s="934"/>
      <c r="O37" s="934"/>
      <c r="P37" s="934"/>
      <c r="Q37" s="934"/>
      <c r="R37" s="934"/>
      <c r="S37" s="934"/>
      <c r="T37" s="934"/>
      <c r="U37" s="934"/>
      <c r="V37" s="934"/>
      <c r="W37" s="934"/>
      <c r="X37" s="934"/>
      <c r="Y37" s="934"/>
      <c r="Z37" s="934"/>
      <c r="AA37" s="935"/>
    </row>
    <row r="38" spans="1:27" ht="12.95" customHeight="1" x14ac:dyDescent="0.2">
      <c r="A38" s="145" t="s">
        <v>180</v>
      </c>
      <c r="B38" s="944" t="s">
        <v>317</v>
      </c>
      <c r="C38" s="945"/>
      <c r="D38" s="945"/>
      <c r="E38" s="947" t="s">
        <v>82</v>
      </c>
      <c r="F38" s="948"/>
      <c r="G38" s="948"/>
      <c r="H38" s="948"/>
      <c r="I38" s="948"/>
      <c r="J38" s="933" t="s">
        <v>405</v>
      </c>
      <c r="K38" s="934"/>
      <c r="L38" s="934"/>
      <c r="M38" s="934"/>
      <c r="N38" s="934"/>
      <c r="O38" s="934"/>
      <c r="P38" s="934"/>
      <c r="Q38" s="934"/>
      <c r="R38" s="934"/>
      <c r="S38" s="934"/>
      <c r="T38" s="934"/>
      <c r="U38" s="934"/>
      <c r="V38" s="934"/>
      <c r="W38" s="934"/>
      <c r="X38" s="934"/>
      <c r="Y38" s="934"/>
      <c r="Z38" s="934"/>
      <c r="AA38" s="935"/>
    </row>
    <row r="39" spans="1:27" ht="12.95" customHeight="1" x14ac:dyDescent="0.2">
      <c r="A39" s="146" t="s">
        <v>181</v>
      </c>
      <c r="B39" s="1039" t="s">
        <v>318</v>
      </c>
      <c r="C39" s="1040"/>
      <c r="D39" s="1040"/>
      <c r="E39" s="1041" t="s">
        <v>82</v>
      </c>
      <c r="F39" s="1042"/>
      <c r="G39" s="1042"/>
      <c r="H39" s="1042"/>
      <c r="I39" s="1042"/>
      <c r="J39" s="933" t="s">
        <v>319</v>
      </c>
      <c r="K39" s="934"/>
      <c r="L39" s="934"/>
      <c r="M39" s="934"/>
      <c r="N39" s="934"/>
      <c r="O39" s="934"/>
      <c r="P39" s="934"/>
      <c r="Q39" s="934"/>
      <c r="R39" s="934"/>
      <c r="S39" s="934"/>
      <c r="T39" s="934"/>
      <c r="U39" s="934"/>
      <c r="V39" s="934"/>
      <c r="W39" s="934"/>
      <c r="X39" s="934"/>
      <c r="Y39" s="934"/>
      <c r="Z39" s="934"/>
      <c r="AA39" s="935"/>
    </row>
    <row r="40" spans="1:27" ht="12.95" customHeight="1" x14ac:dyDescent="0.2">
      <c r="A40" s="145" t="s">
        <v>533</v>
      </c>
      <c r="B40" s="944" t="s">
        <v>534</v>
      </c>
      <c r="C40" s="945"/>
      <c r="D40" s="945"/>
      <c r="E40" s="999" t="s">
        <v>4</v>
      </c>
      <c r="F40" s="1000"/>
      <c r="G40" s="1000"/>
      <c r="H40" s="1000"/>
      <c r="I40" s="1000"/>
      <c r="J40" s="933" t="s">
        <v>472</v>
      </c>
      <c r="K40" s="934"/>
      <c r="L40" s="934"/>
      <c r="M40" s="934"/>
      <c r="N40" s="934"/>
      <c r="O40" s="934"/>
      <c r="P40" s="934"/>
      <c r="Q40" s="934"/>
      <c r="R40" s="934"/>
      <c r="S40" s="934"/>
      <c r="T40" s="934"/>
      <c r="U40" s="934"/>
      <c r="V40" s="934"/>
      <c r="W40" s="934"/>
      <c r="X40" s="934"/>
      <c r="Y40" s="934"/>
      <c r="Z40" s="934"/>
      <c r="AA40" s="935"/>
    </row>
    <row r="41" spans="1:27" ht="12.95" customHeight="1" x14ac:dyDescent="0.2">
      <c r="A41" s="158" t="s">
        <v>156</v>
      </c>
      <c r="B41" s="944" t="s">
        <v>195</v>
      </c>
      <c r="C41" s="945"/>
      <c r="D41" s="945"/>
      <c r="E41" s="1035" t="s">
        <v>73</v>
      </c>
      <c r="F41" s="1036"/>
      <c r="G41" s="1036"/>
      <c r="H41" s="1036"/>
      <c r="I41" s="1036"/>
      <c r="J41" s="933" t="s">
        <v>188</v>
      </c>
      <c r="K41" s="934"/>
      <c r="L41" s="934"/>
      <c r="M41" s="934"/>
      <c r="N41" s="934"/>
      <c r="O41" s="934"/>
      <c r="P41" s="934"/>
      <c r="Q41" s="934"/>
      <c r="R41" s="934"/>
      <c r="S41" s="934"/>
      <c r="T41" s="934"/>
      <c r="U41" s="934"/>
      <c r="V41" s="934"/>
      <c r="W41" s="934"/>
      <c r="X41" s="934"/>
      <c r="Y41" s="934"/>
      <c r="Z41" s="934"/>
      <c r="AA41" s="935"/>
    </row>
    <row r="42" spans="1:27" ht="12.95" customHeight="1" x14ac:dyDescent="0.2">
      <c r="A42" s="158" t="s">
        <v>536</v>
      </c>
      <c r="B42" s="944" t="s">
        <v>451</v>
      </c>
      <c r="C42" s="1028"/>
      <c r="D42" s="1028"/>
      <c r="E42" s="1035" t="s">
        <v>73</v>
      </c>
      <c r="F42" s="1036"/>
      <c r="G42" s="1036"/>
      <c r="H42" s="1036"/>
      <c r="I42" s="1036"/>
      <c r="J42" s="933" t="s">
        <v>315</v>
      </c>
      <c r="K42" s="934"/>
      <c r="L42" s="934"/>
      <c r="M42" s="934"/>
      <c r="N42" s="934"/>
      <c r="O42" s="934"/>
      <c r="P42" s="934"/>
      <c r="Q42" s="934"/>
      <c r="R42" s="934"/>
      <c r="S42" s="934"/>
      <c r="T42" s="934"/>
      <c r="U42" s="934"/>
      <c r="V42" s="934"/>
      <c r="W42" s="934"/>
      <c r="X42" s="934"/>
      <c r="Y42" s="934"/>
      <c r="Z42" s="934"/>
      <c r="AA42" s="935"/>
    </row>
    <row r="43" spans="1:27" ht="12.95" customHeight="1" x14ac:dyDescent="0.2">
      <c r="A43" s="157" t="s">
        <v>533</v>
      </c>
      <c r="B43" s="944" t="s">
        <v>535</v>
      </c>
      <c r="C43" s="1028"/>
      <c r="D43" s="1028"/>
      <c r="E43" s="1035" t="s">
        <v>73</v>
      </c>
      <c r="F43" s="1036"/>
      <c r="G43" s="1036"/>
      <c r="H43" s="1036"/>
      <c r="I43" s="1036"/>
      <c r="J43" s="933" t="s">
        <v>471</v>
      </c>
      <c r="K43" s="934"/>
      <c r="L43" s="934"/>
      <c r="M43" s="934"/>
      <c r="N43" s="934"/>
      <c r="O43" s="934"/>
      <c r="P43" s="934"/>
      <c r="Q43" s="934"/>
      <c r="R43" s="934"/>
      <c r="S43" s="934"/>
      <c r="T43" s="934"/>
      <c r="U43" s="934"/>
      <c r="V43" s="934"/>
      <c r="W43" s="934"/>
      <c r="X43" s="934"/>
      <c r="Y43" s="934"/>
      <c r="Z43" s="934"/>
      <c r="AA43" s="935"/>
    </row>
    <row r="44" spans="1:27" ht="12.95" customHeight="1" x14ac:dyDescent="0.2">
      <c r="A44" s="158" t="s">
        <v>187</v>
      </c>
      <c r="B44" s="1027" t="s">
        <v>302</v>
      </c>
      <c r="C44" s="1028"/>
      <c r="D44" s="1028"/>
      <c r="E44" s="1037"/>
      <c r="F44" s="1038"/>
      <c r="G44" s="1038"/>
      <c r="H44" s="1038"/>
      <c r="I44" s="1038"/>
      <c r="J44" s="1029" t="s">
        <v>345</v>
      </c>
      <c r="K44" s="1030"/>
      <c r="L44" s="1030"/>
      <c r="M44" s="1030"/>
      <c r="N44" s="1030"/>
      <c r="O44" s="1030"/>
      <c r="P44" s="1030"/>
      <c r="Q44" s="1030"/>
      <c r="R44" s="1030"/>
      <c r="S44" s="1030"/>
      <c r="T44" s="1030"/>
      <c r="U44" s="1030"/>
      <c r="V44" s="1030"/>
      <c r="W44" s="1030"/>
      <c r="X44" s="1030"/>
      <c r="Y44" s="1030"/>
      <c r="Z44" s="1030"/>
      <c r="AA44" s="1031"/>
    </row>
    <row r="45" spans="1:27" ht="12.95" customHeight="1" x14ac:dyDescent="0.2">
      <c r="A45" s="158" t="s">
        <v>314</v>
      </c>
      <c r="B45" s="1027" t="s">
        <v>302</v>
      </c>
      <c r="C45" s="1028"/>
      <c r="D45" s="1028"/>
      <c r="E45" s="1037"/>
      <c r="F45" s="1038"/>
      <c r="G45" s="1038"/>
      <c r="H45" s="1038"/>
      <c r="I45" s="1038"/>
      <c r="J45" s="1032"/>
      <c r="K45" s="1033"/>
      <c r="L45" s="1033"/>
      <c r="M45" s="1033"/>
      <c r="N45" s="1033"/>
      <c r="O45" s="1033"/>
      <c r="P45" s="1033"/>
      <c r="Q45" s="1033"/>
      <c r="R45" s="1033"/>
      <c r="S45" s="1033"/>
      <c r="T45" s="1033"/>
      <c r="U45" s="1033"/>
      <c r="V45" s="1033"/>
      <c r="W45" s="1033"/>
      <c r="X45" s="1033"/>
      <c r="Y45" s="1033"/>
      <c r="Z45" s="1033"/>
      <c r="AA45" s="1034"/>
    </row>
    <row r="47" spans="1:27" ht="14.25" customHeight="1" x14ac:dyDescent="0.2">
      <c r="K47" s="176"/>
      <c r="Z47" s="2"/>
    </row>
    <row r="48" spans="1:27" ht="14.25" customHeight="1" x14ac:dyDescent="0.2">
      <c r="Z48" s="2"/>
    </row>
    <row r="49" spans="1:26" ht="14.25" customHeight="1" x14ac:dyDescent="0.2">
      <c r="Z49" s="2"/>
    </row>
    <row r="50" spans="1:26" s="6" customFormat="1" ht="11.25" hidden="1" x14ac:dyDescent="0.2">
      <c r="A50" s="141" t="str">
        <f>Berechnung2!B33</f>
        <v>Anzahl Primärpatienten größer als im Basisdaten</v>
      </c>
      <c r="B50" s="141">
        <f>Berechnung2!C33</f>
        <v>0</v>
      </c>
      <c r="C50" s="141" t="str">
        <f>Berechnung2!D33</f>
        <v>plausi</v>
      </c>
      <c r="D50" s="141">
        <f>Berechnung2!E33</f>
        <v>0</v>
      </c>
      <c r="E50" s="141">
        <f>Berechnung2!F33</f>
        <v>0</v>
      </c>
      <c r="F50" s="141" t="str">
        <f>Berechnung2!G33</f>
        <v/>
      </c>
      <c r="G50" s="141">
        <f>Berechnung2!H33</f>
        <v>0</v>
      </c>
      <c r="H50" s="141">
        <f>Berechnung2!I33</f>
        <v>0</v>
      </c>
      <c r="I50" s="141">
        <f>Berechnung2!J33</f>
        <v>0</v>
      </c>
      <c r="J50" s="141">
        <f>Berechnung2!K33</f>
        <v>0</v>
      </c>
      <c r="K50" s="141" t="str">
        <f>Berechnung2!L33</f>
        <v>Anzahl Primärpatienten in der Matrix größer als Primärfälle Basisdaten</v>
      </c>
      <c r="P50" s="6">
        <f>Berechnung2!Q33</f>
        <v>0</v>
      </c>
      <c r="R50" s="141">
        <f>Berechnung2!M33</f>
        <v>0</v>
      </c>
      <c r="S50" s="141">
        <f>Berechnung2!N33</f>
        <v>0</v>
      </c>
      <c r="Y50" s="141">
        <f>Berechnung2!O33</f>
        <v>0</v>
      </c>
      <c r="Z50" s="141" t="str">
        <f>Berechnung2!P33</f>
        <v>Ganze Zahl zwischen 0 und 5000 eingeben.</v>
      </c>
    </row>
    <row r="51" spans="1:26" s="6" customFormat="1" ht="11.25" hidden="1" x14ac:dyDescent="0.2">
      <c r="A51" s="141">
        <f>Berechnung2!B34</f>
        <v>0</v>
      </c>
      <c r="B51" s="141">
        <f>Berechnung2!C34</f>
        <v>0</v>
      </c>
      <c r="C51" s="141" t="str">
        <f>Berechnung2!D34</f>
        <v>unvollständig</v>
      </c>
      <c r="D51" s="141">
        <f>Berechnung2!E34</f>
        <v>0</v>
      </c>
      <c r="E51" s="141">
        <f>Berechnung2!F34</f>
        <v>0</v>
      </c>
      <c r="F51" s="141">
        <f>Berechnung2!G34</f>
        <v>0</v>
      </c>
      <c r="G51" s="141">
        <f>Berechnung2!H34</f>
        <v>0</v>
      </c>
      <c r="H51" s="141">
        <f>Berechnung2!I34</f>
        <v>0</v>
      </c>
      <c r="I51" s="141">
        <f>Berechnung2!J34</f>
        <v>0</v>
      </c>
      <c r="J51" s="141">
        <f>Berechnung2!K34</f>
        <v>0</v>
      </c>
      <c r="K51" s="141" t="str">
        <f>Berechnung2!L34</f>
        <v>relevante Nachsorgejahre 
nicht / unvollständig bearbeitet</v>
      </c>
      <c r="P51" s="6">
        <f>Berechnung2!Q34</f>
        <v>0</v>
      </c>
      <c r="R51" s="141">
        <f>Berechnung2!M34</f>
        <v>0</v>
      </c>
      <c r="S51" s="141">
        <f>Berechnung2!N34</f>
        <v>0</v>
      </c>
      <c r="Y51" s="141">
        <f>Berechnung2!O34</f>
        <v>0</v>
      </c>
      <c r="Z51" s="141">
        <f>Berechnung2!P34</f>
        <v>0</v>
      </c>
    </row>
    <row r="52" spans="1:26" s="6" customFormat="1" ht="11.25" hidden="1" x14ac:dyDescent="0.2">
      <c r="A52" s="141" t="str">
        <f>Berechnung2!B35</f>
        <v>zu geringe Anzahl der Primärfälle</v>
      </c>
      <c r="B52" s="141">
        <f>Berechnung2!C35</f>
        <v>0</v>
      </c>
      <c r="C52" s="141" t="str">
        <f>Berechnung2!D35</f>
        <v>plausi</v>
      </c>
      <c r="D52" s="141" t="str">
        <f>Berechnung2!E35</f>
        <v>&lt;</v>
      </c>
      <c r="E52" s="141">
        <f>Berechnung2!F35</f>
        <v>0</v>
      </c>
      <c r="F52" s="141">
        <f>Berechnung2!G35</f>
        <v>25</v>
      </c>
      <c r="G52" s="141">
        <f>Berechnung2!H35</f>
        <v>0</v>
      </c>
      <c r="H52" s="141">
        <f>Berechnung2!I35</f>
        <v>0</v>
      </c>
      <c r="I52" s="141">
        <f>Berechnung2!J35</f>
        <v>0</v>
      </c>
      <c r="J52" s="141">
        <f>Berechnung2!K35</f>
        <v>0</v>
      </c>
      <c r="K52" s="141" t="str">
        <f>Berechnung2!L35</f>
        <v>zu wenig Primärfälle angegeben</v>
      </c>
      <c r="P52" s="6">
        <f>Berechnung2!Q35</f>
        <v>0</v>
      </c>
      <c r="R52" s="141">
        <f>Berechnung2!M35</f>
        <v>0</v>
      </c>
      <c r="S52" s="141">
        <f>Berechnung2!N35</f>
        <v>0</v>
      </c>
      <c r="Y52" s="141">
        <f>Berechnung2!O35</f>
        <v>0</v>
      </c>
      <c r="Z52" s="141">
        <f>Berechnung2!P35</f>
        <v>0</v>
      </c>
    </row>
    <row r="53" spans="1:26" s="6" customFormat="1" ht="11.25" hidden="1" x14ac:dyDescent="0.2">
      <c r="A53" s="141" t="str">
        <f>Berechnung2!B36</f>
        <v>geringe Follow-Up Quote</v>
      </c>
      <c r="B53" s="141">
        <f>Berechnung2!C36</f>
        <v>0</v>
      </c>
      <c r="C53" s="141" t="str">
        <f>Berechnung2!D36</f>
        <v>plausi</v>
      </c>
      <c r="D53" s="141" t="str">
        <f>Berechnung2!E36</f>
        <v>&lt;</v>
      </c>
      <c r="E53" s="141">
        <f>Berechnung2!F36</f>
        <v>0</v>
      </c>
      <c r="F53" s="141">
        <f>Berechnung2!G36</f>
        <v>0</v>
      </c>
      <c r="G53" s="141">
        <f>Berechnung2!H36</f>
        <v>0</v>
      </c>
      <c r="H53" s="141">
        <f>Berechnung2!I36</f>
        <v>0.69999</v>
      </c>
      <c r="I53" s="141">
        <f>Berechnung2!J36</f>
        <v>0.69999</v>
      </c>
      <c r="J53" s="141">
        <f>Berechnung2!K36</f>
        <v>0</v>
      </c>
      <c r="K53" s="141" t="str">
        <f>Berechnung2!L36</f>
        <v>geringe Follow-Up Quote der Nachsorgejahre</v>
      </c>
      <c r="P53" s="6">
        <f>Berechnung2!Q36</f>
        <v>0</v>
      </c>
      <c r="R53" s="141">
        <f>Berechnung2!M36</f>
        <v>0</v>
      </c>
      <c r="S53" s="141">
        <f>Berechnung2!N36</f>
        <v>0</v>
      </c>
      <c r="Y53" s="141">
        <f>Berechnung2!O36</f>
        <v>0</v>
      </c>
      <c r="Z53" s="141">
        <f>Berechnung2!P36</f>
        <v>0</v>
      </c>
    </row>
    <row r="54" spans="1:26" s="6" customFormat="1" ht="11.25" hidden="1" x14ac:dyDescent="0.2">
      <c r="A54" s="141" t="str">
        <f>Berechnung2!B37</f>
        <v>geringe Follow-Up Quote der letzten 2-4 Jahre</v>
      </c>
      <c r="B54" s="141">
        <f>Berechnung2!C37</f>
        <v>0</v>
      </c>
      <c r="C54" s="141" t="str">
        <f>Berechnung2!D37</f>
        <v>sollvorgabe</v>
      </c>
      <c r="D54" s="141" t="str">
        <f>Berechnung2!E37</f>
        <v>&lt;</v>
      </c>
      <c r="E54" s="141">
        <f>Berechnung2!F37</f>
        <v>0</v>
      </c>
      <c r="F54" s="141">
        <f>Berechnung2!G37</f>
        <v>0</v>
      </c>
      <c r="G54" s="141">
        <f>Berechnung2!H37</f>
        <v>0</v>
      </c>
      <c r="H54" s="415">
        <f>Berechnung2!I37</f>
        <v>0.79998999999999998</v>
      </c>
      <c r="I54" s="141">
        <f>Berechnung2!J37</f>
        <v>0.79998999999999998</v>
      </c>
      <c r="J54" s="141">
        <f>Berechnung2!K37</f>
        <v>0</v>
      </c>
      <c r="K54" s="141" t="str">
        <f>Berechnung2!L37</f>
        <v>durchschnittliche Follow-Up Quote &lt; 80%</v>
      </c>
      <c r="P54" s="6">
        <f>Berechnung2!Q37</f>
        <v>0</v>
      </c>
      <c r="R54" s="141">
        <f>Berechnung2!M37</f>
        <v>0</v>
      </c>
      <c r="S54" s="141">
        <f>Berechnung2!N37</f>
        <v>0</v>
      </c>
      <c r="Y54" s="141">
        <f>Berechnung2!O37</f>
        <v>0</v>
      </c>
      <c r="Z54" s="141">
        <f>Berechnung2!P37</f>
        <v>0</v>
      </c>
    </row>
    <row r="55" spans="1:26" s="6" customFormat="1" ht="11.25" hidden="1" x14ac:dyDescent="0.2">
      <c r="A55" s="141" t="str">
        <f>Berechnung2!B38</f>
        <v>zu hohe Follow-Up Quote der letzten 2-4 Jahre</v>
      </c>
      <c r="B55" s="141">
        <f>Berechnung2!C38</f>
        <v>0</v>
      </c>
      <c r="C55" s="141" t="str">
        <f>Berechnung2!D38</f>
        <v>plausi</v>
      </c>
      <c r="D55" s="141" t="str">
        <f>Berechnung2!E38</f>
        <v>&gt;</v>
      </c>
      <c r="E55" s="141">
        <f>Berechnung2!F38</f>
        <v>0</v>
      </c>
      <c r="F55" s="141">
        <f>Berechnung2!G38</f>
        <v>0</v>
      </c>
      <c r="G55" s="141">
        <f>Berechnung2!H38</f>
        <v>0.95001000000000002</v>
      </c>
      <c r="H55" s="141">
        <f>Berechnung2!I38</f>
        <v>1</v>
      </c>
      <c r="I55" s="141">
        <f>Berechnung2!J38</f>
        <v>0.95001000000000002</v>
      </c>
      <c r="J55" s="141">
        <f>Berechnung2!K38</f>
        <v>0</v>
      </c>
      <c r="K55" s="141" t="str">
        <f>Berechnung2!L38</f>
        <v>durchschnittliche Follow-Up Quote &gt; 95%</v>
      </c>
      <c r="P55" s="6">
        <f>Berechnung2!Q38</f>
        <v>0</v>
      </c>
      <c r="R55" s="141">
        <f>Berechnung2!M38</f>
        <v>0</v>
      </c>
      <c r="S55" s="141">
        <f>Berechnung2!N38</f>
        <v>0</v>
      </c>
      <c r="Y55" s="141">
        <f>Berechnung2!O38</f>
        <v>0</v>
      </c>
      <c r="Z55" s="141">
        <f>Berechnung2!P38</f>
        <v>0</v>
      </c>
    </row>
    <row r="56" spans="1:26" s="6" customFormat="1" ht="11.25" hidden="1" x14ac:dyDescent="0.2">
      <c r="A56" s="141" t="str">
        <f>Berechnung2!B39</f>
        <v>zu viele Patienten im Follow-Up</v>
      </c>
      <c r="B56" s="141">
        <f>Berechnung2!C39</f>
        <v>0</v>
      </c>
      <c r="C56" s="141" t="str">
        <f>Berechnung2!D39</f>
        <v>inkorrekt</v>
      </c>
      <c r="D56" s="141">
        <f>Berechnung2!E39</f>
        <v>0</v>
      </c>
      <c r="E56" s="141">
        <f>Berechnung2!F39</f>
        <v>0</v>
      </c>
      <c r="F56" s="141">
        <f>Berechnung2!G39</f>
        <v>0</v>
      </c>
      <c r="G56" s="141">
        <f>Berechnung2!H39</f>
        <v>0</v>
      </c>
      <c r="H56" s="141">
        <f>Berechnung2!I39</f>
        <v>0</v>
      </c>
      <c r="I56" s="141">
        <f>Berechnung2!J39</f>
        <v>0</v>
      </c>
      <c r="J56" s="141">
        <f>Berechnung2!K39</f>
        <v>0</v>
      </c>
      <c r="K56" s="141" t="str">
        <f>Berechnung2!L39</f>
        <v>Werte Spalte K "Patienten im Follow-Up" müssen kleiner gleich sein als Spalte I subtrahiert von Spalte C</v>
      </c>
      <c r="P56" s="6">
        <f>Berechnung2!Q39</f>
        <v>0</v>
      </c>
      <c r="R56" s="141">
        <f>Berechnung2!M39</f>
        <v>0</v>
      </c>
      <c r="S56" s="141">
        <f>Berechnung2!N39</f>
        <v>0</v>
      </c>
      <c r="Y56" s="141">
        <f>Berechnung2!O39</f>
        <v>0</v>
      </c>
      <c r="Z56" s="141">
        <f>Berechnung2!P39</f>
        <v>0</v>
      </c>
    </row>
    <row r="57" spans="1:26" s="6" customFormat="1" ht="11.25" hidden="1" x14ac:dyDescent="0.2">
      <c r="A57" s="141" t="str">
        <f>Berechnung2!B40</f>
        <v>negative Werte tumorfrei</v>
      </c>
      <c r="B57" s="141">
        <f>Berechnung2!C40</f>
        <v>0</v>
      </c>
      <c r="C57" s="141" t="str">
        <f>Berechnung2!D40</f>
        <v>inkorrekt</v>
      </c>
      <c r="D57" s="141" t="str">
        <f>Berechnung2!E40</f>
        <v>&lt;</v>
      </c>
      <c r="E57" s="141">
        <f>Berechnung2!F40</f>
        <v>0</v>
      </c>
      <c r="F57" s="141">
        <f>Berechnung2!G40</f>
        <v>0</v>
      </c>
      <c r="G57" s="141">
        <f>Berechnung2!H40</f>
        <v>0</v>
      </c>
      <c r="H57" s="141">
        <f>Berechnung2!I40</f>
        <v>0</v>
      </c>
      <c r="I57" s="141">
        <f>Berechnung2!J40</f>
        <v>0</v>
      </c>
      <c r="J57" s="141">
        <f>Berechnung2!K40</f>
        <v>0</v>
      </c>
      <c r="K57" s="141" t="str">
        <f>Berechnung2!L40</f>
        <v>Werte Spalte Q "Patienten tumorfrei" dürfen keine negativen Werte annehmen</v>
      </c>
      <c r="P57" s="6">
        <f>Berechnung2!Q40</f>
        <v>0</v>
      </c>
      <c r="R57" s="141">
        <f>Berechnung2!M40</f>
        <v>0</v>
      </c>
      <c r="S57" s="141">
        <f>Berechnung2!N40</f>
        <v>0</v>
      </c>
      <c r="Y57" s="141">
        <f>Berechnung2!O40</f>
        <v>0</v>
      </c>
      <c r="Z57" s="141">
        <f>Berechnung2!P40</f>
        <v>0</v>
      </c>
    </row>
    <row r="58" spans="1:26" s="6" customFormat="1" ht="11.25" hidden="1" x14ac:dyDescent="0.2">
      <c r="A58" s="141">
        <f>Berechnung2!B41</f>
        <v>0</v>
      </c>
      <c r="B58" s="141">
        <f>Berechnung2!C41</f>
        <v>0</v>
      </c>
      <c r="C58" s="141">
        <f>Berechnung2!D41</f>
        <v>0</v>
      </c>
      <c r="D58" s="141">
        <f>Berechnung2!E41</f>
        <v>0</v>
      </c>
      <c r="E58" s="141">
        <f>Berechnung2!F41</f>
        <v>0</v>
      </c>
      <c r="F58" s="141">
        <f>Berechnung2!G41</f>
        <v>0</v>
      </c>
      <c r="G58" s="141">
        <f>Berechnung2!H41</f>
        <v>0</v>
      </c>
      <c r="H58" s="141">
        <f>Berechnung2!I41</f>
        <v>0</v>
      </c>
      <c r="I58" s="141">
        <f>Berechnung2!J41</f>
        <v>0</v>
      </c>
      <c r="J58" s="141">
        <f>Berechnung2!K41</f>
        <v>0</v>
      </c>
      <c r="K58" s="141">
        <f>Berechnung2!L41</f>
        <v>0</v>
      </c>
      <c r="P58" s="6">
        <f>Berechnung2!Q41</f>
        <v>0</v>
      </c>
      <c r="R58" s="141">
        <f>Berechnung2!M41</f>
        <v>0</v>
      </c>
      <c r="S58" s="141">
        <f>Berechnung2!N41</f>
        <v>0</v>
      </c>
      <c r="Y58" s="141">
        <f>Berechnung2!O41</f>
        <v>0</v>
      </c>
      <c r="Z58" s="141">
        <f>Berechnung2!P41</f>
        <v>0</v>
      </c>
    </row>
    <row r="59" spans="1:26" s="6" customFormat="1" ht="11.25" hidden="1" x14ac:dyDescent="0.2">
      <c r="A59" s="141">
        <f>Berechnung2!B42</f>
        <v>0</v>
      </c>
      <c r="B59" s="141">
        <f>Berechnung2!C42</f>
        <v>0</v>
      </c>
      <c r="C59" s="141">
        <f>Berechnung2!D42</f>
        <v>0</v>
      </c>
      <c r="D59" s="141">
        <f>Berechnung2!E42</f>
        <v>0</v>
      </c>
      <c r="E59" s="141">
        <f>Berechnung2!F42</f>
        <v>0</v>
      </c>
      <c r="F59" s="141">
        <f>Berechnung2!G42</f>
        <v>0</v>
      </c>
      <c r="G59" s="141">
        <f>Berechnung2!H42</f>
        <v>0</v>
      </c>
      <c r="H59" s="141">
        <f>Berechnung2!I42</f>
        <v>0</v>
      </c>
      <c r="I59" s="141">
        <f>Berechnung2!J42</f>
        <v>0</v>
      </c>
      <c r="J59" s="141">
        <f>Berechnung2!K42</f>
        <v>0</v>
      </c>
      <c r="K59" s="141">
        <f>Berechnung2!L42</f>
        <v>0</v>
      </c>
      <c r="P59" s="6">
        <f>Berechnung2!Q42</f>
        <v>0</v>
      </c>
      <c r="R59" s="141">
        <f>Berechnung2!M42</f>
        <v>0</v>
      </c>
      <c r="S59" s="141">
        <f>Berechnung2!N42</f>
        <v>0</v>
      </c>
      <c r="Y59" s="141">
        <f>Berechnung2!O42</f>
        <v>0</v>
      </c>
      <c r="Z59" s="141">
        <f>Berechnung2!P42</f>
        <v>0</v>
      </c>
    </row>
    <row r="60" spans="1:26" s="6" customFormat="1" ht="11.25" hidden="1" x14ac:dyDescent="0.2">
      <c r="A60" s="141" t="str">
        <f>Berechnung2!B43</f>
        <v>DFS</v>
      </c>
      <c r="B60" s="141">
        <f>Berechnung2!C43</f>
        <v>0</v>
      </c>
      <c r="C60" s="141">
        <f>Berechnung2!D43</f>
        <v>0</v>
      </c>
      <c r="D60" s="141" t="str">
        <f>Berechnung2!E43</f>
        <v>von</v>
      </c>
      <c r="E60" s="141" t="str">
        <f>Berechnung2!F43</f>
        <v>untere Grenze</v>
      </c>
      <c r="F60" s="141">
        <f>Berechnung2!G43</f>
        <v>0</v>
      </c>
      <c r="G60" s="141">
        <f>Berechnung2!H43</f>
        <v>0</v>
      </c>
      <c r="H60" s="141">
        <f>Berechnung2!I43</f>
        <v>0</v>
      </c>
      <c r="I60" s="141" t="str">
        <f>Berechnung2!J43</f>
        <v>obere Grenze</v>
      </c>
      <c r="J60" s="141">
        <f>Berechnung2!K43</f>
        <v>0</v>
      </c>
      <c r="K60" s="141" t="str">
        <f>Berechnung2!L43</f>
        <v>DFS auffällig niedrig</v>
      </c>
      <c r="P60" s="6">
        <f>Berechnung2!Q43</f>
        <v>0</v>
      </c>
      <c r="R60" s="141">
        <f>Berechnung2!M43</f>
        <v>0</v>
      </c>
      <c r="S60" s="141" t="str">
        <f>Berechnung2!N43</f>
        <v>DFS auffällig hoch</v>
      </c>
      <c r="Y60" s="141">
        <f>Berechnung2!O43</f>
        <v>0</v>
      </c>
      <c r="Z60" s="141">
        <f>Berechnung2!P43</f>
        <v>0</v>
      </c>
    </row>
    <row r="61" spans="1:26" s="6" customFormat="1" ht="11.25" hidden="1" x14ac:dyDescent="0.2">
      <c r="A61" s="141">
        <f>Berechnung2!B44</f>
        <v>0</v>
      </c>
      <c r="B61" s="141">
        <f>Berechnung2!C44</f>
        <v>0</v>
      </c>
      <c r="C61" s="141">
        <f>Berechnung2!D44</f>
        <v>1E-3</v>
      </c>
      <c r="D61" s="141">
        <f>Berechnung2!E44</f>
        <v>0</v>
      </c>
      <c r="E61" s="141">
        <f>Berechnung2!F44</f>
        <v>0.59899999999999998</v>
      </c>
      <c r="F61" s="141">
        <f>Berechnung2!G44</f>
        <v>0.6</v>
      </c>
      <c r="G61" s="141">
        <f>Berechnung2!H44</f>
        <v>0</v>
      </c>
      <c r="H61" s="141">
        <f>Berechnung2!I44</f>
        <v>0.94899999999999995</v>
      </c>
      <c r="I61" s="141">
        <f>Berechnung2!J44</f>
        <v>0.95</v>
      </c>
      <c r="J61" s="141">
        <f>Berechnung2!K44</f>
        <v>0</v>
      </c>
      <c r="K61" s="141" t="str">
        <f>Berechnung2!L44</f>
        <v>DFS auffällig niedrig</v>
      </c>
      <c r="P61" s="6">
        <f>Berechnung2!Q44</f>
        <v>0</v>
      </c>
      <c r="R61" s="141">
        <f>Berechnung2!M44</f>
        <v>0</v>
      </c>
      <c r="S61" s="141" t="str">
        <f>Berechnung2!N44</f>
        <v>DFS auffällig hoch</v>
      </c>
      <c r="Y61" s="141">
        <f>Berechnung2!O44</f>
        <v>0</v>
      </c>
      <c r="Z61" s="141">
        <f>Berechnung2!P44</f>
        <v>0</v>
      </c>
    </row>
    <row r="62" spans="1:26" s="6" customFormat="1" ht="11.25" hidden="1" x14ac:dyDescent="0.2">
      <c r="A62" s="141">
        <f>Berechnung2!B45</f>
        <v>0</v>
      </c>
      <c r="B62" s="141">
        <f>Berechnung2!C45</f>
        <v>0</v>
      </c>
      <c r="C62" s="141">
        <f>Berechnung2!D45</f>
        <v>1E-3</v>
      </c>
      <c r="D62" s="141">
        <f>Berechnung2!E45</f>
        <v>0</v>
      </c>
      <c r="E62" s="141">
        <f>Berechnung2!F45</f>
        <v>0.59899999999999998</v>
      </c>
      <c r="F62" s="141">
        <f>Berechnung2!G45</f>
        <v>0.6</v>
      </c>
      <c r="G62" s="141">
        <f>Berechnung2!H45</f>
        <v>0</v>
      </c>
      <c r="H62" s="141">
        <f>Berechnung2!I45</f>
        <v>0.94899999999999995</v>
      </c>
      <c r="I62" s="141">
        <f>Berechnung2!J45</f>
        <v>0.95</v>
      </c>
      <c r="J62" s="141">
        <f>Berechnung2!K45</f>
        <v>0</v>
      </c>
      <c r="K62" s="141" t="str">
        <f>Berechnung2!L45</f>
        <v>DFS auffällig niedrig</v>
      </c>
      <c r="P62" s="6">
        <f>Berechnung2!Q45</f>
        <v>0</v>
      </c>
      <c r="R62" s="141">
        <f>Berechnung2!M45</f>
        <v>0</v>
      </c>
      <c r="S62" s="141" t="str">
        <f>Berechnung2!N45</f>
        <v>DFS auffällig hoch</v>
      </c>
      <c r="Y62" s="141">
        <f>Berechnung2!O45</f>
        <v>0</v>
      </c>
      <c r="Z62" s="141">
        <f>Berechnung2!P45</f>
        <v>0</v>
      </c>
    </row>
    <row r="63" spans="1:26" s="6" customFormat="1" ht="11.25" hidden="1" x14ac:dyDescent="0.2">
      <c r="A63" s="141">
        <f>Berechnung2!B46</f>
        <v>0</v>
      </c>
      <c r="B63" s="141">
        <f>Berechnung2!C46</f>
        <v>0</v>
      </c>
      <c r="C63" s="141">
        <f>Berechnung2!D46</f>
        <v>1E-3</v>
      </c>
      <c r="D63" s="141">
        <f>Berechnung2!E46</f>
        <v>0</v>
      </c>
      <c r="E63" s="141">
        <f>Berechnung2!F46</f>
        <v>0.59899999999999998</v>
      </c>
      <c r="F63" s="141">
        <f>Berechnung2!G46</f>
        <v>0.6</v>
      </c>
      <c r="G63" s="141">
        <f>Berechnung2!H46</f>
        <v>0</v>
      </c>
      <c r="H63" s="141">
        <f>Berechnung2!I46</f>
        <v>0.94899999999999995</v>
      </c>
      <c r="I63" s="141">
        <f>Berechnung2!J46</f>
        <v>0.95</v>
      </c>
      <c r="J63" s="141">
        <f>Berechnung2!K46</f>
        <v>0</v>
      </c>
      <c r="K63" s="141" t="str">
        <f>Berechnung2!L46</f>
        <v>DFS auffällig niedrig</v>
      </c>
      <c r="P63" s="6">
        <f>Berechnung2!Q46</f>
        <v>0</v>
      </c>
      <c r="R63" s="141">
        <f>Berechnung2!M46</f>
        <v>0</v>
      </c>
      <c r="S63" s="141" t="str">
        <f>Berechnung2!N46</f>
        <v>DFS auffällig hoch</v>
      </c>
      <c r="Y63" s="141">
        <f>Berechnung2!O46</f>
        <v>0</v>
      </c>
      <c r="Z63" s="141">
        <f>Berechnung2!P46</f>
        <v>0</v>
      </c>
    </row>
    <row r="64" spans="1:26" s="6" customFormat="1" ht="11.25" hidden="1" x14ac:dyDescent="0.2">
      <c r="A64" s="141">
        <f>Berechnung2!B47</f>
        <v>0</v>
      </c>
      <c r="B64" s="141">
        <f>Berechnung2!C47</f>
        <v>0</v>
      </c>
      <c r="C64" s="141">
        <f>Berechnung2!D47</f>
        <v>1E-3</v>
      </c>
      <c r="D64" s="141">
        <f>Berechnung2!E47</f>
        <v>0</v>
      </c>
      <c r="E64" s="141">
        <f>Berechnung2!F47</f>
        <v>0.59899999999999998</v>
      </c>
      <c r="F64" s="141">
        <f>Berechnung2!G47</f>
        <v>0.6</v>
      </c>
      <c r="G64" s="141">
        <f>Berechnung2!H47</f>
        <v>0</v>
      </c>
      <c r="H64" s="141">
        <f>Berechnung2!I47</f>
        <v>0.94899999999999995</v>
      </c>
      <c r="I64" s="141">
        <f>Berechnung2!J47</f>
        <v>0.95</v>
      </c>
      <c r="J64" s="141">
        <f>Berechnung2!K47</f>
        <v>0</v>
      </c>
      <c r="K64" s="141" t="str">
        <f>Berechnung2!L47</f>
        <v>DFS auffällig niedrig</v>
      </c>
      <c r="P64" s="6">
        <f>Berechnung2!Q47</f>
        <v>0</v>
      </c>
      <c r="R64" s="141">
        <f>Berechnung2!M47</f>
        <v>0</v>
      </c>
      <c r="S64" s="141" t="str">
        <f>Berechnung2!N47</f>
        <v>DFS auffällig hoch</v>
      </c>
      <c r="Y64" s="141">
        <f>Berechnung2!O47</f>
        <v>0</v>
      </c>
      <c r="Z64" s="141">
        <f>Berechnung2!P47</f>
        <v>0</v>
      </c>
    </row>
    <row r="65" spans="1:31" s="6" customFormat="1" ht="11.25" hidden="1" x14ac:dyDescent="0.2">
      <c r="A65" s="141">
        <f>Berechnung2!B48</f>
        <v>0</v>
      </c>
      <c r="B65" s="141">
        <f>Berechnung2!C48</f>
        <v>0</v>
      </c>
      <c r="C65" s="141">
        <f>Berechnung2!D48</f>
        <v>1E-3</v>
      </c>
      <c r="D65" s="141">
        <f>Berechnung2!E48</f>
        <v>0</v>
      </c>
      <c r="E65" s="141">
        <f>Berechnung2!F48</f>
        <v>0.59899999999999998</v>
      </c>
      <c r="F65" s="141">
        <f>Berechnung2!G48</f>
        <v>0.6</v>
      </c>
      <c r="G65" s="141">
        <f>Berechnung2!H48</f>
        <v>0</v>
      </c>
      <c r="H65" s="141">
        <f>Berechnung2!I48</f>
        <v>0.94899999999999995</v>
      </c>
      <c r="I65" s="141">
        <f>Berechnung2!J48</f>
        <v>0.95</v>
      </c>
      <c r="J65" s="141">
        <f>Berechnung2!K48</f>
        <v>0</v>
      </c>
      <c r="K65" s="141" t="str">
        <f>Berechnung2!L48</f>
        <v>DFS auffällig niedrig</v>
      </c>
      <c r="P65" s="6">
        <f>Berechnung2!Q48</f>
        <v>0</v>
      </c>
      <c r="R65" s="141">
        <f>Berechnung2!M48</f>
        <v>0</v>
      </c>
      <c r="S65" s="141" t="str">
        <f>Berechnung2!N48</f>
        <v>DFS auffällig hoch</v>
      </c>
      <c r="Y65" s="141">
        <f>Berechnung2!O48</f>
        <v>0</v>
      </c>
      <c r="Z65" s="141">
        <f>Berechnung2!P48</f>
        <v>0</v>
      </c>
    </row>
    <row r="66" spans="1:31" s="6" customFormat="1" ht="11.25" hidden="1" x14ac:dyDescent="0.2">
      <c r="A66" s="141">
        <f>Berechnung2!B49</f>
        <v>0</v>
      </c>
      <c r="B66" s="141">
        <f>Berechnung2!C49</f>
        <v>0</v>
      </c>
      <c r="C66" s="141">
        <f>Berechnung2!D49</f>
        <v>1E-3</v>
      </c>
      <c r="D66" s="141">
        <f>Berechnung2!E49</f>
        <v>0</v>
      </c>
      <c r="E66" s="141">
        <f>Berechnung2!F49</f>
        <v>0.79900000000000004</v>
      </c>
      <c r="F66" s="141">
        <f>Berechnung2!G49</f>
        <v>0.8</v>
      </c>
      <c r="G66" s="141">
        <f>Berechnung2!H49</f>
        <v>0</v>
      </c>
      <c r="H66" s="141">
        <f>Berechnung2!I49</f>
        <v>0.98899999999999999</v>
      </c>
      <c r="I66" s="141">
        <f>Berechnung2!J49</f>
        <v>0.99</v>
      </c>
      <c r="J66" s="141">
        <f>Berechnung2!K49</f>
        <v>0</v>
      </c>
      <c r="K66" s="141" t="str">
        <f>Berechnung2!L49</f>
        <v>DFS auffällig niedrig</v>
      </c>
      <c r="P66" s="6">
        <f>Berechnung2!Q49</f>
        <v>0</v>
      </c>
      <c r="R66" s="141">
        <f>Berechnung2!M49</f>
        <v>0</v>
      </c>
      <c r="S66" s="141" t="str">
        <f>Berechnung2!N49</f>
        <v>DFS auffällig hoch</v>
      </c>
      <c r="Y66" s="141">
        <f>Berechnung2!O49</f>
        <v>0</v>
      </c>
      <c r="Z66" s="141">
        <f>Berechnung2!P49</f>
        <v>0</v>
      </c>
    </row>
    <row r="67" spans="1:31" s="6" customFormat="1" ht="11.25" hidden="1" x14ac:dyDescent="0.2">
      <c r="A67" s="141">
        <f>Berechnung2!B50</f>
        <v>0</v>
      </c>
      <c r="B67" s="141">
        <f>Berechnung2!C50</f>
        <v>0</v>
      </c>
      <c r="C67" s="141">
        <f>Berechnung2!D50</f>
        <v>1E-3</v>
      </c>
      <c r="D67" s="141">
        <f>Berechnung2!E50</f>
        <v>0</v>
      </c>
      <c r="E67" s="141">
        <f>Berechnung2!F50</f>
        <v>0.89900000000000002</v>
      </c>
      <c r="F67" s="141">
        <f>Berechnung2!G50</f>
        <v>0.9</v>
      </c>
      <c r="G67" s="141">
        <f>Berechnung2!H50</f>
        <v>0</v>
      </c>
      <c r="H67" s="141">
        <f>Berechnung2!I50</f>
        <v>0.98899999999999999</v>
      </c>
      <c r="I67" s="141">
        <f>Berechnung2!J50</f>
        <v>0.99</v>
      </c>
      <c r="J67" s="141">
        <f>Berechnung2!K50</f>
        <v>0</v>
      </c>
      <c r="K67" s="141" t="str">
        <f>Berechnung2!L50</f>
        <v>DFS auffällig niedrig</v>
      </c>
      <c r="P67" s="6">
        <f>Berechnung2!Q50</f>
        <v>0</v>
      </c>
      <c r="R67" s="141">
        <f>Berechnung2!M50</f>
        <v>0</v>
      </c>
      <c r="S67" s="141" t="str">
        <f>Berechnung2!N50</f>
        <v>DFS auffällig hoch</v>
      </c>
      <c r="Y67" s="141">
        <f>Berechnung2!O50</f>
        <v>0</v>
      </c>
      <c r="Z67" s="141">
        <f>Berechnung2!P50</f>
        <v>0</v>
      </c>
    </row>
    <row r="68" spans="1:31" s="6" customFormat="1" ht="11.25" hidden="1" x14ac:dyDescent="0.2">
      <c r="A68" s="141">
        <f>Berechnung2!B51</f>
        <v>0</v>
      </c>
      <c r="B68" s="141">
        <f>Berechnung2!C51</f>
        <v>0</v>
      </c>
      <c r="C68" s="141">
        <f>Berechnung2!D51</f>
        <v>0</v>
      </c>
      <c r="D68" s="141">
        <f>Berechnung2!E51</f>
        <v>0</v>
      </c>
      <c r="E68" s="141">
        <f>Berechnung2!F51</f>
        <v>0</v>
      </c>
      <c r="F68" s="141">
        <f>Berechnung2!G51</f>
        <v>0</v>
      </c>
      <c r="G68" s="141">
        <f>Berechnung2!H51</f>
        <v>0</v>
      </c>
      <c r="H68" s="141">
        <f>Berechnung2!I51</f>
        <v>0</v>
      </c>
      <c r="I68" s="141">
        <f>Berechnung2!J51</f>
        <v>0</v>
      </c>
      <c r="J68" s="141">
        <f>Berechnung2!K51</f>
        <v>0</v>
      </c>
      <c r="K68" s="141">
        <f>Berechnung2!L51</f>
        <v>0</v>
      </c>
      <c r="P68" s="6">
        <f>Berechnung2!Q51</f>
        <v>0</v>
      </c>
      <c r="R68" s="141">
        <f>Berechnung2!M51</f>
        <v>0</v>
      </c>
      <c r="S68" s="141">
        <f>Berechnung2!N51</f>
        <v>0</v>
      </c>
      <c r="Y68" s="141">
        <f>Berechnung2!O51</f>
        <v>0</v>
      </c>
      <c r="Z68" s="141">
        <f>Berechnung2!P51</f>
        <v>0</v>
      </c>
    </row>
    <row r="69" spans="1:31" s="6" customFormat="1" ht="11.25" hidden="1" x14ac:dyDescent="0.2">
      <c r="A69" s="141" t="str">
        <f>Berechnung2!B52</f>
        <v>OAS</v>
      </c>
      <c r="B69" s="141">
        <f>Berechnung2!C52</f>
        <v>0</v>
      </c>
      <c r="C69" s="141">
        <f>Berechnung2!D52</f>
        <v>0</v>
      </c>
      <c r="D69" s="141">
        <f>Berechnung2!E52</f>
        <v>0</v>
      </c>
      <c r="E69" s="141" t="str">
        <f>Berechnung2!F52</f>
        <v>untere Grenze</v>
      </c>
      <c r="F69" s="141">
        <f>Berechnung2!G52</f>
        <v>0</v>
      </c>
      <c r="G69" s="141">
        <f>Berechnung2!H52</f>
        <v>0</v>
      </c>
      <c r="H69" s="141">
        <f>Berechnung2!I52</f>
        <v>0</v>
      </c>
      <c r="I69" s="141" t="str">
        <f>Berechnung2!J52</f>
        <v>obere Grenze</v>
      </c>
      <c r="J69" s="141">
        <f>Berechnung2!K52</f>
        <v>0</v>
      </c>
      <c r="K69" s="141" t="str">
        <f>Berechnung2!L52</f>
        <v xml:space="preserve">OAS auffällig niedrig </v>
      </c>
      <c r="P69" s="6">
        <f>Berechnung2!Q52</f>
        <v>0</v>
      </c>
      <c r="R69" s="141">
        <f>Berechnung2!M52</f>
        <v>0</v>
      </c>
      <c r="S69" s="141" t="str">
        <f>Berechnung2!N52</f>
        <v>OAS auffällig hoch</v>
      </c>
      <c r="Y69" s="141">
        <f>Berechnung2!O52</f>
        <v>0</v>
      </c>
      <c r="Z69" s="141">
        <f>Berechnung2!P52</f>
        <v>0</v>
      </c>
    </row>
    <row r="70" spans="1:31" s="6" customFormat="1" ht="11.25" hidden="1" x14ac:dyDescent="0.2">
      <c r="A70" s="141">
        <f>Berechnung2!B53</f>
        <v>0</v>
      </c>
      <c r="B70" s="141">
        <f>Berechnung2!C53</f>
        <v>0</v>
      </c>
      <c r="C70" s="141">
        <f>Berechnung2!D53</f>
        <v>1E-3</v>
      </c>
      <c r="D70" s="141">
        <f>Berechnung2!E53</f>
        <v>0</v>
      </c>
      <c r="E70" s="141">
        <f>Berechnung2!F53</f>
        <v>0.59899999999999998</v>
      </c>
      <c r="F70" s="141">
        <f>Berechnung2!G53</f>
        <v>0.6</v>
      </c>
      <c r="G70" s="141">
        <f>Berechnung2!H53</f>
        <v>0</v>
      </c>
      <c r="H70" s="141">
        <f>Berechnung2!I53</f>
        <v>0.94899999999999995</v>
      </c>
      <c r="I70" s="141">
        <f>Berechnung2!J53</f>
        <v>0.95</v>
      </c>
      <c r="J70" s="141">
        <f>Berechnung2!K53</f>
        <v>0</v>
      </c>
      <c r="K70" s="141" t="str">
        <f>Berechnung2!L53</f>
        <v xml:space="preserve">OAS auffällig niedrig </v>
      </c>
      <c r="P70" s="6">
        <f>Berechnung2!Q53</f>
        <v>0</v>
      </c>
      <c r="R70" s="141">
        <f>Berechnung2!M53</f>
        <v>0</v>
      </c>
      <c r="S70" s="141" t="str">
        <f>Berechnung2!N53</f>
        <v>OAS auffällig hoch</v>
      </c>
      <c r="Y70" s="141">
        <f>Berechnung2!O53</f>
        <v>0</v>
      </c>
      <c r="Z70" s="141">
        <f>Berechnung2!P53</f>
        <v>0</v>
      </c>
    </row>
    <row r="71" spans="1:31" s="6" customFormat="1" ht="11.25" hidden="1" x14ac:dyDescent="0.2">
      <c r="A71" s="141">
        <f>Berechnung2!B54</f>
        <v>0</v>
      </c>
      <c r="B71" s="141">
        <f>Berechnung2!C54</f>
        <v>0</v>
      </c>
      <c r="C71" s="141">
        <f>Berechnung2!D54</f>
        <v>1E-3</v>
      </c>
      <c r="D71" s="141">
        <f>Berechnung2!E54</f>
        <v>0</v>
      </c>
      <c r="E71" s="141">
        <f>Berechnung2!F54</f>
        <v>0.59899999999999998</v>
      </c>
      <c r="F71" s="141">
        <f>Berechnung2!G54</f>
        <v>0.6</v>
      </c>
      <c r="G71" s="141">
        <f>Berechnung2!H54</f>
        <v>0</v>
      </c>
      <c r="H71" s="141">
        <f>Berechnung2!I54</f>
        <v>0.94899999999999995</v>
      </c>
      <c r="I71" s="141">
        <f>Berechnung2!J54</f>
        <v>0.95</v>
      </c>
      <c r="J71" s="141">
        <f>Berechnung2!K54</f>
        <v>0</v>
      </c>
      <c r="K71" s="141" t="str">
        <f>Berechnung2!L54</f>
        <v xml:space="preserve">OAS auffällig niedrig </v>
      </c>
      <c r="P71" s="6">
        <f>Berechnung2!Q54</f>
        <v>0</v>
      </c>
      <c r="R71" s="141">
        <f>Berechnung2!M54</f>
        <v>0</v>
      </c>
      <c r="S71" s="141" t="str">
        <f>Berechnung2!N54</f>
        <v>OAS auffällig hoch</v>
      </c>
      <c r="Y71" s="141">
        <f>Berechnung2!O54</f>
        <v>0</v>
      </c>
      <c r="Z71" s="141">
        <f>Berechnung2!P54</f>
        <v>0</v>
      </c>
    </row>
    <row r="72" spans="1:31" s="6" customFormat="1" ht="11.25" hidden="1" x14ac:dyDescent="0.2">
      <c r="A72" s="141">
        <f>Berechnung2!B55</f>
        <v>0</v>
      </c>
      <c r="B72" s="141">
        <f>Berechnung2!C55</f>
        <v>0</v>
      </c>
      <c r="C72" s="141">
        <f>Berechnung2!D55</f>
        <v>1E-3</v>
      </c>
      <c r="D72" s="141">
        <f>Berechnung2!E55</f>
        <v>0</v>
      </c>
      <c r="E72" s="141">
        <f>Berechnung2!F55</f>
        <v>0.59899999999999998</v>
      </c>
      <c r="F72" s="141">
        <f>Berechnung2!G55</f>
        <v>0.6</v>
      </c>
      <c r="G72" s="141">
        <f>Berechnung2!H55</f>
        <v>0</v>
      </c>
      <c r="H72" s="141">
        <f>Berechnung2!I55</f>
        <v>0.94899999999999995</v>
      </c>
      <c r="I72" s="141">
        <f>Berechnung2!J55</f>
        <v>0.95</v>
      </c>
      <c r="J72" s="141">
        <f>Berechnung2!K55</f>
        <v>0</v>
      </c>
      <c r="K72" s="141" t="str">
        <f>Berechnung2!L55</f>
        <v xml:space="preserve">OAS auffällig niedrig </v>
      </c>
      <c r="P72" s="6">
        <f>Berechnung2!Q55</f>
        <v>0</v>
      </c>
      <c r="R72" s="141">
        <f>Berechnung2!M55</f>
        <v>0</v>
      </c>
      <c r="S72" s="141" t="str">
        <f>Berechnung2!N55</f>
        <v>OAS auffällig hoch</v>
      </c>
      <c r="Y72" s="141">
        <f>Berechnung2!O55</f>
        <v>0</v>
      </c>
      <c r="Z72" s="141">
        <f>Berechnung2!P55</f>
        <v>0</v>
      </c>
    </row>
    <row r="73" spans="1:31" hidden="1" x14ac:dyDescent="0.2">
      <c r="A73" s="141">
        <f>Berechnung2!B56</f>
        <v>0</v>
      </c>
      <c r="B73" s="141">
        <f>Berechnung2!C56</f>
        <v>0</v>
      </c>
      <c r="C73" s="141">
        <f>Berechnung2!D56</f>
        <v>1E-3</v>
      </c>
      <c r="D73" s="141">
        <f>Berechnung2!E56</f>
        <v>0</v>
      </c>
      <c r="E73" s="141">
        <f>Berechnung2!F56</f>
        <v>0.59899999999999998</v>
      </c>
      <c r="F73" s="141">
        <f>Berechnung2!G56</f>
        <v>0.6</v>
      </c>
      <c r="G73" s="141">
        <f>Berechnung2!H56</f>
        <v>0</v>
      </c>
      <c r="H73" s="141">
        <f>Berechnung2!I56</f>
        <v>0.94899999999999995</v>
      </c>
      <c r="I73" s="141">
        <f>Berechnung2!J56</f>
        <v>0.95</v>
      </c>
      <c r="J73" s="141">
        <f>Berechnung2!K56</f>
        <v>0</v>
      </c>
      <c r="K73" s="141" t="str">
        <f>Berechnung2!L56</f>
        <v xml:space="preserve">OAS auffällig niedrig </v>
      </c>
      <c r="P73" s="6">
        <f>Berechnung2!Q56</f>
        <v>0</v>
      </c>
      <c r="Q73" s="6"/>
      <c r="R73" s="141">
        <f>Berechnung2!M56</f>
        <v>0</v>
      </c>
      <c r="S73" s="141" t="str">
        <f>Berechnung2!N56</f>
        <v>OAS auffällig hoch</v>
      </c>
      <c r="Y73" s="141">
        <f>Berechnung2!O56</f>
        <v>0</v>
      </c>
      <c r="Z73" s="141">
        <f>Berechnung2!P56</f>
        <v>0</v>
      </c>
      <c r="AA73" s="6"/>
      <c r="AB73" s="6"/>
      <c r="AC73" s="6"/>
      <c r="AD73" s="6"/>
      <c r="AE73" s="6"/>
    </row>
    <row r="74" spans="1:31" hidden="1" x14ac:dyDescent="0.2">
      <c r="A74" s="141">
        <f>Berechnung2!B57</f>
        <v>0</v>
      </c>
      <c r="B74" s="141">
        <f>Berechnung2!C57</f>
        <v>0</v>
      </c>
      <c r="C74" s="141">
        <f>Berechnung2!D57</f>
        <v>1E-3</v>
      </c>
      <c r="D74" s="141">
        <f>Berechnung2!E57</f>
        <v>0</v>
      </c>
      <c r="E74" s="141">
        <f>Berechnung2!F57</f>
        <v>0.59899999999999998</v>
      </c>
      <c r="F74" s="141">
        <f>Berechnung2!G57</f>
        <v>0.6</v>
      </c>
      <c r="G74" s="141">
        <f>Berechnung2!H57</f>
        <v>0</v>
      </c>
      <c r="H74" s="141">
        <f>Berechnung2!I57</f>
        <v>0.94899999999999995</v>
      </c>
      <c r="I74" s="141">
        <f>Berechnung2!J57</f>
        <v>0.95</v>
      </c>
      <c r="J74" s="141">
        <f>Berechnung2!K57</f>
        <v>0</v>
      </c>
      <c r="K74" s="141" t="str">
        <f>Berechnung2!L57</f>
        <v xml:space="preserve">OAS auffällig niedrig </v>
      </c>
      <c r="P74" s="6">
        <f>Berechnung2!Q57</f>
        <v>0</v>
      </c>
      <c r="Q74" s="6"/>
      <c r="R74" s="141">
        <f>Berechnung2!M57</f>
        <v>0</v>
      </c>
      <c r="S74" s="141" t="str">
        <f>Berechnung2!N57</f>
        <v>OAS auffällig hoch</v>
      </c>
      <c r="Y74" s="141">
        <f>Berechnung2!O57</f>
        <v>0</v>
      </c>
      <c r="Z74" s="141">
        <f>Berechnung2!P57</f>
        <v>0</v>
      </c>
      <c r="AA74" s="6"/>
      <c r="AB74" s="6"/>
      <c r="AC74" s="6"/>
      <c r="AD74" s="6"/>
      <c r="AE74" s="6"/>
    </row>
    <row r="75" spans="1:31" hidden="1" x14ac:dyDescent="0.2">
      <c r="A75" s="141">
        <f>Berechnung2!B58</f>
        <v>0</v>
      </c>
      <c r="B75" s="141">
        <f>Berechnung2!C58</f>
        <v>0</v>
      </c>
      <c r="C75" s="141">
        <f>Berechnung2!D58</f>
        <v>1E-3</v>
      </c>
      <c r="D75" s="141">
        <f>Berechnung2!E58</f>
        <v>0</v>
      </c>
      <c r="E75" s="141">
        <f>Berechnung2!F58</f>
        <v>0.84899999999999998</v>
      </c>
      <c r="F75" s="141">
        <f>Berechnung2!G58</f>
        <v>0.85</v>
      </c>
      <c r="G75" s="141">
        <f>Berechnung2!H58</f>
        <v>0</v>
      </c>
      <c r="H75" s="141">
        <f>Berechnung2!I58</f>
        <v>0.98899999999999999</v>
      </c>
      <c r="I75" s="141">
        <f>Berechnung2!J58</f>
        <v>0.99</v>
      </c>
      <c r="J75" s="141">
        <f>Berechnung2!K58</f>
        <v>0</v>
      </c>
      <c r="K75" s="141" t="str">
        <f>Berechnung2!L58</f>
        <v xml:space="preserve">OAS auffällig niedrig </v>
      </c>
      <c r="P75" s="6">
        <f>Berechnung2!Q58</f>
        <v>0</v>
      </c>
      <c r="Q75" s="6"/>
      <c r="R75" s="141">
        <f>Berechnung2!M58</f>
        <v>0</v>
      </c>
      <c r="S75" s="141" t="str">
        <f>Berechnung2!N58</f>
        <v>OAS auffällig hoch</v>
      </c>
      <c r="Y75" s="141">
        <f>Berechnung2!O58</f>
        <v>0</v>
      </c>
      <c r="Z75" s="141">
        <f>Berechnung2!P58</f>
        <v>0</v>
      </c>
      <c r="AA75" s="6"/>
      <c r="AB75" s="6"/>
      <c r="AC75" s="6"/>
      <c r="AD75" s="6"/>
      <c r="AE75" s="6"/>
    </row>
    <row r="76" spans="1:31" hidden="1" x14ac:dyDescent="0.2">
      <c r="A76" s="141">
        <f>Berechnung2!B59</f>
        <v>0</v>
      </c>
      <c r="B76" s="141">
        <f>Berechnung2!C59</f>
        <v>0</v>
      </c>
      <c r="C76" s="141">
        <f>Berechnung2!D59</f>
        <v>1E-3</v>
      </c>
      <c r="D76" s="141">
        <f>Berechnung2!E59</f>
        <v>0</v>
      </c>
      <c r="E76" s="141">
        <f>Berechnung2!F59</f>
        <v>0.94899999999999995</v>
      </c>
      <c r="F76" s="141">
        <f>Berechnung2!G59</f>
        <v>0.95</v>
      </c>
      <c r="G76" s="141">
        <f>Berechnung2!H59</f>
        <v>0</v>
      </c>
      <c r="H76" s="141">
        <f>Berechnung2!I59</f>
        <v>0.98899999999999999</v>
      </c>
      <c r="I76" s="141">
        <f>Berechnung2!J59</f>
        <v>0.99</v>
      </c>
      <c r="J76" s="141">
        <f>Berechnung2!K59</f>
        <v>0</v>
      </c>
      <c r="K76" s="141" t="str">
        <f>Berechnung2!L59</f>
        <v xml:space="preserve">OAS auffällig niedrig </v>
      </c>
      <c r="P76" s="6">
        <f>Berechnung2!Q59</f>
        <v>0</v>
      </c>
      <c r="Q76" s="6"/>
      <c r="R76" s="141">
        <f>Berechnung2!M59</f>
        <v>0</v>
      </c>
      <c r="S76" s="141" t="str">
        <f>Berechnung2!N59</f>
        <v>OAS auffällig hoch</v>
      </c>
      <c r="Y76" s="141">
        <f>Berechnung2!O59</f>
        <v>0</v>
      </c>
      <c r="Z76" s="141">
        <f>Berechnung2!P59</f>
        <v>0</v>
      </c>
      <c r="AA76" s="6"/>
      <c r="AB76" s="6"/>
      <c r="AC76" s="6"/>
      <c r="AD76" s="6"/>
      <c r="AE76" s="6"/>
    </row>
    <row r="77" spans="1:31" x14ac:dyDescent="0.2">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row>
    <row r="78" spans="1:31" x14ac:dyDescent="0.2">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row>
  </sheetData>
  <sheetProtection selectLockedCells="1"/>
  <dataConsolidate/>
  <mergeCells count="91">
    <mergeCell ref="A12:D12"/>
    <mergeCell ref="A13:D13"/>
    <mergeCell ref="E12:J12"/>
    <mergeCell ref="E13:I13"/>
    <mergeCell ref="A17:A18"/>
    <mergeCell ref="B17:B18"/>
    <mergeCell ref="C17:C18"/>
    <mergeCell ref="G17:G18"/>
    <mergeCell ref="I17:I18"/>
    <mergeCell ref="J15:J24"/>
    <mergeCell ref="C15:I15"/>
    <mergeCell ref="H17:H18"/>
    <mergeCell ref="B42:D42"/>
    <mergeCell ref="J39:AA39"/>
    <mergeCell ref="J40:AA40"/>
    <mergeCell ref="J41:AA41"/>
    <mergeCell ref="B39:D39"/>
    <mergeCell ref="E42:I42"/>
    <mergeCell ref="J42:AA42"/>
    <mergeCell ref="E39:I39"/>
    <mergeCell ref="B40:D40"/>
    <mergeCell ref="W17:W18"/>
    <mergeCell ref="Y17:Y18"/>
    <mergeCell ref="K17:K18"/>
    <mergeCell ref="B45:D45"/>
    <mergeCell ref="J44:AA45"/>
    <mergeCell ref="J43:AA43"/>
    <mergeCell ref="E43:I43"/>
    <mergeCell ref="E45:I45"/>
    <mergeCell ref="B43:D43"/>
    <mergeCell ref="M17:M18"/>
    <mergeCell ref="E17:E18"/>
    <mergeCell ref="F17:F18"/>
    <mergeCell ref="B44:D44"/>
    <mergeCell ref="E44:I44"/>
    <mergeCell ref="B41:D41"/>
    <mergeCell ref="E41:I41"/>
    <mergeCell ref="Y15:Z15"/>
    <mergeCell ref="Y24:Z24"/>
    <mergeCell ref="S17:S18"/>
    <mergeCell ref="E40:I40"/>
    <mergeCell ref="A6:B6"/>
    <mergeCell ref="A8:B8"/>
    <mergeCell ref="C6:W6"/>
    <mergeCell ref="E36:I36"/>
    <mergeCell ref="B37:D37"/>
    <mergeCell ref="E37:I37"/>
    <mergeCell ref="J34:AA34"/>
    <mergeCell ref="D17:D18"/>
    <mergeCell ref="A27:B27"/>
    <mergeCell ref="B34:D34"/>
    <mergeCell ref="E34:I34"/>
    <mergeCell ref="V17:V18"/>
    <mergeCell ref="Q17:Q18"/>
    <mergeCell ref="P16:P24"/>
    <mergeCell ref="B25:I25"/>
    <mergeCell ref="L17:L18"/>
    <mergeCell ref="S8:W8"/>
    <mergeCell ref="C8:G8"/>
    <mergeCell ref="P13:U13"/>
    <mergeCell ref="K24:O24"/>
    <mergeCell ref="K23:O23"/>
    <mergeCell ref="K12:O12"/>
    <mergeCell ref="P12:U12"/>
    <mergeCell ref="N17:N18"/>
    <mergeCell ref="K13:O13"/>
    <mergeCell ref="K15:W15"/>
    <mergeCell ref="V12:Z12"/>
    <mergeCell ref="V13:Z13"/>
    <mergeCell ref="R17:R18"/>
    <mergeCell ref="U17:U18"/>
    <mergeCell ref="A29:AA29"/>
    <mergeCell ref="T17:T18"/>
    <mergeCell ref="J38:AA38"/>
    <mergeCell ref="B36:D36"/>
    <mergeCell ref="B38:D38"/>
    <mergeCell ref="E38:I38"/>
    <mergeCell ref="B35:D35"/>
    <mergeCell ref="E35:I35"/>
    <mergeCell ref="J35:AA35"/>
    <mergeCell ref="Z17:Z18"/>
    <mergeCell ref="Q23:W23"/>
    <mergeCell ref="Y23:Z23"/>
    <mergeCell ref="X15:X24"/>
    <mergeCell ref="O17:O18"/>
    <mergeCell ref="A30:AA30"/>
    <mergeCell ref="J36:AA36"/>
    <mergeCell ref="J37:AA37"/>
    <mergeCell ref="A31:AA31"/>
    <mergeCell ref="K25:O25"/>
    <mergeCell ref="Q25:W25"/>
  </mergeCells>
  <conditionalFormatting sqref="A12:D12">
    <cfRule type="expression" dxfId="109" priority="22" stopIfTrue="1">
      <formula>$A$12="Nicht in Ordnung"</formula>
    </cfRule>
  </conditionalFormatting>
  <conditionalFormatting sqref="A13:D13">
    <cfRule type="expression" dxfId="108" priority="21" stopIfTrue="1">
      <formula>$A$13="die inkorrekten und unvollständigen Einträge beheben"</formula>
    </cfRule>
  </conditionalFormatting>
  <conditionalFormatting sqref="B19:B24">
    <cfRule type="expression" dxfId="107" priority="333" stopIfTrue="1">
      <formula>OR(A19="nicht relevant",A19="EZ")</formula>
    </cfRule>
  </conditionalFormatting>
  <conditionalFormatting sqref="C19:C23">
    <cfRule type="expression" dxfId="106" priority="3310" stopIfTrue="1">
      <formula>OR($A19="nicht relevant",$A19="EZ")</formula>
    </cfRule>
    <cfRule type="cellIs" dxfId="105" priority="3311" stopIfTrue="1" operator="lessThan">
      <formula>$F$52</formula>
    </cfRule>
  </conditionalFormatting>
  <conditionalFormatting sqref="C24">
    <cfRule type="expression" dxfId="104" priority="3304" stopIfTrue="1">
      <formula>OR($A24="nicht relevant",$A24="EZ")</formula>
    </cfRule>
    <cfRule type="cellIs" dxfId="103" priority="3305" stopIfTrue="1" operator="greaterThan">
      <formula>$F$50</formula>
    </cfRule>
    <cfRule type="cellIs" dxfId="102" priority="3306" stopIfTrue="1" operator="lessThan">
      <formula>$F$52</formula>
    </cfRule>
  </conditionalFormatting>
  <conditionalFormatting sqref="D19:I23">
    <cfRule type="expression" dxfId="101" priority="26" stopIfTrue="1">
      <formula>LEN(TRIM(D19))=0</formula>
    </cfRule>
  </conditionalFormatting>
  <conditionalFormatting sqref="D19:I24">
    <cfRule type="expression" dxfId="100" priority="23" stopIfTrue="1">
      <formula>OR($A19="nicht relevant",$A19="EZ")</formula>
    </cfRule>
  </conditionalFormatting>
  <conditionalFormatting sqref="K19:K22">
    <cfRule type="expression" dxfId="99" priority="287" stopIfTrue="1">
      <formula>OR($A19="nicht relevant",$A19="EZ")</formula>
    </cfRule>
    <cfRule type="expression" dxfId="98" priority="288" stopIfTrue="1">
      <formula>LEN(TRIM(K19))=0</formula>
    </cfRule>
    <cfRule type="cellIs" dxfId="97" priority="289" stopIfTrue="1" operator="greaterThan">
      <formula>$C19-$I19</formula>
    </cfRule>
  </conditionalFormatting>
  <conditionalFormatting sqref="L19:N22">
    <cfRule type="expression" dxfId="96" priority="164" stopIfTrue="1">
      <formula>OR($A19="nicht relevant",$A19="EZ")</formula>
    </cfRule>
    <cfRule type="expression" dxfId="95" priority="165" stopIfTrue="1">
      <formula>LEN(TRIM(L19))=0</formula>
    </cfRule>
  </conditionalFormatting>
  <conditionalFormatting sqref="O19:O22">
    <cfRule type="expression" dxfId="94" priority="9" stopIfTrue="1">
      <formula>OR($A19="nicht relevant",$A19="EZ")</formula>
    </cfRule>
    <cfRule type="expression" dxfId="93" priority="14" stopIfTrue="1">
      <formula>LEN(TRIM(O19))=0</formula>
    </cfRule>
  </conditionalFormatting>
  <conditionalFormatting sqref="O20">
    <cfRule type="cellIs" dxfId="92" priority="20" operator="between">
      <formula>$F$53</formula>
      <formula>$H$53</formula>
    </cfRule>
  </conditionalFormatting>
  <conditionalFormatting sqref="O21:O22">
    <cfRule type="cellIs" dxfId="91" priority="15" stopIfTrue="1" operator="between">
      <formula>$F$53</formula>
      <formula>$H$53</formula>
    </cfRule>
  </conditionalFormatting>
  <conditionalFormatting sqref="O27">
    <cfRule type="cellIs" dxfId="90" priority="473" operator="equal">
      <formula>"---"</formula>
    </cfRule>
    <cfRule type="cellIs" dxfId="89" priority="3241" stopIfTrue="1" operator="between">
      <formula>$F$54</formula>
      <formula>$H$54</formula>
    </cfRule>
    <cfRule type="cellIs" dxfId="88" priority="3242" stopIfTrue="1" operator="between">
      <formula>$G$55</formula>
      <formula>$H$55</formula>
    </cfRule>
  </conditionalFormatting>
  <conditionalFormatting sqref="Q19:Q22">
    <cfRule type="cellIs" dxfId="87" priority="4" stopIfTrue="1" operator="lessThan">
      <formula>0</formula>
    </cfRule>
  </conditionalFormatting>
  <conditionalFormatting sqref="Q19:W22">
    <cfRule type="expression" dxfId="86" priority="3" stopIfTrue="1">
      <formula>OR($A19="nicht relevant",$A19="EZ")</formula>
    </cfRule>
  </conditionalFormatting>
  <conditionalFormatting sqref="R19:W22">
    <cfRule type="expression" dxfId="85" priority="181" stopIfTrue="1">
      <formula>LEN(TRIM(R19))=0</formula>
    </cfRule>
  </conditionalFormatting>
  <conditionalFormatting sqref="Y19:Z22">
    <cfRule type="expression" dxfId="84" priority="421" stopIfTrue="1">
      <formula>OR($A19="nicht relevant",$A19="EZ")</formula>
    </cfRule>
  </conditionalFormatting>
  <dataValidations count="22">
    <dataValidation type="whole" allowBlank="1" showInputMessage="1" showErrorMessage="1" errorTitle="Eingabefehler" error="Ganze Zahl zwischen 0 und 5000 eingeben." sqref="E65492:I65492 IU65492:IV65492 E19:I23 D20:D23 D19" xr:uid="{00000000-0002-0000-0900-000000000000}">
      <formula1>0</formula1>
      <formula2>5000</formula2>
    </dataValidation>
    <dataValidation type="whole" operator="greaterThanOrEqual" allowBlank="1" showInputMessage="1" showErrorMessage="1" errorTitle="Error" error="Minuszahlen..." sqref="C65487:C65492 IS65487:IS65492" xr:uid="{00000000-0002-0000-0900-000001000000}">
      <formula1>0</formula1>
    </dataValidation>
    <dataValidation type="whole" errorStyle="information" allowBlank="1" showInputMessage="1" showErrorMessage="1" errorTitle="Ausfüllhinweis" error="Nur postive ganze Zahlen verwenden." sqref="J65487:J65492" xr:uid="{00000000-0002-0000-0900-000002000000}">
      <formula1>0</formula1>
      <formula2>5000</formula2>
    </dataValidation>
    <dataValidation type="decimal" allowBlank="1" showInputMessage="1" showErrorMessage="1" errorTitle="Aufüllhinweis" error="Nur Prozentwerte zwischen 1% und 100% können verwendet werden." sqref="Y65487:Z65491" xr:uid="{00000000-0002-0000-0900-000003000000}">
      <formula1>0.01</formula1>
      <formula2>1</formula2>
    </dataValidation>
    <dataValidation type="whole" showInputMessage="1" showErrorMessage="1" errorTitle="Eingabefehler" error="Anzahl Pat. im Follow-Up zu hoch." sqref="L65487:L65491 L19:L22" xr:uid="{00000000-0002-0000-0900-000004000000}">
      <formula1>0</formula1>
      <formula2>C19-I19-M19-N19</formula2>
    </dataValidation>
    <dataValidation type="whole" showInputMessage="1" showErrorMessage="1" errorTitle="Eingabefehler" error="Anzahl Pat. im Follow-Up zu hoch." sqref="M65487:M65491 M19:M22" xr:uid="{00000000-0002-0000-0900-000005000000}">
      <formula1>0</formula1>
      <formula2>C19-I19-L19-N19</formula2>
    </dataValidation>
    <dataValidation type="whole" showInputMessage="1" showErrorMessage="1" errorTitle="Eingabefehler" error="Anzahl Pat. im Follow-Up zu hoch." sqref="N65487:N65491 N19:N22" xr:uid="{00000000-0002-0000-0900-000006000000}">
      <formula1>0</formula1>
      <formula2>C19-I19-L19-M19</formula2>
    </dataValidation>
    <dataValidation type="whole" showInputMessage="1" showErrorMessage="1" errorTitle="Eingabefehler" error="Anzahl &gt; als Patienten Rückmeldungen. " sqref="S65487:S65491" xr:uid="{00000000-0002-0000-0900-000007000000}">
      <formula1>0</formula1>
      <formula2>SUM($L65487:$M65487)-$U65487-$V65487-$W65487</formula2>
    </dataValidation>
    <dataValidation type="whole" showInputMessage="1" showErrorMessage="1" errorTitle="Eingabefehler" error="Anzahl &gt; als Patienten Rückmeldungen. " sqref="U65487:U65491" xr:uid="{00000000-0002-0000-0900-000008000000}">
      <formula1>0</formula1>
      <formula2>SUM($L65487:$M65487)-$S65487-$V65487-$W65487</formula2>
    </dataValidation>
    <dataValidation type="whole" showInputMessage="1" showErrorMessage="1" errorTitle="Eingabefehler" error="Anzahl &gt; als Patienten Rückmeldungen. " sqref="V65487:V65491" xr:uid="{00000000-0002-0000-0900-000009000000}">
      <formula1>0</formula1>
      <formula2>SUM($L65487:$M65487)-$U65487-$S65487-$W65487</formula2>
    </dataValidation>
    <dataValidation type="whole" showInputMessage="1" showErrorMessage="1" errorTitle="Eingabefehler" error="Anzahl &gt; als Patienten Rückmeldungen. " sqref="W65487:W65491" xr:uid="{00000000-0002-0000-0900-00000A000000}">
      <formula1>0</formula1>
      <formula2>SUM($L65487:$M65487)-$U65487-$V65487-$S65487</formula2>
    </dataValidation>
    <dataValidation type="whole" showInputMessage="1" showErrorMessage="1" errorTitle="Eingabefehler" error="Summe Spalten R+S+T+U+V+W (Patienten mit Ereignisse) darf nicht größer als Summe Spalten L+M (Patientenrückmeldungen) sein._x000a_" sqref="T19:T22" xr:uid="{00000000-0002-0000-0900-00000B000000}">
      <formula1>0</formula1>
      <formula2>SUM($L19:$M19)-R19-S19-$U19-$V19-$W19</formula2>
    </dataValidation>
    <dataValidation type="decimal" allowBlank="1" showInputMessage="1" showErrorMessage="1" errorTitle="Aufüllhinweis" error="Nur Prozentwerte zwischen 0% und 100% können verwendet werden." sqref="Y19:Z22" xr:uid="{00000000-0002-0000-0900-00000C000000}">
      <formula1>0</formula1>
      <formula2>1</formula2>
    </dataValidation>
    <dataValidation type="whole" showInputMessage="1" showErrorMessage="1" errorTitle="Eingabefehler" error="Summe Spalten R+S+T+U+V+W (Patienten mit Ereignisse) darf nicht größer als Summe Spalten L+M (Patientenrückmeldungen) sein._x000a_" sqref="R19:R22" xr:uid="{00000000-0002-0000-0900-00000D000000}">
      <formula1>0</formula1>
      <formula2>SUM($L19:$M19)-S19-T19-$U19-$V19-$W19</formula2>
    </dataValidation>
    <dataValidation type="whole" showInputMessage="1" showErrorMessage="1" errorTitle="Eingabefehler" error="Summe Spalten R+S+T+U+V+W (Patienten mit Ereignisse) darf nicht größer als Summe Spalten L+M (Patientenrückmeldungen) sein._x000a_" sqref="S19:S21" xr:uid="{00000000-0002-0000-0900-00000E000000}">
      <formula1>0</formula1>
      <formula2>SUM($L19:$M19)-R19-T19-$U19-$V19-$W19</formula2>
    </dataValidation>
    <dataValidation type="whole" showInputMessage="1" showErrorMessage="1" errorTitle="Eingabefehler" error="Summe Spalten R+S+T+U+V+W (Patienten mit Ereignisse) darf nicht größer als Summe Spalten L+M (Patientenrückmeldungen) sein._x000a_" sqref="U19:U22" xr:uid="{00000000-0002-0000-0900-00000F000000}">
      <formula1>0</formula1>
      <formula2>SUM($L19:$M19)-R19-S19-T19-$V19-$W19</formula2>
    </dataValidation>
    <dataValidation type="whole" showInputMessage="1" showErrorMessage="1" errorTitle="Eingabefehler" error="Summe Spalten R+S+T+U+V+W (Patienten mit Ereignisse) darf nicht größer als Summe Spalten L+M (Patientenrückmeldungen) sein." sqref="W22" xr:uid="{00000000-0002-0000-0900-000010000000}">
      <formula1>0</formula1>
      <formula2>SUM($L22:$M22)-R22-S22-T22-U22-V22</formula2>
    </dataValidation>
    <dataValidation type="whole" showInputMessage="1" showErrorMessage="1" errorTitle="Eingabefehler" error="Summe Spalten R+S+T+U+V+W (Patienten mit Ereignisse) darf nicht größer als Summe Spalten L+M (Patientenrückmeldungen) sein._x000a__x000a_" sqref="S22" xr:uid="{00000000-0002-0000-0900-000011000000}">
      <formula1>0</formula1>
      <formula2>SUM($L22:$M22)-R22-T22-$U22-$V22-$W22</formula2>
    </dataValidation>
    <dataValidation type="whole" showInputMessage="1" showErrorMessage="1" errorTitle="Eingabefehler" error="Summe Spalten R+S+T+U+V+W (Patienten mit Ereignisse) darf nicht größer als Summe Spalten L+M (Patientenrückmeldungen) sein._x000a__x000a_" sqref="V19" xr:uid="{00000000-0002-0000-0900-000012000000}">
      <formula1>0</formula1>
      <formula2>SUM($L19:$M19)-R19-S19-T19-U19-W19</formula2>
    </dataValidation>
    <dataValidation type="whole" showInputMessage="1" showErrorMessage="1" errorTitle="Eingabefehler" error="Summe Spalten R+S+T+U+V+W (Patienten mit Ereignisse) darf nicht größer als Summe Spalten L+M (Patientenrückmeldungen) sein._x000a_" sqref="V20:V22" xr:uid="{00000000-0002-0000-0900-000013000000}">
      <formula1>0</formula1>
      <formula2>SUM($L20:$M20)-R20-S20-T20-U20-W20</formula2>
    </dataValidation>
    <dataValidation type="whole" showInputMessage="1" showErrorMessage="1" errorTitle="Eingabefehler" error="Summe Spalten R+S+T+U+V+W (Patienten mit Ereignisse) darf nicht größer als Summe Spalten L+M (Patientenrückmeldungen) sein. _x000a_" sqref="W19" xr:uid="{00000000-0002-0000-0900-000014000000}">
      <formula1>0</formula1>
      <formula2>SUM($L19:$M19)-R19-S19-T19-U19-V19</formula2>
    </dataValidation>
    <dataValidation type="whole" showInputMessage="1" showErrorMessage="1" errorTitle="Eingabefehler" error="Summe Spalten R+S+T+U+V+W (Patienten mit Ereignisse) darf nicht größer als Summe Spalten L+M (Patientenrückmeldungen) sein._x000a_" sqref="W20:W21" xr:uid="{00000000-0002-0000-0900-000015000000}">
      <formula1>0</formula1>
      <formula2>SUM($L20:$M20)-R20-S20-T20-U20-V20</formula2>
    </dataValidation>
  </dataValidations>
  <pageMargins left="0.39370078740157483" right="3.937007874015748E-2" top="0.59055118110236227" bottom="0.39370078740157483" header="0.11811023622047245" footer="0.11811023622047245"/>
  <pageSetup paperSize="9" orientation="landscape" r:id="rId1"/>
  <headerFooter>
    <oddFooter xml:space="preserve">&amp;L&amp;"Arial,Standard"&amp;7&amp;F&amp;C&amp;"Arial,Standard"&amp;7 © DKG  Alle Rechte vorbehalten&amp;R&amp;"Arial,Standard"&amp;7&amp;P                                 
</oddFooter>
    <firstHeader>&amp;C&amp;F&amp;RUnabhängiges Zertifizierungsinstitut
der Deutschen Krebsgesellschaft
Gartenstraße 24, D-89231 Neu-Ulm
Tel. +49  (0)7 31 / 70 51 16 - 0
Fax  +49  (0)7 31 / 70 51 16 - 16
www.onkozert.de, info@onkozert.d</firstHeader>
  </headerFooter>
  <ignoredErrors>
    <ignoredError sqref="O20:O22" formulaRange="1"/>
  </ignoredError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0"/>
  <dimension ref="A1:W7"/>
  <sheetViews>
    <sheetView workbookViewId="0">
      <selection activeCell="F20" sqref="F20"/>
    </sheetView>
  </sheetViews>
  <sheetFormatPr defaultColWidth="11.42578125" defaultRowHeight="11.25" x14ac:dyDescent="0.2"/>
  <cols>
    <col min="1" max="2" width="12" style="237" customWidth="1"/>
    <col min="3" max="3" width="9.7109375" style="237" customWidth="1"/>
    <col min="4" max="9" width="7.7109375" style="237" customWidth="1"/>
    <col min="10" max="10" width="14.5703125" style="237" customWidth="1"/>
    <col min="11" max="11" width="8.7109375" style="237" customWidth="1"/>
    <col min="12" max="12" width="9.140625" style="237" customWidth="1"/>
    <col min="13" max="13" width="7.5703125" style="237" customWidth="1"/>
    <col min="14" max="17" width="9.140625" style="237" customWidth="1"/>
    <col min="18" max="18" width="10.42578125" style="237" customWidth="1"/>
    <col min="19" max="19" width="13.140625" style="237" customWidth="1"/>
    <col min="20" max="20" width="13.28515625" style="237" customWidth="1"/>
    <col min="21" max="21" width="12.42578125" style="237" customWidth="1"/>
    <col min="22" max="22" width="9.140625" style="237" customWidth="1"/>
    <col min="23" max="23" width="8.7109375" style="237" customWidth="1"/>
    <col min="24" max="16384" width="11.42578125" style="237"/>
  </cols>
  <sheetData>
    <row r="1" spans="1:23" s="235" customFormat="1" ht="84" customHeight="1" x14ac:dyDescent="0.25">
      <c r="A1" s="245" t="str">
        <f>Matrix!A17</f>
        <v>Relevante Nachsorgejahre</v>
      </c>
      <c r="B1" s="245" t="str">
        <f>Matrix!B17</f>
        <v>Jahr der Erstdiagnose</v>
      </c>
      <c r="C1" s="245" t="s">
        <v>188</v>
      </c>
      <c r="D1" s="245" t="str">
        <f>LEFT(Matrix!D17,8)</f>
        <v xml:space="preserve">UICC IA </v>
      </c>
      <c r="E1" s="245" t="str">
        <f>LEFT(Matrix!E17,9)</f>
        <v xml:space="preserve">UICC IB  </v>
      </c>
      <c r="F1" s="245" t="str">
        <f>LEFT(Matrix!F17,9)</f>
        <v xml:space="preserve">UICC IIA </v>
      </c>
      <c r="G1" s="245" t="str">
        <f>LEFT(Matrix!G17,9)</f>
        <v xml:space="preserve">UICC IIB </v>
      </c>
      <c r="H1" s="245" t="str">
        <f>LEFT(Matrix!H17,9)</f>
        <v xml:space="preserve">UICC III </v>
      </c>
      <c r="I1" s="245" t="str">
        <f>LEFT(Matrix!I17,9)</f>
        <v xml:space="preserve">UICC IV  </v>
      </c>
      <c r="J1" s="245" t="str">
        <f>LEFT(Matrix!K17,60)</f>
        <v xml:space="preserve">Patienten  „im Follow-Up“
(aus Grundgesamtheit Primärpat.)  </v>
      </c>
      <c r="K1" s="245" t="str">
        <f>LEFT(Matrix!L17,34)</f>
        <v xml:space="preserve">Follow-Up-Daten vom Krebsregister </v>
      </c>
      <c r="L1" s="245" t="str">
        <f>LEFT(Matrix!M17,57)</f>
        <v xml:space="preserve">Follow-Up-Daten vom Zentrum 
(bzw. Quelle nicht bekannt) </v>
      </c>
      <c r="M1" s="245" t="str">
        <f>LEFT(Matrix!N17,18)</f>
        <v xml:space="preserve">Keine Rückmeldung </v>
      </c>
      <c r="N1" s="245" t="str">
        <f>Matrix!O17</f>
        <v>Follow-Up Quote in %
= (L + M) / K</v>
      </c>
      <c r="O1" s="245" t="str">
        <f>LEFT(Matrix!Q17,20)</f>
        <v xml:space="preserve">Patienten tumorfrei </v>
      </c>
      <c r="P1" s="245" t="str">
        <f>LEFT(Matrix!R17,61)</f>
        <v>Patienten mit folgenden Ereignissen: 
Rezidiv, Fernmetastasen</v>
      </c>
      <c r="Q1" s="245" t="str">
        <f>LEFT(Matrix!S17,25)</f>
        <v>Patienten nicht tumorfrei</v>
      </c>
      <c r="R1" s="245" t="str">
        <f>LEFT(Matrix!T17,22)</f>
        <v>Patienten mit Progress</v>
      </c>
      <c r="S1" s="245" t="str">
        <f>Matrix!U17</f>
        <v>Diagnose Zweitmalignom im Verlauf</v>
      </c>
      <c r="T1" s="245" t="str">
        <f>Matrix!V17</f>
        <v>Tumorbedingt gestorben (bezüglich jeder Tumorentität)</v>
      </c>
      <c r="U1" s="245" t="str">
        <f>Matrix!W17</f>
        <v>Nicht tumorbedingt gestorben bzw. Todesursache unbekannt</v>
      </c>
      <c r="V1" s="245" t="str">
        <f>Matrix!Y17</f>
        <v>DFS nach Kaplan-Meier
(Disease Free Survival) in %</v>
      </c>
      <c r="W1" s="245" t="str">
        <f>Matrix!Z17</f>
        <v>OAS nach Kaplan-Meier    
(Overall Survival) in %</v>
      </c>
    </row>
    <row r="2" spans="1:23" s="236" customFormat="1" ht="12" customHeight="1" x14ac:dyDescent="0.25">
      <c r="A2" s="184" t="str">
        <f>Matrix!A19</f>
        <v>nicht relevant</v>
      </c>
      <c r="B2" s="183">
        <f>Matrix!B19</f>
        <v>2013</v>
      </c>
      <c r="C2" s="183">
        <f>Matrix!C19</f>
        <v>0</v>
      </c>
      <c r="D2" s="183" t="str">
        <f>IF(Matrix!D19="","",Matrix!D19)</f>
        <v/>
      </c>
      <c r="E2" s="183" t="str">
        <f>IF(Matrix!E19="","",Matrix!E19)</f>
        <v/>
      </c>
      <c r="F2" s="183" t="str">
        <f>IF(Matrix!F19="","",Matrix!F19)</f>
        <v/>
      </c>
      <c r="G2" s="183" t="str">
        <f>IF(Matrix!G19="","",Matrix!G19)</f>
        <v/>
      </c>
      <c r="H2" s="183" t="str">
        <f>IF(Matrix!H19="","",Matrix!H19)</f>
        <v/>
      </c>
      <c r="I2" s="183" t="str">
        <f>IF(Matrix!I19="","",Matrix!I19)</f>
        <v/>
      </c>
      <c r="J2" s="183" t="str">
        <f>IF(Matrix!K19="","",Matrix!K19)</f>
        <v/>
      </c>
      <c r="K2" s="183" t="str">
        <f>IF(Matrix!L19="","",Matrix!L19)</f>
        <v/>
      </c>
      <c r="L2" s="183" t="str">
        <f>IF(Matrix!M19="","",Matrix!M19)</f>
        <v/>
      </c>
      <c r="M2" s="183" t="str">
        <f>IF(Matrix!N19="","",Matrix!N19)</f>
        <v/>
      </c>
      <c r="N2" s="238" t="str">
        <f>IF(Matrix!O19="","",Matrix!O19*100)</f>
        <v/>
      </c>
      <c r="O2" s="183" t="str">
        <f>IF(Matrix!Q19="","",Matrix!Q19)</f>
        <v/>
      </c>
      <c r="P2" s="183" t="str">
        <f>IF(Matrix!R19="","",Matrix!R19)</f>
        <v/>
      </c>
      <c r="Q2" s="183" t="str">
        <f>IF(Matrix!S19="","",Matrix!S19)</f>
        <v/>
      </c>
      <c r="R2" s="183" t="str">
        <f>IF(Matrix!T19="","",Matrix!T19)</f>
        <v/>
      </c>
      <c r="S2" s="183" t="str">
        <f>IF(Matrix!U19="","",Matrix!U19)</f>
        <v/>
      </c>
      <c r="T2" s="183" t="str">
        <f>IF(Matrix!V19="","",Matrix!V19)</f>
        <v/>
      </c>
      <c r="U2" s="183" t="str">
        <f>IF(Matrix!W19="","",Matrix!W19)</f>
        <v/>
      </c>
      <c r="V2" s="238" t="str">
        <f>IF(Matrix!Y19="","",Matrix!Y19*100)</f>
        <v/>
      </c>
      <c r="W2" s="238" t="str">
        <f>IF(Matrix!Z19="","",Matrix!Z19*100)</f>
        <v/>
      </c>
    </row>
    <row r="3" spans="1:23" s="236" customFormat="1" x14ac:dyDescent="0.25">
      <c r="A3" s="184" t="str">
        <f>Matrix!A20</f>
        <v>nicht relevant</v>
      </c>
      <c r="B3" s="183">
        <f>Matrix!B20</f>
        <v>2014</v>
      </c>
      <c r="C3" s="183">
        <f>Matrix!C20</f>
        <v>0</v>
      </c>
      <c r="D3" s="183" t="str">
        <f>IF(Matrix!D20="","",Matrix!D20)</f>
        <v/>
      </c>
      <c r="E3" s="183" t="str">
        <f>IF(Matrix!E20="","",Matrix!E20)</f>
        <v/>
      </c>
      <c r="F3" s="183" t="str">
        <f>IF(Matrix!F20="","",Matrix!F20)</f>
        <v/>
      </c>
      <c r="G3" s="183" t="str">
        <f>IF(Matrix!G20="","",Matrix!G20)</f>
        <v/>
      </c>
      <c r="H3" s="183" t="str">
        <f>IF(Matrix!H20="","",Matrix!H20)</f>
        <v/>
      </c>
      <c r="I3" s="183" t="str">
        <f>IF(Matrix!I20="","",Matrix!I20)</f>
        <v/>
      </c>
      <c r="J3" s="183" t="str">
        <f>IF(Matrix!K20="","",Matrix!K20)</f>
        <v/>
      </c>
      <c r="K3" s="183" t="str">
        <f>IF(Matrix!L20="","",Matrix!L20)</f>
        <v/>
      </c>
      <c r="L3" s="183" t="str">
        <f>IF(Matrix!M20="","",Matrix!M20)</f>
        <v/>
      </c>
      <c r="M3" s="183" t="str">
        <f>IF(Matrix!N20="","",Matrix!N20)</f>
        <v/>
      </c>
      <c r="N3" s="238" t="str">
        <f>IF(Matrix!O20="","",Matrix!O20*100)</f>
        <v/>
      </c>
      <c r="O3" s="183" t="str">
        <f>IF(Matrix!Q20="","",Matrix!Q20)</f>
        <v/>
      </c>
      <c r="P3" s="183" t="str">
        <f>IF(Matrix!R20="","",Matrix!R20)</f>
        <v/>
      </c>
      <c r="Q3" s="183" t="str">
        <f>IF(Matrix!S20="","",Matrix!S20)</f>
        <v/>
      </c>
      <c r="R3" s="183" t="str">
        <f>IF(Matrix!T20="","",Matrix!T20)</f>
        <v/>
      </c>
      <c r="S3" s="183" t="str">
        <f>IF(Matrix!U20="","",Matrix!U20)</f>
        <v/>
      </c>
      <c r="T3" s="183" t="str">
        <f>IF(Matrix!V20="","",Matrix!V20)</f>
        <v/>
      </c>
      <c r="U3" s="183" t="str">
        <f>IF(Matrix!W20="","",Matrix!W20)</f>
        <v/>
      </c>
      <c r="V3" s="238" t="str">
        <f>IF(Matrix!Y20="","",Matrix!Y20*100)</f>
        <v/>
      </c>
      <c r="W3" s="238" t="str">
        <f>IF(Matrix!Z20="","",Matrix!Z20*100)</f>
        <v/>
      </c>
    </row>
    <row r="4" spans="1:23" s="236" customFormat="1" x14ac:dyDescent="0.25">
      <c r="A4" s="184" t="str">
        <f>Matrix!A21</f>
        <v>nicht relevant</v>
      </c>
      <c r="B4" s="183">
        <f>Matrix!B21</f>
        <v>2015</v>
      </c>
      <c r="C4" s="183">
        <f>Matrix!C21</f>
        <v>0</v>
      </c>
      <c r="D4" s="183" t="str">
        <f>IF(Matrix!D21="","",Matrix!D21)</f>
        <v/>
      </c>
      <c r="E4" s="183" t="str">
        <f>IF(Matrix!E21="","",Matrix!E21)</f>
        <v/>
      </c>
      <c r="F4" s="183" t="str">
        <f>IF(Matrix!F21="","",Matrix!F21)</f>
        <v/>
      </c>
      <c r="G4" s="183" t="str">
        <f>IF(Matrix!G21="","",Matrix!G21)</f>
        <v/>
      </c>
      <c r="H4" s="183" t="str">
        <f>IF(Matrix!H21="","",Matrix!H21)</f>
        <v/>
      </c>
      <c r="I4" s="183" t="str">
        <f>IF(Matrix!I21="","",Matrix!I21)</f>
        <v/>
      </c>
      <c r="J4" s="183" t="str">
        <f>IF(Matrix!K21="","",Matrix!K21)</f>
        <v/>
      </c>
      <c r="K4" s="183" t="str">
        <f>IF(Matrix!L21="","",Matrix!L21)</f>
        <v/>
      </c>
      <c r="L4" s="183" t="str">
        <f>IF(Matrix!M21="","",Matrix!M21)</f>
        <v/>
      </c>
      <c r="M4" s="183" t="str">
        <f>IF(Matrix!N21="","",Matrix!N21)</f>
        <v/>
      </c>
      <c r="N4" s="238" t="str">
        <f>IF(Matrix!O21="","",Matrix!O21*100)</f>
        <v/>
      </c>
      <c r="O4" s="183" t="str">
        <f>IF(Matrix!Q21="","",Matrix!Q21)</f>
        <v/>
      </c>
      <c r="P4" s="183" t="str">
        <f>IF(Matrix!R21="","",Matrix!R21)</f>
        <v/>
      </c>
      <c r="Q4" s="183" t="str">
        <f>IF(Matrix!S21="","",Matrix!S21)</f>
        <v/>
      </c>
      <c r="R4" s="183" t="str">
        <f>IF(Matrix!T21="","",Matrix!T21)</f>
        <v/>
      </c>
      <c r="S4" s="183" t="str">
        <f>IF(Matrix!U21="","",Matrix!U21)</f>
        <v/>
      </c>
      <c r="T4" s="183" t="str">
        <f>IF(Matrix!V21="","",Matrix!V21)</f>
        <v/>
      </c>
      <c r="U4" s="183" t="str">
        <f>IF(Matrix!W21="","",Matrix!W21)</f>
        <v/>
      </c>
      <c r="V4" s="238" t="str">
        <f>IF(Matrix!Y21="","",Matrix!Y21*100)</f>
        <v/>
      </c>
      <c r="W4" s="238" t="str">
        <f>IF(Matrix!Z21="","",Matrix!Z21*100)</f>
        <v/>
      </c>
    </row>
    <row r="5" spans="1:23" s="236" customFormat="1" x14ac:dyDescent="0.25">
      <c r="A5" s="184" t="str">
        <f>Matrix!A22</f>
        <v>nicht relevant</v>
      </c>
      <c r="B5" s="183">
        <f>Matrix!B22</f>
        <v>2016</v>
      </c>
      <c r="C5" s="183">
        <f>Matrix!C22</f>
        <v>0</v>
      </c>
      <c r="D5" s="183" t="str">
        <f>IF(Matrix!D22="","",Matrix!D22)</f>
        <v/>
      </c>
      <c r="E5" s="183" t="str">
        <f>IF(Matrix!E22="","",Matrix!E22)</f>
        <v/>
      </c>
      <c r="F5" s="183" t="str">
        <f>IF(Matrix!F22="","",Matrix!F22)</f>
        <v/>
      </c>
      <c r="G5" s="183" t="str">
        <f>IF(Matrix!G22="","",Matrix!G22)</f>
        <v/>
      </c>
      <c r="H5" s="183" t="str">
        <f>IF(Matrix!H22="","",Matrix!H22)</f>
        <v/>
      </c>
      <c r="I5" s="183" t="str">
        <f>IF(Matrix!I22="","",Matrix!I22)</f>
        <v/>
      </c>
      <c r="J5" s="183" t="str">
        <f>IF(Matrix!K22="","",Matrix!K22)</f>
        <v/>
      </c>
      <c r="K5" s="183" t="str">
        <f>IF(Matrix!L22="","",Matrix!L22)</f>
        <v/>
      </c>
      <c r="L5" s="183" t="str">
        <f>IF(Matrix!M22="","",Matrix!M22)</f>
        <v/>
      </c>
      <c r="M5" s="183" t="str">
        <f>IF(Matrix!N22="","",Matrix!N22)</f>
        <v/>
      </c>
      <c r="N5" s="238" t="str">
        <f>IF(Matrix!O22="","",Matrix!O22*100)</f>
        <v/>
      </c>
      <c r="O5" s="183" t="str">
        <f>IF(Matrix!Q22="","",Matrix!Q22)</f>
        <v/>
      </c>
      <c r="P5" s="183" t="str">
        <f>IF(Matrix!R22="","",Matrix!R22)</f>
        <v/>
      </c>
      <c r="Q5" s="183" t="str">
        <f>IF(Matrix!S22="","",Matrix!S22)</f>
        <v/>
      </c>
      <c r="R5" s="183" t="str">
        <f>IF(Matrix!T22="","",Matrix!T22)</f>
        <v/>
      </c>
      <c r="S5" s="183" t="str">
        <f>IF(Matrix!U22="","",Matrix!U22)</f>
        <v/>
      </c>
      <c r="T5" s="183" t="str">
        <f>IF(Matrix!V22="","",Matrix!V22)</f>
        <v/>
      </c>
      <c r="U5" s="183" t="str">
        <f>IF(Matrix!W22="","",Matrix!W22)</f>
        <v/>
      </c>
      <c r="V5" s="238" t="str">
        <f>IF(Matrix!Y22="","",Matrix!Y22*100)</f>
        <v/>
      </c>
      <c r="W5" s="238" t="str">
        <f>IF(Matrix!Z22="","",Matrix!Z22*100)</f>
        <v/>
      </c>
    </row>
    <row r="6" spans="1:23" s="236" customFormat="1" x14ac:dyDescent="0.25">
      <c r="A6" s="184" t="str">
        <f>Matrix!A23</f>
        <v>nicht relevant</v>
      </c>
      <c r="B6" s="183" t="str">
        <f>LEFT(Matrix!B23,4)</f>
        <v>2017</v>
      </c>
      <c r="C6" s="183">
        <f>Matrix!C23</f>
        <v>0</v>
      </c>
      <c r="D6" s="183" t="str">
        <f>IF(Matrix!D23="","",Matrix!D23)</f>
        <v/>
      </c>
      <c r="E6" s="183" t="str">
        <f>IF(Matrix!E23="","",Matrix!E23)</f>
        <v/>
      </c>
      <c r="F6" s="183" t="str">
        <f>IF(Matrix!F23="","",Matrix!F23)</f>
        <v/>
      </c>
      <c r="G6" s="183" t="str">
        <f>IF(Matrix!G23="","",Matrix!G23)</f>
        <v/>
      </c>
      <c r="H6" s="183" t="str">
        <f>IF(Matrix!H23="","",Matrix!H23)</f>
        <v/>
      </c>
      <c r="I6" s="183" t="str">
        <f>IF(Matrix!I23="","",Matrix!I23)</f>
        <v/>
      </c>
      <c r="J6" s="183" t="str">
        <f>IF(Matrix!K23="","",Matrix!K23)</f>
        <v/>
      </c>
      <c r="K6" s="183" t="str">
        <f>IF(Matrix!L23="","",Matrix!L23)</f>
        <v/>
      </c>
      <c r="L6" s="183" t="str">
        <f>IF(Matrix!M23="","",Matrix!M23)</f>
        <v/>
      </c>
      <c r="M6" s="183" t="str">
        <f>IF(Matrix!N23="","",Matrix!N23)</f>
        <v/>
      </c>
      <c r="N6" s="238" t="str">
        <f>IF(Matrix!O23="","",Matrix!O23*100)</f>
        <v/>
      </c>
      <c r="O6" s="183" t="str">
        <f>IF(Matrix!Q23="","",Matrix!Q23)</f>
        <v/>
      </c>
      <c r="P6" s="183" t="str">
        <f>IF(Matrix!R23="","",Matrix!R23)</f>
        <v/>
      </c>
      <c r="Q6" s="183" t="str">
        <f>IF(Matrix!S23="","",Matrix!S23)</f>
        <v/>
      </c>
      <c r="R6" s="183" t="str">
        <f>IF(Matrix!T23="","",Matrix!T23)</f>
        <v/>
      </c>
      <c r="S6" s="183" t="str">
        <f>IF(Matrix!U23="","",Matrix!U23)</f>
        <v/>
      </c>
      <c r="T6" s="183" t="str">
        <f>IF(Matrix!V23="","",Matrix!V23)</f>
        <v/>
      </c>
      <c r="U6" s="183" t="str">
        <f>IF(Matrix!W23="","",Matrix!W23)</f>
        <v/>
      </c>
      <c r="V6" s="238" t="str">
        <f>IF(Matrix!Y23="","",Matrix!Y23*100)</f>
        <v/>
      </c>
      <c r="W6" s="238" t="str">
        <f>IF(Matrix!Z23="","",Matrix!Z23*100)</f>
        <v/>
      </c>
    </row>
    <row r="7" spans="1:23" s="236" customFormat="1" x14ac:dyDescent="0.25">
      <c r="A7" s="184" t="str">
        <f>Matrix!A24</f>
        <v>nicht relevant</v>
      </c>
      <c r="B7" s="183" t="str">
        <f>LEFT(Matrix!B24,4)</f>
        <v>2018</v>
      </c>
      <c r="C7" s="183">
        <f>Matrix!C24</f>
        <v>0</v>
      </c>
      <c r="D7" s="183" t="str">
        <f>IF(Matrix!D24="","",Matrix!D24)</f>
        <v/>
      </c>
      <c r="E7" s="183" t="str">
        <f>IF(Matrix!E24="","",Matrix!E24)</f>
        <v/>
      </c>
      <c r="F7" s="183" t="str">
        <f>IF(Matrix!F24="","",Matrix!F24)</f>
        <v/>
      </c>
      <c r="G7" s="183" t="str">
        <f>IF(Matrix!G24="","",Matrix!G24)</f>
        <v/>
      </c>
      <c r="H7" s="183" t="str">
        <f>IF(Matrix!H24="","",Matrix!H24)</f>
        <v/>
      </c>
      <c r="I7" s="183" t="str">
        <f>IF(Matrix!I24="","",Matrix!I24)</f>
        <v/>
      </c>
      <c r="J7" s="183" t="str">
        <f>IF(Matrix!K24="","",Matrix!K24)</f>
        <v/>
      </c>
      <c r="K7" s="183" t="str">
        <f>IF(Matrix!L24="","",Matrix!L24)</f>
        <v/>
      </c>
      <c r="L7" s="183" t="str">
        <f>IF(Matrix!M24="","",Matrix!M24)</f>
        <v/>
      </c>
      <c r="M7" s="183" t="str">
        <f>IF(Matrix!N24="","",Matrix!N24)</f>
        <v/>
      </c>
      <c r="N7" s="238" t="str">
        <f>IF(Matrix!O24="","",Matrix!O24*100)</f>
        <v/>
      </c>
      <c r="O7" s="183" t="str">
        <f>IF(Matrix!Q24="","",Matrix!Q24)</f>
        <v/>
      </c>
      <c r="P7" s="183" t="str">
        <f>IF(Matrix!R24="","",Matrix!R24)</f>
        <v/>
      </c>
      <c r="Q7" s="183" t="str">
        <f>IF(Matrix!S24="","",Matrix!S24)</f>
        <v/>
      </c>
      <c r="R7" s="183" t="str">
        <f>IF(Matrix!T24="","",Matrix!T24)</f>
        <v/>
      </c>
      <c r="S7" s="183" t="str">
        <f>IF(Matrix!U24="","",Matrix!U24)</f>
        <v/>
      </c>
      <c r="T7" s="183" t="str">
        <f>IF(Matrix!V24="","",Matrix!V24)</f>
        <v/>
      </c>
      <c r="U7" s="183" t="str">
        <f>IF(Matrix!W24="","",Matrix!W24)</f>
        <v/>
      </c>
      <c r="V7" s="238" t="str">
        <f>IF(Matrix!Y24="","",Matrix!Y24*100)</f>
        <v/>
      </c>
      <c r="W7" s="238" t="str">
        <f>IF(Matrix!Z24="","",Matrix!Z24*100)</f>
        <v/>
      </c>
    </row>
  </sheetData>
  <customSheetViews>
    <customSheetView guid="{DAA0C1F4-4D8F-4BD8-91F9-40281B589772}" state="hidden">
      <selection activeCell="D30" sqref="D30"/>
      <pageMargins left="0.7" right="0.7" top="0.78740157499999996" bottom="0.78740157499999996" header="0.3" footer="0.3"/>
    </customSheetView>
    <customSheetView guid="{AD479C9E-06F7-4C03-8179-295428B49475}">
      <selection activeCell="H28" sqref="H28"/>
      <pageMargins left="0.7" right="0.7" top="0.78740157499999996" bottom="0.78740157499999996" header="0.3" footer="0.3"/>
    </customSheetView>
  </customSheetViews>
  <phoneticPr fontId="42"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9"/>
  <dimension ref="A1:BK59"/>
  <sheetViews>
    <sheetView topLeftCell="A22" zoomScale="90" zoomScaleNormal="90" workbookViewId="0">
      <selection activeCell="A49" sqref="A49"/>
    </sheetView>
  </sheetViews>
  <sheetFormatPr defaultColWidth="9" defaultRowHeight="14.25" x14ac:dyDescent="0.2"/>
  <cols>
    <col min="1" max="1" width="20.7109375" style="2" customWidth="1"/>
    <col min="2" max="2" width="28.85546875" style="2" customWidth="1"/>
    <col min="3" max="3" width="42.7109375" style="2" customWidth="1"/>
    <col min="4" max="4" width="24.85546875" style="2" customWidth="1"/>
    <col min="5" max="5" width="30.5703125" style="2" customWidth="1"/>
    <col min="6" max="6" width="29.42578125" style="2" customWidth="1"/>
    <col min="7" max="7" width="29.42578125" style="11" customWidth="1"/>
    <col min="8" max="8" width="25.85546875" style="19" customWidth="1"/>
    <col min="9" max="9" width="25.28515625" style="19" customWidth="1"/>
    <col min="10" max="10" width="61.85546875" style="2" customWidth="1"/>
    <col min="11" max="11" width="29.85546875" style="2" customWidth="1"/>
    <col min="12" max="12" width="32.85546875" style="2" customWidth="1"/>
    <col min="13" max="13" width="27.5703125" style="2" customWidth="1"/>
    <col min="14" max="14" width="24.42578125" style="2" customWidth="1"/>
    <col min="15" max="15" width="21.42578125" style="2" customWidth="1"/>
    <col min="16" max="16" width="42.85546875" style="2" customWidth="1"/>
    <col min="17" max="17" width="41.140625" style="2" customWidth="1"/>
    <col min="18" max="18" width="27.5703125" style="2" customWidth="1"/>
    <col min="19" max="19" width="21.7109375" style="2" customWidth="1"/>
    <col min="20" max="20" width="19.7109375" style="2" customWidth="1"/>
    <col min="21" max="21" width="18.7109375" style="2" customWidth="1"/>
    <col min="22" max="160" width="11.42578125" style="2" customWidth="1"/>
    <col min="161" max="16384" width="9" style="2"/>
  </cols>
  <sheetData>
    <row r="1" spans="1:62" x14ac:dyDescent="0.2">
      <c r="G1" s="2"/>
      <c r="H1" s="2"/>
      <c r="I1" s="2"/>
    </row>
    <row r="2" spans="1:62" s="22" customFormat="1" ht="20.25" customHeight="1" x14ac:dyDescent="0.25">
      <c r="A2" s="14" t="s">
        <v>89</v>
      </c>
      <c r="AI2" s="19"/>
      <c r="BI2" s="2"/>
      <c r="BJ2" s="11"/>
    </row>
    <row r="3" spans="1:62" ht="14.25" customHeight="1" x14ac:dyDescent="0.2">
      <c r="AI3" s="19"/>
      <c r="BJ3" s="11"/>
    </row>
    <row r="4" spans="1:62" x14ac:dyDescent="0.2">
      <c r="G4" s="2"/>
      <c r="H4" s="2"/>
      <c r="I4" s="2"/>
      <c r="AI4" s="19"/>
      <c r="BJ4" s="11"/>
    </row>
    <row r="5" spans="1:62" ht="15" customHeight="1" x14ac:dyDescent="0.2">
      <c r="B5" s="52" t="s">
        <v>81</v>
      </c>
      <c r="C5" s="32" t="s">
        <v>73</v>
      </c>
      <c r="D5" s="31" t="s">
        <v>4</v>
      </c>
      <c r="E5" s="53" t="s">
        <v>82</v>
      </c>
      <c r="F5" s="54" t="s">
        <v>83</v>
      </c>
      <c r="G5" s="2"/>
      <c r="H5" s="2"/>
      <c r="I5" s="2"/>
      <c r="AI5" s="29"/>
      <c r="BH5" s="22"/>
      <c r="BI5" s="9"/>
    </row>
    <row r="6" spans="1:62" ht="24.75" customHeight="1" x14ac:dyDescent="0.2">
      <c r="B6" s="93" t="str">
        <f>IF(AND(E6=0,F6=0,Berechnung3!A7="relevant"),B8,IF(OR(Berechnung3!A7="nicht relevant",Berechnung3!A7="EZ"),"",B9))</f>
        <v/>
      </c>
      <c r="C6" s="91">
        <f>Berechnung3!J38</f>
        <v>0</v>
      </c>
      <c r="D6" s="46">
        <f>Berechnung3!J39</f>
        <v>0</v>
      </c>
      <c r="E6" s="94">
        <f>Berechnung3!J37</f>
        <v>0</v>
      </c>
      <c r="F6" s="95">
        <f>Berechnung3!J36</f>
        <v>0</v>
      </c>
      <c r="G6" s="2"/>
      <c r="H6" s="2"/>
      <c r="I6" s="2"/>
      <c r="AI6" s="29"/>
    </row>
    <row r="7" spans="1:62" x14ac:dyDescent="0.2">
      <c r="G7" s="2"/>
      <c r="H7" s="2"/>
      <c r="I7" s="2"/>
      <c r="AI7" s="29"/>
    </row>
    <row r="8" spans="1:62" ht="15" x14ac:dyDescent="0.25">
      <c r="A8" s="27" t="s">
        <v>103</v>
      </c>
      <c r="B8" s="2" t="s">
        <v>116</v>
      </c>
      <c r="G8" s="2"/>
      <c r="H8" s="2"/>
      <c r="I8" s="2"/>
      <c r="AI8" s="19"/>
    </row>
    <row r="9" spans="1:62" x14ac:dyDescent="0.2">
      <c r="B9" s="2" t="s">
        <v>336</v>
      </c>
      <c r="G9" s="2"/>
      <c r="H9" s="2"/>
      <c r="I9" s="2"/>
      <c r="AI9" s="19"/>
    </row>
    <row r="10" spans="1:62" x14ac:dyDescent="0.2">
      <c r="G10" s="2"/>
      <c r="H10" s="2"/>
      <c r="I10" s="2"/>
      <c r="AI10" s="19"/>
    </row>
    <row r="11" spans="1:62" ht="15.75" x14ac:dyDescent="0.25">
      <c r="A11" s="19"/>
      <c r="B11" s="14" t="s">
        <v>109</v>
      </c>
      <c r="G11" s="2"/>
      <c r="H11" s="2"/>
      <c r="I11" s="2"/>
      <c r="AI11" s="19"/>
    </row>
    <row r="12" spans="1:62" x14ac:dyDescent="0.2">
      <c r="A12" s="19"/>
      <c r="G12" s="2"/>
      <c r="H12" s="2"/>
      <c r="I12" s="2"/>
      <c r="AI12" s="19"/>
    </row>
    <row r="13" spans="1:62" x14ac:dyDescent="0.2">
      <c r="A13" s="19"/>
      <c r="B13" s="1059" t="s">
        <v>98</v>
      </c>
      <c r="C13" s="1061" t="s">
        <v>111</v>
      </c>
      <c r="D13" s="580" t="s">
        <v>57</v>
      </c>
      <c r="E13" s="1063" t="s">
        <v>378</v>
      </c>
      <c r="G13" s="2"/>
      <c r="H13" s="2"/>
      <c r="I13" s="2"/>
      <c r="AI13" s="19"/>
    </row>
    <row r="14" spans="1:62" ht="15" customHeight="1" x14ac:dyDescent="0.2">
      <c r="A14" s="29"/>
      <c r="B14" s="1060"/>
      <c r="C14" s="1062"/>
      <c r="D14" s="1058"/>
      <c r="E14" s="1064"/>
      <c r="F14" s="22"/>
      <c r="G14" s="22"/>
      <c r="H14" s="22"/>
      <c r="I14" s="101" t="s">
        <v>378</v>
      </c>
      <c r="J14" s="252" t="s">
        <v>379</v>
      </c>
      <c r="AI14" s="19"/>
    </row>
    <row r="15" spans="1:62" ht="60" customHeight="1" x14ac:dyDescent="0.2">
      <c r="A15" s="201" t="s">
        <v>108</v>
      </c>
      <c r="B15" s="30" t="str">
        <f>CONCATENATE(IF(Berechnung3!$H$2=Berechnung2!$L$34,Berechnung3!$B$2,""),IF(Berechnung3!$H$3=Berechnung2!$L$34,Berechnung3!$B$3,""),IF(Berechnung3!$H$4=Berechnung2!$L$34,Berechnung3!$B$4,""),IF(Berechnung3!$H$5=Berechnung2!$L$34,Berechnung3!$B$5,""),IF(Berechnung3!$H$6=Berechnung2!$L$34,Berechnung3!$B$6,""),IF(Berechnung3!$H$7=Berechnung2!$L$34,Berechnung3!$B$7,""))</f>
        <v/>
      </c>
      <c r="C15" s="30">
        <f>IF(LEN(B15)&gt;0,"X",0)</f>
        <v>0</v>
      </c>
      <c r="D15" s="92" t="str">
        <f>IF(COUNTIF(Berechnung3!$H$2:$H$7,Berechnung2!$L$34)&gt;0,CONCATENATE("  ",Berechnung1!$F$4,"                      ",Berechnung2!$L$34),"")</f>
        <v/>
      </c>
      <c r="E15" s="92" t="str">
        <f>IF(COUNTIF(Berechnung3!$H$2:$H$7,Berechnung2!$L$34)&gt;0,"a","")</f>
        <v/>
      </c>
      <c r="G15" s="39" t="e">
        <f t="array" ref="G15">INDEX(B:B,SMALL(IF($C$15:$C$22="X",ROW($15:$22)),1))</f>
        <v>#NUM!</v>
      </c>
      <c r="H15" s="39" t="e">
        <f t="array" ref="H15">INDEX(D:D,SMALL(IF($C$15:$C$22="X",ROW($15:$22)),1))</f>
        <v>#NUM!</v>
      </c>
      <c r="I15" s="251" t="e">
        <f t="array" ref="I15">INDEX(E:E,SMALL(IF($C$15:$C$22="X",ROW($15:$22)),1))</f>
        <v>#NUM!</v>
      </c>
      <c r="J15" s="248" t="e">
        <f>IF(AND(Datendefizite_Matrix!D17="",I15&lt;&gt;""),"Anmerkung OnkoZert : Keine Erläuterung vorhanden",Datendefizite_Matrix!D17)</f>
        <v>#NUM!</v>
      </c>
      <c r="AJ15" s="19"/>
    </row>
    <row r="16" spans="1:62" ht="60" customHeight="1" x14ac:dyDescent="0.2">
      <c r="A16" s="197" t="s">
        <v>327</v>
      </c>
      <c r="B16" s="30" t="str">
        <f>CONCATENATE(IF(Berechnung3!$H$8=Berechnung2!$L$39,Berechnung3!$B$2,""),IF(Berechnung3!$H$9=Berechnung2!$L$39,Berechnung3!$B$3,""),IF(Berechnung3!$H$10=Berechnung2!$L$39,Berechnung3!$B$4,""),IF(Berechnung3!$H$11=Berechnung2!$L$39,Berechnung3!$B$5,""),IF(Berechnung3!$H$12=Berechnung2!$L$39,Berechnung3!$B$6,""),IF(Berechnung3!$H$13=Berechnung2!$L$39,Berechnung3!$B$7,""))</f>
        <v/>
      </c>
      <c r="C16" s="30">
        <f>IF(LEN(B16)&gt;0,"X",0)</f>
        <v>0</v>
      </c>
      <c r="D16" s="92" t="str">
        <f>IF(COUNTIF(Berechnung3!$H$8:$H$13,Berechnung2!$L$39)&gt;0,CONCATENATE("",Berechnung1!$G$4,"                                       ",Berechnung2!$L$39),"")</f>
        <v/>
      </c>
      <c r="E16" s="92" t="str">
        <f>IF(COUNTIF(Berechnung3!$H$8:$H$13,Berechnung2!$L$39)&gt;0,"b","")</f>
        <v/>
      </c>
      <c r="G16" s="39" t="e">
        <f t="array" ref="G16">INDEX(B:B,SMALL(IF($C$15:$C$22="X",ROW($15:$22)),2))</f>
        <v>#NUM!</v>
      </c>
      <c r="H16" s="39" t="e">
        <f t="array" ref="H16">INDEX(D:D,SMALL(IF($C$15:$C$22="X",ROW($15:$22)),2))</f>
        <v>#NUM!</v>
      </c>
      <c r="I16" s="251" t="e">
        <f t="array" ref="I16">INDEX(E:E,SMALL(IF($C$15:$C$22="X",ROW($15:$22)),2))</f>
        <v>#NUM!</v>
      </c>
      <c r="J16" s="248" t="e">
        <f>IF(AND(Datendefizite_Matrix!D18="",I16&lt;&gt;""),"Anmerkung OnkoZert : Keine Erläuterung vorhanden",Datendefizite_Matrix!D18)</f>
        <v>#NUM!</v>
      </c>
    </row>
    <row r="17" spans="1:63" ht="60" customHeight="1" x14ac:dyDescent="0.2">
      <c r="A17" s="197" t="s">
        <v>326</v>
      </c>
      <c r="B17" s="30" t="str">
        <f>CONCATENATE(IF(Berechnung3!$H$14=Berechnung2!$L$40,Berechnung3!$B$2,""),IF(Berechnung3!$H$15=Berechnung2!$L$40,Berechnung3!$B$3,""),IF(Berechnung3!$H$16=Berechnung2!$L$40,Berechnung3!$B$4,""),IF(Berechnung3!$H$17=Berechnung2!$L$40,Berechnung3!$B$5,""),IF(Berechnung3!$H$18=Berechnung2!$L$40,Berechnung3!$B$6,""),IF(Berechnung3!$H$19=Berechnung2!$L$40,Berechnung3!$B$7,""))</f>
        <v/>
      </c>
      <c r="C17" s="30">
        <f>IF(LEN(B17)&gt;0,"X",0)</f>
        <v>0</v>
      </c>
      <c r="D17" s="92" t="str">
        <f>IF(COUNTIF(Berechnung3!$H$14:$H$19,Berechnung2!$L$40)&gt;0,CONCATENATE(" ",Berechnung1!$G$4,"                                      ",Berechnung2!$L$40),"")</f>
        <v/>
      </c>
      <c r="E17" s="92" t="str">
        <f>IF(COUNTIF(Berechnung3!$H$14:$H$19,Berechnung2!$L$40)&gt;0,"c","")</f>
        <v/>
      </c>
      <c r="G17" s="108" t="e">
        <f t="array" ref="G17">INDEX(B:B,SMALL(IF($C$15:$C$22="X",ROW($15:$22)),3))</f>
        <v>#NUM!</v>
      </c>
      <c r="H17" s="198" t="e">
        <f t="array" ref="H17">INDEX(D:D,SMALL(IF($C$15:$C$22="X",ROW($15:$22)),3))</f>
        <v>#NUM!</v>
      </c>
      <c r="I17" s="251" t="e">
        <f t="array" ref="I17">INDEX(E:E,SMALL(IF($C$15:$C$22="X",ROW($15:$22)),3))</f>
        <v>#NUM!</v>
      </c>
      <c r="J17" s="248" t="e">
        <f>IF(AND(Datendefizite_Matrix!D19="",I17&lt;&gt;""),"Anmerkung OnkoZert : Keine Erläuterung vorhanden",Datendefizite_Matrix!D19)</f>
        <v>#NUM!</v>
      </c>
    </row>
    <row r="18" spans="1:63" ht="60" customHeight="1" x14ac:dyDescent="0.2">
      <c r="A18" s="200" t="s">
        <v>324</v>
      </c>
      <c r="B18" s="30" t="s">
        <v>473</v>
      </c>
      <c r="C18" s="30">
        <f>IF(LEN(D18)&gt;0,"X",0)</f>
        <v>0</v>
      </c>
      <c r="D18" s="92" t="str">
        <f>IF(COUNTIF(Berechnung3!H20,Berechnung2!$L$37)&gt;0,CONCATENATE("  ",Berechnung1!$E$4,"          ",Berechnung2!$L$37),"")</f>
        <v/>
      </c>
      <c r="E18" s="92" t="str">
        <f>IF(COUNTIF(Berechnung3!H20,Berechnung2!$L$37)&gt;0,"d","")</f>
        <v/>
      </c>
      <c r="G18" s="39" t="e">
        <f t="array" ref="G18">INDEX(B:B,SMALL(IF($C$15:$C$22="X",ROW($15:$22)),4))</f>
        <v>#NUM!</v>
      </c>
      <c r="H18" s="39" t="e">
        <f t="array" ref="H18">INDEX(D:D,SMALL(IF($C$15:$C$22="X",ROW($15:$22)),4))</f>
        <v>#NUM!</v>
      </c>
      <c r="I18" s="251" t="e">
        <f t="array" ref="I18">INDEX(E:E,SMALL(IF($C$15:$C$22="X",ROW($15:$22)),4))</f>
        <v>#NUM!</v>
      </c>
      <c r="J18" s="248" t="e">
        <f>IF(AND(Datendefizite_Matrix!D20="",I18&lt;&gt;""),"Anmerkung OnkoZert : Keine Erläuterung vorhanden",Datendefizite_Matrix!D20)</f>
        <v>#NUM!</v>
      </c>
      <c r="AJ18" s="19"/>
    </row>
    <row r="19" spans="1:63" ht="60" customHeight="1" x14ac:dyDescent="0.2">
      <c r="A19" s="202" t="s">
        <v>322</v>
      </c>
      <c r="B19" s="30" t="str">
        <f>CONCATENATE(IF(Berechnung3!$H$21=Berechnung2!$L$35,Berechnung3!$B$2,""),IF(Berechnung3!$H$22=Berechnung2!$L$35,Berechnung3!$B$3,""),IF(Berechnung3!$H$23=Berechnung2!$L$35,Berechnung3!$B$4,""),IF(Berechnung3!$H$24=Berechnung2!$L$35,Berechnung3!$B$5,""),IF(Berechnung3!$H$25=Berechnung2!$L$35,Berechnung3!$B$6,""),IF(Berechnung3!$H$26=Berechnung2!$L$35,Berechnung3!$B$7,""))</f>
        <v/>
      </c>
      <c r="C19" s="30">
        <f>IF(LEN(B19)&gt;0,"X",0)</f>
        <v>0</v>
      </c>
      <c r="D19" s="92" t="str">
        <f>IF(COUNTIF(Berechnung3!$H$21:$H$26,Berechnung2!$L$35)&gt;0,CONCATENATE(" ",Berechnung1!$D$3,"                          ",Berechnung2!$L$35),"")</f>
        <v/>
      </c>
      <c r="E19" s="92" t="str">
        <f>IF(COUNTIF(Berechnung3!$H$21:$H$26,Berechnung2!$L$35)&gt;0,"e","")</f>
        <v/>
      </c>
      <c r="G19" s="39" t="e">
        <f t="array" ref="G19">INDEX(B:B,SMALL(IF($C$15:$C$22="X",ROW($15:$22)),5))</f>
        <v>#NUM!</v>
      </c>
      <c r="H19" s="39" t="e">
        <f t="array" ref="H19">INDEX(D:D,SMALL(IF($C$15:$C$22="X",ROW($15:$22)),5))</f>
        <v>#NUM!</v>
      </c>
      <c r="I19" s="251" t="e">
        <f t="array" ref="I19">INDEX(E:E,SMALL(IF($C$15:$C$22="X",ROW($15:$22)),5))</f>
        <v>#NUM!</v>
      </c>
      <c r="J19" s="248" t="e">
        <f>IF(AND(Datendefizite_Matrix!D21="",I19&lt;&gt;""),"Anmerkung OnkoZert : Keine Erläuterung vorhanden",Datendefizite_Matrix!D21)</f>
        <v>#NUM!</v>
      </c>
      <c r="AJ19" s="19"/>
      <c r="BK19" s="28"/>
    </row>
    <row r="20" spans="1:63" ht="60" customHeight="1" x14ac:dyDescent="0.2">
      <c r="A20" s="199" t="s">
        <v>325</v>
      </c>
      <c r="B20" s="30" t="s">
        <v>473</v>
      </c>
      <c r="C20" s="30">
        <f>IF(LEN(D20)&gt;0,"X",0)</f>
        <v>0</v>
      </c>
      <c r="D20" s="92" t="str">
        <f>IF(COUNTIF(Berechnung3!H27,Berechnung2!$L$38),CONCATENATE(" ",Berechnung1!$D$3,"                                 ",Berechnung2!$L$38),"")</f>
        <v/>
      </c>
      <c r="E20" s="92" t="str">
        <f>IF(COUNTIF(Berechnung3!H27,Berechnung2!$L$38)&gt;0,"f","")</f>
        <v/>
      </c>
      <c r="G20" s="39" t="e">
        <f t="array" ref="G20">INDEX(B:B,SMALL(IF($C$15:$C$22="X",ROW($15:$22)),6))</f>
        <v>#NUM!</v>
      </c>
      <c r="H20" s="39" t="e">
        <f t="array" ref="H20">INDEX(D:D,SMALL(IF($C$15:$C$22="X",ROW($15:$22)),6))</f>
        <v>#NUM!</v>
      </c>
      <c r="I20" s="251" t="e">
        <f t="array" ref="I20">INDEX(E:E,SMALL(IF($C$15:$C$22="X",ROW($15:$22)),6))</f>
        <v>#NUM!</v>
      </c>
      <c r="J20" s="248" t="e">
        <f>IF(AND(Datendefizite_Matrix!D22="",I20&lt;&gt;""),"Anmerkung OnkoZert : Keine Erläuterung vorhanden",Datendefizite_Matrix!D22)</f>
        <v>#NUM!</v>
      </c>
      <c r="AJ20" s="19"/>
    </row>
    <row r="21" spans="1:63" ht="60" customHeight="1" x14ac:dyDescent="0.2">
      <c r="A21" s="202" t="s">
        <v>323</v>
      </c>
      <c r="B21" s="30" t="str">
        <f>CONCATENATE(IF(Berechnung3!$H$28=Berechnung2!L36,Berechnung3!$B$2,""),IF(Berechnung3!$H$29=Berechnung2!L36,Berechnung3!$B$3,""),IF(Berechnung3!$H$30=Berechnung2!L36,Berechnung3!$B$4,""),IF(Berechnung3!$H$31=Berechnung2!L36,Berechnung3!$B$5,""),IF(Berechnung3!$H$32=Berechnung2!L36,Berechnung3!$B$6,""),IF(Berechnung3!$H$33=Berechnung2!L36,Berechnung3!$B$7,""))</f>
        <v/>
      </c>
      <c r="C21" s="30">
        <f>IF(LEN(B21)&gt;0,"X",0)</f>
        <v>0</v>
      </c>
      <c r="D21" s="92" t="str">
        <f>IF(COUNTIF(Berechnung3!H28:H33,Berechnung2!$L$36)&gt;0,CONCATENATE(" ",Berechnung1!$D$3,"                           ",Berechnung2!$L$36),"")</f>
        <v/>
      </c>
      <c r="E21" s="92" t="str">
        <f>IF(COUNTIF(Berechnung3!H28:H33,Berechnung2!$L$36)&gt;0,"g","")</f>
        <v/>
      </c>
      <c r="G21" s="39" t="e">
        <f t="array" ref="G21">INDEX(B:B,SMALL(IF($C$15:$C$22="X",ROW($15:$22)),7))</f>
        <v>#NUM!</v>
      </c>
      <c r="H21" s="39" t="e">
        <f t="array" ref="H21">INDEX(D:D,SMALL(IF($C$15:$C$22="X",ROW($15:$22)),7))</f>
        <v>#NUM!</v>
      </c>
      <c r="I21" s="251" t="e">
        <f t="array" ref="I21">INDEX(E:E,SMALL(IF($C$15:$C$22="X",ROW($15:$22)),7))</f>
        <v>#NUM!</v>
      </c>
      <c r="J21" s="248" t="e">
        <f>IF(AND(Datendefizite_Matrix!D23="",I21&lt;&gt;""),"Anmerkung OnkoZert : Keine Erläuterung vorhanden",Datendefizite_Matrix!D23)</f>
        <v>#NUM!</v>
      </c>
      <c r="AJ21" s="19"/>
      <c r="BK21" s="11"/>
    </row>
    <row r="22" spans="1:63" ht="60" customHeight="1" x14ac:dyDescent="0.2">
      <c r="A22" s="199" t="s">
        <v>321</v>
      </c>
      <c r="B22" s="30">
        <v>2013</v>
      </c>
      <c r="C22" s="30">
        <f>IF(LEN(D22)&gt;0,"X",0)</f>
        <v>0</v>
      </c>
      <c r="D22" s="92" t="str">
        <f>IF(COUNTIF(Berechnung3!$H$34,Berechnung2!$L$33),CONCATENATE(Berechnung2!$C$5,"                                     ",L33),"")</f>
        <v/>
      </c>
      <c r="E22" s="92" t="str">
        <f>IF(COUNTIF(Berechnung3!$H$34,Berechnung2!$L$33)&gt;0,"h","")</f>
        <v/>
      </c>
      <c r="G22" s="39" t="e">
        <f t="array" ref="G22">INDEX(B:B,SMALL(IF($C$15:$C$22="X",ROW($15:$22)),8))</f>
        <v>#NUM!</v>
      </c>
      <c r="H22" s="39" t="e">
        <f t="array" ref="H22">INDEX(D:D,SMALL(IF($C$15:$C$22="X",ROW($15:$22)),8))</f>
        <v>#NUM!</v>
      </c>
      <c r="I22" s="251" t="e">
        <f t="array" ref="I22">INDEX(E:E,SMALL(IF($C$15:$C$22="X",ROW($15:$22)),8))</f>
        <v>#NUM!</v>
      </c>
      <c r="J22" s="248" t="e">
        <f>IF(AND(Datendefizite_Matrix!D24="",I22&lt;&gt;""),"Anmerkung OnkoZert : Keine Erläuterung vorhanden",Datendefizite_Matrix!D24)</f>
        <v>#NUM!</v>
      </c>
    </row>
    <row r="25" spans="1:63" x14ac:dyDescent="0.2">
      <c r="A25" s="63" t="s">
        <v>55</v>
      </c>
      <c r="B25" s="60"/>
    </row>
    <row r="26" spans="1:63" x14ac:dyDescent="0.2">
      <c r="A26" s="63" t="s">
        <v>140</v>
      </c>
      <c r="B26" s="60"/>
    </row>
    <row r="27" spans="1:63" x14ac:dyDescent="0.2">
      <c r="A27" s="61" t="str">
        <f>'Basic data'!I14</f>
        <v>-----</v>
      </c>
      <c r="B27" s="62">
        <f>IF(A27&gt;A28,0,DATEDIF(A27,A28,"y"))</f>
        <v>0</v>
      </c>
      <c r="C27" s="64"/>
    </row>
    <row r="28" spans="1:63" x14ac:dyDescent="0.2">
      <c r="A28" s="306">
        <v>43830</v>
      </c>
      <c r="B28" s="62"/>
    </row>
    <row r="30" spans="1:63" ht="21" x14ac:dyDescent="0.35">
      <c r="A30" s="51"/>
    </row>
    <row r="32" spans="1:63" customFormat="1" ht="21.75" thickBot="1" x14ac:dyDescent="0.4">
      <c r="A32" s="51" t="s">
        <v>97</v>
      </c>
      <c r="B32" s="97" t="s">
        <v>105</v>
      </c>
      <c r="C32" s="98"/>
      <c r="D32" s="98"/>
      <c r="E32" s="99"/>
      <c r="F32" s="100" t="s">
        <v>102</v>
      </c>
      <c r="G32" s="194"/>
      <c r="H32" s="101"/>
      <c r="I32" s="101"/>
      <c r="J32" s="102"/>
      <c r="K32" s="99"/>
      <c r="L32" s="97" t="s">
        <v>144</v>
      </c>
      <c r="M32" s="98"/>
      <c r="N32" s="98"/>
      <c r="O32" s="98"/>
      <c r="P32" s="101" t="s">
        <v>145</v>
      </c>
      <c r="Q32" s="103"/>
    </row>
    <row r="33" spans="2:17" customFormat="1" ht="15.75" thickBot="1" x14ac:dyDescent="0.3">
      <c r="B33" s="174" t="s">
        <v>320</v>
      </c>
      <c r="C33" s="98"/>
      <c r="D33" s="106" t="s">
        <v>106</v>
      </c>
      <c r="E33" s="99"/>
      <c r="F33" s="192"/>
      <c r="G33" s="196" t="str">
        <f>'Basic data'!J31</f>
        <v/>
      </c>
      <c r="H33" s="193"/>
      <c r="I33" s="101"/>
      <c r="J33" s="102"/>
      <c r="K33" s="99"/>
      <c r="L33" s="103" t="s">
        <v>329</v>
      </c>
      <c r="M33" s="98"/>
      <c r="N33" s="98"/>
      <c r="O33" s="98"/>
      <c r="P33" s="117" t="s">
        <v>146</v>
      </c>
      <c r="Q33" s="103"/>
    </row>
    <row r="34" spans="2:17" customFormat="1" ht="26.25" x14ac:dyDescent="0.25">
      <c r="B34" s="104"/>
      <c r="C34" s="96"/>
      <c r="D34" s="105" t="s">
        <v>108</v>
      </c>
      <c r="E34" s="107"/>
      <c r="F34" s="113"/>
      <c r="G34" s="195"/>
      <c r="H34" s="109"/>
      <c r="I34" s="109"/>
      <c r="J34" s="112"/>
      <c r="K34" s="107"/>
      <c r="L34" s="221" t="s">
        <v>351</v>
      </c>
      <c r="M34" s="96"/>
      <c r="N34" s="96"/>
      <c r="O34" s="96"/>
      <c r="P34" s="106"/>
      <c r="Q34" s="103"/>
    </row>
    <row r="35" spans="2:17" customFormat="1" ht="15" x14ac:dyDescent="0.25">
      <c r="B35" s="104" t="s">
        <v>99</v>
      </c>
      <c r="C35" s="96"/>
      <c r="D35" s="106" t="s">
        <v>106</v>
      </c>
      <c r="E35" s="107" t="s">
        <v>94</v>
      </c>
      <c r="F35" s="109"/>
      <c r="G35" s="109">
        <v>25</v>
      </c>
      <c r="H35" s="114"/>
      <c r="I35" s="109"/>
      <c r="J35" s="112"/>
      <c r="K35" s="107"/>
      <c r="L35" s="96" t="s">
        <v>147</v>
      </c>
      <c r="M35" s="96"/>
      <c r="N35" s="96"/>
      <c r="O35" s="96"/>
      <c r="P35" s="106"/>
      <c r="Q35" s="103"/>
    </row>
    <row r="36" spans="2:17" customFormat="1" ht="15" x14ac:dyDescent="0.25">
      <c r="B36" s="104" t="s">
        <v>338</v>
      </c>
      <c r="C36" s="96"/>
      <c r="D36" s="106" t="s">
        <v>106</v>
      </c>
      <c r="E36" s="107" t="s">
        <v>94</v>
      </c>
      <c r="F36" s="323">
        <v>0</v>
      </c>
      <c r="G36" s="116">
        <v>0</v>
      </c>
      <c r="H36" s="115"/>
      <c r="I36" s="395">
        <v>0.69999</v>
      </c>
      <c r="J36" s="395">
        <v>0.69999</v>
      </c>
      <c r="K36" s="397"/>
      <c r="L36" s="398" t="s">
        <v>316</v>
      </c>
      <c r="M36" s="398"/>
      <c r="N36" s="96"/>
      <c r="O36" s="96"/>
      <c r="P36" s="106"/>
      <c r="Q36" s="103"/>
    </row>
    <row r="37" spans="2:17" customFormat="1" ht="15" x14ac:dyDescent="0.25">
      <c r="B37" s="408" t="s">
        <v>474</v>
      </c>
      <c r="C37" s="96"/>
      <c r="D37" s="106" t="s">
        <v>107</v>
      </c>
      <c r="E37" s="107" t="s">
        <v>94</v>
      </c>
      <c r="F37" s="111">
        <v>0</v>
      </c>
      <c r="G37" s="110">
        <v>0</v>
      </c>
      <c r="H37" s="113"/>
      <c r="I37" s="395">
        <v>0.79998999999999998</v>
      </c>
      <c r="J37" s="396">
        <v>0.79998999999999998</v>
      </c>
      <c r="K37" s="397"/>
      <c r="L37" s="399" t="s">
        <v>452</v>
      </c>
      <c r="M37" s="398"/>
      <c r="N37" s="96"/>
      <c r="O37" s="96"/>
      <c r="P37" s="106"/>
      <c r="Q37" s="103"/>
    </row>
    <row r="38" spans="2:17" customFormat="1" ht="15" x14ac:dyDescent="0.25">
      <c r="B38" s="408" t="s">
        <v>475</v>
      </c>
      <c r="C38" s="96"/>
      <c r="D38" s="106" t="s">
        <v>106</v>
      </c>
      <c r="E38" s="107" t="s">
        <v>93</v>
      </c>
      <c r="F38" s="109"/>
      <c r="G38" s="110">
        <v>0</v>
      </c>
      <c r="H38" s="112">
        <v>0.95001000000000002</v>
      </c>
      <c r="I38" s="112">
        <v>1</v>
      </c>
      <c r="J38" s="112">
        <v>0.95001000000000002</v>
      </c>
      <c r="K38" s="107"/>
      <c r="L38" s="96" t="s">
        <v>337</v>
      </c>
      <c r="M38" s="96"/>
      <c r="N38" s="96"/>
      <c r="O38" s="96"/>
      <c r="P38" s="106"/>
      <c r="Q38" s="103"/>
    </row>
    <row r="39" spans="2:17" customFormat="1" ht="15" x14ac:dyDescent="0.25">
      <c r="B39" s="104" t="s">
        <v>305</v>
      </c>
      <c r="C39" s="96"/>
      <c r="D39" s="104" t="s">
        <v>306</v>
      </c>
      <c r="E39" s="107"/>
      <c r="F39" s="109"/>
      <c r="G39" s="109"/>
      <c r="H39" s="109"/>
      <c r="I39" s="109"/>
      <c r="J39" s="112"/>
      <c r="K39" s="107"/>
      <c r="L39" s="96" t="s">
        <v>328</v>
      </c>
      <c r="M39" s="96"/>
      <c r="N39" s="96"/>
      <c r="O39" s="96"/>
      <c r="P39" s="106"/>
      <c r="Q39" s="103"/>
    </row>
    <row r="40" spans="2:17" customFormat="1" ht="15" x14ac:dyDescent="0.25">
      <c r="B40" s="104" t="s">
        <v>307</v>
      </c>
      <c r="C40" s="96"/>
      <c r="D40" s="104" t="s">
        <v>306</v>
      </c>
      <c r="E40" s="107" t="s">
        <v>94</v>
      </c>
      <c r="F40" s="109">
        <v>0</v>
      </c>
      <c r="G40" s="109"/>
      <c r="H40" s="109"/>
      <c r="I40" s="109"/>
      <c r="J40" s="112"/>
      <c r="K40" s="107"/>
      <c r="L40" s="96" t="s">
        <v>319</v>
      </c>
      <c r="M40" s="96"/>
      <c r="N40" s="96"/>
      <c r="O40" s="96"/>
      <c r="P40" s="106"/>
      <c r="Q40" s="103"/>
    </row>
    <row r="41" spans="2:17" customFormat="1" ht="15" x14ac:dyDescent="0.25">
      <c r="B41" s="104"/>
      <c r="C41" s="96"/>
      <c r="D41" s="104"/>
      <c r="E41" s="107"/>
      <c r="F41" s="109"/>
      <c r="G41" s="109"/>
      <c r="H41" s="109"/>
      <c r="I41" s="109"/>
      <c r="J41" s="112"/>
      <c r="K41" s="107"/>
      <c r="L41" s="96"/>
      <c r="M41" s="96"/>
      <c r="N41" s="96"/>
      <c r="O41" s="96"/>
      <c r="P41" s="106"/>
      <c r="Q41" s="103"/>
    </row>
    <row r="42" spans="2:17" customFormat="1" ht="15" x14ac:dyDescent="0.25">
      <c r="B42" s="103"/>
      <c r="C42" s="103"/>
      <c r="D42" s="103"/>
      <c r="E42" s="103"/>
      <c r="F42" s="103"/>
      <c r="G42" s="103"/>
      <c r="H42" s="103"/>
      <c r="I42" s="103"/>
      <c r="J42" s="103"/>
      <c r="K42" s="103"/>
      <c r="L42" s="103"/>
      <c r="M42" s="103"/>
      <c r="N42" s="103"/>
      <c r="O42" s="103"/>
      <c r="P42" s="106"/>
      <c r="Q42" s="103"/>
    </row>
    <row r="43" spans="2:17" customFormat="1" ht="15" x14ac:dyDescent="0.25">
      <c r="B43" s="220" t="s">
        <v>88</v>
      </c>
      <c r="C43" s="219"/>
      <c r="D43" s="218"/>
      <c r="E43" s="217" t="s">
        <v>104</v>
      </c>
      <c r="F43" s="217" t="s">
        <v>100</v>
      </c>
      <c r="G43" s="217"/>
      <c r="H43" s="217"/>
      <c r="I43" s="217"/>
      <c r="J43" s="217" t="s">
        <v>101</v>
      </c>
      <c r="K43" s="216"/>
      <c r="L43" s="215" t="s">
        <v>127</v>
      </c>
      <c r="M43" s="215"/>
      <c r="N43" s="215" t="s">
        <v>148</v>
      </c>
      <c r="O43" s="215"/>
      <c r="P43" s="214"/>
      <c r="Q43" s="103"/>
    </row>
    <row r="44" spans="2:17" customFormat="1" ht="15" x14ac:dyDescent="0.25">
      <c r="B44" s="220"/>
      <c r="C44" s="219"/>
      <c r="D44" s="312">
        <v>1E-3</v>
      </c>
      <c r="E44" s="313">
        <v>0</v>
      </c>
      <c r="F44" s="314">
        <v>0.59899999999999998</v>
      </c>
      <c r="G44" s="315">
        <v>0.6</v>
      </c>
      <c r="H44" s="315"/>
      <c r="I44" s="314">
        <v>0.94899999999999995</v>
      </c>
      <c r="J44" s="316">
        <v>0.95</v>
      </c>
      <c r="K44" s="216"/>
      <c r="L44" s="215" t="s">
        <v>127</v>
      </c>
      <c r="M44" s="215"/>
      <c r="N44" s="215" t="s">
        <v>148</v>
      </c>
      <c r="O44" s="215"/>
      <c r="P44" s="214"/>
      <c r="Q44" s="103"/>
    </row>
    <row r="45" spans="2:17" customFormat="1" ht="15" x14ac:dyDescent="0.25">
      <c r="B45" s="220"/>
      <c r="C45" s="219"/>
      <c r="D45" s="312">
        <v>1E-3</v>
      </c>
      <c r="E45" s="313">
        <v>0</v>
      </c>
      <c r="F45" s="314">
        <v>0.59899999999999998</v>
      </c>
      <c r="G45" s="315">
        <v>0.6</v>
      </c>
      <c r="H45" s="315"/>
      <c r="I45" s="314">
        <v>0.94899999999999995</v>
      </c>
      <c r="J45" s="316">
        <v>0.95</v>
      </c>
      <c r="K45" s="216"/>
      <c r="L45" s="215" t="s">
        <v>127</v>
      </c>
      <c r="M45" s="215"/>
      <c r="N45" s="215" t="s">
        <v>148</v>
      </c>
      <c r="O45" s="215"/>
      <c r="P45" s="214"/>
      <c r="Q45" s="103"/>
    </row>
    <row r="46" spans="2:17" customFormat="1" ht="15" x14ac:dyDescent="0.25">
      <c r="B46" s="220"/>
      <c r="C46" s="219"/>
      <c r="D46" s="312">
        <v>1E-3</v>
      </c>
      <c r="E46" s="313">
        <v>0</v>
      </c>
      <c r="F46" s="314">
        <v>0.59899999999999998</v>
      </c>
      <c r="G46" s="315">
        <v>0.6</v>
      </c>
      <c r="H46" s="315"/>
      <c r="I46" s="314">
        <v>0.94899999999999995</v>
      </c>
      <c r="J46" s="316">
        <v>0.95</v>
      </c>
      <c r="K46" s="216"/>
      <c r="L46" s="215" t="s">
        <v>127</v>
      </c>
      <c r="M46" s="215"/>
      <c r="N46" s="215" t="s">
        <v>148</v>
      </c>
      <c r="O46" s="215"/>
      <c r="P46" s="214"/>
      <c r="Q46" s="103"/>
    </row>
    <row r="47" spans="2:17" customFormat="1" ht="15" x14ac:dyDescent="0.25">
      <c r="B47" s="220"/>
      <c r="C47" s="219"/>
      <c r="D47" s="312">
        <v>1E-3</v>
      </c>
      <c r="E47" s="313">
        <v>0</v>
      </c>
      <c r="F47" s="314">
        <v>0.59899999999999998</v>
      </c>
      <c r="G47" s="315">
        <v>0.6</v>
      </c>
      <c r="H47" s="315"/>
      <c r="I47" s="314">
        <v>0.94899999999999995</v>
      </c>
      <c r="J47" s="316">
        <v>0.95</v>
      </c>
      <c r="K47" s="216"/>
      <c r="L47" s="215" t="s">
        <v>127</v>
      </c>
      <c r="M47" s="215"/>
      <c r="N47" s="215" t="s">
        <v>148</v>
      </c>
      <c r="O47" s="215"/>
      <c r="P47" s="214"/>
      <c r="Q47" s="103"/>
    </row>
    <row r="48" spans="2:17" customFormat="1" ht="15" x14ac:dyDescent="0.25">
      <c r="B48" s="220"/>
      <c r="C48" s="219"/>
      <c r="D48" s="312">
        <v>1E-3</v>
      </c>
      <c r="E48" s="313">
        <v>0</v>
      </c>
      <c r="F48" s="314">
        <v>0.59899999999999998</v>
      </c>
      <c r="G48" s="315">
        <v>0.6</v>
      </c>
      <c r="H48" s="315"/>
      <c r="I48" s="314">
        <v>0.94899999999999995</v>
      </c>
      <c r="J48" s="316">
        <v>0.95</v>
      </c>
      <c r="K48" s="216"/>
      <c r="L48" s="215" t="s">
        <v>127</v>
      </c>
      <c r="M48" s="215"/>
      <c r="N48" s="215" t="s">
        <v>148</v>
      </c>
      <c r="O48" s="215"/>
      <c r="P48" s="214"/>
      <c r="Q48" s="103"/>
    </row>
    <row r="49" spans="2:17" customFormat="1" ht="15" x14ac:dyDescent="0.25">
      <c r="B49" s="220"/>
      <c r="C49" s="219"/>
      <c r="D49" s="312">
        <v>1E-3</v>
      </c>
      <c r="E49" s="313">
        <v>0</v>
      </c>
      <c r="F49" s="314">
        <v>0.79900000000000004</v>
      </c>
      <c r="G49" s="315">
        <v>0.8</v>
      </c>
      <c r="H49" s="315"/>
      <c r="I49" s="314">
        <v>0.98899999999999999</v>
      </c>
      <c r="J49" s="317">
        <v>0.99</v>
      </c>
      <c r="K49" s="216"/>
      <c r="L49" s="215" t="s">
        <v>127</v>
      </c>
      <c r="M49" s="215"/>
      <c r="N49" s="215" t="s">
        <v>148</v>
      </c>
      <c r="O49" s="215"/>
      <c r="P49" s="214"/>
      <c r="Q49" s="103"/>
    </row>
    <row r="50" spans="2:17" customFormat="1" ht="15" x14ac:dyDescent="0.25">
      <c r="B50" s="220"/>
      <c r="C50" s="219"/>
      <c r="D50" s="312">
        <v>1E-3</v>
      </c>
      <c r="E50" s="313">
        <v>0</v>
      </c>
      <c r="F50" s="314">
        <v>0.89900000000000002</v>
      </c>
      <c r="G50" s="315">
        <v>0.9</v>
      </c>
      <c r="H50" s="315"/>
      <c r="I50" s="314">
        <v>0.98899999999999999</v>
      </c>
      <c r="J50" s="317">
        <v>0.99</v>
      </c>
      <c r="K50" s="216"/>
      <c r="L50" s="215" t="s">
        <v>127</v>
      </c>
      <c r="M50" s="215"/>
      <c r="N50" s="215" t="s">
        <v>148</v>
      </c>
      <c r="O50" s="215"/>
      <c r="P50" s="214"/>
      <c r="Q50" s="103"/>
    </row>
    <row r="51" spans="2:17" customFormat="1" ht="15" x14ac:dyDescent="0.25">
      <c r="B51" s="213"/>
      <c r="C51" s="213"/>
      <c r="D51" s="307"/>
      <c r="E51" s="307"/>
      <c r="F51" s="307"/>
      <c r="G51" s="307"/>
      <c r="H51" s="307"/>
      <c r="I51" s="307"/>
      <c r="J51" s="308"/>
      <c r="K51" s="212"/>
      <c r="L51" s="211"/>
      <c r="M51" s="211"/>
      <c r="N51" s="211"/>
      <c r="O51" s="211"/>
      <c r="P51" s="214"/>
      <c r="Q51" s="103"/>
    </row>
    <row r="52" spans="2:17" customFormat="1" ht="15" x14ac:dyDescent="0.25">
      <c r="B52" s="220" t="s">
        <v>56</v>
      </c>
      <c r="C52" s="219"/>
      <c r="D52" s="309"/>
      <c r="E52" s="310"/>
      <c r="F52" s="310" t="s">
        <v>100</v>
      </c>
      <c r="G52" s="310"/>
      <c r="H52" s="310"/>
      <c r="I52" s="310"/>
      <c r="J52" s="310" t="s">
        <v>101</v>
      </c>
      <c r="K52" s="216"/>
      <c r="L52" s="215" t="s">
        <v>128</v>
      </c>
      <c r="M52" s="215"/>
      <c r="N52" s="215" t="s">
        <v>149</v>
      </c>
      <c r="O52" s="215"/>
      <c r="P52" s="214"/>
      <c r="Q52" s="103"/>
    </row>
    <row r="53" spans="2:17" customFormat="1" ht="15" x14ac:dyDescent="0.25">
      <c r="B53" s="220"/>
      <c r="C53" s="219"/>
      <c r="D53" s="312">
        <v>1E-3</v>
      </c>
      <c r="E53" s="318">
        <v>0</v>
      </c>
      <c r="F53" s="319">
        <v>0.59899999999999998</v>
      </c>
      <c r="G53" s="320">
        <v>0.6</v>
      </c>
      <c r="H53" s="311"/>
      <c r="I53" s="319">
        <v>0.94899999999999995</v>
      </c>
      <c r="J53" s="321">
        <v>0.95</v>
      </c>
      <c r="K53" s="216"/>
      <c r="L53" s="215" t="s">
        <v>128</v>
      </c>
      <c r="M53" s="215"/>
      <c r="N53" s="215" t="s">
        <v>149</v>
      </c>
      <c r="O53" s="215"/>
      <c r="P53" s="214"/>
      <c r="Q53" s="103"/>
    </row>
    <row r="54" spans="2:17" customFormat="1" ht="15" x14ac:dyDescent="0.25">
      <c r="B54" s="220"/>
      <c r="C54" s="219"/>
      <c r="D54" s="312">
        <v>1E-3</v>
      </c>
      <c r="E54" s="318">
        <v>0</v>
      </c>
      <c r="F54" s="319">
        <v>0.59899999999999998</v>
      </c>
      <c r="G54" s="320">
        <v>0.6</v>
      </c>
      <c r="H54" s="311"/>
      <c r="I54" s="319">
        <v>0.94899999999999995</v>
      </c>
      <c r="J54" s="321">
        <v>0.95</v>
      </c>
      <c r="K54" s="216"/>
      <c r="L54" s="215" t="s">
        <v>128</v>
      </c>
      <c r="M54" s="215"/>
      <c r="N54" s="215" t="s">
        <v>149</v>
      </c>
      <c r="O54" s="215"/>
      <c r="P54" s="214"/>
      <c r="Q54" s="103"/>
    </row>
    <row r="55" spans="2:17" customFormat="1" ht="15" x14ac:dyDescent="0.25">
      <c r="B55" s="220"/>
      <c r="C55" s="219"/>
      <c r="D55" s="312">
        <v>1E-3</v>
      </c>
      <c r="E55" s="318">
        <v>0</v>
      </c>
      <c r="F55" s="319">
        <v>0.59899999999999998</v>
      </c>
      <c r="G55" s="320">
        <v>0.6</v>
      </c>
      <c r="H55" s="311"/>
      <c r="I55" s="319">
        <v>0.94899999999999995</v>
      </c>
      <c r="J55" s="321">
        <v>0.95</v>
      </c>
      <c r="K55" s="216"/>
      <c r="L55" s="215" t="s">
        <v>128</v>
      </c>
      <c r="M55" s="215"/>
      <c r="N55" s="215" t="s">
        <v>149</v>
      </c>
      <c r="O55" s="215"/>
      <c r="P55" s="214"/>
      <c r="Q55" s="103"/>
    </row>
    <row r="56" spans="2:17" customFormat="1" ht="15" x14ac:dyDescent="0.25">
      <c r="B56" s="220"/>
      <c r="C56" s="219"/>
      <c r="D56" s="312">
        <v>1E-3</v>
      </c>
      <c r="E56" s="318">
        <v>0</v>
      </c>
      <c r="F56" s="319">
        <v>0.59899999999999998</v>
      </c>
      <c r="G56" s="320">
        <v>0.6</v>
      </c>
      <c r="H56" s="311"/>
      <c r="I56" s="319">
        <v>0.94899999999999995</v>
      </c>
      <c r="J56" s="321">
        <v>0.95</v>
      </c>
      <c r="K56" s="216"/>
      <c r="L56" s="215" t="s">
        <v>128</v>
      </c>
      <c r="M56" s="215"/>
      <c r="N56" s="215" t="s">
        <v>149</v>
      </c>
      <c r="O56" s="215"/>
      <c r="P56" s="214"/>
      <c r="Q56" s="103"/>
    </row>
    <row r="57" spans="2:17" customFormat="1" ht="15" x14ac:dyDescent="0.25">
      <c r="B57" s="220"/>
      <c r="C57" s="219"/>
      <c r="D57" s="312">
        <v>1E-3</v>
      </c>
      <c r="E57" s="318">
        <v>0</v>
      </c>
      <c r="F57" s="319">
        <v>0.59899999999999998</v>
      </c>
      <c r="G57" s="320">
        <v>0.6</v>
      </c>
      <c r="H57" s="311"/>
      <c r="I57" s="319">
        <v>0.94899999999999995</v>
      </c>
      <c r="J57" s="321">
        <v>0.95</v>
      </c>
      <c r="K57" s="216"/>
      <c r="L57" s="215" t="s">
        <v>128</v>
      </c>
      <c r="M57" s="215"/>
      <c r="N57" s="215" t="s">
        <v>149</v>
      </c>
      <c r="O57" s="215"/>
      <c r="P57" s="214"/>
      <c r="Q57" s="103"/>
    </row>
    <row r="58" spans="2:17" customFormat="1" ht="15" x14ac:dyDescent="0.25">
      <c r="B58" s="220"/>
      <c r="C58" s="219"/>
      <c r="D58" s="312">
        <v>1E-3</v>
      </c>
      <c r="E58" s="318">
        <v>0</v>
      </c>
      <c r="F58" s="319">
        <v>0.84899999999999998</v>
      </c>
      <c r="G58" s="320">
        <v>0.85</v>
      </c>
      <c r="H58" s="311"/>
      <c r="I58" s="319">
        <v>0.98899999999999999</v>
      </c>
      <c r="J58" s="322">
        <v>0.99</v>
      </c>
      <c r="K58" s="216"/>
      <c r="L58" s="215" t="s">
        <v>128</v>
      </c>
      <c r="M58" s="215"/>
      <c r="N58" s="215" t="s">
        <v>149</v>
      </c>
      <c r="O58" s="215"/>
      <c r="P58" s="214"/>
      <c r="Q58" s="103"/>
    </row>
    <row r="59" spans="2:17" customFormat="1" ht="15" x14ac:dyDescent="0.25">
      <c r="B59" s="220"/>
      <c r="C59" s="219"/>
      <c r="D59" s="312">
        <v>1E-3</v>
      </c>
      <c r="E59" s="318">
        <v>0</v>
      </c>
      <c r="F59" s="319">
        <v>0.94899999999999995</v>
      </c>
      <c r="G59" s="320">
        <v>0.95</v>
      </c>
      <c r="H59" s="311"/>
      <c r="I59" s="319">
        <v>0.98899999999999999</v>
      </c>
      <c r="J59" s="322">
        <v>0.99</v>
      </c>
      <c r="K59" s="216"/>
      <c r="L59" s="215" t="s">
        <v>128</v>
      </c>
      <c r="M59" s="215"/>
      <c r="N59" s="215" t="s">
        <v>149</v>
      </c>
      <c r="O59" s="215"/>
      <c r="P59" s="214"/>
      <c r="Q59" s="103"/>
    </row>
  </sheetData>
  <customSheetViews>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1"/>
    </customSheetView>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2"/>
    </customSheetView>
  </customSheetViews>
  <mergeCells count="4">
    <mergeCell ref="D13:D14"/>
    <mergeCell ref="B13:B14"/>
    <mergeCell ref="C13:C14"/>
    <mergeCell ref="E13:E14"/>
  </mergeCells>
  <phoneticPr fontId="42" type="noConversion"/>
  <conditionalFormatting sqref="BH7">
    <cfRule type="expression" dxfId="83" priority="2160">
      <formula>$BH7="EZ"</formula>
    </cfRule>
    <cfRule type="expression" dxfId="82"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dimension ref="A1:R39"/>
  <sheetViews>
    <sheetView workbookViewId="0">
      <selection activeCell="B34" sqref="B34"/>
    </sheetView>
  </sheetViews>
  <sheetFormatPr defaultColWidth="11.42578125" defaultRowHeight="12" x14ac:dyDescent="0.25"/>
  <cols>
    <col min="1" max="1" width="12.42578125" style="253" customWidth="1"/>
    <col min="2" max="3" width="9.140625" style="253" customWidth="1"/>
    <col min="4" max="4" width="31.140625" style="253" customWidth="1"/>
    <col min="5" max="5" width="12.28515625" style="253" customWidth="1"/>
    <col min="6" max="7" width="9.140625" style="253" customWidth="1"/>
    <col min="8" max="8" width="49.7109375" style="167" customWidth="1"/>
    <col min="9" max="9" width="56.42578125" style="167" customWidth="1"/>
    <col min="10" max="10" width="6.85546875" style="253" customWidth="1"/>
    <col min="11" max="11" width="11" style="253" customWidth="1"/>
    <col min="12" max="12" width="28.85546875" style="162" customWidth="1"/>
    <col min="13" max="13" width="22.7109375" style="162" customWidth="1"/>
    <col min="14" max="14" width="26.42578125" style="162" customWidth="1"/>
    <col min="15" max="15" width="48.85546875" style="167" customWidth="1"/>
    <col min="16" max="16" width="54.42578125" style="167" customWidth="1"/>
    <col min="17" max="16384" width="11.42578125" style="253"/>
  </cols>
  <sheetData>
    <row r="1" spans="1:18" ht="24.75" thickBot="1" x14ac:dyDescent="0.3">
      <c r="L1" s="246" t="s">
        <v>110</v>
      </c>
      <c r="M1" s="246" t="s">
        <v>378</v>
      </c>
      <c r="N1" s="246" t="s">
        <v>389</v>
      </c>
      <c r="O1" s="246" t="s">
        <v>57</v>
      </c>
      <c r="P1" s="246" t="s">
        <v>348</v>
      </c>
    </row>
    <row r="2" spans="1:18" s="7" customFormat="1" ht="24.75" customHeight="1" x14ac:dyDescent="0.25">
      <c r="A2" s="250" t="str">
        <f>IF(Berechnung2!$B$27&gt;5,IF(Berechnung2!$B$27=6,"EZ",IF(Berechnung2!$B$27&gt;6,"relevant","?")),"nicht relevant")</f>
        <v>nicht relevant</v>
      </c>
      <c r="B2" s="40" t="str">
        <f>CONCATENATE("2013;"," ")</f>
        <v xml:space="preserve">2013; </v>
      </c>
      <c r="C2" s="36"/>
      <c r="D2" s="259" t="s">
        <v>83</v>
      </c>
      <c r="E2" s="265" t="str">
        <f>IF(H2="","","2013")</f>
        <v/>
      </c>
      <c r="F2" s="265" t="str">
        <f t="shared" ref="F2:F7" si="0">IF(H2="","","a")</f>
        <v/>
      </c>
      <c r="G2" s="265" t="str">
        <f>IF(H2="","","1")</f>
        <v/>
      </c>
      <c r="H2" s="277" t="str">
        <f>IF(A2="relevant",IF(COUNTIF(Matrix!C19:W19,"")&gt;2,Berechnung2!$L$34,""),"")</f>
        <v/>
      </c>
      <c r="I2" s="278" t="str">
        <f>IF(H2="","",VLOOKUP(F2,Berechnung2!$I$15:$J$22,2,FALSE))</f>
        <v/>
      </c>
      <c r="J2" s="263" t="str">
        <f>IF(H2&lt;&gt;"",1,"")</f>
        <v/>
      </c>
      <c r="L2" s="40" t="str">
        <f t="array" aca="1" ref="L2" ca="1">IF(ROW()-ROW($F$2:$F$34)+1&gt;ROWS($E$2:$E$34)-COUNTBLANK($E$2:$E$34),"",INDIRECT(ADDRESS(SMALL((IF($E$2:$E$34&lt;&gt;"",ROW($E$2:$E$34),ROW()+ROWS($E$2:$E$34))),ROW()-ROW($F$2:$F$34)+1),COLUMN($E$2:$E$34),4)))</f>
        <v/>
      </c>
      <c r="M2" s="40" t="str">
        <f t="array" aca="1" ref="M2" ca="1">IF(ROW()-ROW($G$2:$G$34)+1&gt;ROWS($F$2:$F$34)-COUNTBLANK($F$2:$F$34),"",INDIRECT(ADDRESS(SMALL((IF($F$2:$F$34&lt;&gt;"",ROW($F$2:$F$34),ROW()+ROWS($F$2:$F$34))),ROW()-ROW($G$2:$G$34)+1),COLUMN($F$2:$F$34),4)))</f>
        <v/>
      </c>
      <c r="N2" s="40" t="str">
        <f t="array" aca="1" ref="N2" ca="1">IF(ROW()-ROW($H$2:$H$34)+1&gt;ROWS($G$2:$G$34)-COUNTBLANK($G$2:$G$34),"",INDIRECT(ADDRESS(SMALL((IF($G$2:$G$34&lt;&gt;"",ROW($G$2:$G$34),ROW()+ROWS($G$2:$G$34))),ROW()-ROW($H$2:$H$34)+1),COLUMN($G$2:$G$34),4)))</f>
        <v/>
      </c>
      <c r="O2" s="240" t="str">
        <f t="array" aca="1" ref="O2" ca="1">IF(ROW()-ROW($I$2:$I$34)+1&gt;ROWS($H$2:$H$34)-COUNTBLANK($H$2:$H$34),"",INDIRECT(ADDRESS(SMALL((IF($H$2:$H$34&lt;&gt;"",ROW($H$2:$H$34),ROW()+ROWS($H$2:$H$34))),ROW()-ROW($I$2:$I$34)+1),COLUMN($H$2:$H$34),4)))</f>
        <v/>
      </c>
      <c r="P2" s="240" t="str">
        <f t="array" aca="1" ref="P2" ca="1">IF(ROW()-ROW($J$2:$J$34)+1&gt;ROWS($I$2:$I$34)-COUNTBLANK($I$2:$I$34),"",INDIRECT(ADDRESS(SMALL((IF($I$2:$I$34&lt;&gt;"",ROW($I$2:$I$34),ROW()+ROWS($I$2:$I$34))),ROW()-ROW($J$2:$J$34)+1),COLUMN($I$2:$I$34),4)))</f>
        <v/>
      </c>
    </row>
    <row r="3" spans="1:18" s="7" customFormat="1" ht="22.5" x14ac:dyDescent="0.25">
      <c r="A3" s="250" t="str">
        <f>IF(Berechnung2!$B$27&gt;4,IF(Berechnung2!$B$27=5,"EZ",IF(Berechnung2!$B$27&gt;5,"relevant","?")),"nicht relevant")</f>
        <v>nicht relevant</v>
      </c>
      <c r="B3" s="40" t="str">
        <f>CONCATENATE("2014;"," ")</f>
        <v xml:space="preserve">2014; </v>
      </c>
      <c r="C3" s="36"/>
      <c r="D3" s="260" t="s">
        <v>381</v>
      </c>
      <c r="E3" s="40" t="str">
        <f>IF(H3="","","2014")</f>
        <v/>
      </c>
      <c r="F3" s="40" t="str">
        <f t="shared" si="0"/>
        <v/>
      </c>
      <c r="G3" s="40" t="str">
        <f t="shared" ref="G3:G19" si="1">IF(H3="","","1")</f>
        <v/>
      </c>
      <c r="H3" s="279" t="str">
        <f>IF(A3="relevant",IF(COUNTIF(Matrix!C20:W20,"")&gt;2,Berechnung2!$L$34,""),"")</f>
        <v/>
      </c>
      <c r="I3" s="247" t="str">
        <f>IF(H3="","",VLOOKUP(F3,Berechnung2!$I$15:$J$22,2,FALSE))</f>
        <v/>
      </c>
      <c r="J3" s="262" t="str">
        <f t="shared" ref="J3:J31" si="2">IF(H3&lt;&gt;"",1,"")</f>
        <v/>
      </c>
      <c r="L3" s="40" t="str">
        <f t="array" aca="1" ref="L3" ca="1">IF(ROW()-ROW($F$2:$F$34)+1&gt;ROWS($E$2:$E$34)-COUNTBLANK($E$2:$E$34),"",INDIRECT(ADDRESS(SMALL((IF($E$2:$E$34&lt;&gt;"",ROW($E$2:$E$34),ROW()+ROWS($E$2:$E$34))),ROW()-ROW($F$2:$F$34)+1),COLUMN($E$2:$E$34),4)))</f>
        <v/>
      </c>
      <c r="M3" s="40" t="str">
        <f t="array" aca="1" ref="M3" ca="1">IF(ROW()-ROW($G$2:$G$34)+1&gt;ROWS($F$2:$F$34)-COUNTBLANK($F$2:$F$34),"",INDIRECT(ADDRESS(SMALL((IF($F$2:$F$34&lt;&gt;"",ROW($F$2:$F$34),ROW()+ROWS($F$2:$F$34))),ROW()-ROW($G$2:$G$34)+1),COLUMN($F$2:$F$34),4)))</f>
        <v/>
      </c>
      <c r="N3" s="40" t="str">
        <f t="array" aca="1" ref="N3" ca="1">IF(ROW()-ROW($H$2:$H$34)+1&gt;ROWS($G$2:$G$34)-COUNTBLANK($G$2:$G$34),"",INDIRECT(ADDRESS(SMALL((IF($G$2:$G$34&lt;&gt;"",ROW($G$2:$G$34),ROW()+ROWS($G$2:$G$34))),ROW()-ROW($H$2:$H$34)+1),COLUMN($G$2:$G$34),4)))</f>
        <v/>
      </c>
      <c r="O3" s="240" t="str">
        <f t="array" aca="1" ref="O3" ca="1">IF(ROW()-ROW($I$2:$I$34)+1&gt;ROWS($H$2:$H$34)-COUNTBLANK($H$2:$H$34),"",INDIRECT(ADDRESS(SMALL((IF($H$2:$H$34&lt;&gt;"",ROW($H$2:$H$34),ROW()+ROWS($H$2:$H$34))),ROW()-ROW($I$2:$I$34)+1),COLUMN($H$2:$H$34),4)))</f>
        <v/>
      </c>
      <c r="P3" s="240" t="str">
        <f t="array" aca="1" ref="P3" ca="1">IF(ROW()-ROW($J$2:$J$34)+1&gt;ROWS($I$2:$I$34)-COUNTBLANK($I$2:$I$34),"",INDIRECT(ADDRESS(SMALL((IF($I$2:$I$34&lt;&gt;"",ROW($I$2:$I$34),ROW()+ROWS($I$2:$I$34))),ROW()-ROW($J$2:$J$34)+1),COLUMN($I$2:$I$34),4)))</f>
        <v/>
      </c>
    </row>
    <row r="4" spans="1:18" s="7" customFormat="1" x14ac:dyDescent="0.25">
      <c r="A4" s="250" t="str">
        <f>IF(Berechnung2!$B$27&gt;3,IF(Berechnung2!$B$27=4,"EZ",IF(Berechnung2!$B$27&gt;4,"relevant","?")),"nicht relevant")</f>
        <v>nicht relevant</v>
      </c>
      <c r="B4" s="40" t="str">
        <f>CONCATENATE("2015;"," ")</f>
        <v xml:space="preserve">2015; </v>
      </c>
      <c r="C4" s="36"/>
      <c r="D4" s="260"/>
      <c r="E4" s="40" t="str">
        <f>IF(H4="","","2015")</f>
        <v/>
      </c>
      <c r="F4" s="40" t="str">
        <f t="shared" si="0"/>
        <v/>
      </c>
      <c r="G4" s="40" t="str">
        <f t="shared" si="1"/>
        <v/>
      </c>
      <c r="H4" s="279" t="str">
        <f>IF(A4="relevant",IF(COUNTIF(Matrix!C21:W21,"")&gt;2,Berechnung2!$L$34,""),"")</f>
        <v/>
      </c>
      <c r="I4" s="247" t="str">
        <f>IF(H4="","",VLOOKUP(F4,Berechnung2!$I$15:$J$22,2,FALSE))</f>
        <v/>
      </c>
      <c r="J4" s="262" t="str">
        <f t="shared" si="2"/>
        <v/>
      </c>
      <c r="L4" s="40" t="str">
        <f t="array" aca="1" ref="L4" ca="1">IF(ROW()-ROW($F$2:$F$34)+1&gt;ROWS($E$2:$E$34)-COUNTBLANK($E$2:$E$34),"",INDIRECT(ADDRESS(SMALL((IF($E$2:$E$34&lt;&gt;"",ROW($E$2:$E$34),ROW()+ROWS($E$2:$E$34))),ROW()-ROW($F$2:$F$34)+1),COLUMN($E$2:$E$34),4)))</f>
        <v/>
      </c>
      <c r="M4" s="40" t="str">
        <f t="array" aca="1" ref="M4" ca="1">IF(ROW()-ROW($G$2:$G$34)+1&gt;ROWS($F$2:$F$34)-COUNTBLANK($F$2:$F$34),"",INDIRECT(ADDRESS(SMALL((IF($F$2:$F$34&lt;&gt;"",ROW($F$2:$F$34),ROW()+ROWS($F$2:$F$34))),ROW()-ROW($G$2:$G$34)+1),COLUMN($F$2:$F$34),4)))</f>
        <v/>
      </c>
      <c r="N4" s="40" t="str">
        <f t="array" aca="1" ref="N4" ca="1">IF(ROW()-ROW($H$2:$H$34)+1&gt;ROWS($G$2:$G$34)-COUNTBLANK($G$2:$G$34),"",INDIRECT(ADDRESS(SMALL((IF($G$2:$G$34&lt;&gt;"",ROW($G$2:$G$34),ROW()+ROWS($G$2:$G$34))),ROW()-ROW($H$2:$H$34)+1),COLUMN($G$2:$G$34),4)))</f>
        <v/>
      </c>
      <c r="O4" s="240" t="str">
        <f t="array" aca="1" ref="O4" ca="1">IF(ROW()-ROW($I$2:$I$34)+1&gt;ROWS($H$2:$H$34)-COUNTBLANK($H$2:$H$34),"",INDIRECT(ADDRESS(SMALL((IF($H$2:$H$34&lt;&gt;"",ROW($H$2:$H$34),ROW()+ROWS($H$2:$H$34))),ROW()-ROW($I$2:$I$34)+1),COLUMN($H$2:$H$34),4)))</f>
        <v/>
      </c>
      <c r="P4" s="240" t="str">
        <f t="array" aca="1" ref="P4" ca="1">IF(ROW()-ROW($J$2:$J$34)+1&gt;ROWS($I$2:$I$34)-COUNTBLANK($I$2:$I$34),"",INDIRECT(ADDRESS(SMALL((IF($I$2:$I$34&lt;&gt;"",ROW($I$2:$I$34),ROW()+ROWS($I$2:$I$34))),ROW()-ROW($J$2:$J$34)+1),COLUMN($I$2:$I$34),4)))</f>
        <v/>
      </c>
    </row>
    <row r="5" spans="1:18" s="7" customFormat="1" x14ac:dyDescent="0.25">
      <c r="A5" s="250" t="str">
        <f>IF(Berechnung2!$B$27&gt;2,IF(Berechnung2!$B$27=3,"EZ",IF(Berechnung2!$B$27&gt;3,"relevant","?")),"nicht relevant")</f>
        <v>nicht relevant</v>
      </c>
      <c r="B5" s="40" t="str">
        <f>CONCATENATE("2016;"," ")</f>
        <v xml:space="preserve">2016; </v>
      </c>
      <c r="C5" s="36"/>
      <c r="D5" s="260"/>
      <c r="E5" s="40" t="str">
        <f>IF(H5="","","2016")</f>
        <v/>
      </c>
      <c r="F5" s="40" t="str">
        <f t="shared" si="0"/>
        <v/>
      </c>
      <c r="G5" s="40" t="str">
        <f t="shared" si="1"/>
        <v/>
      </c>
      <c r="H5" s="279" t="str">
        <f>IF(A5="relevant",IF(COUNTIF(Matrix!C22:W22,"")&gt;2,Berechnung2!$L$34,""),"")</f>
        <v/>
      </c>
      <c r="I5" s="247" t="str">
        <f>IF(H5="","",VLOOKUP(F5,Berechnung2!$I$15:$J$22,2,FALSE))</f>
        <v/>
      </c>
      <c r="J5" s="262" t="str">
        <f t="shared" si="2"/>
        <v/>
      </c>
      <c r="L5" s="40" t="str">
        <f t="array" aca="1" ref="L5" ca="1">IF(ROW()-ROW($F$2:$F$34)+1&gt;ROWS($E$2:$E$34)-COUNTBLANK($E$2:$E$34),"",INDIRECT(ADDRESS(SMALL((IF($E$2:$E$34&lt;&gt;"",ROW($E$2:$E$34),ROW()+ROWS($E$2:$E$34))),ROW()-ROW($F$2:$F$34)+1),COLUMN($E$2:$E$34),4)))</f>
        <v/>
      </c>
      <c r="M5" s="40" t="str">
        <f t="array" aca="1" ref="M5" ca="1">IF(ROW()-ROW($G$2:$G$34)+1&gt;ROWS($F$2:$F$34)-COUNTBLANK($F$2:$F$34),"",INDIRECT(ADDRESS(SMALL((IF($F$2:$F$34&lt;&gt;"",ROW($F$2:$F$34),ROW()+ROWS($F$2:$F$34))),ROW()-ROW($G$2:$G$34)+1),COLUMN($F$2:$F$34),4)))</f>
        <v/>
      </c>
      <c r="N5" s="40" t="str">
        <f t="array" aca="1" ref="N5" ca="1">IF(ROW()-ROW($H$2:$H$34)+1&gt;ROWS($G$2:$G$34)-COUNTBLANK($G$2:$G$34),"",INDIRECT(ADDRESS(SMALL((IF($G$2:$G$34&lt;&gt;"",ROW($G$2:$G$34),ROW()+ROWS($G$2:$G$34))),ROW()-ROW($H$2:$H$34)+1),COLUMN($G$2:$G$34),4)))</f>
        <v/>
      </c>
      <c r="O5" s="240" t="str">
        <f t="array" aca="1" ref="O5" ca="1">IF(ROW()-ROW($I$2:$I$34)+1&gt;ROWS($H$2:$H$34)-COUNTBLANK($H$2:$H$34),"",INDIRECT(ADDRESS(SMALL((IF($H$2:$H$34&lt;&gt;"",ROW($H$2:$H$34),ROW()+ROWS($H$2:$H$34))),ROW()-ROW($I$2:$I$34)+1),COLUMN($H$2:$H$34),4)))</f>
        <v/>
      </c>
      <c r="P5" s="240" t="str">
        <f t="array" aca="1" ref="P5" ca="1">IF(ROW()-ROW($J$2:$J$34)+1&gt;ROWS($I$2:$I$34)-COUNTBLANK($I$2:$I$34),"",INDIRECT(ADDRESS(SMALL((IF($I$2:$I$34&lt;&gt;"",ROW($I$2:$I$34),ROW()+ROWS($I$2:$I$34))),ROW()-ROW($J$2:$J$34)+1),COLUMN($I$2:$I$34),4)))</f>
        <v/>
      </c>
    </row>
    <row r="6" spans="1:18" s="7" customFormat="1" x14ac:dyDescent="0.25">
      <c r="A6" s="250" t="str">
        <f>IF(Berechnung2!$B$27&gt;1,IF(Berechnung2!$B$27=2,"EZ",IF(Berechnung2!$B$27&gt;2,"relevant","?")),"nicht relevant")</f>
        <v>nicht relevant</v>
      </c>
      <c r="B6" s="40" t="str">
        <f>CONCATENATE("2017;"," ")</f>
        <v xml:space="preserve">2017; </v>
      </c>
      <c r="C6" s="36"/>
      <c r="D6" s="260"/>
      <c r="E6" s="40" t="str">
        <f>IF(H6="","","2017")</f>
        <v/>
      </c>
      <c r="F6" s="40" t="str">
        <f t="shared" si="0"/>
        <v/>
      </c>
      <c r="G6" s="40" t="str">
        <f t="shared" si="1"/>
        <v/>
      </c>
      <c r="H6" s="279" t="str">
        <f>IF(A6="relevant",IF(COUNTIF(Matrix!C23:I23,"")&gt;0,Berechnung2!$L$34,""),"")</f>
        <v/>
      </c>
      <c r="I6" s="247" t="str">
        <f>IF(H6="","",VLOOKUP(F6,Berechnung2!$I$15:$J$22,2,FALSE))</f>
        <v/>
      </c>
      <c r="J6" s="262" t="str">
        <f t="shared" si="2"/>
        <v/>
      </c>
      <c r="L6" s="40" t="str">
        <f t="array" aca="1" ref="L6" ca="1">IF(ROW()-ROW($F$2:$F$34)+1&gt;ROWS($E$2:$E$34)-COUNTBLANK($E$2:$E$34),"",INDIRECT(ADDRESS(SMALL((IF($E$2:$E$34&lt;&gt;"",ROW($E$2:$E$34),ROW()+ROWS($E$2:$E$34))),ROW()-ROW($F$2:$F$34)+1),COLUMN($E$2:$E$34),4)))</f>
        <v/>
      </c>
      <c r="M6" s="40" t="str">
        <f t="array" aca="1" ref="M6" ca="1">IF(ROW()-ROW($G$2:$G$34)+1&gt;ROWS($F$2:$F$34)-COUNTBLANK($F$2:$F$34),"",INDIRECT(ADDRESS(SMALL((IF($F$2:$F$34&lt;&gt;"",ROW($F$2:$F$34),ROW()+ROWS($F$2:$F$34))),ROW()-ROW($G$2:$G$34)+1),COLUMN($F$2:$F$34),4)))</f>
        <v/>
      </c>
      <c r="N6" s="40" t="str">
        <f t="array" aca="1" ref="N6" ca="1">IF(ROW()-ROW($H$2:$H$34)+1&gt;ROWS($G$2:$G$34)-COUNTBLANK($G$2:$G$34),"",INDIRECT(ADDRESS(SMALL((IF($G$2:$G$34&lt;&gt;"",ROW($G$2:$G$34),ROW()+ROWS($G$2:$G$34))),ROW()-ROW($H$2:$H$34)+1),COLUMN($G$2:$G$34),4)))</f>
        <v/>
      </c>
      <c r="O6" s="240" t="str">
        <f t="array" aca="1" ref="O6" ca="1">IF(ROW()-ROW($I$2:$I$34)+1&gt;ROWS($H$2:$H$34)-COUNTBLANK($H$2:$H$34),"",INDIRECT(ADDRESS(SMALL((IF($H$2:$H$34&lt;&gt;"",ROW($H$2:$H$34),ROW()+ROWS($H$2:$H$34))),ROW()-ROW($I$2:$I$34)+1),COLUMN($H$2:$H$34),4)))</f>
        <v/>
      </c>
      <c r="P6" s="240" t="str">
        <f t="array" aca="1" ref="P6" ca="1">IF(ROW()-ROW($J$2:$J$34)+1&gt;ROWS($I$2:$I$34)-COUNTBLANK($I$2:$I$34),"",INDIRECT(ADDRESS(SMALL((IF($I$2:$I$34&lt;&gt;"",ROW($I$2:$I$34),ROW()+ROWS($I$2:$I$34))),ROW()-ROW($J$2:$J$34)+1),COLUMN($I$2:$I$34),4)))</f>
        <v/>
      </c>
    </row>
    <row r="7" spans="1:18" s="7" customFormat="1" ht="12.75" thickBot="1" x14ac:dyDescent="0.3">
      <c r="A7" s="250" t="str">
        <f>IF(Berechnung2!$B$27&gt;0,IF(Berechnung2!$B$27=1,"EZ",IF(Berechnung2!$B$27&gt;1,"relevant","?")),"nicht relevant")</f>
        <v>nicht relevant</v>
      </c>
      <c r="B7" s="40" t="str">
        <f>CONCATENATE("2018;"," ")</f>
        <v xml:space="preserve">2018; </v>
      </c>
      <c r="C7" s="36"/>
      <c r="D7" s="261" t="s">
        <v>382</v>
      </c>
      <c r="E7" s="266" t="str">
        <f>IF(H7="","","2018")</f>
        <v/>
      </c>
      <c r="F7" s="266" t="str">
        <f t="shared" si="0"/>
        <v/>
      </c>
      <c r="G7" s="266" t="str">
        <f t="shared" si="1"/>
        <v/>
      </c>
      <c r="H7" s="280" t="str">
        <f>IF(A7="relevant",IF(COUNTIF(Matrix!C24:I24,"")&gt;0,Berechnung2!$L$34,""),"")</f>
        <v/>
      </c>
      <c r="I7" s="281" t="str">
        <f>IF(H7="","",VLOOKUP(F7,Berechnung2!$I$15:$J$22,2,FALSE))</f>
        <v/>
      </c>
      <c r="J7" s="254" t="str">
        <f t="shared" si="2"/>
        <v/>
      </c>
      <c r="L7" s="40" t="str">
        <f t="array" aca="1" ref="L7" ca="1">IF(ROW()-ROW($F$2:$F$34)+1&gt;ROWS($E$2:$E$34)-COUNTBLANK($E$2:$E$34),"",INDIRECT(ADDRESS(SMALL((IF($E$2:$E$34&lt;&gt;"",ROW($E$2:$E$34),ROW()+ROWS($E$2:$E$34))),ROW()-ROW($F$2:$F$34)+1),COLUMN($E$2:$E$34),4)))</f>
        <v/>
      </c>
      <c r="M7" s="40" t="str">
        <f t="array" aca="1" ref="M7" ca="1">IF(ROW()-ROW($G$2:$G$34)+1&gt;ROWS($F$2:$F$34)-COUNTBLANK($F$2:$F$34),"",INDIRECT(ADDRESS(SMALL((IF($F$2:$F$34&lt;&gt;"",ROW($F$2:$F$34),ROW()+ROWS($F$2:$F$34))),ROW()-ROW($G$2:$G$34)+1),COLUMN($F$2:$F$34),4)))</f>
        <v/>
      </c>
      <c r="N7" s="40" t="str">
        <f t="array" aca="1" ref="N7" ca="1">IF(ROW()-ROW($H$2:$H$34)+1&gt;ROWS($G$2:$G$34)-COUNTBLANK($G$2:$G$34),"",INDIRECT(ADDRESS(SMALL((IF($G$2:$G$34&lt;&gt;"",ROW($G$2:$G$34),ROW()+ROWS($G$2:$G$34))),ROW()-ROW($H$2:$H$34)+1),COLUMN($G$2:$G$34),4)))</f>
        <v/>
      </c>
      <c r="O7" s="240" t="str">
        <f t="array" aca="1" ref="O7" ca="1">IF(ROW()-ROW($I$2:$I$34)+1&gt;ROWS($H$2:$H$34)-COUNTBLANK($H$2:$H$34),"",INDIRECT(ADDRESS(SMALL((IF($H$2:$H$34&lt;&gt;"",ROW($H$2:$H$34),ROW()+ROWS($H$2:$H$34))),ROW()-ROW($I$2:$I$34)+1),COLUMN($H$2:$H$34),4)))</f>
        <v/>
      </c>
      <c r="P7" s="240" t="str">
        <f t="array" aca="1" ref="P7" ca="1">IF(ROW()-ROW($J$2:$J$34)+1&gt;ROWS($I$2:$I$34)-COUNTBLANK($I$2:$I$34),"",INDIRECT(ADDRESS(SMALL((IF($I$2:$I$34&lt;&gt;"",ROW($I$2:$I$34),ROW()+ROWS($I$2:$I$34))),ROW()-ROW($J$2:$J$34)+1),COLUMN($I$2:$I$34),4)))</f>
        <v/>
      </c>
      <c r="Q7" s="253"/>
      <c r="R7" s="253"/>
    </row>
    <row r="8" spans="1:18" s="7" customFormat="1" x14ac:dyDescent="0.25">
      <c r="D8" s="264" t="s">
        <v>82</v>
      </c>
      <c r="E8" s="303" t="str">
        <f>IF(H8="","","2013")</f>
        <v/>
      </c>
      <c r="F8" s="265" t="str">
        <f t="shared" ref="F8:F13" si="3">IF(H8="","","b")</f>
        <v/>
      </c>
      <c r="G8" s="265" t="str">
        <f t="shared" si="1"/>
        <v/>
      </c>
      <c r="H8" s="277" t="str">
        <f>IF(A2="relevant",IF(Matrix!K19="","",IF(Matrix!K19&gt;Matrix!C19,Berechnung2!$L$39,"")),"")</f>
        <v/>
      </c>
      <c r="I8" s="278" t="str">
        <f>IF(H8="","",VLOOKUP(F8,Berechnung2!$I$15:$J$22,2,FALSE))</f>
        <v/>
      </c>
      <c r="J8" s="263" t="str">
        <f t="shared" si="2"/>
        <v/>
      </c>
      <c r="K8" s="249"/>
      <c r="L8" s="40" t="str">
        <f t="array" aca="1" ref="L8" ca="1">IF(ROW()-ROW($F$2:$F$34)+1&gt;ROWS($E$2:$E$34)-COUNTBLANK($E$2:$E$34),"",INDIRECT(ADDRESS(SMALL((IF($E$2:$E$34&lt;&gt;"",ROW($E$2:$E$34),ROW()+ROWS($E$2:$E$34))),ROW()-ROW($F$2:$F$34)+1),COLUMN($E$2:$E$34),4)))</f>
        <v/>
      </c>
      <c r="M8" s="40" t="str">
        <f t="array" aca="1" ref="M8" ca="1">IF(ROW()-ROW($G$2:$G$34)+1&gt;ROWS($F$2:$F$34)-COUNTBLANK($F$2:$F$34),"",INDIRECT(ADDRESS(SMALL((IF($F$2:$F$34&lt;&gt;"",ROW($F$2:$F$34),ROW()+ROWS($F$2:$F$34))),ROW()-ROW($G$2:$G$34)+1),COLUMN($F$2:$F$34),4)))</f>
        <v/>
      </c>
      <c r="N8" s="40" t="str">
        <f t="array" aca="1" ref="N8" ca="1">IF(ROW()-ROW($H$2:$H$34)+1&gt;ROWS($G$2:$G$34)-COUNTBLANK($G$2:$G$34),"",INDIRECT(ADDRESS(SMALL((IF($G$2:$G$34&lt;&gt;"",ROW($G$2:$G$34),ROW()+ROWS($G$2:$G$34))),ROW()-ROW($H$2:$H$34)+1),COLUMN($G$2:$G$34),4)))</f>
        <v/>
      </c>
      <c r="O8" s="240" t="str">
        <f t="array" aca="1" ref="O8" ca="1">IF(ROW()-ROW($I$2:$I$34)+1&gt;ROWS($H$2:$H$34)-COUNTBLANK($H$2:$H$34),"",INDIRECT(ADDRESS(SMALL((IF($H$2:$H$34&lt;&gt;"",ROW($H$2:$H$34),ROW()+ROWS($H$2:$H$34))),ROW()-ROW($I$2:$I$34)+1),COLUMN($H$2:$H$34),4)))</f>
        <v/>
      </c>
      <c r="P8" s="240" t="str">
        <f t="array" aca="1" ref="P8" ca="1">IF(ROW()-ROW($J$2:$J$34)+1&gt;ROWS($I$2:$I$34)-COUNTBLANK($I$2:$I$34),"",INDIRECT(ADDRESS(SMALL((IF($I$2:$I$34&lt;&gt;"",ROW($I$2:$I$34),ROW()+ROWS($I$2:$I$34))),ROW()-ROW($J$2:$J$34)+1),COLUMN($I$2:$I$34),4)))</f>
        <v/>
      </c>
    </row>
    <row r="9" spans="1:18" s="7" customFormat="1" ht="12" customHeight="1" x14ac:dyDescent="0.25">
      <c r="D9" s="1067" t="s">
        <v>328</v>
      </c>
      <c r="E9" s="304" t="str">
        <f>IF(H9="","","2014")</f>
        <v/>
      </c>
      <c r="F9" s="40" t="str">
        <f t="shared" si="3"/>
        <v/>
      </c>
      <c r="G9" s="40" t="str">
        <f t="shared" si="1"/>
        <v/>
      </c>
      <c r="H9" s="279" t="str">
        <f>IF(A3="relevant",IF(Matrix!K20="","",IF(Matrix!K20&gt;Matrix!C20,Berechnung2!$L$39,"")),"")</f>
        <v/>
      </c>
      <c r="I9" s="247" t="str">
        <f>IF(H9="","",VLOOKUP(F9,Berechnung2!$I$15:$J$22,2,FALSE))</f>
        <v/>
      </c>
      <c r="J9" s="262" t="str">
        <f t="shared" si="2"/>
        <v/>
      </c>
      <c r="K9" s="249"/>
      <c r="L9" s="40" t="str">
        <f t="array" aca="1" ref="L9" ca="1">IF(ROW()-ROW($F$2:$F$34)+1&gt;ROWS($E$2:$E$34)-COUNTBLANK($E$2:$E$34),"",INDIRECT(ADDRESS(SMALL((IF($E$2:$E$34&lt;&gt;"",ROW($E$2:$E$34),ROW()+ROWS($E$2:$E$34))),ROW()-ROW($F$2:$F$34)+1),COLUMN($E$2:$E$34),4)))</f>
        <v/>
      </c>
      <c r="M9" s="40" t="str">
        <f t="array" aca="1" ref="M9" ca="1">IF(ROW()-ROW($G$2:$G$34)+1&gt;ROWS($F$2:$F$34)-COUNTBLANK($F$2:$F$34),"",INDIRECT(ADDRESS(SMALL((IF($F$2:$F$34&lt;&gt;"",ROW($F$2:$F$34),ROW()+ROWS($F$2:$F$34))),ROW()-ROW($G$2:$G$34)+1),COLUMN($F$2:$F$34),4)))</f>
        <v/>
      </c>
      <c r="N9" s="40" t="str">
        <f t="array" aca="1" ref="N9" ca="1">IF(ROW()-ROW($H$2:$H$34)+1&gt;ROWS($G$2:$G$34)-COUNTBLANK($G$2:$G$34),"",INDIRECT(ADDRESS(SMALL((IF($G$2:$G$34&lt;&gt;"",ROW($G$2:$G$34),ROW()+ROWS($G$2:$G$34))),ROW()-ROW($H$2:$H$34)+1),COLUMN($G$2:$G$34),4)))</f>
        <v/>
      </c>
      <c r="O9" s="240" t="str">
        <f t="array" aca="1" ref="O9" ca="1">IF(ROW()-ROW($I$2:$I$34)+1&gt;ROWS($H$2:$H$34)-COUNTBLANK($H$2:$H$34),"",INDIRECT(ADDRESS(SMALL((IF($H$2:$H$34&lt;&gt;"",ROW($H$2:$H$34),ROW()+ROWS($H$2:$H$34))),ROW()-ROW($I$2:$I$34)+1),COLUMN($H$2:$H$34),4)))</f>
        <v/>
      </c>
      <c r="P9" s="240" t="str">
        <f t="array" aca="1" ref="P9" ca="1">IF(ROW()-ROW($J$2:$J$34)+1&gt;ROWS($I$2:$I$34)-COUNTBLANK($I$2:$I$34),"",INDIRECT(ADDRESS(SMALL((IF($I$2:$I$34&lt;&gt;"",ROW($I$2:$I$34),ROW()+ROWS($I$2:$I$34))),ROW()-ROW($J$2:$J$34)+1),COLUMN($I$2:$I$34),4)))</f>
        <v/>
      </c>
    </row>
    <row r="10" spans="1:18" s="7" customFormat="1" ht="15" customHeight="1" x14ac:dyDescent="0.25">
      <c r="D10" s="1067"/>
      <c r="E10" s="304" t="str">
        <f>IF(H10="","","2015")</f>
        <v/>
      </c>
      <c r="F10" s="40" t="str">
        <f t="shared" si="3"/>
        <v/>
      </c>
      <c r="G10" s="40" t="str">
        <f t="shared" si="1"/>
        <v/>
      </c>
      <c r="H10" s="279" t="str">
        <f>IF(A4="relevant",IF(Matrix!K21="","",IF(Matrix!K21&gt;Matrix!C21,Berechnung2!$L$39,"")),"")</f>
        <v/>
      </c>
      <c r="I10" s="247" t="str">
        <f>IF(H10="","",VLOOKUP(F10,Berechnung2!$I$15:$J$22,2,FALSE))</f>
        <v/>
      </c>
      <c r="J10" s="262" t="str">
        <f t="shared" si="2"/>
        <v/>
      </c>
      <c r="K10" s="249"/>
      <c r="L10" s="40" t="str">
        <f t="array" aca="1" ref="L10" ca="1">IF(ROW()-ROW($F$2:$F$34)+1&gt;ROWS($E$2:$E$34)-COUNTBLANK($E$2:$E$34),"",INDIRECT(ADDRESS(SMALL((IF($E$2:$E$34&lt;&gt;"",ROW($E$2:$E$34),ROW()+ROWS($E$2:$E$34))),ROW()-ROW($F$2:$F$34)+1),COLUMN($E$2:$E$34),4)))</f>
        <v/>
      </c>
      <c r="M10" s="40" t="str">
        <f t="array" aca="1" ref="M10" ca="1">IF(ROW()-ROW($G$2:$G$34)+1&gt;ROWS($F$2:$F$34)-COUNTBLANK($F$2:$F$34),"",INDIRECT(ADDRESS(SMALL((IF($F$2:$F$34&lt;&gt;"",ROW($F$2:$F$34),ROW()+ROWS($F$2:$F$34))),ROW()-ROW($G$2:$G$34)+1),COLUMN($F$2:$F$34),4)))</f>
        <v/>
      </c>
      <c r="N10" s="40" t="str">
        <f t="array" aca="1" ref="N10" ca="1">IF(ROW()-ROW($H$2:$H$34)+1&gt;ROWS($G$2:$G$34)-COUNTBLANK($G$2:$G$34),"",INDIRECT(ADDRESS(SMALL((IF($G$2:$G$34&lt;&gt;"",ROW($G$2:$G$34),ROW()+ROWS($G$2:$G$34))),ROW()-ROW($H$2:$H$34)+1),COLUMN($G$2:$G$34),4)))</f>
        <v/>
      </c>
      <c r="O10" s="240" t="str">
        <f t="array" aca="1" ref="O10" ca="1">IF(ROW()-ROW($I$2:$I$34)+1&gt;ROWS($H$2:$H$34)-COUNTBLANK($H$2:$H$34),"",INDIRECT(ADDRESS(SMALL((IF($H$2:$H$34&lt;&gt;"",ROW($H$2:$H$34),ROW()+ROWS($H$2:$H$34))),ROW()-ROW($I$2:$I$34)+1),COLUMN($H$2:$H$34),4)))</f>
        <v/>
      </c>
      <c r="P10" s="240" t="str">
        <f t="array" aca="1" ref="P10" ca="1">IF(ROW()-ROW($J$2:$J$34)+1&gt;ROWS($I$2:$I$34)-COUNTBLANK($I$2:$I$34),"",INDIRECT(ADDRESS(SMALL((IF($I$2:$I$34&lt;&gt;"",ROW($I$2:$I$34),ROW()+ROWS($I$2:$I$34))),ROW()-ROW($J$2:$J$34)+1),COLUMN($I$2:$I$34),4)))</f>
        <v/>
      </c>
    </row>
    <row r="11" spans="1:18" s="7" customFormat="1" ht="15" customHeight="1" x14ac:dyDescent="0.25">
      <c r="D11" s="1067"/>
      <c r="E11" s="304" t="str">
        <f>IF(H11="","","2016")</f>
        <v/>
      </c>
      <c r="F11" s="40" t="str">
        <f t="shared" si="3"/>
        <v/>
      </c>
      <c r="G11" s="40" t="str">
        <f t="shared" si="1"/>
        <v/>
      </c>
      <c r="H11" s="279" t="str">
        <f>IF(A5="relevant",IF(Matrix!K22="","",IF(Matrix!K22&gt;Matrix!C22,Berechnung2!$L$39,"")),"")</f>
        <v/>
      </c>
      <c r="I11" s="247" t="str">
        <f>IF(H11="","",VLOOKUP(F11,Berechnung2!$I$15:$J$22,2,FALSE))</f>
        <v/>
      </c>
      <c r="J11" s="262" t="str">
        <f t="shared" si="2"/>
        <v/>
      </c>
      <c r="K11" s="249"/>
      <c r="L11" s="40" t="str">
        <f t="array" aca="1" ref="L11" ca="1">IF(ROW()-ROW($F$2:$F$34)+1&gt;ROWS($E$2:$E$34)-COUNTBLANK($E$2:$E$34),"",INDIRECT(ADDRESS(SMALL((IF($E$2:$E$34&lt;&gt;"",ROW($E$2:$E$34),ROW()+ROWS($E$2:$E$34))),ROW()-ROW($F$2:$F$34)+1),COLUMN($E$2:$E$34),4)))</f>
        <v/>
      </c>
      <c r="M11" s="40" t="str">
        <f t="array" aca="1" ref="M11" ca="1">IF(ROW()-ROW($G$2:$G$34)+1&gt;ROWS($F$2:$F$34)-COUNTBLANK($F$2:$F$34),"",INDIRECT(ADDRESS(SMALL((IF($F$2:$F$34&lt;&gt;"",ROW($F$2:$F$34),ROW()+ROWS($F$2:$F$34))),ROW()-ROW($G$2:$G$34)+1),COLUMN($F$2:$F$34),4)))</f>
        <v/>
      </c>
      <c r="N11" s="40" t="str">
        <f t="array" aca="1" ref="N11" ca="1">IF(ROW()-ROW($H$2:$H$34)+1&gt;ROWS($G$2:$G$34)-COUNTBLANK($G$2:$G$34),"",INDIRECT(ADDRESS(SMALL((IF($G$2:$G$34&lt;&gt;"",ROW($G$2:$G$34),ROW()+ROWS($G$2:$G$34))),ROW()-ROW($H$2:$H$34)+1),COLUMN($G$2:$G$34),4)))</f>
        <v/>
      </c>
      <c r="O11" s="240" t="str">
        <f t="array" aca="1" ref="O11" ca="1">IF(ROW()-ROW($I$2:$I$34)+1&gt;ROWS($H$2:$H$34)-COUNTBLANK($H$2:$H$34),"",INDIRECT(ADDRESS(SMALL((IF($H$2:$H$34&lt;&gt;"",ROW($H$2:$H$34),ROW()+ROWS($H$2:$H$34))),ROW()-ROW($I$2:$I$34)+1),COLUMN($H$2:$H$34),4)))</f>
        <v/>
      </c>
      <c r="P11" s="240" t="str">
        <f t="array" aca="1" ref="P11" ca="1">IF(ROW()-ROW($J$2:$J$34)+1&gt;ROWS($I$2:$I$34)-COUNTBLANK($I$2:$I$34),"",INDIRECT(ADDRESS(SMALL((IF($I$2:$I$34&lt;&gt;"",ROW($I$2:$I$34),ROW()+ROWS($I$2:$I$34))),ROW()-ROW($J$2:$J$34)+1),COLUMN($I$2:$I$34),4)))</f>
        <v/>
      </c>
    </row>
    <row r="12" spans="1:18" s="7" customFormat="1" ht="15" customHeight="1" x14ac:dyDescent="0.25">
      <c r="D12" s="1067"/>
      <c r="E12" s="304" t="str">
        <f>IF(H12="","","2017")</f>
        <v/>
      </c>
      <c r="F12" s="40" t="str">
        <f t="shared" si="3"/>
        <v/>
      </c>
      <c r="G12" s="40" t="str">
        <f t="shared" si="1"/>
        <v/>
      </c>
      <c r="H12" s="279" t="str">
        <f>IF(A6="relevant",IF(Matrix!K23="","",IF(Matrix!K23&gt;Matrix!C23,Berechnung2!$L$39,"")),"")</f>
        <v/>
      </c>
      <c r="I12" s="247" t="str">
        <f>IF(H12="","",VLOOKUP(F12,Berechnung2!$I$15:$J$22,2,FALSE))</f>
        <v/>
      </c>
      <c r="J12" s="262" t="str">
        <f t="shared" si="2"/>
        <v/>
      </c>
      <c r="K12" s="249"/>
      <c r="L12" s="40" t="str">
        <f t="array" aca="1" ref="L12" ca="1">IF(ROW()-ROW($F$2:$F$34)+1&gt;ROWS($E$2:$E$34)-COUNTBLANK($E$2:$E$34),"",INDIRECT(ADDRESS(SMALL((IF($E$2:$E$34&lt;&gt;"",ROW($E$2:$E$34),ROW()+ROWS($E$2:$E$34))),ROW()-ROW($F$2:$F$34)+1),COLUMN($E$2:$E$34),4)))</f>
        <v/>
      </c>
      <c r="M12" s="40" t="str">
        <f t="array" aca="1" ref="M12" ca="1">IF(ROW()-ROW($G$2:$G$34)+1&gt;ROWS($F$2:$F$34)-COUNTBLANK($F$2:$F$34),"",INDIRECT(ADDRESS(SMALL((IF($F$2:$F$34&lt;&gt;"",ROW($F$2:$F$34),ROW()+ROWS($F$2:$F$34))),ROW()-ROW($G$2:$G$34)+1),COLUMN($F$2:$F$34),4)))</f>
        <v/>
      </c>
      <c r="N12" s="40" t="str">
        <f t="array" aca="1" ref="N12" ca="1">IF(ROW()-ROW($H$2:$H$34)+1&gt;ROWS($G$2:$G$34)-COUNTBLANK($G$2:$G$34),"",INDIRECT(ADDRESS(SMALL((IF($G$2:$G$34&lt;&gt;"",ROW($G$2:$G$34),ROW()+ROWS($G$2:$G$34))),ROW()-ROW($H$2:$H$34)+1),COLUMN($G$2:$G$34),4)))</f>
        <v/>
      </c>
      <c r="O12" s="240" t="str">
        <f t="array" aca="1" ref="O12" ca="1">IF(ROW()-ROW($I$2:$I$34)+1&gt;ROWS($H$2:$H$34)-COUNTBLANK($H$2:$H$34),"",INDIRECT(ADDRESS(SMALL((IF($H$2:$H$34&lt;&gt;"",ROW($H$2:$H$34),ROW()+ROWS($H$2:$H$34))),ROW()-ROW($I$2:$I$34)+1),COLUMN($H$2:$H$34),4)))</f>
        <v/>
      </c>
      <c r="P12" s="240" t="str">
        <f t="array" aca="1" ref="P12" ca="1">IF(ROW()-ROW($J$2:$J$34)+1&gt;ROWS($I$2:$I$34)-COUNTBLANK($I$2:$I$34),"",INDIRECT(ADDRESS(SMALL((IF($I$2:$I$34&lt;&gt;"",ROW($I$2:$I$34),ROW()+ROWS($I$2:$I$34))),ROW()-ROW($J$2:$J$34)+1),COLUMN($I$2:$I$34),4)))</f>
        <v/>
      </c>
    </row>
    <row r="13" spans="1:18" s="7" customFormat="1" ht="12.75" thickBot="1" x14ac:dyDescent="0.3">
      <c r="D13" s="302" t="s">
        <v>383</v>
      </c>
      <c r="E13" s="305" t="str">
        <f>IF(H13="","","2018")</f>
        <v/>
      </c>
      <c r="F13" s="266" t="str">
        <f t="shared" si="3"/>
        <v/>
      </c>
      <c r="G13" s="266" t="str">
        <f t="shared" si="1"/>
        <v/>
      </c>
      <c r="H13" s="280" t="str">
        <f>IF(A7="relevant",IF(Matrix!K24="","",IF(Matrix!K24&gt;Matrix!C24,Berechnung2!$L$39,"")),"")</f>
        <v/>
      </c>
      <c r="I13" s="281" t="str">
        <f>IF(H13="","",VLOOKUP(F13,Berechnung2!$I$15:$J$22,2,FALSE))</f>
        <v/>
      </c>
      <c r="J13" s="254" t="str">
        <f t="shared" si="2"/>
        <v/>
      </c>
      <c r="K13" s="249"/>
      <c r="L13" s="40" t="str">
        <f t="array" aca="1" ref="L13" ca="1">IF(ROW()-ROW($F$2:$F$34)+1&gt;ROWS($E$2:$E$34)-COUNTBLANK($E$2:$E$34),"",INDIRECT(ADDRESS(SMALL((IF($E$2:$E$34&lt;&gt;"",ROW($E$2:$E$34),ROW()+ROWS($E$2:$E$34))),ROW()-ROW($F$2:$F$34)+1),COLUMN($E$2:$E$34),4)))</f>
        <v/>
      </c>
      <c r="M13" s="40" t="str">
        <f t="array" aca="1" ref="M13" ca="1">IF(ROW()-ROW($G$2:$G$34)+1&gt;ROWS($F$2:$F$34)-COUNTBLANK($F$2:$F$34),"",INDIRECT(ADDRESS(SMALL((IF($F$2:$F$34&lt;&gt;"",ROW($F$2:$F$34),ROW()+ROWS($F$2:$F$34))),ROW()-ROW($G$2:$G$34)+1),COLUMN($F$2:$F$34),4)))</f>
        <v/>
      </c>
      <c r="N13" s="40" t="str">
        <f t="array" aca="1" ref="N13" ca="1">IF(ROW()-ROW($H$2:$H$34)+1&gt;ROWS($G$2:$G$34)-COUNTBLANK($G$2:$G$34),"",INDIRECT(ADDRESS(SMALL((IF($G$2:$G$34&lt;&gt;"",ROW($G$2:$G$34),ROW()+ROWS($G$2:$G$34))),ROW()-ROW($H$2:$H$34)+1),COLUMN($G$2:$G$34),4)))</f>
        <v/>
      </c>
      <c r="O13" s="240" t="str">
        <f t="array" aca="1" ref="O13" ca="1">IF(ROW()-ROW($I$2:$I$34)+1&gt;ROWS($H$2:$H$34)-COUNTBLANK($H$2:$H$34),"",INDIRECT(ADDRESS(SMALL((IF($H$2:$H$34&lt;&gt;"",ROW($H$2:$H$34),ROW()+ROWS($H$2:$H$34))),ROW()-ROW($I$2:$I$34)+1),COLUMN($H$2:$H$34),4)))</f>
        <v/>
      </c>
      <c r="P13" s="240" t="str">
        <f t="array" aca="1" ref="P13" ca="1">IF(ROW()-ROW($J$2:$J$34)+1&gt;ROWS($I$2:$I$34)-COUNTBLANK($I$2:$I$34),"",INDIRECT(ADDRESS(SMALL((IF($I$2:$I$34&lt;&gt;"",ROW($I$2:$I$34),ROW()+ROWS($I$2:$I$34))),ROW()-ROW($J$2:$J$34)+1),COLUMN($I$2:$I$34),4)))</f>
        <v/>
      </c>
    </row>
    <row r="14" spans="1:18" s="7" customFormat="1" x14ac:dyDescent="0.25">
      <c r="D14" s="264" t="s">
        <v>82</v>
      </c>
      <c r="E14" s="303" t="str">
        <f>IF(H14="","","2013")</f>
        <v/>
      </c>
      <c r="F14" s="265" t="str">
        <f t="shared" ref="F14:F19" si="4">IF(H14="","","c")</f>
        <v/>
      </c>
      <c r="G14" s="265" t="str">
        <f t="shared" si="1"/>
        <v/>
      </c>
      <c r="H14" s="277" t="str">
        <f>IF(A2="relevant",IF(Matrix!Q19&lt;Berechnung2!$F$40,Berechnung2!$L$40,""),"")</f>
        <v/>
      </c>
      <c r="I14" s="278" t="str">
        <f>IF(H14="","",VLOOKUP(F14,Berechnung2!$I$15:$J$22,2,FALSE))</f>
        <v/>
      </c>
      <c r="J14" s="263" t="str">
        <f t="shared" si="2"/>
        <v/>
      </c>
      <c r="K14" s="249"/>
      <c r="L14" s="40" t="str">
        <f t="array" aca="1" ref="L14" ca="1">IF(ROW()-ROW($F$2:$F$34)+1&gt;ROWS($E$2:$E$34)-COUNTBLANK($E$2:$E$34),"",INDIRECT(ADDRESS(SMALL((IF($E$2:$E$34&lt;&gt;"",ROW($E$2:$E$34),ROW()+ROWS($E$2:$E$34))),ROW()-ROW($F$2:$F$34)+1),COLUMN($E$2:$E$34),4)))</f>
        <v/>
      </c>
      <c r="M14" s="40" t="str">
        <f t="array" aca="1" ref="M14" ca="1">IF(ROW()-ROW($G$2:$G$34)+1&gt;ROWS($F$2:$F$34)-COUNTBLANK($F$2:$F$34),"",INDIRECT(ADDRESS(SMALL((IF($F$2:$F$34&lt;&gt;"",ROW($F$2:$F$34),ROW()+ROWS($F$2:$F$34))),ROW()-ROW($G$2:$G$34)+1),COLUMN($F$2:$F$34),4)))</f>
        <v/>
      </c>
      <c r="N14" s="40" t="str">
        <f t="array" aca="1" ref="N14" ca="1">IF(ROW()-ROW($H$2:$H$34)+1&gt;ROWS($G$2:$G$34)-COUNTBLANK($G$2:$G$34),"",INDIRECT(ADDRESS(SMALL((IF($G$2:$G$34&lt;&gt;"",ROW($G$2:$G$34),ROW()+ROWS($G$2:$G$34))),ROW()-ROW($H$2:$H$34)+1),COLUMN($G$2:$G$34),4)))</f>
        <v/>
      </c>
      <c r="O14" s="240" t="str">
        <f t="array" aca="1" ref="O14" ca="1">IF(ROW()-ROW($I$2:$I$34)+1&gt;ROWS($H$2:$H$34)-COUNTBLANK($H$2:$H$34),"",INDIRECT(ADDRESS(SMALL((IF($H$2:$H$34&lt;&gt;"",ROW($H$2:$H$34),ROW()+ROWS($H$2:$H$34))),ROW()-ROW($I$2:$I$34)+1),COLUMN($H$2:$H$34),4)))</f>
        <v/>
      </c>
      <c r="P14" s="240" t="str">
        <f t="array" aca="1" ref="P14" ca="1">IF(ROW()-ROW($J$2:$J$34)+1&gt;ROWS($I$2:$I$34)-COUNTBLANK($I$2:$I$34),"",INDIRECT(ADDRESS(SMALL((IF($I$2:$I$34&lt;&gt;"",ROW($I$2:$I$34),ROW()+ROWS($I$2:$I$34))),ROW()-ROW($J$2:$J$34)+1),COLUMN($I$2:$I$34),4)))</f>
        <v/>
      </c>
    </row>
    <row r="15" spans="1:18" s="7" customFormat="1" x14ac:dyDescent="0.25">
      <c r="D15" s="1067" t="s">
        <v>319</v>
      </c>
      <c r="E15" s="304" t="str">
        <f>IF(H15="","","2014")</f>
        <v/>
      </c>
      <c r="F15" s="40" t="str">
        <f t="shared" si="4"/>
        <v/>
      </c>
      <c r="G15" s="40" t="str">
        <f t="shared" si="1"/>
        <v/>
      </c>
      <c r="H15" s="279" t="str">
        <f>IF(A3="relevant",IF(Matrix!Q20&lt;Berechnung2!$F$40,Berechnung2!$L$40,""),"")</f>
        <v/>
      </c>
      <c r="I15" s="247" t="str">
        <f>IF(H15="","",VLOOKUP(F15,Berechnung2!$I$15:$J$22,2,FALSE))</f>
        <v/>
      </c>
      <c r="J15" s="262" t="str">
        <f t="shared" si="2"/>
        <v/>
      </c>
      <c r="K15" s="249"/>
      <c r="L15" s="40" t="str">
        <f t="array" aca="1" ref="L15" ca="1">IF(ROW()-ROW($F$2:$F$34)+1&gt;ROWS($E$2:$E$34)-COUNTBLANK($E$2:$E$34),"",INDIRECT(ADDRESS(SMALL((IF($E$2:$E$34&lt;&gt;"",ROW($E$2:$E$34),ROW()+ROWS($E$2:$E$34))),ROW()-ROW($F$2:$F$34)+1),COLUMN($E$2:$E$34),4)))</f>
        <v/>
      </c>
      <c r="M15" s="40" t="str">
        <f t="array" aca="1" ref="M15" ca="1">IF(ROW()-ROW($G$2:$G$34)+1&gt;ROWS($F$2:$F$34)-COUNTBLANK($F$2:$F$34),"",INDIRECT(ADDRESS(SMALL((IF($F$2:$F$34&lt;&gt;"",ROW($F$2:$F$34),ROW()+ROWS($F$2:$F$34))),ROW()-ROW($G$2:$G$34)+1),COLUMN($F$2:$F$34),4)))</f>
        <v/>
      </c>
      <c r="N15" s="40" t="str">
        <f t="array" aca="1" ref="N15" ca="1">IF(ROW()-ROW($H$2:$H$34)+1&gt;ROWS($G$2:$G$34)-COUNTBLANK($G$2:$G$34),"",INDIRECT(ADDRESS(SMALL((IF($G$2:$G$34&lt;&gt;"",ROW($G$2:$G$34),ROW()+ROWS($G$2:$G$34))),ROW()-ROW($H$2:$H$34)+1),COLUMN($G$2:$G$34),4)))</f>
        <v/>
      </c>
      <c r="O15" s="240" t="str">
        <f t="array" aca="1" ref="O15" ca="1">IF(ROW()-ROW($I$2:$I$34)+1&gt;ROWS($H$2:$H$34)-COUNTBLANK($H$2:$H$34),"",INDIRECT(ADDRESS(SMALL((IF($H$2:$H$34&lt;&gt;"",ROW($H$2:$H$34),ROW()+ROWS($H$2:$H$34))),ROW()-ROW($I$2:$I$34)+1),COLUMN($H$2:$H$34),4)))</f>
        <v/>
      </c>
      <c r="P15" s="240" t="str">
        <f t="array" aca="1" ref="P15" ca="1">IF(ROW()-ROW($J$2:$J$34)+1&gt;ROWS($I$2:$I$34)-COUNTBLANK($I$2:$I$34),"",INDIRECT(ADDRESS(SMALL((IF($I$2:$I$34&lt;&gt;"",ROW($I$2:$I$34),ROW()+ROWS($I$2:$I$34))),ROW()-ROW($J$2:$J$34)+1),COLUMN($I$2:$I$34),4)))</f>
        <v/>
      </c>
    </row>
    <row r="16" spans="1:18" s="7" customFormat="1" x14ac:dyDescent="0.25">
      <c r="D16" s="1067"/>
      <c r="E16" s="304" t="str">
        <f>IF(H16="","","2015")</f>
        <v/>
      </c>
      <c r="F16" s="40" t="str">
        <f t="shared" si="4"/>
        <v/>
      </c>
      <c r="G16" s="40" t="str">
        <f t="shared" si="1"/>
        <v/>
      </c>
      <c r="H16" s="279" t="str">
        <f>IF(A4="relevant",IF(Matrix!Q21&lt;Berechnung2!$F$40,Berechnung2!$L$40,""),"")</f>
        <v/>
      </c>
      <c r="I16" s="247" t="str">
        <f>IF(H16="","",VLOOKUP(F16,Berechnung2!$I$15:$J$22,2,FALSE))</f>
        <v/>
      </c>
      <c r="J16" s="262" t="str">
        <f t="shared" si="2"/>
        <v/>
      </c>
      <c r="K16" s="249"/>
      <c r="L16" s="40" t="str">
        <f t="array" aca="1" ref="L16" ca="1">IF(ROW()-ROW($F$2:$F$34)+1&gt;ROWS($E$2:$E$34)-COUNTBLANK($E$2:$E$34),"",INDIRECT(ADDRESS(SMALL((IF($E$2:$E$34&lt;&gt;"",ROW($E$2:$E$34),ROW()+ROWS($E$2:$E$34))),ROW()-ROW($F$2:$F$34)+1),COLUMN($E$2:$E$34),4)))</f>
        <v/>
      </c>
      <c r="M16" s="40" t="str">
        <f t="array" aca="1" ref="M16" ca="1">IF(ROW()-ROW($G$2:$G$34)+1&gt;ROWS($F$2:$F$34)-COUNTBLANK($F$2:$F$34),"",INDIRECT(ADDRESS(SMALL((IF($F$2:$F$34&lt;&gt;"",ROW($F$2:$F$34),ROW()+ROWS($F$2:$F$34))),ROW()-ROW($G$2:$G$34)+1),COLUMN($F$2:$F$34),4)))</f>
        <v/>
      </c>
      <c r="N16" s="40" t="str">
        <f t="array" aca="1" ref="N16" ca="1">IF(ROW()-ROW($H$2:$H$34)+1&gt;ROWS($G$2:$G$34)-COUNTBLANK($G$2:$G$34),"",INDIRECT(ADDRESS(SMALL((IF($G$2:$G$34&lt;&gt;"",ROW($G$2:$G$34),ROW()+ROWS($G$2:$G$34))),ROW()-ROW($H$2:$H$34)+1),COLUMN($G$2:$G$34),4)))</f>
        <v/>
      </c>
      <c r="O16" s="240" t="str">
        <f t="array" aca="1" ref="O16" ca="1">IF(ROW()-ROW($I$2:$I$34)+1&gt;ROWS($H$2:$H$34)-COUNTBLANK($H$2:$H$34),"",INDIRECT(ADDRESS(SMALL((IF($H$2:$H$34&lt;&gt;"",ROW($H$2:$H$34),ROW()+ROWS($H$2:$H$34))),ROW()-ROW($I$2:$I$34)+1),COLUMN($H$2:$H$34),4)))</f>
        <v/>
      </c>
      <c r="P16" s="240" t="str">
        <f t="array" aca="1" ref="P16" ca="1">IF(ROW()-ROW($J$2:$J$34)+1&gt;ROWS($I$2:$I$34)-COUNTBLANK($I$2:$I$34),"",INDIRECT(ADDRESS(SMALL((IF($I$2:$I$34&lt;&gt;"",ROW($I$2:$I$34),ROW()+ROWS($I$2:$I$34))),ROW()-ROW($J$2:$J$34)+1),COLUMN($I$2:$I$34),4)))</f>
        <v/>
      </c>
    </row>
    <row r="17" spans="1:16" s="7" customFormat="1" x14ac:dyDescent="0.25">
      <c r="A17" s="253"/>
      <c r="B17" s="253"/>
      <c r="C17" s="253"/>
      <c r="D17" s="1067"/>
      <c r="E17" s="304" t="str">
        <f>IF(H17="","","2016")</f>
        <v/>
      </c>
      <c r="F17" s="40" t="str">
        <f t="shared" si="4"/>
        <v/>
      </c>
      <c r="G17" s="40" t="str">
        <f t="shared" si="1"/>
        <v/>
      </c>
      <c r="H17" s="279" t="str">
        <f>IF(A5="relevant",IF(Matrix!Q22&lt;Berechnung2!$F$40,Berechnung2!$L$40,""),"")</f>
        <v/>
      </c>
      <c r="I17" s="247" t="str">
        <f>IF(H17="","",VLOOKUP(F17,Berechnung2!$I$15:$J$22,2,FALSE))</f>
        <v/>
      </c>
      <c r="J17" s="262" t="str">
        <f t="shared" si="2"/>
        <v/>
      </c>
      <c r="K17" s="253"/>
      <c r="L17" s="40" t="str">
        <f t="array" aca="1" ref="L17" ca="1">IF(ROW()-ROW($F$2:$F$34)+1&gt;ROWS($E$2:$E$34)-COUNTBLANK($E$2:$E$34),"",INDIRECT(ADDRESS(SMALL((IF($E$2:$E$34&lt;&gt;"",ROW($E$2:$E$34),ROW()+ROWS($E$2:$E$34))),ROW()-ROW($F$2:$F$34)+1),COLUMN($E$2:$E$34),4)))</f>
        <v/>
      </c>
      <c r="M17" s="40" t="str">
        <f t="array" aca="1" ref="M17" ca="1">IF(ROW()-ROW($G$2:$G$34)+1&gt;ROWS($F$2:$F$34)-COUNTBLANK($F$2:$F$34),"",INDIRECT(ADDRESS(SMALL((IF($F$2:$F$34&lt;&gt;"",ROW($F$2:$F$34),ROW()+ROWS($F$2:$F$34))),ROW()-ROW($G$2:$G$34)+1),COLUMN($F$2:$F$34),4)))</f>
        <v/>
      </c>
      <c r="N17" s="40" t="str">
        <f t="array" aca="1" ref="N17" ca="1">IF(ROW()-ROW($H$2:$H$34)+1&gt;ROWS($G$2:$G$34)-COUNTBLANK($G$2:$G$34),"",INDIRECT(ADDRESS(SMALL((IF($G$2:$G$34&lt;&gt;"",ROW($G$2:$G$34),ROW()+ROWS($G$2:$G$34))),ROW()-ROW($H$2:$H$34)+1),COLUMN($G$2:$G$34),4)))</f>
        <v/>
      </c>
      <c r="O17" s="240" t="str">
        <f t="array" aca="1" ref="O17" ca="1">IF(ROW()-ROW($I$2:$I$34)+1&gt;ROWS($H$2:$H$34)-COUNTBLANK($H$2:$H$34),"",INDIRECT(ADDRESS(SMALL((IF($H$2:$H$34&lt;&gt;"",ROW($H$2:$H$34),ROW()+ROWS($H$2:$H$34))),ROW()-ROW($I$2:$I$34)+1),COLUMN($H$2:$H$34),4)))</f>
        <v/>
      </c>
      <c r="P17" s="240" t="str">
        <f t="array" aca="1" ref="P17" ca="1">IF(ROW()-ROW($J$2:$J$34)+1&gt;ROWS($I$2:$I$34)-COUNTBLANK($I$2:$I$34),"",INDIRECT(ADDRESS(SMALL((IF($I$2:$I$34&lt;&gt;"",ROW($I$2:$I$34),ROW()+ROWS($I$2:$I$34))),ROW()-ROW($J$2:$J$34)+1),COLUMN($I$2:$I$34),4)))</f>
        <v/>
      </c>
    </row>
    <row r="18" spans="1:16" x14ac:dyDescent="0.25">
      <c r="D18" s="1067"/>
      <c r="E18" s="304" t="str">
        <f>IF(H18="","","2017")</f>
        <v/>
      </c>
      <c r="F18" s="40" t="str">
        <f t="shared" si="4"/>
        <v/>
      </c>
      <c r="G18" s="40" t="str">
        <f t="shared" si="1"/>
        <v/>
      </c>
      <c r="H18" s="279" t="str">
        <f>IF(A6="relevant",IF(Matrix!Q23&lt;Berechnung2!$F$40,Berechnung2!$L$40,""),"")</f>
        <v/>
      </c>
      <c r="I18" s="247" t="str">
        <f>IF(H18="","",VLOOKUP(F18,Berechnung2!$I$15:$J$22,2,FALSE))</f>
        <v/>
      </c>
      <c r="J18" s="262" t="str">
        <f t="shared" si="2"/>
        <v/>
      </c>
      <c r="L18" s="40" t="str">
        <f t="array" aca="1" ref="L18" ca="1">IF(ROW()-ROW($F$2:$F$34)+1&gt;ROWS($E$2:$E$34)-COUNTBLANK($E$2:$E$34),"",INDIRECT(ADDRESS(SMALL((IF($E$2:$E$34&lt;&gt;"",ROW($E$2:$E$34),ROW()+ROWS($E$2:$E$34))),ROW()-ROW($F$2:$F$34)+1),COLUMN($E$2:$E$34),4)))</f>
        <v/>
      </c>
      <c r="M18" s="40" t="str">
        <f t="array" aca="1" ref="M18" ca="1">IF(ROW()-ROW($G$2:$G$34)+1&gt;ROWS($F$2:$F$34)-COUNTBLANK($F$2:$F$34),"",INDIRECT(ADDRESS(SMALL((IF($F$2:$F$34&lt;&gt;"",ROW($F$2:$F$34),ROW()+ROWS($F$2:$F$34))),ROW()-ROW($G$2:$G$34)+1),COLUMN($F$2:$F$34),4)))</f>
        <v/>
      </c>
      <c r="N18" s="40" t="str">
        <f t="array" aca="1" ref="N18" ca="1">IF(ROW()-ROW($H$2:$H$34)+1&gt;ROWS($G$2:$G$34)-COUNTBLANK($G$2:$G$34),"",INDIRECT(ADDRESS(SMALL((IF($G$2:$G$34&lt;&gt;"",ROW($G$2:$G$34),ROW()+ROWS($G$2:$G$34))),ROW()-ROW($H$2:$H$34)+1),COLUMN($G$2:$G$34),4)))</f>
        <v/>
      </c>
      <c r="O18" s="240" t="str">
        <f t="array" aca="1" ref="O18" ca="1">IF(ROW()-ROW($I$2:$I$34)+1&gt;ROWS($H$2:$H$34)-COUNTBLANK($H$2:$H$34),"",INDIRECT(ADDRESS(SMALL((IF($H$2:$H$34&lt;&gt;"",ROW($H$2:$H$34),ROW()+ROWS($H$2:$H$34))),ROW()-ROW($I$2:$I$34)+1),COLUMN($H$2:$H$34),4)))</f>
        <v/>
      </c>
      <c r="P18" s="240" t="str">
        <f t="array" aca="1" ref="P18" ca="1">IF(ROW()-ROW($J$2:$J$34)+1&gt;ROWS($I$2:$I$34)-COUNTBLANK($I$2:$I$34),"",INDIRECT(ADDRESS(SMALL((IF($I$2:$I$34&lt;&gt;"",ROW($I$2:$I$34),ROW()+ROWS($I$2:$I$34))),ROW()-ROW($J$2:$J$34)+1),COLUMN($I$2:$I$34),4)))</f>
        <v/>
      </c>
    </row>
    <row r="19" spans="1:16" ht="12.75" thickBot="1" x14ac:dyDescent="0.3">
      <c r="D19" s="302" t="s">
        <v>384</v>
      </c>
      <c r="E19" s="305" t="str">
        <f>IF(H19="","","2018")</f>
        <v/>
      </c>
      <c r="F19" s="266" t="str">
        <f t="shared" si="4"/>
        <v/>
      </c>
      <c r="G19" s="266" t="str">
        <f t="shared" si="1"/>
        <v/>
      </c>
      <c r="H19" s="280" t="str">
        <f>IF(A7="relevant",IF(Matrix!Q24&lt;Berechnung2!$F$40,Berechnung2!$L$40,""),"")</f>
        <v/>
      </c>
      <c r="I19" s="281" t="str">
        <f>IF(H19="","",VLOOKUP(F19,Berechnung2!$I$15:$J$22,2,FALSE))</f>
        <v/>
      </c>
      <c r="J19" s="254" t="str">
        <f t="shared" si="2"/>
        <v/>
      </c>
      <c r="L19" s="40" t="str">
        <f t="array" aca="1" ref="L19" ca="1">IF(ROW()-ROW($F$2:$F$34)+1&gt;ROWS($E$2:$E$34)-COUNTBLANK($E$2:$E$34),"",INDIRECT(ADDRESS(SMALL((IF($E$2:$E$34&lt;&gt;"",ROW($E$2:$E$34),ROW()+ROWS($E$2:$E$34))),ROW()-ROW($F$2:$F$34)+1),COLUMN($E$2:$E$34),4)))</f>
        <v/>
      </c>
      <c r="M19" s="40" t="str">
        <f t="array" aca="1" ref="M19" ca="1">IF(ROW()-ROW($G$2:$G$34)+1&gt;ROWS($F$2:$F$34)-COUNTBLANK($F$2:$F$34),"",INDIRECT(ADDRESS(SMALL((IF($F$2:$F$34&lt;&gt;"",ROW($F$2:$F$34),ROW()+ROWS($F$2:$F$34))),ROW()-ROW($G$2:$G$34)+1),COLUMN($F$2:$F$34),4)))</f>
        <v/>
      </c>
      <c r="N19" s="40" t="str">
        <f t="array" aca="1" ref="N19" ca="1">IF(ROW()-ROW($H$2:$H$34)+1&gt;ROWS($G$2:$G$34)-COUNTBLANK($G$2:$G$34),"",INDIRECT(ADDRESS(SMALL((IF($G$2:$G$34&lt;&gt;"",ROW($G$2:$G$34),ROW()+ROWS($G$2:$G$34))),ROW()-ROW($H$2:$H$34)+1),COLUMN($G$2:$G$34),4)))</f>
        <v/>
      </c>
      <c r="O19" s="240" t="str">
        <f t="array" aca="1" ref="O19" ca="1">IF(ROW()-ROW($I$2:$I$34)+1&gt;ROWS($H$2:$H$34)-COUNTBLANK($H$2:$H$34),"",INDIRECT(ADDRESS(SMALL((IF($H$2:$H$34&lt;&gt;"",ROW($H$2:$H$34),ROW()+ROWS($H$2:$H$34))),ROW()-ROW($I$2:$I$34)+1),COLUMN($H$2:$H$34),4)))</f>
        <v/>
      </c>
      <c r="P19" s="240" t="str">
        <f t="array" aca="1" ref="P19" ca="1">IF(ROW()-ROW($J$2:$J$34)+1&gt;ROWS($I$2:$I$34)-COUNTBLANK($I$2:$I$34),"",INDIRECT(ADDRESS(SMALL((IF($I$2:$I$34&lt;&gt;"",ROW($I$2:$I$34),ROW()+ROWS($I$2:$I$34))),ROW()-ROW($J$2:$J$34)+1),COLUMN($I$2:$I$34),4)))</f>
        <v/>
      </c>
    </row>
    <row r="20" spans="1:16" ht="23.25" thickBot="1" x14ac:dyDescent="0.3">
      <c r="D20" s="400" t="s">
        <v>453</v>
      </c>
      <c r="E20" s="267" t="str">
        <f>IF(H20="","","2-4 Jahre")</f>
        <v/>
      </c>
      <c r="F20" s="267" t="str">
        <f>IF(H20="","","d")</f>
        <v/>
      </c>
      <c r="G20" s="267" t="str">
        <f>IF(H20="","","5")</f>
        <v/>
      </c>
      <c r="H20" s="282" t="str">
        <f>IF(OR(Matrix!$O$27="-----",Matrix!$O$27=""),"",IF(Matrix!$O$27="",0,IF(AND(ROUND(Matrix!$O$27,4)&gt;=Berechnung2!G37,ROUND(Matrix!$O$27,4)&lt;Berechnung2!J37),Berechnung2!L37,"")))</f>
        <v/>
      </c>
      <c r="I20" s="283" t="str">
        <f>IF(H20="","",VLOOKUP(F20,Berechnung2!$I$15:$J$22,2,FALSE))</f>
        <v/>
      </c>
      <c r="J20" s="255" t="str">
        <f t="shared" si="2"/>
        <v/>
      </c>
      <c r="L20" s="40" t="str">
        <f t="array" aca="1" ref="L20" ca="1">IF(ROW()-ROW($F$2:$F$34)+1&gt;ROWS($E$2:$E$34)-COUNTBLANK($E$2:$E$34),"",INDIRECT(ADDRESS(SMALL((IF($E$2:$E$34&lt;&gt;"",ROW($E$2:$E$34),ROW()+ROWS($E$2:$E$34))),ROW()-ROW($F$2:$F$34)+1),COLUMN($E$2:$E$34),4)))</f>
        <v/>
      </c>
      <c r="M20" s="40" t="str">
        <f t="array" aca="1" ref="M20" ca="1">IF(ROW()-ROW($G$2:$G$34)+1&gt;ROWS($F$2:$F$34)-COUNTBLANK($F$2:$F$34),"",INDIRECT(ADDRESS(SMALL((IF($F$2:$F$34&lt;&gt;"",ROW($F$2:$F$34),ROW()+ROWS($F$2:$F$34))),ROW()-ROW($G$2:$G$34)+1),COLUMN($F$2:$F$34),4)))</f>
        <v/>
      </c>
      <c r="N20" s="40" t="str">
        <f t="array" aca="1" ref="N20" ca="1">IF(ROW()-ROW($H$2:$H$34)+1&gt;ROWS($G$2:$G$34)-COUNTBLANK($G$2:$G$34),"",INDIRECT(ADDRESS(SMALL((IF($G$2:$G$34&lt;&gt;"",ROW($G$2:$G$34),ROW()+ROWS($G$2:$G$34))),ROW()-ROW($H$2:$H$34)+1),COLUMN($G$2:$G$34),4)))</f>
        <v/>
      </c>
      <c r="O20" s="240" t="str">
        <f t="array" aca="1" ref="O20" ca="1">IF(ROW()-ROW($I$2:$I$34)+1&gt;ROWS($H$2:$H$34)-COUNTBLANK($H$2:$H$34),"",INDIRECT(ADDRESS(SMALL((IF($H$2:$H$34&lt;&gt;"",ROW($H$2:$H$34),ROW()+ROWS($H$2:$H$34))),ROW()-ROW($I$2:$I$34)+1),COLUMN($H$2:$H$34),4)))</f>
        <v/>
      </c>
      <c r="P20" s="240" t="str">
        <f t="array" aca="1" ref="P20" ca="1">IF(ROW()-ROW($J$2:$J$34)+1&gt;ROWS($I$2:$I$34)-COUNTBLANK($I$2:$I$34),"",INDIRECT(ADDRESS(SMALL((IF($I$2:$I$34&lt;&gt;"",ROW($I$2:$I$34),ROW()+ROWS($I$2:$I$34))),ROW()-ROW($J$2:$J$34)+1),COLUMN($I$2:$I$34),4)))</f>
        <v/>
      </c>
    </row>
    <row r="21" spans="1:16" x14ac:dyDescent="0.25">
      <c r="D21" s="257" t="s">
        <v>73</v>
      </c>
      <c r="E21" s="265" t="str">
        <f>IF(H21="","","2013")</f>
        <v/>
      </c>
      <c r="F21" s="265" t="str">
        <f t="shared" ref="F21:F26" si="5">IF(H21="","","e")</f>
        <v/>
      </c>
      <c r="G21" s="265" t="str">
        <f>IF(H21="","","6")</f>
        <v/>
      </c>
      <c r="H21" s="277" t="str">
        <f>IF(A2="relevant",IF(Matrix!C19="","",IF(Matrix!C19&lt;Berechnung2!$G$35,Berechnung2!$L$35,"")),"")</f>
        <v/>
      </c>
      <c r="I21" s="278" t="str">
        <f>IF(H21="","",VLOOKUP(F21,Berechnung2!$I$15:$J$22,2,FALSE))</f>
        <v/>
      </c>
      <c r="J21" s="263" t="str">
        <f t="shared" si="2"/>
        <v/>
      </c>
      <c r="L21" s="40" t="str">
        <f t="array" aca="1" ref="L21" ca="1">IF(ROW()-ROW($F$2:$F$34)+1&gt;ROWS($E$2:$E$34)-COUNTBLANK($E$2:$E$34),"",INDIRECT(ADDRESS(SMALL((IF($E$2:$E$34&lt;&gt;"",ROW($E$2:$E$34),ROW()+ROWS($E$2:$E$34))),ROW()-ROW($F$2:$F$34)+1),COLUMN($E$2:$E$34),4)))</f>
        <v/>
      </c>
      <c r="M21" s="40" t="str">
        <f t="array" aca="1" ref="M21" ca="1">IF(ROW()-ROW($G$2:$G$34)+1&gt;ROWS($F$2:$F$34)-COUNTBLANK($F$2:$F$34),"",INDIRECT(ADDRESS(SMALL((IF($F$2:$F$34&lt;&gt;"",ROW($F$2:$F$34),ROW()+ROWS($F$2:$F$34))),ROW()-ROW($G$2:$G$34)+1),COLUMN($F$2:$F$34),4)))</f>
        <v/>
      </c>
      <c r="N21" s="40" t="str">
        <f t="array" aca="1" ref="N21" ca="1">IF(ROW()-ROW($H$2:$H$34)+1&gt;ROWS($G$2:$G$34)-COUNTBLANK($G$2:$G$34),"",INDIRECT(ADDRESS(SMALL((IF($G$2:$G$34&lt;&gt;"",ROW($G$2:$G$34),ROW()+ROWS($G$2:$G$34))),ROW()-ROW($H$2:$H$34)+1),COLUMN($G$2:$G$34),4)))</f>
        <v/>
      </c>
      <c r="O21" s="240" t="str">
        <f t="array" aca="1" ref="O21" ca="1">IF(ROW()-ROW($I$2:$I$34)+1&gt;ROWS($H$2:$H$34)-COUNTBLANK($H$2:$H$34),"",INDIRECT(ADDRESS(SMALL((IF($H$2:$H$34&lt;&gt;"",ROW($H$2:$H$34),ROW()+ROWS($H$2:$H$34))),ROW()-ROW($I$2:$I$34)+1),COLUMN($H$2:$H$34),4)))</f>
        <v/>
      </c>
      <c r="P21" s="240" t="str">
        <f t="array" aca="1" ref="P21" ca="1">IF(ROW()-ROW($J$2:$J$34)+1&gt;ROWS($I$2:$I$34)-COUNTBLANK($I$2:$I$34),"",INDIRECT(ADDRESS(SMALL((IF($I$2:$I$34&lt;&gt;"",ROW($I$2:$I$34),ROW()+ROWS($I$2:$I$34))),ROW()-ROW($J$2:$J$34)+1),COLUMN($I$2:$I$34),4)))</f>
        <v/>
      </c>
    </row>
    <row r="22" spans="1:16" x14ac:dyDescent="0.25">
      <c r="D22" s="1068" t="s">
        <v>147</v>
      </c>
      <c r="E22" s="40" t="str">
        <f>IF(H22="","","2014")</f>
        <v/>
      </c>
      <c r="F22" s="40" t="str">
        <f t="shared" si="5"/>
        <v/>
      </c>
      <c r="G22" s="40" t="str">
        <f t="shared" ref="G22:G31" si="6">IF(H22="","","6")</f>
        <v/>
      </c>
      <c r="H22" s="279" t="str">
        <f>IF(A3="relevant",IF(Matrix!C20="","",IF(Matrix!C20&lt;Berechnung2!$G$35,Berechnung2!$L$35,"")),"")</f>
        <v/>
      </c>
      <c r="I22" s="247" t="str">
        <f>IF(H22="","",VLOOKUP(F22,Berechnung2!$I$15:$J$22,2,FALSE))</f>
        <v/>
      </c>
      <c r="J22" s="262" t="str">
        <f t="shared" si="2"/>
        <v/>
      </c>
      <c r="L22" s="40" t="str">
        <f t="array" aca="1" ref="L22" ca="1">IF(ROW()-ROW($F$2:$F$34)+1&gt;ROWS($E$2:$E$34)-COUNTBLANK($E$2:$E$34),"",INDIRECT(ADDRESS(SMALL((IF($E$2:$E$34&lt;&gt;"",ROW($E$2:$E$34),ROW()+ROWS($E$2:$E$34))),ROW()-ROW($F$2:$F$34)+1),COLUMN($E$2:$E$34),4)))</f>
        <v/>
      </c>
      <c r="M22" s="40" t="str">
        <f t="array" aca="1" ref="M22" ca="1">IF(ROW()-ROW($G$2:$G$34)+1&gt;ROWS($F$2:$F$34)-COUNTBLANK($F$2:$F$34),"",INDIRECT(ADDRESS(SMALL((IF($F$2:$F$34&lt;&gt;"",ROW($F$2:$F$34),ROW()+ROWS($F$2:$F$34))),ROW()-ROW($G$2:$G$34)+1),COLUMN($F$2:$F$34),4)))</f>
        <v/>
      </c>
      <c r="N22" s="40" t="str">
        <f t="array" aca="1" ref="N22" ca="1">IF(ROW()-ROW($H$2:$H$34)+1&gt;ROWS($G$2:$G$34)-COUNTBLANK($G$2:$G$34),"",INDIRECT(ADDRESS(SMALL((IF($G$2:$G$34&lt;&gt;"",ROW($G$2:$G$34),ROW()+ROWS($G$2:$G$34))),ROW()-ROW($H$2:$H$34)+1),COLUMN($G$2:$G$34),4)))</f>
        <v/>
      </c>
      <c r="O22" s="240" t="str">
        <f t="array" aca="1" ref="O22" ca="1">IF(ROW()-ROW($I$2:$I$34)+1&gt;ROWS($H$2:$H$34)-COUNTBLANK($H$2:$H$34),"",INDIRECT(ADDRESS(SMALL((IF($H$2:$H$34&lt;&gt;"",ROW($H$2:$H$34),ROW()+ROWS($H$2:$H$34))),ROW()-ROW($I$2:$I$34)+1),COLUMN($H$2:$H$34),4)))</f>
        <v/>
      </c>
      <c r="P22" s="240" t="str">
        <f t="array" aca="1" ref="P22" ca="1">IF(ROW()-ROW($J$2:$J$34)+1&gt;ROWS($I$2:$I$34)-COUNTBLANK($I$2:$I$34),"",INDIRECT(ADDRESS(SMALL((IF($I$2:$I$34&lt;&gt;"",ROW($I$2:$I$34),ROW()+ROWS($I$2:$I$34))),ROW()-ROW($J$2:$J$34)+1),COLUMN($I$2:$I$34),4)))</f>
        <v/>
      </c>
    </row>
    <row r="23" spans="1:16" x14ac:dyDescent="0.25">
      <c r="D23" s="1068"/>
      <c r="E23" s="40" t="str">
        <f>IF(H23="","","2015")</f>
        <v/>
      </c>
      <c r="F23" s="40" t="str">
        <f t="shared" si="5"/>
        <v/>
      </c>
      <c r="G23" s="40" t="str">
        <f t="shared" si="6"/>
        <v/>
      </c>
      <c r="H23" s="279" t="str">
        <f>IF(A4="relevant",IF(Matrix!C21="","",IF(Matrix!C21&lt;Berechnung2!$G$35,Berechnung2!$L$35,"")),"")</f>
        <v/>
      </c>
      <c r="I23" s="247" t="str">
        <f>IF(H23="","",VLOOKUP(F23,Berechnung2!$I$15:$J$22,2,FALSE))</f>
        <v/>
      </c>
      <c r="J23" s="262" t="str">
        <f t="shared" si="2"/>
        <v/>
      </c>
      <c r="L23" s="40" t="str">
        <f t="array" aca="1" ref="L23" ca="1">IF(ROW()-ROW($F$2:$F$34)+1&gt;ROWS($E$2:$E$34)-COUNTBLANK($E$2:$E$34),"",INDIRECT(ADDRESS(SMALL((IF($E$2:$E$34&lt;&gt;"",ROW($E$2:$E$34),ROW()+ROWS($E$2:$E$34))),ROW()-ROW($F$2:$F$34)+1),COLUMN($E$2:$E$34),4)))</f>
        <v/>
      </c>
      <c r="M23" s="40" t="str">
        <f t="array" aca="1" ref="M23" ca="1">IF(ROW()-ROW($G$2:$G$34)+1&gt;ROWS($F$2:$F$34)-COUNTBLANK($F$2:$F$34),"",INDIRECT(ADDRESS(SMALL((IF($F$2:$F$34&lt;&gt;"",ROW($F$2:$F$34),ROW()+ROWS($F$2:$F$34))),ROW()-ROW($G$2:$G$34)+1),COLUMN($F$2:$F$34),4)))</f>
        <v/>
      </c>
      <c r="N23" s="40" t="str">
        <f t="array" aca="1" ref="N23" ca="1">IF(ROW()-ROW($H$2:$H$34)+1&gt;ROWS($G$2:$G$34)-COUNTBLANK($G$2:$G$34),"",INDIRECT(ADDRESS(SMALL((IF($G$2:$G$34&lt;&gt;"",ROW($G$2:$G$34),ROW()+ROWS($G$2:$G$34))),ROW()-ROW($H$2:$H$34)+1),COLUMN($G$2:$G$34),4)))</f>
        <v/>
      </c>
      <c r="O23" s="240" t="str">
        <f t="array" aca="1" ref="O23" ca="1">IF(ROW()-ROW($I$2:$I$34)+1&gt;ROWS($H$2:$H$34)-COUNTBLANK($H$2:$H$34),"",INDIRECT(ADDRESS(SMALL((IF($H$2:$H$34&lt;&gt;"",ROW($H$2:$H$34),ROW()+ROWS($H$2:$H$34))),ROW()-ROW($I$2:$I$34)+1),COLUMN($H$2:$H$34),4)))</f>
        <v/>
      </c>
      <c r="P23" s="240" t="str">
        <f t="array" aca="1" ref="P23" ca="1">IF(ROW()-ROW($J$2:$J$34)+1&gt;ROWS($I$2:$I$34)-COUNTBLANK($I$2:$I$34),"",INDIRECT(ADDRESS(SMALL((IF($I$2:$I$34&lt;&gt;"",ROW($I$2:$I$34),ROW()+ROWS($I$2:$I$34))),ROW()-ROW($J$2:$J$34)+1),COLUMN($I$2:$I$34),4)))</f>
        <v/>
      </c>
    </row>
    <row r="24" spans="1:16" x14ac:dyDescent="0.25">
      <c r="D24" s="1068"/>
      <c r="E24" s="40" t="str">
        <f>IF(H24="","","2016")</f>
        <v/>
      </c>
      <c r="F24" s="40" t="str">
        <f t="shared" si="5"/>
        <v/>
      </c>
      <c r="G24" s="40" t="str">
        <f t="shared" si="6"/>
        <v/>
      </c>
      <c r="H24" s="279" t="str">
        <f>IF(A5="relevant",IF(Matrix!C22="","",IF(Matrix!C22&lt;Berechnung2!$G$35,Berechnung2!$L$35,"")),"")</f>
        <v/>
      </c>
      <c r="I24" s="247" t="str">
        <f>IF(H24="","",VLOOKUP(F24,Berechnung2!$I$15:$J$22,2,FALSE))</f>
        <v/>
      </c>
      <c r="J24" s="262" t="str">
        <f t="shared" si="2"/>
        <v/>
      </c>
      <c r="L24" s="40" t="str">
        <f t="array" aca="1" ref="L24" ca="1">IF(ROW()-ROW($F$2:$F$34)+1&gt;ROWS($E$2:$E$34)-COUNTBLANK($E$2:$E$34),"",INDIRECT(ADDRESS(SMALL((IF($E$2:$E$34&lt;&gt;"",ROW($E$2:$E$34),ROW()+ROWS($E$2:$E$34))),ROW()-ROW($F$2:$F$34)+1),COLUMN($E$2:$E$34),4)))</f>
        <v/>
      </c>
      <c r="M24" s="40" t="str">
        <f t="array" aca="1" ref="M24" ca="1">IF(ROW()-ROW($G$2:$G$34)+1&gt;ROWS($F$2:$F$34)-COUNTBLANK($F$2:$F$34),"",INDIRECT(ADDRESS(SMALL((IF($F$2:$F$34&lt;&gt;"",ROW($F$2:$F$34),ROW()+ROWS($F$2:$F$34))),ROW()-ROW($G$2:$G$34)+1),COLUMN($F$2:$F$34),4)))</f>
        <v/>
      </c>
      <c r="N24" s="40" t="str">
        <f t="array" aca="1" ref="N24" ca="1">IF(ROW()-ROW($H$2:$H$34)+1&gt;ROWS($G$2:$G$34)-COUNTBLANK($G$2:$G$34),"",INDIRECT(ADDRESS(SMALL((IF($G$2:$G$34&lt;&gt;"",ROW($G$2:$G$34),ROW()+ROWS($G$2:$G$34))),ROW()-ROW($H$2:$H$34)+1),COLUMN($G$2:$G$34),4)))</f>
        <v/>
      </c>
      <c r="O24" s="240" t="str">
        <f t="array" aca="1" ref="O24" ca="1">IF(ROW()-ROW($I$2:$I$34)+1&gt;ROWS($H$2:$H$34)-COUNTBLANK($H$2:$H$34),"",INDIRECT(ADDRESS(SMALL((IF($H$2:$H$34&lt;&gt;"",ROW($H$2:$H$34),ROW()+ROWS($H$2:$H$34))),ROW()-ROW($I$2:$I$34)+1),COLUMN($H$2:$H$34),4)))</f>
        <v/>
      </c>
      <c r="P24" s="240" t="str">
        <f t="array" aca="1" ref="P24" ca="1">IF(ROW()-ROW($J$2:$J$34)+1&gt;ROWS($I$2:$I$34)-COUNTBLANK($I$2:$I$34),"",INDIRECT(ADDRESS(SMALL((IF($I$2:$I$34&lt;&gt;"",ROW($I$2:$I$34),ROW()+ROWS($I$2:$I$34))),ROW()-ROW($J$2:$J$34)+1),COLUMN($I$2:$I$34),4)))</f>
        <v/>
      </c>
    </row>
    <row r="25" spans="1:16" x14ac:dyDescent="0.25">
      <c r="D25" s="1068"/>
      <c r="E25" s="40" t="str">
        <f>IF(H25="","","2017")</f>
        <v/>
      </c>
      <c r="F25" s="40" t="str">
        <f t="shared" si="5"/>
        <v/>
      </c>
      <c r="G25" s="40" t="str">
        <f t="shared" si="6"/>
        <v/>
      </c>
      <c r="H25" s="279" t="str">
        <f>IF(A6="relevant",IF(Matrix!C23="","",IF(Matrix!C23&lt;Berechnung2!$G$35,Berechnung2!$L$35,"")),"")</f>
        <v/>
      </c>
      <c r="I25" s="247" t="str">
        <f>IF(H25="","",VLOOKUP(F25,Berechnung2!$I$15:$J$22,2,FALSE))</f>
        <v/>
      </c>
      <c r="J25" s="262" t="str">
        <f t="shared" si="2"/>
        <v/>
      </c>
      <c r="L25" s="40" t="str">
        <f t="array" aca="1" ref="L25" ca="1">IF(ROW()-ROW($F$2:$F$34)+1&gt;ROWS($E$2:$E$34)-COUNTBLANK($E$2:$E$34),"",INDIRECT(ADDRESS(SMALL((IF($E$2:$E$34&lt;&gt;"",ROW($E$2:$E$34),ROW()+ROWS($E$2:$E$34))),ROW()-ROW($F$2:$F$34)+1),COLUMN($E$2:$E$34),4)))</f>
        <v/>
      </c>
      <c r="M25" s="40" t="str">
        <f t="array" aca="1" ref="M25" ca="1">IF(ROW()-ROW($G$2:$G$34)+1&gt;ROWS($F$2:$F$34)-COUNTBLANK($F$2:$F$34),"",INDIRECT(ADDRESS(SMALL((IF($F$2:$F$34&lt;&gt;"",ROW($F$2:$F$34),ROW()+ROWS($F$2:$F$34))),ROW()-ROW($G$2:$G$34)+1),COLUMN($F$2:$F$34),4)))</f>
        <v/>
      </c>
      <c r="N25" s="40" t="str">
        <f t="array" aca="1" ref="N25" ca="1">IF(ROW()-ROW($H$2:$H$34)+1&gt;ROWS($G$2:$G$34)-COUNTBLANK($G$2:$G$34),"",INDIRECT(ADDRESS(SMALL((IF($G$2:$G$34&lt;&gt;"",ROW($G$2:$G$34),ROW()+ROWS($G$2:$G$34))),ROW()-ROW($H$2:$H$34)+1),COLUMN($G$2:$G$34),4)))</f>
        <v/>
      </c>
      <c r="O25" s="240" t="str">
        <f t="array" aca="1" ref="O25" ca="1">IF(ROW()-ROW($I$2:$I$34)+1&gt;ROWS($H$2:$H$34)-COUNTBLANK($H$2:$H$34),"",INDIRECT(ADDRESS(SMALL((IF($H$2:$H$34&lt;&gt;"",ROW($H$2:$H$34),ROW()+ROWS($H$2:$H$34))),ROW()-ROW($I$2:$I$34)+1),COLUMN($H$2:$H$34),4)))</f>
        <v/>
      </c>
      <c r="P25" s="240" t="str">
        <f t="array" aca="1" ref="P25" ca="1">IF(ROW()-ROW($J$2:$J$34)+1&gt;ROWS($I$2:$I$34)-COUNTBLANK($I$2:$I$34),"",INDIRECT(ADDRESS(SMALL((IF($I$2:$I$34&lt;&gt;"",ROW($I$2:$I$34),ROW()+ROWS($I$2:$I$34))),ROW()-ROW($J$2:$J$34)+1),COLUMN($I$2:$I$34),4)))</f>
        <v/>
      </c>
    </row>
    <row r="26" spans="1:16" ht="12.75" thickBot="1" x14ac:dyDescent="0.3">
      <c r="D26" s="258" t="s">
        <v>386</v>
      </c>
      <c r="E26" s="266" t="str">
        <f>IF(H26="","","2018")</f>
        <v/>
      </c>
      <c r="F26" s="266" t="str">
        <f t="shared" si="5"/>
        <v/>
      </c>
      <c r="G26" s="266" t="str">
        <f t="shared" si="6"/>
        <v/>
      </c>
      <c r="H26" s="280" t="str">
        <f>IF(A7="relevant",IF(Matrix!C24="","",IF(Matrix!C24&lt;Berechnung2!$G$35,Berechnung2!$L$35,"")),"")</f>
        <v/>
      </c>
      <c r="I26" s="281" t="str">
        <f>IF(H26="","",VLOOKUP(F26,Berechnung2!$I$15:$J$22,2,FALSE))</f>
        <v/>
      </c>
      <c r="J26" s="254" t="str">
        <f t="shared" si="2"/>
        <v/>
      </c>
      <c r="L26" s="40" t="str">
        <f t="array" aca="1" ref="L26" ca="1">IF(ROW()-ROW($F$2:$F$34)+1&gt;ROWS($E$2:$E$34)-COUNTBLANK($E$2:$E$34),"",INDIRECT(ADDRESS(SMALL((IF($E$2:$E$34&lt;&gt;"",ROW($E$2:$E$34),ROW()+ROWS($E$2:$E$34))),ROW()-ROW($F$2:$F$34)+1),COLUMN($E$2:$E$34),4)))</f>
        <v/>
      </c>
      <c r="M26" s="40" t="str">
        <f t="array" aca="1" ref="M26" ca="1">IF(ROW()-ROW($G$2:$G$34)+1&gt;ROWS($F$2:$F$34)-COUNTBLANK($F$2:$F$34),"",INDIRECT(ADDRESS(SMALL((IF($F$2:$F$34&lt;&gt;"",ROW($F$2:$F$34),ROW()+ROWS($F$2:$F$34))),ROW()-ROW($G$2:$G$34)+1),COLUMN($F$2:$F$34),4)))</f>
        <v/>
      </c>
      <c r="N26" s="40" t="str">
        <f t="array" aca="1" ref="N26" ca="1">IF(ROW()-ROW($H$2:$H$34)+1&gt;ROWS($G$2:$G$34)-COUNTBLANK($G$2:$G$34),"",INDIRECT(ADDRESS(SMALL((IF($G$2:$G$34&lt;&gt;"",ROW($G$2:$G$34),ROW()+ROWS($G$2:$G$34))),ROW()-ROW($H$2:$H$34)+1),COLUMN($G$2:$G$34),4)))</f>
        <v/>
      </c>
      <c r="O26" s="240" t="str">
        <f t="array" aca="1" ref="O26" ca="1">IF(ROW()-ROW($I$2:$I$34)+1&gt;ROWS($H$2:$H$34)-COUNTBLANK($H$2:$H$34),"",INDIRECT(ADDRESS(SMALL((IF($H$2:$H$34&lt;&gt;"",ROW($H$2:$H$34),ROW()+ROWS($H$2:$H$34))),ROW()-ROW($I$2:$I$34)+1),COLUMN($H$2:$H$34),4)))</f>
        <v/>
      </c>
      <c r="P26" s="240" t="str">
        <f t="array" aca="1" ref="P26" ca="1">IF(ROW()-ROW($J$2:$J$34)+1&gt;ROWS($I$2:$I$34)-COUNTBLANK($I$2:$I$34),"",INDIRECT(ADDRESS(SMALL((IF($I$2:$I$34&lt;&gt;"",ROW($I$2:$I$34),ROW()+ROWS($I$2:$I$34))),ROW()-ROW($J$2:$J$34)+1),COLUMN($I$2:$I$34),4)))</f>
        <v/>
      </c>
    </row>
    <row r="27" spans="1:16" ht="23.25" thickBot="1" x14ac:dyDescent="0.3">
      <c r="D27" s="256" t="s">
        <v>385</v>
      </c>
      <c r="E27" s="267" t="str">
        <f>IF(H27="","","2-4 Jahre")</f>
        <v/>
      </c>
      <c r="F27" s="267" t="str">
        <f>IF(H27="","","f")</f>
        <v/>
      </c>
      <c r="G27" s="267" t="str">
        <f t="shared" si="6"/>
        <v/>
      </c>
      <c r="H27" s="282" t="str">
        <f>IF(OR(Matrix!$O$27="-----",Matrix!$O$27=""),"",IF(Matrix!$O$27="",0,IF(ROUND(Matrix!$O$27,4)&gt;Berechnung2!J38,Berechnung2!L38,"")))</f>
        <v/>
      </c>
      <c r="I27" s="283" t="str">
        <f>IF(H27="","",VLOOKUP(F27,Berechnung2!$I$15:$J$22,2,FALSE))</f>
        <v/>
      </c>
      <c r="J27" s="255" t="str">
        <f t="shared" si="2"/>
        <v/>
      </c>
      <c r="L27" s="40" t="str">
        <f t="array" aca="1" ref="L27" ca="1">IF(ROW()-ROW($F$2:$F$34)+1&gt;ROWS($E$2:$E$34)-COUNTBLANK($E$2:$E$34),"",INDIRECT(ADDRESS(SMALL((IF($E$2:$E$34&lt;&gt;"",ROW($E$2:$E$34),ROW()+ROWS($E$2:$E$34))),ROW()-ROW($F$2:$F$34)+1),COLUMN($E$2:$E$34),4)))</f>
        <v/>
      </c>
      <c r="M27" s="40" t="str">
        <f t="array" aca="1" ref="M27" ca="1">IF(ROW()-ROW($G$2:$G$34)+1&gt;ROWS($F$2:$F$34)-COUNTBLANK($F$2:$F$34),"",INDIRECT(ADDRESS(SMALL((IF($F$2:$F$34&lt;&gt;"",ROW($F$2:$F$34),ROW()+ROWS($F$2:$F$34))),ROW()-ROW($G$2:$G$34)+1),COLUMN($F$2:$F$34),4)))</f>
        <v/>
      </c>
      <c r="N27" s="40" t="str">
        <f t="array" aca="1" ref="N27" ca="1">IF(ROW()-ROW($H$2:$H$34)+1&gt;ROWS($G$2:$G$34)-COUNTBLANK($G$2:$G$34),"",INDIRECT(ADDRESS(SMALL((IF($G$2:$G$34&lt;&gt;"",ROW($G$2:$G$34),ROW()+ROWS($G$2:$G$34))),ROW()-ROW($H$2:$H$34)+1),COLUMN($G$2:$G$34),4)))</f>
        <v/>
      </c>
      <c r="O27" s="240" t="str">
        <f t="array" aca="1" ref="O27" ca="1">IF(ROW()-ROW($I$2:$I$34)+1&gt;ROWS($H$2:$H$34)-COUNTBLANK($H$2:$H$34),"",INDIRECT(ADDRESS(SMALL((IF($H$2:$H$34&lt;&gt;"",ROW($H$2:$H$34),ROW()+ROWS($H$2:$H$34))),ROW()-ROW($I$2:$I$34)+1),COLUMN($H$2:$H$34),4)))</f>
        <v/>
      </c>
      <c r="P27" s="240" t="str">
        <f t="array" aca="1" ref="P27" ca="1">IF(ROW()-ROW($J$2:$J$34)+1&gt;ROWS($I$2:$I$34)-COUNTBLANK($I$2:$I$34),"",INDIRECT(ADDRESS(SMALL((IF($I$2:$I$34&lt;&gt;"",ROW($I$2:$I$34),ROW()+ROWS($I$2:$I$34))),ROW()-ROW($J$2:$J$34)+1),COLUMN($I$2:$I$34),4)))</f>
        <v/>
      </c>
    </row>
    <row r="28" spans="1:16" x14ac:dyDescent="0.25">
      <c r="D28" s="257" t="s">
        <v>73</v>
      </c>
      <c r="E28" s="265"/>
      <c r="F28" s="265"/>
      <c r="G28" s="265"/>
      <c r="H28" s="277"/>
      <c r="I28" s="278"/>
      <c r="J28" s="263"/>
      <c r="L28" s="40" t="str">
        <f t="array" aca="1" ref="L28" ca="1">IF(ROW()-ROW($F$2:$F$34)+1&gt;ROWS($E$2:$E$34)-COUNTBLANK($E$2:$E$34),"",INDIRECT(ADDRESS(SMALL((IF($E$2:$E$34&lt;&gt;"",ROW($E$2:$E$34),ROW()+ROWS($E$2:$E$34))),ROW()-ROW($F$2:$F$34)+1),COLUMN($E$2:$E$34),4)))</f>
        <v/>
      </c>
      <c r="M28" s="40" t="str">
        <f t="array" aca="1" ref="M28" ca="1">IF(ROW()-ROW($G$2:$G$34)+1&gt;ROWS($F$2:$F$34)-COUNTBLANK($F$2:$F$34),"",INDIRECT(ADDRESS(SMALL((IF($F$2:$F$34&lt;&gt;"",ROW($F$2:$F$34),ROW()+ROWS($F$2:$F$34))),ROW()-ROW($G$2:$G$34)+1),COLUMN($F$2:$F$34),4)))</f>
        <v/>
      </c>
      <c r="N28" s="40" t="str">
        <f t="array" aca="1" ref="N28" ca="1">IF(ROW()-ROW($H$2:$H$34)+1&gt;ROWS($G$2:$G$34)-COUNTBLANK($G$2:$G$34),"",INDIRECT(ADDRESS(SMALL((IF($G$2:$G$34&lt;&gt;"",ROW($G$2:$G$34),ROW()+ROWS($G$2:$G$34))),ROW()-ROW($H$2:$H$34)+1),COLUMN($G$2:$G$34),4)))</f>
        <v/>
      </c>
      <c r="O28" s="240" t="str">
        <f t="array" aca="1" ref="O28" ca="1">IF(ROW()-ROW($I$2:$I$34)+1&gt;ROWS($H$2:$H$34)-COUNTBLANK($H$2:$H$34),"",INDIRECT(ADDRESS(SMALL((IF($H$2:$H$34&lt;&gt;"",ROW($H$2:$H$34),ROW()+ROWS($H$2:$H$34))),ROW()-ROW($I$2:$I$34)+1),COLUMN($H$2:$H$34),4)))</f>
        <v/>
      </c>
      <c r="P28" s="240" t="str">
        <f t="array" aca="1" ref="P28" ca="1">IF(ROW()-ROW($J$2:$J$34)+1&gt;ROWS($I$2:$I$34)-COUNTBLANK($I$2:$I$34),"",INDIRECT(ADDRESS(SMALL((IF($I$2:$I$34&lt;&gt;"",ROW($I$2:$I$34),ROW()+ROWS($I$2:$I$34))),ROW()-ROW($J$2:$J$34)+1),COLUMN($I$2:$I$34),4)))</f>
        <v/>
      </c>
    </row>
    <row r="29" spans="1:16" x14ac:dyDescent="0.25">
      <c r="D29" s="1068" t="s">
        <v>316</v>
      </c>
      <c r="E29" s="40" t="str">
        <f>IF(H29="","","2014")</f>
        <v/>
      </c>
      <c r="F29" s="40" t="str">
        <f>IF(H29="","","g")</f>
        <v/>
      </c>
      <c r="G29" s="40" t="str">
        <f t="shared" ref="G29" si="7">IF(H29="","","6")</f>
        <v/>
      </c>
      <c r="H29" s="279" t="str">
        <f>IF(A3="relevant",IF(Matrix!O20="","",IF(AND(ROUND(Matrix!O20,4)&lt;Berechnung2!$J$36),Berechnung2!$L$36,"")),"")</f>
        <v/>
      </c>
      <c r="I29" s="247" t="str">
        <f>IF(H29="","",VLOOKUP(F29,Berechnung2!$I$15:$J$22,2,FALSE))</f>
        <v/>
      </c>
      <c r="J29" s="262" t="str">
        <f t="shared" ref="J29" si="8">IF(H29&lt;&gt;"",1,"")</f>
        <v/>
      </c>
      <c r="L29" s="40" t="str">
        <f t="array" aca="1" ref="L29" ca="1">IF(ROW()-ROW($F$2:$F$34)+1&gt;ROWS($E$2:$E$34)-COUNTBLANK($E$2:$E$34),"",INDIRECT(ADDRESS(SMALL((IF($E$2:$E$34&lt;&gt;"",ROW($E$2:$E$34),ROW()+ROWS($E$2:$E$34))),ROW()-ROW($F$2:$F$34)+1),COLUMN($E$2:$E$34),4)))</f>
        <v/>
      </c>
      <c r="M29" s="40" t="str">
        <f t="array" aca="1" ref="M29" ca="1">IF(ROW()-ROW($G$2:$G$34)+1&gt;ROWS($F$2:$F$34)-COUNTBLANK($F$2:$F$34),"",INDIRECT(ADDRESS(SMALL((IF($F$2:$F$34&lt;&gt;"",ROW($F$2:$F$34),ROW()+ROWS($F$2:$F$34))),ROW()-ROW($G$2:$G$34)+1),COLUMN($F$2:$F$34),4)))</f>
        <v/>
      </c>
      <c r="N29" s="40" t="str">
        <f t="array" aca="1" ref="N29" ca="1">IF(ROW()-ROW($H$2:$H$34)+1&gt;ROWS($G$2:$G$34)-COUNTBLANK($G$2:$G$34),"",INDIRECT(ADDRESS(SMALL((IF($G$2:$G$34&lt;&gt;"",ROW($G$2:$G$34),ROW()+ROWS($G$2:$G$34))),ROW()-ROW($H$2:$H$34)+1),COLUMN($G$2:$G$34),4)))</f>
        <v/>
      </c>
      <c r="O29" s="240" t="str">
        <f t="array" aca="1" ref="O29" ca="1">IF(ROW()-ROW($I$2:$I$34)+1&gt;ROWS($H$2:$H$34)-COUNTBLANK($H$2:$H$34),"",INDIRECT(ADDRESS(SMALL((IF($H$2:$H$34&lt;&gt;"",ROW($H$2:$H$34),ROW()+ROWS($H$2:$H$34))),ROW()-ROW($I$2:$I$34)+1),COLUMN($H$2:$H$34),4)))</f>
        <v/>
      </c>
      <c r="P29" s="240" t="str">
        <f t="array" aca="1" ref="P29" ca="1">IF(ROW()-ROW($J$2:$J$34)+1&gt;ROWS($I$2:$I$34)-COUNTBLANK($I$2:$I$34),"",INDIRECT(ADDRESS(SMALL((IF($I$2:$I$34&lt;&gt;"",ROW($I$2:$I$34),ROW()+ROWS($I$2:$I$34))),ROW()-ROW($J$2:$J$34)+1),COLUMN($I$2:$I$34),4)))</f>
        <v/>
      </c>
    </row>
    <row r="30" spans="1:16" x14ac:dyDescent="0.25">
      <c r="D30" s="1068"/>
      <c r="E30" s="40" t="str">
        <f>IF(H30="","","2015")</f>
        <v/>
      </c>
      <c r="F30" s="40" t="str">
        <f>IF(H30="","","g")</f>
        <v/>
      </c>
      <c r="G30" s="40" t="str">
        <f t="shared" si="6"/>
        <v/>
      </c>
      <c r="H30" s="279" t="str">
        <f>IF(A4="relevant",IF(Matrix!O21="","",IF(AND(ROUND(Matrix!O21,4)&lt;Berechnung2!$J$36),Berechnung2!$L$36,"")),"")</f>
        <v/>
      </c>
      <c r="I30" s="247" t="str">
        <f>IF(H30="","",VLOOKUP(F30,Berechnung2!$I$15:$J$22,2,FALSE))</f>
        <v/>
      </c>
      <c r="J30" s="262" t="str">
        <f t="shared" si="2"/>
        <v/>
      </c>
      <c r="L30" s="40" t="str">
        <f t="array" aca="1" ref="L30" ca="1">IF(ROW()-ROW($F$2:$F$34)+1&gt;ROWS($E$2:$E$34)-COUNTBLANK($E$2:$E$34),"",INDIRECT(ADDRESS(SMALL((IF($E$2:$E$34&lt;&gt;"",ROW($E$2:$E$34),ROW()+ROWS($E$2:$E$34))),ROW()-ROW($F$2:$F$34)+1),COLUMN($E$2:$E$34),4)))</f>
        <v/>
      </c>
      <c r="M30" s="40" t="str">
        <f t="array" aca="1" ref="M30" ca="1">IF(ROW()-ROW($G$2:$G$34)+1&gt;ROWS($F$2:$F$34)-COUNTBLANK($F$2:$F$34),"",INDIRECT(ADDRESS(SMALL((IF($F$2:$F$34&lt;&gt;"",ROW($F$2:$F$34),ROW()+ROWS($F$2:$F$34))),ROW()-ROW($G$2:$G$34)+1),COLUMN($F$2:$F$34),4)))</f>
        <v/>
      </c>
      <c r="N30" s="40" t="str">
        <f t="array" aca="1" ref="N30" ca="1">IF(ROW()-ROW($H$2:$H$34)+1&gt;ROWS($G$2:$G$34)-COUNTBLANK($G$2:$G$34),"",INDIRECT(ADDRESS(SMALL((IF($G$2:$G$34&lt;&gt;"",ROW($G$2:$G$34),ROW()+ROWS($G$2:$G$34))),ROW()-ROW($H$2:$H$34)+1),COLUMN($G$2:$G$34),4)))</f>
        <v/>
      </c>
      <c r="O30" s="240" t="str">
        <f t="array" aca="1" ref="O30" ca="1">IF(ROW()-ROW($I$2:$I$34)+1&gt;ROWS($H$2:$H$34)-COUNTBLANK($H$2:$H$34),"",INDIRECT(ADDRESS(SMALL((IF($H$2:$H$34&lt;&gt;"",ROW($H$2:$H$34),ROW()+ROWS($H$2:$H$34))),ROW()-ROW($I$2:$I$34)+1),COLUMN($H$2:$H$34),4)))</f>
        <v/>
      </c>
      <c r="P30" s="240" t="str">
        <f t="array" aca="1" ref="P30" ca="1">IF(ROW()-ROW($J$2:$J$34)+1&gt;ROWS($I$2:$I$34)-COUNTBLANK($I$2:$I$34),"",INDIRECT(ADDRESS(SMALL((IF($I$2:$I$34&lt;&gt;"",ROW($I$2:$I$34),ROW()+ROWS($I$2:$I$34))),ROW()-ROW($J$2:$J$34)+1),COLUMN($I$2:$I$34),4)))</f>
        <v/>
      </c>
    </row>
    <row r="31" spans="1:16" x14ac:dyDescent="0.25">
      <c r="D31" s="1068"/>
      <c r="E31" s="40" t="str">
        <f>IF(H31="","","2016")</f>
        <v/>
      </c>
      <c r="F31" s="40" t="str">
        <f>IF(H31="","","g")</f>
        <v/>
      </c>
      <c r="G31" s="40" t="str">
        <f t="shared" si="6"/>
        <v/>
      </c>
      <c r="H31" s="279" t="str">
        <f>IF(A5="relevant",IF(Matrix!O22="","",IF(AND(ROUND(Matrix!O22,4)&lt;Berechnung2!$J$36),Berechnung2!$L$36,"")),"")</f>
        <v/>
      </c>
      <c r="I31" s="247" t="str">
        <f>IF(H31="","",VLOOKUP(F31,Berechnung2!$I$15:$J$22,2,FALSE))</f>
        <v/>
      </c>
      <c r="J31" s="262" t="str">
        <f t="shared" si="2"/>
        <v/>
      </c>
      <c r="L31" s="40" t="str">
        <f t="array" aca="1" ref="L31" ca="1">IF(ROW()-ROW($F$2:$F$34)+1&gt;ROWS($E$2:$E$34)-COUNTBLANK($E$2:$E$34),"",INDIRECT(ADDRESS(SMALL((IF($E$2:$E$34&lt;&gt;"",ROW($E$2:$E$34),ROW()+ROWS($E$2:$E$34))),ROW()-ROW($F$2:$F$34)+1),COLUMN($E$2:$E$34),4)))</f>
        <v/>
      </c>
      <c r="M31" s="40" t="str">
        <f t="array" aca="1" ref="M31" ca="1">IF(ROW()-ROW($G$2:$G$34)+1&gt;ROWS($F$2:$F$34)-COUNTBLANK($F$2:$F$34),"",INDIRECT(ADDRESS(SMALL((IF($F$2:$F$34&lt;&gt;"",ROW($F$2:$F$34),ROW()+ROWS($F$2:$F$34))),ROW()-ROW($G$2:$G$34)+1),COLUMN($F$2:$F$34),4)))</f>
        <v/>
      </c>
      <c r="N31" s="40" t="str">
        <f t="array" aca="1" ref="N31" ca="1">IF(ROW()-ROW($H$2:$H$34)+1&gt;ROWS($G$2:$G$34)-COUNTBLANK($G$2:$G$34),"",INDIRECT(ADDRESS(SMALL((IF($G$2:$G$34&lt;&gt;"",ROW($G$2:$G$34),ROW()+ROWS($G$2:$G$34))),ROW()-ROW($H$2:$H$34)+1),COLUMN($G$2:$G$34),4)))</f>
        <v/>
      </c>
      <c r="O31" s="240" t="str">
        <f t="array" aca="1" ref="O31" ca="1">IF(ROW()-ROW($I$2:$I$34)+1&gt;ROWS($H$2:$H$34)-COUNTBLANK($H$2:$H$34),"",INDIRECT(ADDRESS(SMALL((IF($H$2:$H$34&lt;&gt;"",ROW($H$2:$H$34),ROW()+ROWS($H$2:$H$34))),ROW()-ROW($I$2:$I$34)+1),COLUMN($H$2:$H$34),4)))</f>
        <v/>
      </c>
      <c r="P31" s="240" t="str">
        <f t="array" aca="1" ref="P31" ca="1">IF(ROW()-ROW($J$2:$J$34)+1&gt;ROWS($I$2:$I$34)-COUNTBLANK($I$2:$I$34),"",INDIRECT(ADDRESS(SMALL((IF($I$2:$I$34&lt;&gt;"",ROW($I$2:$I$34),ROW()+ROWS($I$2:$I$34))),ROW()-ROW($J$2:$J$34)+1),COLUMN($I$2:$I$34),4)))</f>
        <v/>
      </c>
    </row>
    <row r="32" spans="1:16" x14ac:dyDescent="0.25">
      <c r="D32" s="1068"/>
      <c r="E32" s="40"/>
      <c r="F32" s="40"/>
      <c r="G32" s="40"/>
      <c r="H32" s="279"/>
      <c r="I32" s="247"/>
      <c r="J32" s="262"/>
      <c r="L32" s="40" t="str">
        <f t="array" aca="1" ref="L32" ca="1">IF(ROW()-ROW($F$2:$F$34)+1&gt;ROWS($E$2:$E$34)-COUNTBLANK($E$2:$E$34),"",INDIRECT(ADDRESS(SMALL((IF($E$2:$E$34&lt;&gt;"",ROW($E$2:$E$34),ROW()+ROWS($E$2:$E$34))),ROW()-ROW($F$2:$F$34)+1),COLUMN($E$2:$E$34),4)))</f>
        <v/>
      </c>
      <c r="M32" s="40" t="str">
        <f t="array" aca="1" ref="M32" ca="1">IF(ROW()-ROW($G$2:$G$34)+1&gt;ROWS($F$2:$F$34)-COUNTBLANK($F$2:$F$34),"",INDIRECT(ADDRESS(SMALL((IF($F$2:$F$34&lt;&gt;"",ROW($F$2:$F$34),ROW()+ROWS($F$2:$F$34))),ROW()-ROW($G$2:$G$34)+1),COLUMN($F$2:$F$34),4)))</f>
        <v/>
      </c>
      <c r="N32" s="40" t="str">
        <f t="array" aca="1" ref="N32" ca="1">IF(ROW()-ROW($H$2:$H$34)+1&gt;ROWS($G$2:$G$34)-COUNTBLANK($G$2:$G$34),"",INDIRECT(ADDRESS(SMALL((IF($G$2:$G$34&lt;&gt;"",ROW($G$2:$G$34),ROW()+ROWS($G$2:$G$34))),ROW()-ROW($H$2:$H$34)+1),COLUMN($G$2:$G$34),4)))</f>
        <v/>
      </c>
      <c r="O32" s="240" t="str">
        <f t="array" aca="1" ref="O32" ca="1">IF(ROW()-ROW($I$2:$I$34)+1&gt;ROWS($H$2:$H$34)-COUNTBLANK($H$2:$H$34),"",INDIRECT(ADDRESS(SMALL((IF($H$2:$H$34&lt;&gt;"",ROW($H$2:$H$34),ROW()+ROWS($H$2:$H$34))),ROW()-ROW($I$2:$I$34)+1),COLUMN($H$2:$H$34),4)))</f>
        <v/>
      </c>
      <c r="P32" s="240" t="str">
        <f t="array" aca="1" ref="P32" ca="1">IF(ROW()-ROW($J$2:$J$34)+1&gt;ROWS($I$2:$I$34)-COUNTBLANK($I$2:$I$34),"",INDIRECT(ADDRESS(SMALL((IF($I$2:$I$34&lt;&gt;"",ROW($I$2:$I$34),ROW()+ROWS($I$2:$I$34))),ROW()-ROW($J$2:$J$34)+1),COLUMN($I$2:$I$34),4)))</f>
        <v/>
      </c>
    </row>
    <row r="33" spans="4:16" ht="12.75" thickBot="1" x14ac:dyDescent="0.3">
      <c r="D33" s="258" t="s">
        <v>387</v>
      </c>
      <c r="E33" s="266"/>
      <c r="F33" s="266"/>
      <c r="G33" s="266"/>
      <c r="H33" s="279"/>
      <c r="I33" s="281"/>
      <c r="J33" s="254"/>
      <c r="L33" s="40" t="str">
        <f t="array" aca="1" ref="L33" ca="1">IF(ROW()-ROW($F$2:$F$34)+1&gt;ROWS($E$2:$E$34)-COUNTBLANK($E$2:$E$34),"",INDIRECT(ADDRESS(SMALL((IF($E$2:$E$34&lt;&gt;"",ROW($E$2:$E$34),ROW()+ROWS($E$2:$E$34))),ROW()-ROW($F$2:$F$34)+1),COLUMN($E$2:$E$34),4)))</f>
        <v/>
      </c>
      <c r="M33" s="40" t="str">
        <f t="array" aca="1" ref="M33" ca="1">IF(ROW()-ROW($G$2:$G$34)+1&gt;ROWS($F$2:$F$34)-COUNTBLANK($F$2:$F$34),"",INDIRECT(ADDRESS(SMALL((IF($F$2:$F$34&lt;&gt;"",ROW($F$2:$F$34),ROW()+ROWS($F$2:$F$34))),ROW()-ROW($G$2:$G$34)+1),COLUMN($F$2:$F$34),4)))</f>
        <v/>
      </c>
      <c r="N33" s="40" t="str">
        <f t="array" aca="1" ref="N33" ca="1">IF(ROW()-ROW($H$2:$H$34)+1&gt;ROWS($G$2:$G$34)-COUNTBLANK($G$2:$G$34),"",INDIRECT(ADDRESS(SMALL((IF($G$2:$G$34&lt;&gt;"",ROW($G$2:$G$34),ROW()+ROWS($G$2:$G$34))),ROW()-ROW($H$2:$H$34)+1),COLUMN($G$2:$G$34),4)))</f>
        <v/>
      </c>
      <c r="O33" s="240" t="str">
        <f t="array" aca="1" ref="O33" ca="1">IF(ROW()-ROW($I$2:$I$34)+1&gt;ROWS($H$2:$H$34)-COUNTBLANK($H$2:$H$34),"",INDIRECT(ADDRESS(SMALL((IF($H$2:$H$34&lt;&gt;"",ROW($H$2:$H$34),ROW()+ROWS($H$2:$H$34))),ROW()-ROW($I$2:$I$34)+1),COLUMN($H$2:$H$34),4)))</f>
        <v/>
      </c>
      <c r="P33" s="240" t="str">
        <f t="array" aca="1" ref="P33" ca="1">IF(ROW()-ROW($J$2:$J$34)+1&gt;ROWS($I$2:$I$34)-COUNTBLANK($I$2:$I$34),"",INDIRECT(ADDRESS(SMALL((IF($I$2:$I$34&lt;&gt;"",ROW($I$2:$I$34),ROW()+ROWS($I$2:$I$34))),ROW()-ROW($J$2:$J$34)+1),COLUMN($I$2:$I$34),4)))</f>
        <v/>
      </c>
    </row>
    <row r="34" spans="4:16" ht="39" customHeight="1" thickBot="1" x14ac:dyDescent="0.3">
      <c r="D34" s="409" t="s">
        <v>388</v>
      </c>
      <c r="E34" s="410"/>
      <c r="F34" s="411"/>
      <c r="G34" s="411"/>
      <c r="H34" s="412"/>
      <c r="I34" s="413"/>
      <c r="J34" s="414"/>
      <c r="L34" s="40" t="str">
        <f t="array" aca="1" ref="L34" ca="1">IF(ROW()-ROW($F$2:$F$34)+1&gt;ROWS($E$2:$E$34)-COUNTBLANK($E$2:$E$34),"",INDIRECT(ADDRESS(SMALL((IF($E$2:$E$34&lt;&gt;"",ROW($E$2:$E$34),ROW()+ROWS($E$2:$E$34))),ROW()-ROW($F$2:$F$34)+1),COLUMN($E$2:$E$34),4)))</f>
        <v/>
      </c>
      <c r="M34" s="40" t="str">
        <f t="array" aca="1" ref="M34" ca="1">IF(ROW()-ROW($G$2:$G$34)+1&gt;ROWS($F$2:$F$34)-COUNTBLANK($F$2:$F$34),"",INDIRECT(ADDRESS(SMALL((IF($F$2:$F$34&lt;&gt;"",ROW($F$2:$F$34),ROW()+ROWS($F$2:$F$34))),ROW()-ROW($G$2:$G$34)+1),COLUMN($F$2:$F$34),4)))</f>
        <v/>
      </c>
      <c r="N34" s="40" t="str">
        <f t="array" aca="1" ref="N34" ca="1">IF(ROW()-ROW($H$2:$H$34)+1&gt;ROWS($G$2:$G$34)-COUNTBLANK($G$2:$G$34),"",INDIRECT(ADDRESS(SMALL((IF($G$2:$G$34&lt;&gt;"",ROW($G$2:$G$34),ROW()+ROWS($G$2:$G$34))),ROW()-ROW($H$2:$H$34)+1),COLUMN($G$2:$G$34),4)))</f>
        <v/>
      </c>
      <c r="O34" s="240" t="str">
        <f t="array" aca="1" ref="O34" ca="1">IF(ROW()-ROW($I$2:$I$34)+1&gt;ROWS($H$2:$H$34)-COUNTBLANK($H$2:$H$34),"",INDIRECT(ADDRESS(SMALL((IF($H$2:$H$34&lt;&gt;"",ROW($H$2:$H$34),ROW()+ROWS($H$2:$H$34))),ROW()-ROW($I$2:$I$34)+1),COLUMN($H$2:$H$34),4)))</f>
        <v/>
      </c>
      <c r="P34" s="240" t="str">
        <f t="array" aca="1" ref="P34" ca="1">IF(ROW()-ROW($J$2:$J$34)+1&gt;ROWS($I$2:$I$34)-COUNTBLANK($I$2:$I$34),"",INDIRECT(ADDRESS(SMALL((IF($I$2:$I$34&lt;&gt;"",ROW($I$2:$I$34),ROW()+ROWS($I$2:$I$34))),ROW()-ROW($J$2:$J$34)+1),COLUMN($I$2:$I$34),4)))</f>
        <v/>
      </c>
    </row>
    <row r="36" spans="4:16" ht="12.75" x14ac:dyDescent="0.25">
      <c r="H36" s="1066" t="s">
        <v>83</v>
      </c>
      <c r="I36" s="1066"/>
      <c r="J36" s="270">
        <f>IF(SUM(J2:J7)=0,0,SUM(J2:J7))</f>
        <v>0</v>
      </c>
    </row>
    <row r="37" spans="4:16" ht="12.75" x14ac:dyDescent="0.25">
      <c r="H37" s="1066" t="s">
        <v>82</v>
      </c>
      <c r="I37" s="1066"/>
      <c r="J37" s="269">
        <f>IF(SUM(J8:J19)=0,0,SUM(J8:J19))</f>
        <v>0</v>
      </c>
    </row>
    <row r="38" spans="4:16" ht="12.75" x14ac:dyDescent="0.25">
      <c r="H38" s="1069" t="s">
        <v>73</v>
      </c>
      <c r="I38" s="1069"/>
      <c r="J38" s="268">
        <f>IF(SUM(J21:J34)=0,0,SUM(J21:J34))</f>
        <v>0</v>
      </c>
    </row>
    <row r="39" spans="4:16" ht="12.75" x14ac:dyDescent="0.25">
      <c r="D39" s="253" t="s">
        <v>380</v>
      </c>
      <c r="H39" s="1065" t="s">
        <v>4</v>
      </c>
      <c r="I39" s="1065"/>
      <c r="J39" s="76">
        <f>IF(J20="",0,J20)</f>
        <v>0</v>
      </c>
    </row>
  </sheetData>
  <mergeCells count="8">
    <mergeCell ref="H39:I39"/>
    <mergeCell ref="H36:I36"/>
    <mergeCell ref="H37:I37"/>
    <mergeCell ref="D9:D12"/>
    <mergeCell ref="D15:D18"/>
    <mergeCell ref="D22:D25"/>
    <mergeCell ref="D29:D32"/>
    <mergeCell ref="H38:I38"/>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6"/>
  <dimension ref="B1:O52"/>
  <sheetViews>
    <sheetView showGridLines="0" zoomScaleNormal="100" zoomScaleSheetLayoutView="120" workbookViewId="0">
      <selection activeCell="D17" sqref="D17:H17"/>
    </sheetView>
  </sheetViews>
  <sheetFormatPr defaultColWidth="9" defaultRowHeight="14.25" x14ac:dyDescent="0.2"/>
  <cols>
    <col min="1" max="1" width="1.7109375" style="2" customWidth="1"/>
    <col min="2" max="2" width="14.140625" style="2" customWidth="1"/>
    <col min="3" max="3" width="25.28515625" style="2" customWidth="1"/>
    <col min="4" max="4" width="22" style="2" customWidth="1"/>
    <col min="5" max="5" width="21.85546875" style="2" customWidth="1"/>
    <col min="6" max="6" width="20.7109375" style="2" customWidth="1"/>
    <col min="7" max="7" width="21" style="2" customWidth="1"/>
    <col min="8" max="8" width="14.5703125" style="2" customWidth="1"/>
    <col min="9" max="183" width="11.42578125" style="2" customWidth="1"/>
    <col min="184" max="16384" width="9" style="2"/>
  </cols>
  <sheetData>
    <row r="1" spans="2:15" ht="9.9499999999999993" customHeight="1" x14ac:dyDescent="0.2">
      <c r="C1" s="26"/>
      <c r="F1" s="15"/>
    </row>
    <row r="2" spans="2:15" ht="12.95" customHeight="1" x14ac:dyDescent="0.2">
      <c r="B2" s="22" t="s">
        <v>539</v>
      </c>
      <c r="F2" s="15"/>
    </row>
    <row r="3" spans="2:15" ht="16.5" x14ac:dyDescent="0.25">
      <c r="B3" s="34" t="s">
        <v>310</v>
      </c>
      <c r="F3" s="15"/>
      <c r="G3" s="16"/>
    </row>
    <row r="4" spans="2:15" x14ac:dyDescent="0.2">
      <c r="B4" s="20"/>
      <c r="K4" s="20"/>
    </row>
    <row r="5" spans="2:15" ht="11.25" customHeight="1" x14ac:dyDescent="0.2">
      <c r="E5" s="8"/>
      <c r="F5" s="8"/>
      <c r="G5" s="8"/>
      <c r="H5" s="8"/>
      <c r="I5" s="8"/>
      <c r="J5" s="8"/>
      <c r="K5" s="20"/>
    </row>
    <row r="6" spans="2:15" s="22" customFormat="1" ht="15" customHeight="1" x14ac:dyDescent="0.2">
      <c r="B6" s="25" t="s">
        <v>115</v>
      </c>
      <c r="C6" s="1075" t="str">
        <f>IF('Basic data'!C8=0,"",'Basic data'!C8)</f>
        <v/>
      </c>
      <c r="D6" s="1076"/>
      <c r="E6" s="1076"/>
      <c r="F6" s="1076"/>
      <c r="G6" s="1077"/>
      <c r="I6" s="20"/>
      <c r="J6" s="20"/>
      <c r="K6" s="18"/>
      <c r="L6" s="20"/>
      <c r="M6" s="20"/>
    </row>
    <row r="7" spans="2:15" s="22" customFormat="1" ht="6.95" customHeight="1" x14ac:dyDescent="0.2">
      <c r="B7" s="4"/>
      <c r="C7" s="4"/>
      <c r="D7" s="8"/>
      <c r="E7" s="8"/>
      <c r="F7" s="8"/>
      <c r="G7" s="8"/>
      <c r="H7" s="8"/>
      <c r="I7" s="8"/>
      <c r="K7" s="20"/>
      <c r="L7" s="20"/>
      <c r="M7" s="18"/>
      <c r="N7" s="20"/>
      <c r="O7" s="20"/>
    </row>
    <row r="8" spans="2:15" s="22" customFormat="1" ht="15" customHeight="1" x14ac:dyDescent="0.2">
      <c r="B8" s="25" t="s">
        <v>74</v>
      </c>
      <c r="C8" s="149" t="str">
        <f>IF('Basic data'!C6=0,"",'Basic data'!C6)</f>
        <v>Not listed</v>
      </c>
      <c r="D8" s="138"/>
      <c r="F8" s="207" t="s">
        <v>330</v>
      </c>
      <c r="G8" s="150" t="str">
        <f>IF('Basic data'!I12=0,"",'Basic data'!I12)</f>
        <v/>
      </c>
      <c r="I8" s="20"/>
      <c r="J8" s="20"/>
      <c r="K8" s="18"/>
      <c r="L8" s="20"/>
      <c r="M8" s="20"/>
    </row>
    <row r="9" spans="2:15" s="22" customFormat="1" ht="9.75" customHeight="1" x14ac:dyDescent="0.2">
      <c r="C9" s="24"/>
      <c r="D9" s="2"/>
      <c r="F9" s="2"/>
      <c r="J9" s="10"/>
      <c r="K9" s="29"/>
      <c r="L9" s="29"/>
      <c r="M9" s="29"/>
      <c r="N9" s="29"/>
      <c r="O9" s="29"/>
    </row>
    <row r="10" spans="2:15" ht="4.5" customHeight="1" x14ac:dyDescent="0.2">
      <c r="J10" s="11"/>
      <c r="K10" s="19"/>
      <c r="L10" s="19"/>
      <c r="M10" s="19"/>
      <c r="N10" s="19"/>
      <c r="O10" s="19"/>
    </row>
    <row r="11" spans="2:15" ht="18" customHeight="1" x14ac:dyDescent="0.2">
      <c r="B11" s="156" t="s">
        <v>89</v>
      </c>
    </row>
    <row r="12" spans="2:15" ht="13.5" customHeight="1" x14ac:dyDescent="0.2">
      <c r="B12" s="1078" t="str">
        <f>IF(OR(B13="",B13="Matrix kann eingereicht werden"),"In Ordnung",IF(B13="die inkorrekten und unvollständigen Einträge beheben","Nicht in Ordnung"))</f>
        <v>In Ordnung</v>
      </c>
      <c r="C12" s="1078"/>
      <c r="D12" s="204" t="s">
        <v>73</v>
      </c>
      <c r="E12" s="147" t="s">
        <v>4</v>
      </c>
      <c r="F12" s="148" t="s">
        <v>82</v>
      </c>
      <c r="G12" s="148" t="s">
        <v>402</v>
      </c>
    </row>
    <row r="13" spans="2:15" ht="21" customHeight="1" x14ac:dyDescent="0.2">
      <c r="B13" s="1080" t="str">
        <f>Berechnung2!B6</f>
        <v/>
      </c>
      <c r="C13" s="1081"/>
      <c r="D13" s="203">
        <f>Berechnung2!C6</f>
        <v>0</v>
      </c>
      <c r="E13" s="46">
        <f>Berechnung2!D6</f>
        <v>0</v>
      </c>
      <c r="F13" s="165">
        <f>Berechnung2!E6</f>
        <v>0</v>
      </c>
      <c r="G13" s="165">
        <f>Berechnung2!F6</f>
        <v>0</v>
      </c>
    </row>
    <row r="14" spans="2:15" s="22" customFormat="1" ht="12" customHeight="1" x14ac:dyDescent="0.2">
      <c r="C14" s="9"/>
      <c r="D14" s="9"/>
    </row>
    <row r="15" spans="2:15" ht="14.25" customHeight="1" x14ac:dyDescent="0.2">
      <c r="B15" s="1059" t="s">
        <v>110</v>
      </c>
      <c r="C15" s="1079" t="s">
        <v>57</v>
      </c>
      <c r="D15" s="924" t="s">
        <v>348</v>
      </c>
      <c r="E15" s="1073"/>
      <c r="F15" s="1073"/>
      <c r="G15" s="1073"/>
      <c r="H15" s="1074"/>
    </row>
    <row r="16" spans="2:15" ht="9" customHeight="1" x14ac:dyDescent="0.2">
      <c r="B16" s="1060"/>
      <c r="C16" s="1060"/>
      <c r="D16" s="1073"/>
      <c r="E16" s="1073"/>
      <c r="F16" s="1073"/>
      <c r="G16" s="1073"/>
      <c r="H16" s="1074"/>
    </row>
    <row r="17" spans="2:8" ht="66" customHeight="1" x14ac:dyDescent="0.25">
      <c r="B17" s="139" t="str">
        <f>IF(ISERROR(Berechnung2!G15),"",Berechnung2!G15)</f>
        <v/>
      </c>
      <c r="C17" s="139" t="str">
        <f>IF(ISERROR(Berechnung2!H15),"",Berechnung2!H15)</f>
        <v/>
      </c>
      <c r="D17" s="1070"/>
      <c r="E17" s="1071"/>
      <c r="F17" s="1071"/>
      <c r="G17" s="1071"/>
      <c r="H17" s="1072"/>
    </row>
    <row r="18" spans="2:8" ht="66" customHeight="1" x14ac:dyDescent="0.25">
      <c r="B18" s="139" t="str">
        <f>IF(ISERROR(Berechnung2!G16),"",Berechnung2!G16)</f>
        <v/>
      </c>
      <c r="C18" s="139" t="str">
        <f>IF(ISERROR(Berechnung2!H16),"",Berechnung2!H16)</f>
        <v/>
      </c>
      <c r="D18" s="1070"/>
      <c r="E18" s="1071"/>
      <c r="F18" s="1071"/>
      <c r="G18" s="1071"/>
      <c r="H18" s="1072"/>
    </row>
    <row r="19" spans="2:8" ht="66" customHeight="1" x14ac:dyDescent="0.25">
      <c r="B19" s="139" t="str">
        <f>IF(ISERROR(Berechnung2!G17),"",Berechnung2!G17)</f>
        <v/>
      </c>
      <c r="C19" s="139" t="str">
        <f>IF(ISERROR(Berechnung2!H17),"",Berechnung2!H17)</f>
        <v/>
      </c>
      <c r="D19" s="1070"/>
      <c r="E19" s="1071"/>
      <c r="F19" s="1071"/>
      <c r="G19" s="1071"/>
      <c r="H19" s="1072"/>
    </row>
    <row r="20" spans="2:8" ht="66" customHeight="1" x14ac:dyDescent="0.25">
      <c r="B20" s="139" t="str">
        <f>IF(ISERROR(Berechnung2!G18),"",Berechnung2!G18)</f>
        <v/>
      </c>
      <c r="C20" s="139" t="str">
        <f>IF(ISERROR(Berechnung2!H18),"",Berechnung2!H18)</f>
        <v/>
      </c>
      <c r="D20" s="1070"/>
      <c r="E20" s="1071"/>
      <c r="F20" s="1071"/>
      <c r="G20" s="1071"/>
      <c r="H20" s="1072"/>
    </row>
    <row r="21" spans="2:8" ht="66" customHeight="1" x14ac:dyDescent="0.25">
      <c r="B21" s="139" t="str">
        <f>IF(ISERROR(Berechnung2!G19),"",Berechnung2!G19)</f>
        <v/>
      </c>
      <c r="C21" s="139" t="str">
        <f>IF(ISERROR(Berechnung2!H19),"",Berechnung2!H19)</f>
        <v/>
      </c>
      <c r="D21" s="1070"/>
      <c r="E21" s="1071"/>
      <c r="F21" s="1071"/>
      <c r="G21" s="1071"/>
      <c r="H21" s="1072"/>
    </row>
    <row r="22" spans="2:8" ht="66" customHeight="1" x14ac:dyDescent="0.25">
      <c r="B22" s="139" t="str">
        <f>IF(ISERROR(Berechnung2!G20),"",Berechnung2!G20)</f>
        <v/>
      </c>
      <c r="C22" s="139" t="str">
        <f>IF(ISERROR(Berechnung2!H20),"",Berechnung2!H20)</f>
        <v/>
      </c>
      <c r="D22" s="1070"/>
      <c r="E22" s="1071"/>
      <c r="F22" s="1071"/>
      <c r="G22" s="1071"/>
      <c r="H22" s="1072"/>
    </row>
    <row r="23" spans="2:8" ht="66" customHeight="1" x14ac:dyDescent="0.25">
      <c r="B23" s="92" t="str">
        <f>IF(ISERROR(Berechnung2!G21),"",Berechnung2!G21)</f>
        <v/>
      </c>
      <c r="C23" s="92" t="str">
        <f>IF(ISERROR(Berechnung2!H21),"",Berechnung2!H21)</f>
        <v/>
      </c>
      <c r="D23" s="1070"/>
      <c r="E23" s="1071"/>
      <c r="F23" s="1071"/>
      <c r="G23" s="1071"/>
      <c r="H23" s="1072"/>
    </row>
    <row r="32" spans="2:8" ht="24.75" customHeight="1" x14ac:dyDescent="0.2"/>
    <row r="49" spans="8:8" x14ac:dyDescent="0.2">
      <c r="H49" s="176"/>
    </row>
    <row r="52" spans="8:8" x14ac:dyDescent="0.2">
      <c r="H52" s="176"/>
    </row>
  </sheetData>
  <sheetProtection formatRows="0" selectLockedCells="1" sort="0"/>
  <customSheetViews>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C6:G6"/>
    <mergeCell ref="B12:C12"/>
    <mergeCell ref="B15:B16"/>
    <mergeCell ref="C15:C16"/>
    <mergeCell ref="B13:C13"/>
    <mergeCell ref="D23:H23"/>
    <mergeCell ref="D15:H16"/>
    <mergeCell ref="D17:H17"/>
    <mergeCell ref="D18:H18"/>
    <mergeCell ref="D19:H19"/>
    <mergeCell ref="D20:H20"/>
    <mergeCell ref="D21:H21"/>
    <mergeCell ref="D22:H22"/>
  </mergeCells>
  <phoneticPr fontId="42" type="noConversion"/>
  <conditionalFormatting sqref="A9:XFD9 A11:XFD11 F12:G12 D12:E13 H12:IV13">
    <cfRule type="cellIs" dxfId="81" priority="185" operator="lessThan">
      <formula>0</formula>
    </cfRule>
  </conditionalFormatting>
  <conditionalFormatting sqref="B12:C12">
    <cfRule type="expression" dxfId="80" priority="1" stopIfTrue="1">
      <formula>$B$12="Nicht in Ordnung"</formula>
    </cfRule>
  </conditionalFormatting>
  <conditionalFormatting sqref="B13:C13">
    <cfRule type="expression" dxfId="79" priority="2" stopIfTrue="1">
      <formula>$B$13="die inkorrekten und unvollständigen Einträge beheben"</formula>
    </cfRule>
  </conditionalFormatting>
  <conditionalFormatting sqref="C17:C23">
    <cfRule type="expression" dxfId="78" priority="9">
      <formula>SEARCH("Unvollständig",$C17,1)</formula>
    </cfRule>
    <cfRule type="expression" dxfId="77" priority="31">
      <formula>SEARCH($E$12,$C17,1)</formula>
    </cfRule>
    <cfRule type="expression" dxfId="76" priority="32">
      <formula>SEARCH($D$12,$C17,1)</formula>
    </cfRule>
    <cfRule type="expression" dxfId="75" priority="33" stopIfTrue="1">
      <formula>SEARCH($F$12,$C17,1)</formula>
    </cfRule>
  </conditionalFormatting>
  <conditionalFormatting sqref="D17:G17">
    <cfRule type="expression" dxfId="74" priority="2433" stopIfTrue="1">
      <formula>B17&lt;&gt;""</formula>
    </cfRule>
  </conditionalFormatting>
  <conditionalFormatting sqref="D17:G23">
    <cfRule type="notContainsBlanks" dxfId="73" priority="21" stopIfTrue="1">
      <formula>LEN(TRIM(D17))&gt;0</formula>
    </cfRule>
  </conditionalFormatting>
  <conditionalFormatting sqref="D18:G23">
    <cfRule type="expression" dxfId="72" priority="2434" stopIfTrue="1">
      <formula>B18&lt;&gt;""</formula>
    </cfRule>
  </conditionalFormatting>
  <dataValidations count="1">
    <dataValidation type="textLength" allowBlank="1" showErrorMessage="1" errorTitle="Zeichenlänge" error="Minimal 30 Zeichen und max. 450 Zeichen." sqref="D17:H23" xr:uid="{00000000-0002-0000-0D00-000000000000}">
      <formula1>30</formula1>
      <formula2>450</formula2>
    </dataValidation>
  </dataValidations>
  <pageMargins left="0.39370078740157483" right="3.937007874015748E-2" top="0.59055118110236227" bottom="0.39370078740157483" header="0.11811023622047245"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dimension ref="A1:D34"/>
  <sheetViews>
    <sheetView workbookViewId="0">
      <selection activeCell="J1" sqref="J1"/>
    </sheetView>
  </sheetViews>
  <sheetFormatPr defaultColWidth="11.42578125" defaultRowHeight="12" x14ac:dyDescent="0.25"/>
  <cols>
    <col min="1" max="1" width="20.85546875" style="276" customWidth="1"/>
    <col min="2" max="2" width="20.140625" style="276" customWidth="1"/>
    <col min="3" max="3" width="61.28515625" style="271" customWidth="1"/>
    <col min="4" max="4" width="58" style="275" customWidth="1"/>
    <col min="5" max="16384" width="11.42578125" style="272"/>
  </cols>
  <sheetData>
    <row r="1" spans="1:4" ht="24" x14ac:dyDescent="0.25">
      <c r="A1" s="273" t="s">
        <v>110</v>
      </c>
      <c r="B1" s="274" t="s">
        <v>389</v>
      </c>
      <c r="C1" s="274" t="s">
        <v>57</v>
      </c>
      <c r="D1" s="273" t="s">
        <v>348</v>
      </c>
    </row>
    <row r="2" spans="1:4" x14ac:dyDescent="0.25">
      <c r="A2" s="276" t="str">
        <f ca="1">Berechnung3!L2</f>
        <v/>
      </c>
      <c r="B2" s="276" t="str">
        <f ca="1">Berechnung3!N2</f>
        <v/>
      </c>
      <c r="C2" s="271" t="str">
        <f ca="1">Berechnung3!O2</f>
        <v/>
      </c>
      <c r="D2" s="275" t="str">
        <f ca="1">Berechnung3!P2</f>
        <v/>
      </c>
    </row>
    <row r="3" spans="1:4" x14ac:dyDescent="0.25">
      <c r="A3" s="276" t="str">
        <f ca="1">Berechnung3!L3</f>
        <v/>
      </c>
      <c r="B3" s="276" t="str">
        <f ca="1">Berechnung3!N3</f>
        <v/>
      </c>
      <c r="C3" s="271" t="str">
        <f ca="1">Berechnung3!O3</f>
        <v/>
      </c>
      <c r="D3" s="275" t="str">
        <f ca="1">Berechnung3!P3</f>
        <v/>
      </c>
    </row>
    <row r="4" spans="1:4" x14ac:dyDescent="0.25">
      <c r="A4" s="276" t="str">
        <f ca="1">Berechnung3!L4</f>
        <v/>
      </c>
      <c r="B4" s="276" t="str">
        <f ca="1">Berechnung3!N4</f>
        <v/>
      </c>
      <c r="C4" s="271" t="str">
        <f ca="1">Berechnung3!O4</f>
        <v/>
      </c>
      <c r="D4" s="275" t="str">
        <f ca="1">Berechnung3!P4</f>
        <v/>
      </c>
    </row>
    <row r="5" spans="1:4" x14ac:dyDescent="0.25">
      <c r="A5" s="276" t="str">
        <f ca="1">Berechnung3!L5</f>
        <v/>
      </c>
      <c r="B5" s="276" t="str">
        <f ca="1">Berechnung3!N5</f>
        <v/>
      </c>
      <c r="C5" s="271" t="str">
        <f ca="1">Berechnung3!O5</f>
        <v/>
      </c>
      <c r="D5" s="275" t="str">
        <f ca="1">Berechnung3!P5</f>
        <v/>
      </c>
    </row>
    <row r="6" spans="1:4" x14ac:dyDescent="0.25">
      <c r="A6" s="276" t="str">
        <f ca="1">Berechnung3!L6</f>
        <v/>
      </c>
      <c r="B6" s="276" t="str">
        <f ca="1">Berechnung3!N6</f>
        <v/>
      </c>
      <c r="C6" s="271" t="str">
        <f ca="1">Berechnung3!O6</f>
        <v/>
      </c>
      <c r="D6" s="275" t="str">
        <f ca="1">Berechnung3!P6</f>
        <v/>
      </c>
    </row>
    <row r="7" spans="1:4" x14ac:dyDescent="0.25">
      <c r="A7" s="276" t="str">
        <f ca="1">Berechnung3!L7</f>
        <v/>
      </c>
      <c r="B7" s="276" t="str">
        <f ca="1">Berechnung3!N7</f>
        <v/>
      </c>
      <c r="C7" s="271" t="str">
        <f ca="1">Berechnung3!O7</f>
        <v/>
      </c>
      <c r="D7" s="275" t="str">
        <f ca="1">Berechnung3!P7</f>
        <v/>
      </c>
    </row>
    <row r="8" spans="1:4" x14ac:dyDescent="0.25">
      <c r="A8" s="276" t="str">
        <f ca="1">Berechnung3!L8</f>
        <v/>
      </c>
      <c r="B8" s="276" t="str">
        <f ca="1">Berechnung3!N8</f>
        <v/>
      </c>
      <c r="C8" s="271" t="str">
        <f ca="1">Berechnung3!O8</f>
        <v/>
      </c>
      <c r="D8" s="275" t="str">
        <f ca="1">Berechnung3!P8</f>
        <v/>
      </c>
    </row>
    <row r="9" spans="1:4" x14ac:dyDescent="0.25">
      <c r="A9" s="276" t="str">
        <f ca="1">Berechnung3!L9</f>
        <v/>
      </c>
      <c r="B9" s="276" t="str">
        <f ca="1">Berechnung3!N9</f>
        <v/>
      </c>
      <c r="C9" s="271" t="str">
        <f ca="1">Berechnung3!O9</f>
        <v/>
      </c>
      <c r="D9" s="275" t="str">
        <f ca="1">Berechnung3!P9</f>
        <v/>
      </c>
    </row>
    <row r="10" spans="1:4" x14ac:dyDescent="0.25">
      <c r="A10" s="276" t="str">
        <f ca="1">Berechnung3!L10</f>
        <v/>
      </c>
      <c r="B10" s="276" t="str">
        <f ca="1">Berechnung3!N10</f>
        <v/>
      </c>
      <c r="C10" s="271" t="str">
        <f ca="1">Berechnung3!O10</f>
        <v/>
      </c>
      <c r="D10" s="275" t="str">
        <f ca="1">Berechnung3!P10</f>
        <v/>
      </c>
    </row>
    <row r="11" spans="1:4" x14ac:dyDescent="0.25">
      <c r="A11" s="276" t="str">
        <f ca="1">Berechnung3!L11</f>
        <v/>
      </c>
      <c r="B11" s="276" t="str">
        <f ca="1">Berechnung3!N11</f>
        <v/>
      </c>
      <c r="C11" s="271" t="str">
        <f ca="1">Berechnung3!O11</f>
        <v/>
      </c>
      <c r="D11" s="275" t="str">
        <f ca="1">Berechnung3!P11</f>
        <v/>
      </c>
    </row>
    <row r="12" spans="1:4" x14ac:dyDescent="0.25">
      <c r="A12" s="276" t="str">
        <f ca="1">Berechnung3!L12</f>
        <v/>
      </c>
      <c r="B12" s="276" t="str">
        <f ca="1">Berechnung3!N12</f>
        <v/>
      </c>
      <c r="C12" s="271" t="str">
        <f ca="1">Berechnung3!O12</f>
        <v/>
      </c>
      <c r="D12" s="275" t="str">
        <f ca="1">Berechnung3!P12</f>
        <v/>
      </c>
    </row>
    <row r="13" spans="1:4" x14ac:dyDescent="0.25">
      <c r="A13" s="276" t="str">
        <f ca="1">Berechnung3!L13</f>
        <v/>
      </c>
      <c r="B13" s="276" t="str">
        <f ca="1">Berechnung3!N13</f>
        <v/>
      </c>
      <c r="C13" s="271" t="str">
        <f ca="1">Berechnung3!O13</f>
        <v/>
      </c>
      <c r="D13" s="275" t="str">
        <f ca="1">Berechnung3!P13</f>
        <v/>
      </c>
    </row>
    <row r="14" spans="1:4" x14ac:dyDescent="0.25">
      <c r="A14" s="276" t="str">
        <f ca="1">Berechnung3!L14</f>
        <v/>
      </c>
      <c r="B14" s="276" t="str">
        <f ca="1">Berechnung3!N14</f>
        <v/>
      </c>
      <c r="C14" s="271" t="str">
        <f ca="1">Berechnung3!O14</f>
        <v/>
      </c>
      <c r="D14" s="275" t="str">
        <f ca="1">Berechnung3!P14</f>
        <v/>
      </c>
    </row>
    <row r="15" spans="1:4" x14ac:dyDescent="0.25">
      <c r="A15" s="276" t="str">
        <f ca="1">Berechnung3!L15</f>
        <v/>
      </c>
      <c r="B15" s="276" t="str">
        <f ca="1">Berechnung3!N15</f>
        <v/>
      </c>
      <c r="C15" s="271" t="str">
        <f ca="1">Berechnung3!O15</f>
        <v/>
      </c>
      <c r="D15" s="275" t="str">
        <f ca="1">Berechnung3!P15</f>
        <v/>
      </c>
    </row>
    <row r="16" spans="1:4" x14ac:dyDescent="0.25">
      <c r="A16" s="276" t="str">
        <f ca="1">Berechnung3!L16</f>
        <v/>
      </c>
      <c r="B16" s="276" t="str">
        <f ca="1">Berechnung3!N16</f>
        <v/>
      </c>
      <c r="C16" s="271" t="str">
        <f ca="1">Berechnung3!O16</f>
        <v/>
      </c>
      <c r="D16" s="275" t="str">
        <f ca="1">Berechnung3!P16</f>
        <v/>
      </c>
    </row>
    <row r="17" spans="1:4" x14ac:dyDescent="0.25">
      <c r="A17" s="276" t="str">
        <f ca="1">Berechnung3!L17</f>
        <v/>
      </c>
      <c r="B17" s="276" t="str">
        <f ca="1">Berechnung3!N17</f>
        <v/>
      </c>
      <c r="C17" s="271" t="str">
        <f ca="1">Berechnung3!O17</f>
        <v/>
      </c>
      <c r="D17" s="275" t="str">
        <f ca="1">Berechnung3!P17</f>
        <v/>
      </c>
    </row>
    <row r="18" spans="1:4" x14ac:dyDescent="0.25">
      <c r="A18" s="276" t="str">
        <f ca="1">Berechnung3!L18</f>
        <v/>
      </c>
      <c r="B18" s="276" t="str">
        <f ca="1">Berechnung3!N18</f>
        <v/>
      </c>
      <c r="C18" s="271" t="str">
        <f ca="1">Berechnung3!O18</f>
        <v/>
      </c>
      <c r="D18" s="275" t="str">
        <f ca="1">Berechnung3!P18</f>
        <v/>
      </c>
    </row>
    <row r="19" spans="1:4" x14ac:dyDescent="0.25">
      <c r="A19" s="276" t="str">
        <f ca="1">Berechnung3!L19</f>
        <v/>
      </c>
      <c r="B19" s="276" t="str">
        <f ca="1">Berechnung3!N19</f>
        <v/>
      </c>
      <c r="C19" s="271" t="str">
        <f ca="1">Berechnung3!O19</f>
        <v/>
      </c>
      <c r="D19" s="275" t="str">
        <f ca="1">Berechnung3!P19</f>
        <v/>
      </c>
    </row>
    <row r="20" spans="1:4" x14ac:dyDescent="0.25">
      <c r="A20" s="276" t="str">
        <f ca="1">Berechnung3!L20</f>
        <v/>
      </c>
      <c r="B20" s="276" t="str">
        <f ca="1">Berechnung3!N20</f>
        <v/>
      </c>
      <c r="C20" s="271" t="str">
        <f ca="1">Berechnung3!O20</f>
        <v/>
      </c>
      <c r="D20" s="275" t="str">
        <f ca="1">Berechnung3!P20</f>
        <v/>
      </c>
    </row>
    <row r="21" spans="1:4" x14ac:dyDescent="0.25">
      <c r="A21" s="276" t="str">
        <f ca="1">Berechnung3!L21</f>
        <v/>
      </c>
      <c r="B21" s="276" t="str">
        <f ca="1">Berechnung3!N21</f>
        <v/>
      </c>
      <c r="C21" s="271" t="str">
        <f ca="1">Berechnung3!O21</f>
        <v/>
      </c>
      <c r="D21" s="275" t="str">
        <f ca="1">Berechnung3!P21</f>
        <v/>
      </c>
    </row>
    <row r="22" spans="1:4" x14ac:dyDescent="0.25">
      <c r="A22" s="276" t="str">
        <f ca="1">Berechnung3!L22</f>
        <v/>
      </c>
      <c r="B22" s="276" t="str">
        <f ca="1">Berechnung3!N22</f>
        <v/>
      </c>
      <c r="C22" s="271" t="str">
        <f ca="1">Berechnung3!O22</f>
        <v/>
      </c>
      <c r="D22" s="275" t="str">
        <f ca="1">Berechnung3!P22</f>
        <v/>
      </c>
    </row>
    <row r="23" spans="1:4" x14ac:dyDescent="0.25">
      <c r="A23" s="276" t="str">
        <f ca="1">Berechnung3!L23</f>
        <v/>
      </c>
      <c r="B23" s="276" t="str">
        <f ca="1">Berechnung3!N23</f>
        <v/>
      </c>
      <c r="C23" s="271" t="str">
        <f ca="1">Berechnung3!O23</f>
        <v/>
      </c>
      <c r="D23" s="275" t="str">
        <f ca="1">Berechnung3!P23</f>
        <v/>
      </c>
    </row>
    <row r="24" spans="1:4" x14ac:dyDescent="0.25">
      <c r="A24" s="276" t="str">
        <f ca="1">Berechnung3!L24</f>
        <v/>
      </c>
      <c r="B24" s="276" t="str">
        <f ca="1">Berechnung3!N24</f>
        <v/>
      </c>
      <c r="C24" s="271" t="str">
        <f ca="1">Berechnung3!O24</f>
        <v/>
      </c>
      <c r="D24" s="275" t="str">
        <f ca="1">Berechnung3!P24</f>
        <v/>
      </c>
    </row>
    <row r="25" spans="1:4" x14ac:dyDescent="0.25">
      <c r="A25" s="276" t="str">
        <f ca="1">Berechnung3!L25</f>
        <v/>
      </c>
      <c r="B25" s="276" t="str">
        <f ca="1">Berechnung3!N25</f>
        <v/>
      </c>
      <c r="C25" s="271" t="str">
        <f ca="1">Berechnung3!O25</f>
        <v/>
      </c>
      <c r="D25" s="275" t="str">
        <f ca="1">Berechnung3!P25</f>
        <v/>
      </c>
    </row>
    <row r="26" spans="1:4" x14ac:dyDescent="0.25">
      <c r="A26" s="276" t="str">
        <f ca="1">Berechnung3!L26</f>
        <v/>
      </c>
      <c r="B26" s="276" t="str">
        <f ca="1">Berechnung3!N26</f>
        <v/>
      </c>
      <c r="C26" s="271" t="str">
        <f ca="1">Berechnung3!O26</f>
        <v/>
      </c>
      <c r="D26" s="275" t="str">
        <f ca="1">Berechnung3!P26</f>
        <v/>
      </c>
    </row>
    <row r="27" spans="1:4" x14ac:dyDescent="0.25">
      <c r="A27" s="276" t="str">
        <f ca="1">Berechnung3!L27</f>
        <v/>
      </c>
      <c r="B27" s="276" t="str">
        <f ca="1">Berechnung3!N27</f>
        <v/>
      </c>
      <c r="C27" s="271" t="str">
        <f ca="1">Berechnung3!O27</f>
        <v/>
      </c>
      <c r="D27" s="275" t="str">
        <f ca="1">Berechnung3!P27</f>
        <v/>
      </c>
    </row>
    <row r="28" spans="1:4" x14ac:dyDescent="0.25">
      <c r="A28" s="276" t="str">
        <f ca="1">Berechnung3!L28</f>
        <v/>
      </c>
      <c r="B28" s="276" t="str">
        <f ca="1">Berechnung3!N28</f>
        <v/>
      </c>
      <c r="C28" s="271" t="str">
        <f ca="1">Berechnung3!O28</f>
        <v/>
      </c>
      <c r="D28" s="275" t="str">
        <f ca="1">Berechnung3!P28</f>
        <v/>
      </c>
    </row>
    <row r="29" spans="1:4" x14ac:dyDescent="0.25">
      <c r="A29" s="276" t="str">
        <f ca="1">Berechnung3!L29</f>
        <v/>
      </c>
      <c r="B29" s="276" t="str">
        <f ca="1">Berechnung3!N29</f>
        <v/>
      </c>
      <c r="C29" s="271" t="str">
        <f ca="1">Berechnung3!O29</f>
        <v/>
      </c>
      <c r="D29" s="275" t="str">
        <f ca="1">Berechnung3!P29</f>
        <v/>
      </c>
    </row>
    <row r="30" spans="1:4" x14ac:dyDescent="0.25">
      <c r="A30" s="276" t="str">
        <f ca="1">Berechnung3!L30</f>
        <v/>
      </c>
      <c r="B30" s="276" t="str">
        <f ca="1">Berechnung3!N30</f>
        <v/>
      </c>
      <c r="C30" s="271" t="str">
        <f ca="1">Berechnung3!O30</f>
        <v/>
      </c>
      <c r="D30" s="275" t="str">
        <f ca="1">Berechnung3!P30</f>
        <v/>
      </c>
    </row>
    <row r="31" spans="1:4" x14ac:dyDescent="0.25">
      <c r="A31" s="276" t="str">
        <f ca="1">Berechnung3!L31</f>
        <v/>
      </c>
      <c r="B31" s="276" t="str">
        <f ca="1">Berechnung3!N31</f>
        <v/>
      </c>
      <c r="C31" s="271" t="str">
        <f ca="1">Berechnung3!O31</f>
        <v/>
      </c>
      <c r="D31" s="275" t="str">
        <f ca="1">Berechnung3!P31</f>
        <v/>
      </c>
    </row>
    <row r="32" spans="1:4" x14ac:dyDescent="0.25">
      <c r="A32" s="276" t="str">
        <f ca="1">Berechnung3!L32</f>
        <v/>
      </c>
      <c r="B32" s="276" t="str">
        <f ca="1">Berechnung3!N32</f>
        <v/>
      </c>
      <c r="C32" s="271" t="str">
        <f ca="1">Berechnung3!O32</f>
        <v/>
      </c>
      <c r="D32" s="275" t="str">
        <f ca="1">Berechnung3!P32</f>
        <v/>
      </c>
    </row>
    <row r="33" spans="1:4" x14ac:dyDescent="0.25">
      <c r="A33" s="276" t="str">
        <f ca="1">Berechnung3!L33</f>
        <v/>
      </c>
      <c r="B33" s="276" t="str">
        <f ca="1">Berechnung3!N33</f>
        <v/>
      </c>
      <c r="C33" s="271" t="str">
        <f ca="1">Berechnung3!O33</f>
        <v/>
      </c>
      <c r="D33" s="275" t="str">
        <f ca="1">Berechnung3!P33</f>
        <v/>
      </c>
    </row>
    <row r="34" spans="1:4" x14ac:dyDescent="0.25">
      <c r="A34" s="276" t="str">
        <f ca="1">Berechnung3!L34</f>
        <v/>
      </c>
      <c r="B34" s="276" t="str">
        <f ca="1">Berechnung3!N34</f>
        <v/>
      </c>
      <c r="C34" s="271" t="str">
        <f ca="1">Berechnung3!O34</f>
        <v/>
      </c>
      <c r="D34" s="275" t="str">
        <f ca="1">Berechnung3!P34</f>
        <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A1:AA527"/>
  <sheetViews>
    <sheetView zoomScaleNormal="100" workbookViewId="0">
      <selection activeCell="A2" sqref="A2"/>
    </sheetView>
  </sheetViews>
  <sheetFormatPr defaultColWidth="11.42578125" defaultRowHeight="14.25" x14ac:dyDescent="0.2"/>
  <cols>
    <col min="1" max="1" width="37.85546875" style="284" customWidth="1"/>
    <col min="2" max="2" width="66.7109375" style="284" customWidth="1"/>
    <col min="3" max="3" width="49.85546875" style="284" customWidth="1"/>
    <col min="4" max="4" width="27.42578125" style="285" customWidth="1"/>
    <col min="5" max="5" width="38.42578125" style="285" customWidth="1"/>
    <col min="6" max="6" width="34" style="284" customWidth="1"/>
    <col min="7" max="8" width="35" style="284" customWidth="1"/>
    <col min="9" max="11" width="32.7109375" style="284" customWidth="1"/>
    <col min="12" max="12" width="33.85546875" style="284" customWidth="1"/>
    <col min="13" max="13" width="34.85546875" style="284" customWidth="1"/>
    <col min="14" max="15" width="32.7109375" style="284" customWidth="1"/>
    <col min="16" max="16" width="32.7109375" style="284" bestFit="1" customWidth="1"/>
    <col min="17" max="18" width="33.85546875" style="284" customWidth="1"/>
    <col min="19" max="19" width="37.28515625" style="284" customWidth="1"/>
    <col min="20" max="20" width="33.85546875" style="284" customWidth="1"/>
    <col min="21" max="23" width="18.140625" style="284" customWidth="1"/>
    <col min="24" max="24" width="17.28515625" style="284" customWidth="1"/>
    <col min="25" max="31" width="9.140625" style="284" customWidth="1"/>
    <col min="32" max="32" width="13.5703125" style="284" customWidth="1"/>
    <col min="33" max="44" width="9.140625" style="284" customWidth="1"/>
    <col min="45" max="45" width="16.140625" style="284" customWidth="1"/>
    <col min="46" max="46" width="13.85546875" style="284" customWidth="1"/>
    <col min="47" max="47" width="9.140625" style="284" customWidth="1"/>
    <col min="48" max="48" width="15" style="284" customWidth="1"/>
    <col min="49" max="49" width="19.7109375" style="284" customWidth="1"/>
    <col min="50" max="50" width="15.7109375" style="284" customWidth="1"/>
    <col min="51" max="104" width="9.140625" style="284" customWidth="1"/>
    <col min="105" max="106" width="16.5703125" style="284" customWidth="1"/>
    <col min="107" max="107" width="15.5703125" style="284" customWidth="1"/>
    <col min="108" max="108" width="19" style="284" customWidth="1"/>
    <col min="109" max="16384" width="11.42578125" style="284"/>
  </cols>
  <sheetData>
    <row r="1" spans="1:5" x14ac:dyDescent="0.2">
      <c r="A1" s="59" t="s">
        <v>17</v>
      </c>
      <c r="B1" s="198" t="s">
        <v>602</v>
      </c>
      <c r="C1" s="71"/>
      <c r="D1" s="71"/>
      <c r="E1" s="58" t="s">
        <v>141</v>
      </c>
    </row>
    <row r="2" spans="1:5" x14ac:dyDescent="0.2">
      <c r="A2" s="402" t="s">
        <v>1018</v>
      </c>
      <c r="B2" s="198" t="s">
        <v>339</v>
      </c>
      <c r="C2" s="71"/>
      <c r="D2" s="71"/>
      <c r="E2" s="163" t="s">
        <v>142</v>
      </c>
    </row>
    <row r="3" spans="1:5" x14ac:dyDescent="0.2">
      <c r="A3" s="47"/>
      <c r="B3" s="198" t="s">
        <v>354</v>
      </c>
      <c r="C3" s="71"/>
      <c r="D3" s="71"/>
      <c r="E3" s="71"/>
    </row>
    <row r="4" spans="1:5" x14ac:dyDescent="0.2">
      <c r="A4" s="47"/>
      <c r="B4" s="198" t="s">
        <v>560</v>
      </c>
      <c r="C4" s="71"/>
      <c r="D4" s="71"/>
      <c r="E4" s="71"/>
    </row>
    <row r="5" spans="1:5" x14ac:dyDescent="0.2">
      <c r="A5" s="47"/>
      <c r="B5" s="198" t="s">
        <v>410</v>
      </c>
      <c r="C5" s="71"/>
      <c r="D5" s="71"/>
      <c r="E5" s="71"/>
    </row>
    <row r="6" spans="1:5" x14ac:dyDescent="0.2">
      <c r="A6" s="47"/>
      <c r="B6" s="198" t="s">
        <v>355</v>
      </c>
      <c r="C6" s="71"/>
      <c r="D6" s="71"/>
      <c r="E6" s="71"/>
    </row>
    <row r="7" spans="1:5" x14ac:dyDescent="0.2">
      <c r="A7" s="47"/>
      <c r="B7" s="198" t="s">
        <v>561</v>
      </c>
      <c r="C7" s="71"/>
      <c r="D7" s="71"/>
      <c r="E7" s="71"/>
    </row>
    <row r="8" spans="1:5" x14ac:dyDescent="0.2">
      <c r="A8" s="47"/>
      <c r="B8" s="198" t="s">
        <v>356</v>
      </c>
      <c r="C8" s="71"/>
      <c r="D8" s="71"/>
      <c r="E8" s="71"/>
    </row>
    <row r="9" spans="1:5" x14ac:dyDescent="0.2">
      <c r="A9" s="47"/>
      <c r="B9" s="198" t="s">
        <v>562</v>
      </c>
      <c r="C9" s="71"/>
      <c r="D9" s="71"/>
      <c r="E9" s="71"/>
    </row>
    <row r="10" spans="1:5" x14ac:dyDescent="0.2">
      <c r="A10" s="47"/>
      <c r="B10" s="198" t="s">
        <v>340</v>
      </c>
      <c r="C10" s="71"/>
      <c r="D10" s="71"/>
      <c r="E10" s="71"/>
    </row>
    <row r="11" spans="1:5" x14ac:dyDescent="0.2">
      <c r="A11" s="47"/>
      <c r="B11" s="198" t="s">
        <v>1017</v>
      </c>
      <c r="C11" s="71"/>
      <c r="D11" s="71"/>
      <c r="E11" s="71"/>
    </row>
    <row r="12" spans="1:5" x14ac:dyDescent="0.2">
      <c r="A12" s="47"/>
      <c r="B12" s="198" t="s">
        <v>563</v>
      </c>
      <c r="C12" s="71"/>
      <c r="D12" s="71"/>
      <c r="E12" s="71"/>
    </row>
    <row r="13" spans="1:5" x14ac:dyDescent="0.2">
      <c r="A13" s="47"/>
      <c r="B13" s="198" t="s">
        <v>411</v>
      </c>
      <c r="C13" s="71"/>
      <c r="D13" s="71"/>
      <c r="E13" s="71"/>
    </row>
    <row r="14" spans="1:5" x14ac:dyDescent="0.2">
      <c r="A14" s="47"/>
      <c r="B14" s="198" t="s">
        <v>412</v>
      </c>
      <c r="C14" s="71"/>
      <c r="D14" s="71"/>
      <c r="E14" s="71"/>
    </row>
    <row r="15" spans="1:5" x14ac:dyDescent="0.2">
      <c r="A15" s="47"/>
      <c r="B15" s="198" t="s">
        <v>15</v>
      </c>
      <c r="C15" s="71"/>
      <c r="D15" s="71"/>
      <c r="E15" s="71"/>
    </row>
    <row r="16" spans="1:5" x14ac:dyDescent="0.2">
      <c r="A16" s="47"/>
      <c r="B16" s="198" t="s">
        <v>357</v>
      </c>
      <c r="C16" s="71"/>
      <c r="D16" s="71"/>
      <c r="E16" s="71"/>
    </row>
    <row r="17" spans="1:5" x14ac:dyDescent="0.2">
      <c r="A17" s="47"/>
      <c r="B17" s="198" t="s">
        <v>395</v>
      </c>
      <c r="C17" s="71"/>
      <c r="D17" s="71"/>
      <c r="E17" s="71"/>
    </row>
    <row r="18" spans="1:5" x14ac:dyDescent="0.2">
      <c r="A18" s="47"/>
      <c r="B18" s="198" t="s">
        <v>242</v>
      </c>
      <c r="C18" s="71"/>
      <c r="D18" s="71"/>
      <c r="E18" s="71"/>
    </row>
    <row r="19" spans="1:5" x14ac:dyDescent="0.2">
      <c r="A19" s="47"/>
      <c r="B19" s="198" t="s">
        <v>400</v>
      </c>
      <c r="C19" s="71"/>
      <c r="D19" s="71"/>
      <c r="E19" s="71"/>
    </row>
    <row r="20" spans="1:5" x14ac:dyDescent="0.2">
      <c r="A20" s="47"/>
      <c r="B20" s="198" t="s">
        <v>18</v>
      </c>
      <c r="C20" s="71"/>
      <c r="D20" s="71"/>
      <c r="E20" s="71"/>
    </row>
    <row r="21" spans="1:5" x14ac:dyDescent="0.2">
      <c r="A21" s="47"/>
      <c r="B21" s="198" t="s">
        <v>358</v>
      </c>
      <c r="C21" s="71"/>
      <c r="D21" s="71"/>
      <c r="E21" s="71"/>
    </row>
    <row r="22" spans="1:5" x14ac:dyDescent="0.2">
      <c r="A22" s="47"/>
      <c r="B22" s="198" t="s">
        <v>454</v>
      </c>
      <c r="C22" s="71"/>
      <c r="D22" s="71"/>
      <c r="E22" s="71"/>
    </row>
    <row r="23" spans="1:5" x14ac:dyDescent="0.2">
      <c r="A23" s="47"/>
      <c r="B23" s="198" t="s">
        <v>421</v>
      </c>
      <c r="C23" s="71"/>
      <c r="D23" s="71"/>
      <c r="E23" s="71"/>
    </row>
    <row r="24" spans="1:5" x14ac:dyDescent="0.2">
      <c r="A24" s="47"/>
      <c r="B24" s="198" t="s">
        <v>241</v>
      </c>
      <c r="C24" s="71"/>
      <c r="D24" s="71"/>
      <c r="E24" s="71"/>
    </row>
    <row r="25" spans="1:5" x14ac:dyDescent="0.2">
      <c r="A25" s="47"/>
      <c r="B25" s="198" t="s">
        <v>455</v>
      </c>
      <c r="C25" s="71"/>
      <c r="D25" s="71"/>
      <c r="E25" s="71"/>
    </row>
    <row r="26" spans="1:5" x14ac:dyDescent="0.2">
      <c r="A26" s="47"/>
      <c r="B26" s="198" t="s">
        <v>502</v>
      </c>
      <c r="C26" s="71"/>
      <c r="D26" s="71"/>
      <c r="E26" s="71"/>
    </row>
    <row r="27" spans="1:5" x14ac:dyDescent="0.2">
      <c r="A27" s="47"/>
      <c r="B27" s="198" t="s">
        <v>1001</v>
      </c>
      <c r="C27" s="71"/>
      <c r="D27" s="71"/>
      <c r="E27" s="71"/>
    </row>
    <row r="28" spans="1:5" x14ac:dyDescent="0.2">
      <c r="A28" s="47"/>
      <c r="B28" s="198" t="s">
        <v>359</v>
      </c>
      <c r="C28" s="71"/>
      <c r="D28" s="71"/>
      <c r="E28" s="71"/>
    </row>
    <row r="29" spans="1:5" x14ac:dyDescent="0.2">
      <c r="A29" s="47"/>
      <c r="B29" s="198" t="s">
        <v>413</v>
      </c>
      <c r="C29" s="71"/>
      <c r="D29" s="71"/>
      <c r="E29" s="71"/>
    </row>
    <row r="30" spans="1:5" x14ac:dyDescent="0.2">
      <c r="A30" s="47"/>
      <c r="B30" s="198" t="s">
        <v>360</v>
      </c>
      <c r="C30" s="71"/>
      <c r="D30" s="71"/>
      <c r="E30" s="71"/>
    </row>
    <row r="31" spans="1:5" x14ac:dyDescent="0.2">
      <c r="A31" s="47"/>
      <c r="B31" s="198" t="s">
        <v>361</v>
      </c>
      <c r="C31" s="71"/>
      <c r="D31" s="71"/>
      <c r="E31" s="71"/>
    </row>
    <row r="32" spans="1:5" x14ac:dyDescent="0.2">
      <c r="A32" s="47"/>
      <c r="B32" s="198" t="s">
        <v>564</v>
      </c>
      <c r="C32" s="71"/>
      <c r="D32" s="71"/>
      <c r="E32" s="71"/>
    </row>
    <row r="33" spans="1:5" x14ac:dyDescent="0.2">
      <c r="A33" s="47"/>
      <c r="B33" s="198" t="s">
        <v>243</v>
      </c>
      <c r="C33" s="71"/>
      <c r="D33" s="71"/>
      <c r="E33" s="71"/>
    </row>
    <row r="34" spans="1:5" x14ac:dyDescent="0.2">
      <c r="A34" s="47"/>
      <c r="B34" s="198" t="s">
        <v>416</v>
      </c>
      <c r="C34" s="71"/>
      <c r="D34" s="71"/>
      <c r="E34" s="71"/>
    </row>
    <row r="35" spans="1:5" x14ac:dyDescent="0.2">
      <c r="A35" s="47"/>
      <c r="B35" s="198" t="s">
        <v>362</v>
      </c>
      <c r="C35" s="71"/>
      <c r="D35" s="71"/>
      <c r="E35" s="71"/>
    </row>
    <row r="36" spans="1:5" x14ac:dyDescent="0.2">
      <c r="A36" s="47"/>
      <c r="B36" s="198" t="s">
        <v>244</v>
      </c>
      <c r="C36" s="71"/>
      <c r="D36" s="71"/>
      <c r="E36" s="71"/>
    </row>
    <row r="37" spans="1:5" x14ac:dyDescent="0.2">
      <c r="A37" s="47"/>
      <c r="B37" s="198" t="s">
        <v>341</v>
      </c>
      <c r="C37" s="71"/>
      <c r="D37" s="71"/>
      <c r="E37" s="71"/>
    </row>
    <row r="38" spans="1:5" x14ac:dyDescent="0.2">
      <c r="A38" s="47"/>
      <c r="B38" s="198" t="s">
        <v>363</v>
      </c>
      <c r="C38" s="71"/>
      <c r="D38" s="71"/>
      <c r="E38" s="71"/>
    </row>
    <row r="39" spans="1:5" x14ac:dyDescent="0.2">
      <c r="A39" s="47"/>
      <c r="B39" s="198" t="s">
        <v>415</v>
      </c>
      <c r="C39" s="71"/>
      <c r="D39" s="71"/>
      <c r="E39" s="71"/>
    </row>
    <row r="40" spans="1:5" x14ac:dyDescent="0.2">
      <c r="A40" s="47"/>
      <c r="B40" s="198" t="s">
        <v>342</v>
      </c>
      <c r="C40" s="71"/>
      <c r="D40" s="71"/>
      <c r="E40" s="71"/>
    </row>
    <row r="41" spans="1:5" x14ac:dyDescent="0.2">
      <c r="A41" s="47"/>
      <c r="B41" s="198" t="s">
        <v>414</v>
      </c>
      <c r="C41" s="71"/>
      <c r="D41" s="71"/>
      <c r="E41" s="71"/>
    </row>
    <row r="42" spans="1:5" x14ac:dyDescent="0.2">
      <c r="A42" s="47"/>
      <c r="B42" s="60" t="s">
        <v>396</v>
      </c>
      <c r="C42" s="71"/>
      <c r="D42" s="71"/>
      <c r="E42" s="71"/>
    </row>
    <row r="43" spans="1:5" x14ac:dyDescent="0.2">
      <c r="A43" s="47"/>
      <c r="B43" s="198" t="s">
        <v>417</v>
      </c>
      <c r="C43" s="71"/>
      <c r="D43" s="71"/>
      <c r="E43" s="71"/>
    </row>
    <row r="44" spans="1:5" x14ac:dyDescent="0.2">
      <c r="A44" s="47"/>
      <c r="B44" s="60" t="s">
        <v>1002</v>
      </c>
      <c r="C44" s="71"/>
      <c r="D44" s="71"/>
      <c r="E44" s="71"/>
    </row>
    <row r="45" spans="1:5" x14ac:dyDescent="0.2">
      <c r="A45" s="47"/>
      <c r="B45" s="198" t="s">
        <v>418</v>
      </c>
      <c r="C45" s="71"/>
      <c r="D45" s="71"/>
      <c r="E45" s="71"/>
    </row>
    <row r="46" spans="1:5" x14ac:dyDescent="0.2">
      <c r="A46" s="47"/>
      <c r="B46" s="198" t="s">
        <v>419</v>
      </c>
      <c r="C46" s="71"/>
      <c r="D46" s="71"/>
      <c r="E46" s="71"/>
    </row>
    <row r="47" spans="1:5" x14ac:dyDescent="0.2">
      <c r="A47" s="47"/>
      <c r="B47" s="60" t="s">
        <v>364</v>
      </c>
      <c r="C47" s="71"/>
      <c r="D47" s="71"/>
      <c r="E47" s="71"/>
    </row>
    <row r="48" spans="1:5" x14ac:dyDescent="0.2">
      <c r="A48" s="47"/>
      <c r="B48" s="60" t="s">
        <v>420</v>
      </c>
      <c r="C48" s="71"/>
      <c r="D48" s="71"/>
      <c r="E48" s="71"/>
    </row>
    <row r="49" spans="1:5" x14ac:dyDescent="0.2">
      <c r="A49" s="47"/>
      <c r="B49" s="60" t="s">
        <v>565</v>
      </c>
      <c r="C49" s="71"/>
      <c r="D49" s="71"/>
      <c r="E49" s="71"/>
    </row>
    <row r="50" spans="1:5" x14ac:dyDescent="0.2">
      <c r="A50" s="47"/>
      <c r="B50" s="60" t="s">
        <v>456</v>
      </c>
      <c r="C50" s="71"/>
      <c r="D50" s="71"/>
      <c r="E50" s="71"/>
    </row>
    <row r="51" spans="1:5" x14ac:dyDescent="0.2">
      <c r="A51" s="47"/>
      <c r="B51" s="60" t="s">
        <v>343</v>
      </c>
      <c r="C51" s="71"/>
      <c r="D51" s="71"/>
      <c r="E51" s="71"/>
    </row>
    <row r="52" spans="1:5" x14ac:dyDescent="0.2">
      <c r="A52" s="47"/>
      <c r="B52" s="198" t="s">
        <v>603</v>
      </c>
      <c r="C52" s="71"/>
      <c r="D52" s="71"/>
      <c r="E52" s="71"/>
    </row>
    <row r="53" spans="1:5" x14ac:dyDescent="0.2">
      <c r="A53" s="47"/>
      <c r="B53" s="198" t="s">
        <v>604</v>
      </c>
      <c r="C53" s="71"/>
      <c r="D53" s="71"/>
      <c r="E53" s="71"/>
    </row>
    <row r="54" spans="1:5" x14ac:dyDescent="0.2">
      <c r="A54" s="47"/>
      <c r="C54" s="71"/>
      <c r="D54" s="71"/>
      <c r="E54" s="71"/>
    </row>
    <row r="55" spans="1:5" x14ac:dyDescent="0.2">
      <c r="A55" s="47"/>
      <c r="C55" s="71"/>
      <c r="D55" s="71"/>
      <c r="E55" s="71"/>
    </row>
    <row r="56" spans="1:5" x14ac:dyDescent="0.2">
      <c r="A56" s="47"/>
      <c r="C56" s="71"/>
      <c r="D56" s="71"/>
      <c r="E56" s="71"/>
    </row>
    <row r="57" spans="1:5" x14ac:dyDescent="0.2">
      <c r="A57" s="47"/>
      <c r="C57" s="71"/>
      <c r="D57" s="71"/>
      <c r="E57" s="71"/>
    </row>
    <row r="58" spans="1:5" x14ac:dyDescent="0.2">
      <c r="A58" s="17"/>
      <c r="C58" s="71"/>
      <c r="D58" s="71"/>
    </row>
    <row r="59" spans="1:5" x14ac:dyDescent="0.2">
      <c r="A59" s="17"/>
      <c r="C59" s="71"/>
      <c r="D59" s="71"/>
    </row>
    <row r="60" spans="1:5" x14ac:dyDescent="0.2">
      <c r="A60" s="17"/>
      <c r="C60" s="71"/>
      <c r="D60" s="71"/>
    </row>
    <row r="61" spans="1:5" x14ac:dyDescent="0.2">
      <c r="A61" s="17"/>
      <c r="B61" s="6"/>
      <c r="C61" s="71"/>
      <c r="D61" s="71"/>
    </row>
    <row r="62" spans="1:5" x14ac:dyDescent="0.2">
      <c r="A62" s="17"/>
      <c r="B62" s="426"/>
      <c r="C62" s="71"/>
      <c r="D62" s="71"/>
    </row>
    <row r="63" spans="1:5" x14ac:dyDescent="0.2">
      <c r="A63" s="17"/>
      <c r="B63" s="426"/>
      <c r="C63" s="71"/>
      <c r="D63" s="71"/>
    </row>
    <row r="64" spans="1:5" x14ac:dyDescent="0.2">
      <c r="A64" s="17"/>
      <c r="B64" s="426"/>
      <c r="C64" s="71"/>
      <c r="D64" s="71"/>
    </row>
    <row r="65" spans="1:23" x14ac:dyDescent="0.2">
      <c r="A65" s="17"/>
      <c r="B65" s="426"/>
      <c r="C65" s="71"/>
      <c r="D65" s="71"/>
    </row>
    <row r="66" spans="1:23" x14ac:dyDescent="0.2">
      <c r="A66" s="17"/>
      <c r="B66" s="426"/>
      <c r="C66" s="71"/>
      <c r="D66" s="71"/>
    </row>
    <row r="67" spans="1:23" x14ac:dyDescent="0.2">
      <c r="A67" s="17"/>
      <c r="B67" s="426"/>
      <c r="C67" s="71"/>
      <c r="D67" s="71"/>
    </row>
    <row r="68" spans="1:23" x14ac:dyDescent="0.2">
      <c r="A68" s="17"/>
      <c r="B68" s="426"/>
      <c r="C68" s="71"/>
      <c r="D68" s="71"/>
    </row>
    <row r="69" spans="1:23" x14ac:dyDescent="0.2">
      <c r="A69" s="17"/>
      <c r="B69" s="426"/>
      <c r="C69" s="71"/>
      <c r="D69" s="427"/>
    </row>
    <row r="70" spans="1:23" x14ac:dyDescent="0.2">
      <c r="A70" s="17"/>
      <c r="B70" s="401"/>
      <c r="C70" s="401"/>
      <c r="D70" s="421"/>
    </row>
    <row r="71" spans="1:23" x14ac:dyDescent="0.2">
      <c r="A71" s="17"/>
      <c r="B71" s="17"/>
      <c r="D71" s="120"/>
      <c r="E71" s="120"/>
      <c r="F71" s="324"/>
      <c r="G71" s="324"/>
      <c r="H71" s="324"/>
      <c r="I71" s="324"/>
      <c r="J71" s="324"/>
      <c r="K71" s="324"/>
      <c r="L71" s="324"/>
      <c r="M71" s="324"/>
      <c r="N71" s="324"/>
      <c r="O71" s="324"/>
      <c r="P71" s="324"/>
      <c r="Q71" s="324"/>
      <c r="R71" s="324"/>
      <c r="S71" s="324"/>
      <c r="T71" s="324"/>
      <c r="U71" s="324"/>
      <c r="V71" s="324"/>
      <c r="W71" s="324"/>
    </row>
    <row r="72" spans="1:23" x14ac:dyDescent="0.2">
      <c r="A72" s="330" t="s">
        <v>38</v>
      </c>
      <c r="B72" s="331" t="s">
        <v>39</v>
      </c>
      <c r="C72" s="331" t="s">
        <v>40</v>
      </c>
      <c r="D72" s="331" t="s">
        <v>41</v>
      </c>
      <c r="E72" s="331" t="s">
        <v>42</v>
      </c>
      <c r="F72" s="331" t="s">
        <v>43</v>
      </c>
      <c r="G72" s="331" t="s">
        <v>44</v>
      </c>
      <c r="H72" s="331" t="s">
        <v>45</v>
      </c>
      <c r="I72" s="331" t="s">
        <v>46</v>
      </c>
      <c r="J72" s="331" t="s">
        <v>47</v>
      </c>
      <c r="K72" s="331" t="s">
        <v>48</v>
      </c>
      <c r="L72" s="331" t="s">
        <v>49</v>
      </c>
      <c r="M72" s="331" t="s">
        <v>50</v>
      </c>
      <c r="N72" s="331" t="s">
        <v>51</v>
      </c>
      <c r="O72" s="331" t="s">
        <v>52</v>
      </c>
      <c r="P72" s="331" t="s">
        <v>14</v>
      </c>
      <c r="Q72" s="331" t="s">
        <v>53</v>
      </c>
      <c r="R72" s="331" t="s">
        <v>233</v>
      </c>
      <c r="S72" s="332" t="s">
        <v>70</v>
      </c>
      <c r="T72" s="17"/>
      <c r="U72" s="17"/>
      <c r="V72" s="6"/>
      <c r="W72" s="17"/>
    </row>
    <row r="73" spans="1:23" x14ac:dyDescent="0.2">
      <c r="A73" s="327" t="s">
        <v>245</v>
      </c>
      <c r="B73" s="325" t="s">
        <v>246</v>
      </c>
      <c r="C73" s="325" t="s">
        <v>247</v>
      </c>
      <c r="D73" s="325" t="s">
        <v>248</v>
      </c>
      <c r="E73" s="325" t="s">
        <v>249</v>
      </c>
      <c r="F73" s="325" t="s">
        <v>250</v>
      </c>
      <c r="G73" s="325" t="s">
        <v>251</v>
      </c>
      <c r="H73" s="325" t="s">
        <v>252</v>
      </c>
      <c r="I73" s="325" t="s">
        <v>253</v>
      </c>
      <c r="J73" s="325" t="s">
        <v>254</v>
      </c>
      <c r="K73" s="325" t="s">
        <v>255</v>
      </c>
      <c r="L73" s="325" t="s">
        <v>256</v>
      </c>
      <c r="M73" s="325" t="s">
        <v>257</v>
      </c>
      <c r="N73" s="325" t="s">
        <v>258</v>
      </c>
      <c r="O73" s="325" t="s">
        <v>259</v>
      </c>
      <c r="P73" s="325" t="s">
        <v>260</v>
      </c>
      <c r="Q73" s="392" t="s">
        <v>444</v>
      </c>
      <c r="R73" s="325" t="s">
        <v>445</v>
      </c>
      <c r="S73" s="394" t="s">
        <v>449</v>
      </c>
      <c r="T73" s="17"/>
      <c r="U73" s="6"/>
      <c r="V73" s="17"/>
      <c r="W73" s="6"/>
    </row>
    <row r="74" spans="1:23" x14ac:dyDescent="0.2">
      <c r="A74" s="327" t="s">
        <v>19</v>
      </c>
      <c r="B74" s="325" t="s">
        <v>26</v>
      </c>
      <c r="C74" s="325" t="s">
        <v>248</v>
      </c>
      <c r="D74" s="325" t="s">
        <v>261</v>
      </c>
      <c r="E74" s="325" t="s">
        <v>262</v>
      </c>
      <c r="F74" s="325" t="s">
        <v>262</v>
      </c>
      <c r="G74" s="325" t="s">
        <v>263</v>
      </c>
      <c r="H74" s="325" t="s">
        <v>264</v>
      </c>
      <c r="I74" s="325" t="s">
        <v>21</v>
      </c>
      <c r="J74" s="325" t="s">
        <v>265</v>
      </c>
      <c r="K74" s="325" t="s">
        <v>266</v>
      </c>
      <c r="L74" s="325" t="s">
        <v>267</v>
      </c>
      <c r="M74" s="325" t="s">
        <v>268</v>
      </c>
      <c r="N74" s="325" t="s">
        <v>29</v>
      </c>
      <c r="O74" s="325" t="s">
        <v>269</v>
      </c>
      <c r="P74" s="325" t="s">
        <v>16</v>
      </c>
      <c r="Q74" s="325" t="s">
        <v>172</v>
      </c>
      <c r="R74" s="326" t="s">
        <v>172</v>
      </c>
      <c r="S74" s="328" t="s">
        <v>172</v>
      </c>
      <c r="T74" s="17"/>
      <c r="U74" s="2"/>
      <c r="V74" s="2"/>
      <c r="W74" s="2"/>
    </row>
    <row r="75" spans="1:23" x14ac:dyDescent="0.2">
      <c r="A75" s="327" t="s">
        <v>20</v>
      </c>
      <c r="B75" s="325" t="s">
        <v>27</v>
      </c>
      <c r="C75" s="325" t="s">
        <v>270</v>
      </c>
      <c r="D75" s="325" t="s">
        <v>271</v>
      </c>
      <c r="E75" s="325" t="s">
        <v>172</v>
      </c>
      <c r="F75" s="325" t="s">
        <v>172</v>
      </c>
      <c r="G75" s="325" t="s">
        <v>272</v>
      </c>
      <c r="H75" s="325" t="s">
        <v>273</v>
      </c>
      <c r="I75" s="325" t="s">
        <v>274</v>
      </c>
      <c r="J75" s="325" t="s">
        <v>275</v>
      </c>
      <c r="K75" s="325" t="s">
        <v>36</v>
      </c>
      <c r="L75" s="325" t="s">
        <v>262</v>
      </c>
      <c r="M75" s="325" t="s">
        <v>31</v>
      </c>
      <c r="N75" s="325" t="s">
        <v>32</v>
      </c>
      <c r="O75" s="325" t="s">
        <v>276</v>
      </c>
      <c r="P75" s="325" t="s">
        <v>28</v>
      </c>
      <c r="Q75" s="326"/>
      <c r="R75" s="326"/>
      <c r="S75" s="329"/>
      <c r="T75" s="17"/>
      <c r="U75" s="2"/>
      <c r="V75" s="2"/>
      <c r="W75" s="2"/>
    </row>
    <row r="76" spans="1:23" x14ac:dyDescent="0.2">
      <c r="A76" s="327" t="s">
        <v>277</v>
      </c>
      <c r="B76" s="325" t="s">
        <v>34</v>
      </c>
      <c r="C76" s="325" t="s">
        <v>278</v>
      </c>
      <c r="D76" s="325" t="s">
        <v>262</v>
      </c>
      <c r="E76" s="325" t="s">
        <v>174</v>
      </c>
      <c r="F76" s="325" t="s">
        <v>174</v>
      </c>
      <c r="G76" s="325" t="s">
        <v>279</v>
      </c>
      <c r="H76" s="325" t="s">
        <v>280</v>
      </c>
      <c r="I76" s="325" t="s">
        <v>281</v>
      </c>
      <c r="J76" s="325" t="s">
        <v>282</v>
      </c>
      <c r="K76" s="325" t="s">
        <v>262</v>
      </c>
      <c r="L76" s="325" t="s">
        <v>172</v>
      </c>
      <c r="M76" s="325" t="s">
        <v>367</v>
      </c>
      <c r="N76" s="325" t="s">
        <v>271</v>
      </c>
      <c r="O76" s="325" t="s">
        <v>262</v>
      </c>
      <c r="P76" s="325" t="s">
        <v>30</v>
      </c>
      <c r="Q76" s="326"/>
      <c r="R76" s="326"/>
      <c r="S76" s="329"/>
      <c r="T76" s="17"/>
      <c r="U76" s="2"/>
      <c r="V76" s="2"/>
      <c r="W76" s="2"/>
    </row>
    <row r="77" spans="1:23" x14ac:dyDescent="0.2">
      <c r="A77" s="327" t="s">
        <v>284</v>
      </c>
      <c r="B77" s="325" t="s">
        <v>285</v>
      </c>
      <c r="C77" s="325" t="s">
        <v>286</v>
      </c>
      <c r="D77" s="325" t="s">
        <v>172</v>
      </c>
      <c r="E77" s="325"/>
      <c r="F77" s="325"/>
      <c r="G77" s="325" t="s">
        <v>33</v>
      </c>
      <c r="H77" s="325" t="s">
        <v>271</v>
      </c>
      <c r="I77" s="325" t="s">
        <v>287</v>
      </c>
      <c r="J77" s="325" t="s">
        <v>288</v>
      </c>
      <c r="K77" s="325" t="s">
        <v>172</v>
      </c>
      <c r="L77" s="325" t="s">
        <v>174</v>
      </c>
      <c r="M77" s="325" t="s">
        <v>69</v>
      </c>
      <c r="N77" s="326" t="s">
        <v>262</v>
      </c>
      <c r="O77" s="325" t="s">
        <v>172</v>
      </c>
      <c r="P77" s="325" t="s">
        <v>289</v>
      </c>
      <c r="Q77" s="326"/>
      <c r="R77" s="326"/>
      <c r="S77" s="329"/>
      <c r="T77" s="17"/>
      <c r="U77" s="2"/>
      <c r="V77" s="2"/>
      <c r="W77" s="2"/>
    </row>
    <row r="78" spans="1:23" x14ac:dyDescent="0.2">
      <c r="A78" s="327" t="s">
        <v>290</v>
      </c>
      <c r="B78" s="325" t="s">
        <v>35</v>
      </c>
      <c r="C78" s="325" t="s">
        <v>291</v>
      </c>
      <c r="D78" s="325" t="s">
        <v>174</v>
      </c>
      <c r="E78" s="326"/>
      <c r="F78" s="326"/>
      <c r="G78" s="325" t="s">
        <v>262</v>
      </c>
      <c r="H78" s="325" t="s">
        <v>262</v>
      </c>
      <c r="I78" s="325" t="s">
        <v>366</v>
      </c>
      <c r="J78" s="325" t="s">
        <v>292</v>
      </c>
      <c r="K78" s="325" t="s">
        <v>174</v>
      </c>
      <c r="L78" s="325"/>
      <c r="M78" s="325" t="s">
        <v>271</v>
      </c>
      <c r="N78" s="326" t="s">
        <v>172</v>
      </c>
      <c r="O78" s="325" t="s">
        <v>174</v>
      </c>
      <c r="P78" s="325" t="s">
        <v>283</v>
      </c>
      <c r="Q78" s="326"/>
      <c r="R78" s="326"/>
      <c r="S78" s="329"/>
      <c r="T78" s="17"/>
      <c r="U78" s="2"/>
      <c r="V78" s="2"/>
      <c r="W78" s="2"/>
    </row>
    <row r="79" spans="1:23" x14ac:dyDescent="0.2">
      <c r="A79" s="327" t="s">
        <v>293</v>
      </c>
      <c r="B79" s="325" t="s">
        <v>294</v>
      </c>
      <c r="C79" s="325" t="s">
        <v>271</v>
      </c>
      <c r="D79" s="326"/>
      <c r="E79" s="326"/>
      <c r="F79" s="326"/>
      <c r="G79" s="325" t="s">
        <v>172</v>
      </c>
      <c r="H79" s="325" t="s">
        <v>172</v>
      </c>
      <c r="I79" s="325" t="s">
        <v>262</v>
      </c>
      <c r="J79" s="325" t="s">
        <v>262</v>
      </c>
      <c r="K79" s="325"/>
      <c r="L79" s="326"/>
      <c r="M79" s="325" t="s">
        <v>262</v>
      </c>
      <c r="N79" s="326" t="s">
        <v>174</v>
      </c>
      <c r="O79" s="325"/>
      <c r="P79" s="325" t="s">
        <v>271</v>
      </c>
      <c r="Q79" s="326"/>
      <c r="R79" s="326"/>
      <c r="S79" s="329"/>
      <c r="T79" s="17"/>
      <c r="U79" s="2"/>
      <c r="V79" s="2"/>
      <c r="W79" s="2"/>
    </row>
    <row r="80" spans="1:23" x14ac:dyDescent="0.2">
      <c r="A80" s="327" t="s">
        <v>22</v>
      </c>
      <c r="B80" s="325" t="s">
        <v>262</v>
      </c>
      <c r="C80" s="325" t="s">
        <v>262</v>
      </c>
      <c r="D80" s="326"/>
      <c r="E80" s="326"/>
      <c r="F80" s="326"/>
      <c r="G80" s="325" t="s">
        <v>174</v>
      </c>
      <c r="H80" s="325" t="s">
        <v>174</v>
      </c>
      <c r="I80" s="325" t="s">
        <v>172</v>
      </c>
      <c r="J80" s="325" t="s">
        <v>172</v>
      </c>
      <c r="K80" s="326"/>
      <c r="L80" s="326"/>
      <c r="M80" s="325" t="s">
        <v>172</v>
      </c>
      <c r="N80" s="326"/>
      <c r="O80" s="326"/>
      <c r="P80" s="325" t="s">
        <v>262</v>
      </c>
      <c r="Q80" s="326"/>
      <c r="R80" s="326"/>
      <c r="S80" s="329"/>
      <c r="T80" s="17"/>
      <c r="U80" s="2"/>
      <c r="V80" s="2"/>
      <c r="W80" s="2"/>
    </row>
    <row r="81" spans="1:27" x14ac:dyDescent="0.2">
      <c r="A81" s="327" t="s">
        <v>295</v>
      </c>
      <c r="B81" s="325" t="s">
        <v>172</v>
      </c>
      <c r="C81" s="325" t="s">
        <v>172</v>
      </c>
      <c r="D81" s="326"/>
      <c r="E81" s="326"/>
      <c r="F81" s="326"/>
      <c r="G81" s="325"/>
      <c r="H81" s="326"/>
      <c r="I81" s="325" t="s">
        <v>174</v>
      </c>
      <c r="J81" s="325" t="s">
        <v>174</v>
      </c>
      <c r="K81" s="326"/>
      <c r="L81" s="326"/>
      <c r="M81" s="326" t="s">
        <v>174</v>
      </c>
      <c r="N81" s="325"/>
      <c r="O81" s="325"/>
      <c r="P81" s="325" t="s">
        <v>172</v>
      </c>
      <c r="Q81" s="326"/>
      <c r="R81" s="326"/>
      <c r="S81" s="329"/>
      <c r="T81" s="6"/>
      <c r="U81" s="2"/>
      <c r="V81" s="2"/>
      <c r="W81" s="2"/>
    </row>
    <row r="82" spans="1:27" x14ac:dyDescent="0.2">
      <c r="A82" s="327" t="s">
        <v>296</v>
      </c>
      <c r="B82" s="325" t="s">
        <v>174</v>
      </c>
      <c r="C82" s="325" t="s">
        <v>174</v>
      </c>
      <c r="D82" s="326"/>
      <c r="E82" s="326"/>
      <c r="F82" s="326"/>
      <c r="G82" s="326"/>
      <c r="H82" s="326"/>
      <c r="I82" s="326"/>
      <c r="J82" s="325"/>
      <c r="K82" s="326"/>
      <c r="L82" s="326"/>
      <c r="M82" s="326"/>
      <c r="N82" s="326"/>
      <c r="O82" s="326"/>
      <c r="P82" s="325" t="s">
        <v>174</v>
      </c>
      <c r="Q82" s="326"/>
      <c r="R82" s="326"/>
      <c r="S82" s="329"/>
      <c r="T82" s="2"/>
      <c r="U82" s="2"/>
      <c r="V82" s="2"/>
      <c r="W82" s="2"/>
    </row>
    <row r="83" spans="1:27" x14ac:dyDescent="0.2">
      <c r="A83" s="327" t="s">
        <v>297</v>
      </c>
      <c r="B83" s="325"/>
      <c r="C83" s="326"/>
      <c r="D83" s="326"/>
      <c r="E83" s="326"/>
      <c r="F83" s="326"/>
      <c r="G83" s="326"/>
      <c r="H83" s="326"/>
      <c r="I83" s="326"/>
      <c r="J83" s="326"/>
      <c r="K83" s="326"/>
      <c r="L83" s="326"/>
      <c r="M83" s="326"/>
      <c r="N83" s="326"/>
      <c r="O83" s="326"/>
      <c r="P83" s="326"/>
      <c r="Q83" s="326"/>
      <c r="R83" s="326"/>
      <c r="S83" s="329"/>
      <c r="T83" s="2"/>
      <c r="U83" s="2"/>
      <c r="V83" s="2"/>
      <c r="W83" s="2"/>
    </row>
    <row r="84" spans="1:27" x14ac:dyDescent="0.2">
      <c r="A84" s="327" t="s">
        <v>298</v>
      </c>
      <c r="B84" s="326"/>
      <c r="C84" s="326"/>
      <c r="D84" s="326"/>
      <c r="E84" s="326"/>
      <c r="F84" s="326"/>
      <c r="G84" s="326"/>
      <c r="H84" s="326"/>
      <c r="I84" s="326"/>
      <c r="J84" s="326"/>
      <c r="K84" s="326"/>
      <c r="L84" s="326"/>
      <c r="M84" s="326"/>
      <c r="N84" s="326"/>
      <c r="O84" s="326"/>
      <c r="P84" s="326"/>
      <c r="Q84" s="326"/>
      <c r="R84" s="326"/>
      <c r="S84" s="329"/>
      <c r="T84" s="2"/>
      <c r="U84" s="2"/>
      <c r="V84" s="2"/>
      <c r="W84" s="2"/>
    </row>
    <row r="85" spans="1:27" x14ac:dyDescent="0.2">
      <c r="A85" s="327" t="s">
        <v>23</v>
      </c>
      <c r="B85" s="326"/>
      <c r="C85" s="326"/>
      <c r="D85" s="326"/>
      <c r="E85" s="326"/>
      <c r="F85" s="326"/>
      <c r="G85" s="326"/>
      <c r="H85" s="326"/>
      <c r="I85" s="326"/>
      <c r="J85" s="326"/>
      <c r="K85" s="326"/>
      <c r="L85" s="326"/>
      <c r="M85" s="326"/>
      <c r="N85" s="326"/>
      <c r="O85" s="326"/>
      <c r="P85" s="326"/>
      <c r="Q85" s="326"/>
      <c r="R85" s="326"/>
      <c r="S85" s="329"/>
      <c r="T85" s="2"/>
      <c r="U85" s="2"/>
      <c r="V85" s="2"/>
      <c r="W85" s="2"/>
    </row>
    <row r="86" spans="1:27" x14ac:dyDescent="0.2">
      <c r="A86" s="327" t="s">
        <v>299</v>
      </c>
      <c r="B86" s="326"/>
      <c r="C86" s="326"/>
      <c r="D86" s="326"/>
      <c r="E86" s="326"/>
      <c r="F86" s="326"/>
      <c r="G86" s="326"/>
      <c r="H86" s="326"/>
      <c r="I86" s="326"/>
      <c r="J86" s="326"/>
      <c r="K86" s="326"/>
      <c r="L86" s="326"/>
      <c r="M86" s="326"/>
      <c r="N86" s="326"/>
      <c r="O86" s="326"/>
      <c r="P86" s="326"/>
      <c r="Q86" s="326"/>
      <c r="R86" s="326"/>
      <c r="S86" s="329"/>
      <c r="T86" s="2"/>
      <c r="U86" s="2"/>
      <c r="V86" s="2"/>
      <c r="W86" s="2"/>
    </row>
    <row r="87" spans="1:27" x14ac:dyDescent="0.2">
      <c r="A87" s="327" t="s">
        <v>24</v>
      </c>
      <c r="B87" s="326"/>
      <c r="C87" s="326"/>
      <c r="D87" s="326"/>
      <c r="E87" s="326"/>
      <c r="F87" s="326"/>
      <c r="G87" s="326"/>
      <c r="H87" s="326"/>
      <c r="I87" s="326"/>
      <c r="J87" s="326"/>
      <c r="K87" s="326"/>
      <c r="L87" s="326"/>
      <c r="M87" s="326"/>
      <c r="N87" s="326"/>
      <c r="O87" s="326"/>
      <c r="P87" s="326"/>
      <c r="Q87" s="326"/>
      <c r="R87" s="326"/>
      <c r="S87" s="329"/>
      <c r="T87" s="2"/>
      <c r="U87" s="2"/>
      <c r="V87" s="2"/>
      <c r="W87" s="2"/>
    </row>
    <row r="88" spans="1:27" x14ac:dyDescent="0.2">
      <c r="A88" s="327" t="s">
        <v>300</v>
      </c>
      <c r="B88" s="326"/>
      <c r="C88" s="326"/>
      <c r="D88" s="326"/>
      <c r="E88" s="326"/>
      <c r="F88" s="326"/>
      <c r="G88" s="326"/>
      <c r="H88" s="326"/>
      <c r="I88" s="326"/>
      <c r="J88" s="326"/>
      <c r="K88" s="326"/>
      <c r="L88" s="326"/>
      <c r="M88" s="326"/>
      <c r="N88" s="326"/>
      <c r="O88" s="326"/>
      <c r="P88" s="326"/>
      <c r="Q88" s="326"/>
      <c r="R88" s="326"/>
      <c r="S88" s="329"/>
      <c r="T88" s="2"/>
      <c r="U88" s="2"/>
      <c r="V88" s="2"/>
      <c r="W88" s="2"/>
    </row>
    <row r="89" spans="1:27" x14ac:dyDescent="0.2">
      <c r="A89" s="327" t="s">
        <v>301</v>
      </c>
      <c r="B89" s="326"/>
      <c r="C89" s="326"/>
      <c r="D89" s="326"/>
      <c r="E89" s="326"/>
      <c r="F89" s="326"/>
      <c r="G89" s="326"/>
      <c r="H89" s="326"/>
      <c r="I89" s="326"/>
      <c r="J89" s="326"/>
      <c r="K89" s="326"/>
      <c r="L89" s="326"/>
      <c r="M89" s="326"/>
      <c r="N89" s="326"/>
      <c r="O89" s="326"/>
      <c r="P89" s="326"/>
      <c r="Q89" s="326"/>
      <c r="R89" s="326"/>
      <c r="S89" s="329"/>
      <c r="T89" s="2"/>
      <c r="U89" s="2"/>
      <c r="V89" s="2"/>
      <c r="W89" s="2"/>
    </row>
    <row r="90" spans="1:27" x14ac:dyDescent="0.2">
      <c r="A90" s="327" t="s">
        <v>25</v>
      </c>
      <c r="B90" s="326"/>
      <c r="C90" s="326"/>
      <c r="D90" s="326"/>
      <c r="E90" s="326"/>
      <c r="F90" s="326"/>
      <c r="G90" s="326"/>
      <c r="H90" s="326"/>
      <c r="I90" s="326"/>
      <c r="J90" s="326"/>
      <c r="K90" s="326"/>
      <c r="L90" s="326"/>
      <c r="M90" s="326"/>
      <c r="N90" s="326"/>
      <c r="O90" s="326"/>
      <c r="P90" s="326"/>
      <c r="Q90" s="326"/>
      <c r="R90" s="326"/>
      <c r="S90" s="329"/>
      <c r="T90" s="2"/>
      <c r="U90" s="2"/>
      <c r="V90" s="2"/>
      <c r="W90" s="2"/>
    </row>
    <row r="91" spans="1:27" x14ac:dyDescent="0.2">
      <c r="A91" s="327" t="s">
        <v>262</v>
      </c>
      <c r="B91" s="326"/>
      <c r="C91" s="326"/>
      <c r="D91" s="326"/>
      <c r="E91" s="326"/>
      <c r="F91" s="326"/>
      <c r="G91" s="326"/>
      <c r="H91" s="326"/>
      <c r="I91" s="326"/>
      <c r="J91" s="326"/>
      <c r="K91" s="326"/>
      <c r="L91" s="326"/>
      <c r="M91" s="326"/>
      <c r="N91" s="326"/>
      <c r="O91" s="326"/>
      <c r="P91" s="326"/>
      <c r="Q91" s="326"/>
      <c r="R91" s="326"/>
      <c r="S91" s="329"/>
      <c r="T91" s="2"/>
      <c r="U91" s="2"/>
      <c r="V91" s="2"/>
      <c r="W91" s="2"/>
    </row>
    <row r="92" spans="1:27" x14ac:dyDescent="0.2">
      <c r="A92" s="327" t="s">
        <v>172</v>
      </c>
      <c r="B92" s="326"/>
      <c r="C92" s="326"/>
      <c r="D92" s="326"/>
      <c r="E92" s="326"/>
      <c r="F92" s="326"/>
      <c r="G92" s="326"/>
      <c r="H92" s="326"/>
      <c r="I92" s="326"/>
      <c r="J92" s="326"/>
      <c r="K92" s="326"/>
      <c r="L92" s="326"/>
      <c r="M92" s="326"/>
      <c r="N92" s="326"/>
      <c r="O92" s="326"/>
      <c r="P92" s="326"/>
      <c r="Q92" s="326"/>
      <c r="R92" s="326"/>
      <c r="S92" s="329"/>
      <c r="T92" s="6"/>
      <c r="U92" s="6"/>
      <c r="V92" s="6"/>
      <c r="W92" s="6"/>
    </row>
    <row r="93" spans="1:27" x14ac:dyDescent="0.2">
      <c r="A93" s="333" t="s">
        <v>174</v>
      </c>
      <c r="B93" s="334"/>
      <c r="C93" s="334"/>
      <c r="D93" s="334"/>
      <c r="E93" s="334"/>
      <c r="F93" s="334"/>
      <c r="G93" s="334"/>
      <c r="H93" s="334"/>
      <c r="I93" s="334"/>
      <c r="J93" s="334"/>
      <c r="K93" s="334"/>
      <c r="L93" s="334"/>
      <c r="M93" s="334"/>
      <c r="N93" s="334"/>
      <c r="O93" s="334"/>
      <c r="P93" s="334"/>
      <c r="Q93" s="334"/>
      <c r="R93" s="334"/>
      <c r="S93" s="335"/>
      <c r="T93" s="3"/>
      <c r="U93" s="3"/>
      <c r="V93" s="3"/>
      <c r="W93" s="3"/>
      <c r="X93" s="3"/>
      <c r="Y93" s="3"/>
      <c r="Z93" s="3"/>
      <c r="AA93" s="3"/>
    </row>
    <row r="94" spans="1:27" x14ac:dyDescent="0.2">
      <c r="A94" s="47"/>
      <c r="B94" s="48"/>
      <c r="C94" s="17"/>
      <c r="D94" s="72"/>
      <c r="E94" s="72"/>
      <c r="F94" s="17"/>
      <c r="H94" s="3"/>
      <c r="I94" s="48"/>
      <c r="J94" s="48"/>
      <c r="K94" s="3"/>
      <c r="L94" s="3"/>
      <c r="M94" s="3"/>
      <c r="N94" s="3"/>
      <c r="O94" s="3"/>
      <c r="P94" s="3"/>
      <c r="Q94" s="3"/>
      <c r="R94" s="3"/>
      <c r="S94" s="3"/>
      <c r="T94" s="3"/>
      <c r="U94" s="3"/>
      <c r="V94" s="3"/>
      <c r="W94" s="3"/>
      <c r="X94" s="3"/>
      <c r="Y94" s="3"/>
      <c r="Z94" s="3"/>
      <c r="AA94" s="3"/>
    </row>
    <row r="95" spans="1:27" x14ac:dyDescent="0.2">
      <c r="A95" s="47"/>
      <c r="B95" s="47"/>
    </row>
    <row r="96" spans="1:27" x14ac:dyDescent="0.2">
      <c r="A96" s="59" t="s">
        <v>13</v>
      </c>
      <c r="B96" s="57" t="s">
        <v>37</v>
      </c>
    </row>
    <row r="97" spans="1:12" x14ac:dyDescent="0.2">
      <c r="A97" s="47"/>
      <c r="B97" s="57" t="s">
        <v>138</v>
      </c>
    </row>
    <row r="98" spans="1:12" x14ac:dyDescent="0.2">
      <c r="A98" s="47"/>
      <c r="B98" s="3"/>
    </row>
    <row r="99" spans="1:12" x14ac:dyDescent="0.2">
      <c r="A99" s="3"/>
      <c r="B99" s="3"/>
    </row>
    <row r="100" spans="1:12" x14ac:dyDescent="0.2">
      <c r="A100" s="3"/>
      <c r="B100" s="49"/>
    </row>
    <row r="101" spans="1:12" x14ac:dyDescent="0.2">
      <c r="A101" s="65" t="s">
        <v>68</v>
      </c>
      <c r="B101" s="407" t="s">
        <v>470</v>
      </c>
    </row>
    <row r="102" spans="1:12" x14ac:dyDescent="0.2">
      <c r="A102" s="3"/>
      <c r="B102" s="250" t="s">
        <v>173</v>
      </c>
    </row>
    <row r="103" spans="1:12" x14ac:dyDescent="0.2">
      <c r="A103" s="3"/>
      <c r="B103" s="407" t="s">
        <v>349</v>
      </c>
    </row>
    <row r="104" spans="1:12" x14ac:dyDescent="0.2">
      <c r="A104" s="3"/>
      <c r="B104" s="407" t="s">
        <v>350</v>
      </c>
    </row>
    <row r="105" spans="1:12" x14ac:dyDescent="0.2">
      <c r="B105" s="407" t="s">
        <v>155</v>
      </c>
    </row>
    <row r="107" spans="1:12" ht="15" thickBot="1" x14ac:dyDescent="0.25">
      <c r="A107" s="381" t="s">
        <v>1019</v>
      </c>
      <c r="H107" s="286"/>
      <c r="I107" s="286"/>
      <c r="J107" s="286"/>
      <c r="K107" s="286"/>
      <c r="L107" s="286"/>
    </row>
    <row r="108" spans="1:12" s="292" customFormat="1" ht="12.75" thickBot="1" x14ac:dyDescent="0.25">
      <c r="A108" s="289" t="s">
        <v>11</v>
      </c>
      <c r="B108" s="289" t="s">
        <v>115</v>
      </c>
      <c r="C108" s="289" t="s">
        <v>117</v>
      </c>
      <c r="D108" s="290" t="s">
        <v>118</v>
      </c>
      <c r="E108" s="290" t="s">
        <v>119</v>
      </c>
      <c r="F108" s="289" t="s">
        <v>12</v>
      </c>
      <c r="G108" s="289" t="s">
        <v>75</v>
      </c>
      <c r="H108" s="291" t="s">
        <v>120</v>
      </c>
      <c r="I108" s="291" t="s">
        <v>121</v>
      </c>
      <c r="J108" s="291" t="s">
        <v>122</v>
      </c>
      <c r="K108" s="291" t="s">
        <v>123</v>
      </c>
      <c r="L108" s="291" t="s">
        <v>125</v>
      </c>
    </row>
    <row r="109" spans="1:12" s="292" customFormat="1" ht="12.75" thickBot="1" x14ac:dyDescent="0.25">
      <c r="A109" s="293" t="str">
        <f>IF('Basic data'!C6="","",'Basic data'!C6)</f>
        <v>Not listed</v>
      </c>
      <c r="B109" s="294" t="str">
        <f>IF($A$109="","",VLOOKUP($A$109,$A$112:$J$336,2,FALSE))</f>
        <v>-----</v>
      </c>
      <c r="C109" s="294" t="str">
        <f>IF($A$109="","",VLOOKUP($A$109,$A$112:$J$336,3,FALSE))</f>
        <v>-----</v>
      </c>
      <c r="D109" s="295" t="str">
        <f>IF($A$109="","",VLOOKUP($A$109,$A$112:$J$336,4,FALSE))</f>
        <v>-----</v>
      </c>
      <c r="E109" s="295" t="str">
        <f>IF($A$109="","",VLOOKUP($A$109,$A$112:$J$336,5,FALSE))</f>
        <v>-----</v>
      </c>
      <c r="F109" s="294" t="str">
        <f>IF($A$109="","",VLOOKUP($A$109,$A$112:$J$336,6,FALSE))</f>
        <v>-----</v>
      </c>
      <c r="G109" s="296" t="str">
        <f>IF($A$109="","",VLOOKUP($A$109,$A$112:$J$336,7,FALSE))</f>
        <v>-----</v>
      </c>
      <c r="H109" s="297">
        <f>IF($A$109="","",VLOOKUP($A$109,$A$112:$J$336,8,FALSE))</f>
        <v>0</v>
      </c>
      <c r="I109" s="297">
        <f>IF($A$109="","",VLOOKUP($A$109,$A$112:$J$336,9,FALSE))</f>
        <v>0</v>
      </c>
      <c r="J109" s="298">
        <f>IF($A$109="","",VLOOKUP($A$109,$A$112:$J$336,10,FALSE))</f>
        <v>0</v>
      </c>
      <c r="K109" s="298"/>
      <c r="L109" s="297"/>
    </row>
    <row r="110" spans="1:12" x14ac:dyDescent="0.2">
      <c r="H110" s="286"/>
      <c r="I110" s="286"/>
      <c r="J110" s="286"/>
      <c r="K110" s="286"/>
      <c r="L110" s="286"/>
    </row>
    <row r="111" spans="1:12" s="389" customFormat="1" ht="15" customHeight="1" x14ac:dyDescent="0.2">
      <c r="A111" s="152" t="s">
        <v>11</v>
      </c>
      <c r="B111" s="152" t="s">
        <v>115</v>
      </c>
      <c r="C111" s="152" t="s">
        <v>117</v>
      </c>
      <c r="D111" s="74" t="s">
        <v>118</v>
      </c>
      <c r="E111" s="74" t="s">
        <v>119</v>
      </c>
      <c r="F111" s="152" t="s">
        <v>12</v>
      </c>
      <c r="G111" s="152" t="s">
        <v>75</v>
      </c>
      <c r="H111" s="388" t="s">
        <v>120</v>
      </c>
      <c r="I111" s="388" t="s">
        <v>124</v>
      </c>
      <c r="J111" s="388" t="s">
        <v>122</v>
      </c>
      <c r="K111" s="388"/>
      <c r="L111" s="388"/>
    </row>
    <row r="112" spans="1:12" ht="15" customHeight="1" x14ac:dyDescent="0.2">
      <c r="A112" s="405" t="s">
        <v>1020</v>
      </c>
      <c r="B112" s="405" t="s">
        <v>201</v>
      </c>
      <c r="C112" s="405" t="s">
        <v>481</v>
      </c>
      <c r="D112" s="287"/>
      <c r="E112" s="405" t="s">
        <v>202</v>
      </c>
      <c r="F112" s="405" t="s">
        <v>47</v>
      </c>
      <c r="G112" s="428">
        <v>40372</v>
      </c>
      <c r="H112" s="6"/>
      <c r="I112" s="6"/>
      <c r="J112" s="6"/>
      <c r="K112" s="6"/>
      <c r="L112" s="6"/>
    </row>
    <row r="113" spans="1:12" ht="15" customHeight="1" x14ac:dyDescent="0.2">
      <c r="A113" s="405" t="s">
        <v>1021</v>
      </c>
      <c r="B113" s="405" t="s">
        <v>201</v>
      </c>
      <c r="C113" s="405" t="s">
        <v>1022</v>
      </c>
      <c r="D113" s="287"/>
      <c r="E113" s="405" t="s">
        <v>202</v>
      </c>
      <c r="F113" s="405" t="s">
        <v>47</v>
      </c>
      <c r="G113" s="428">
        <v>41607</v>
      </c>
      <c r="H113" s="6"/>
      <c r="I113" s="6"/>
      <c r="J113" s="6"/>
      <c r="K113" s="6"/>
      <c r="L113" s="6"/>
    </row>
    <row r="114" spans="1:12" ht="15" customHeight="1" x14ac:dyDescent="0.2">
      <c r="A114" s="405" t="s">
        <v>1023</v>
      </c>
      <c r="B114" s="405" t="s">
        <v>482</v>
      </c>
      <c r="C114" s="405" t="s">
        <v>483</v>
      </c>
      <c r="D114" s="287"/>
      <c r="E114" s="405" t="s">
        <v>202</v>
      </c>
      <c r="F114" s="405" t="s">
        <v>38</v>
      </c>
      <c r="G114" s="428">
        <v>42356</v>
      </c>
      <c r="H114" s="6"/>
      <c r="I114" s="6"/>
      <c r="J114" s="6"/>
      <c r="K114" s="6"/>
      <c r="L114" s="6"/>
    </row>
    <row r="115" spans="1:12" ht="15" customHeight="1" x14ac:dyDescent="0.2">
      <c r="A115" s="405" t="s">
        <v>1024</v>
      </c>
      <c r="B115" s="405" t="s">
        <v>566</v>
      </c>
      <c r="C115" s="405" t="s">
        <v>203</v>
      </c>
      <c r="D115" s="287"/>
      <c r="E115" s="405" t="s">
        <v>202</v>
      </c>
      <c r="F115" s="405" t="s">
        <v>40</v>
      </c>
      <c r="G115" s="428">
        <v>41039</v>
      </c>
      <c r="H115" s="6"/>
      <c r="I115" s="6"/>
      <c r="J115" s="6"/>
      <c r="K115" s="6"/>
      <c r="L115" s="6"/>
    </row>
    <row r="116" spans="1:12" ht="15" customHeight="1" x14ac:dyDescent="0.2">
      <c r="A116" s="405" t="s">
        <v>1025</v>
      </c>
      <c r="B116" s="405" t="s">
        <v>566</v>
      </c>
      <c r="C116" s="405" t="s">
        <v>584</v>
      </c>
      <c r="D116" s="287"/>
      <c r="E116" s="405" t="s">
        <v>202</v>
      </c>
      <c r="F116" s="405" t="s">
        <v>40</v>
      </c>
      <c r="G116" s="428">
        <v>42132</v>
      </c>
      <c r="H116" s="6"/>
      <c r="I116" s="6"/>
      <c r="J116" s="6"/>
      <c r="K116" s="6"/>
      <c r="L116" s="6"/>
    </row>
    <row r="117" spans="1:12" ht="15" customHeight="1" x14ac:dyDescent="0.2">
      <c r="A117" s="405" t="s">
        <v>1026</v>
      </c>
      <c r="B117" s="405" t="s">
        <v>446</v>
      </c>
      <c r="C117" s="405" t="s">
        <v>447</v>
      </c>
      <c r="D117" s="287"/>
      <c r="E117" s="405" t="s">
        <v>202</v>
      </c>
      <c r="F117" s="405" t="s">
        <v>44</v>
      </c>
      <c r="G117" s="428">
        <v>41970</v>
      </c>
      <c r="H117" s="6"/>
      <c r="I117" s="6"/>
      <c r="J117" s="6"/>
      <c r="K117" s="6"/>
      <c r="L117" s="6"/>
    </row>
    <row r="118" spans="1:12" ht="15" customHeight="1" x14ac:dyDescent="0.2">
      <c r="A118" s="405" t="s">
        <v>1027</v>
      </c>
      <c r="B118" s="405" t="s">
        <v>1028</v>
      </c>
      <c r="C118" s="405" t="s">
        <v>1029</v>
      </c>
      <c r="D118" s="287"/>
      <c r="E118" s="405" t="s">
        <v>202</v>
      </c>
      <c r="F118" s="405" t="s">
        <v>46</v>
      </c>
      <c r="G118" s="428">
        <v>45211</v>
      </c>
      <c r="H118" s="6"/>
      <c r="I118" s="6"/>
      <c r="J118" s="6"/>
      <c r="K118" s="6"/>
      <c r="L118" s="6"/>
    </row>
    <row r="119" spans="1:12" ht="15" customHeight="1" x14ac:dyDescent="0.2">
      <c r="A119" s="405" t="s">
        <v>1030</v>
      </c>
      <c r="B119" s="405" t="s">
        <v>1031</v>
      </c>
      <c r="C119" s="405" t="s">
        <v>1032</v>
      </c>
      <c r="D119" s="287"/>
      <c r="E119" s="405" t="s">
        <v>202</v>
      </c>
      <c r="F119" s="405" t="s">
        <v>39</v>
      </c>
      <c r="G119" s="428">
        <v>44754</v>
      </c>
      <c r="H119" s="6"/>
      <c r="I119" s="6"/>
      <c r="J119" s="6"/>
      <c r="K119" s="6"/>
      <c r="L119" s="6"/>
    </row>
    <row r="120" spans="1:12" ht="15" customHeight="1" x14ac:dyDescent="0.2">
      <c r="A120" s="405" t="s">
        <v>1033</v>
      </c>
      <c r="B120" s="405" t="s">
        <v>1034</v>
      </c>
      <c r="C120" s="405" t="s">
        <v>1035</v>
      </c>
      <c r="D120" s="287"/>
      <c r="E120" s="405" t="s">
        <v>202</v>
      </c>
      <c r="F120" s="405" t="s">
        <v>39</v>
      </c>
      <c r="G120" s="429">
        <v>42046</v>
      </c>
      <c r="H120" s="6"/>
      <c r="I120" s="6"/>
      <c r="J120" s="6"/>
      <c r="K120" s="6"/>
      <c r="L120" s="6"/>
    </row>
    <row r="121" spans="1:12" ht="15" customHeight="1" x14ac:dyDescent="0.2">
      <c r="A121" s="405" t="s">
        <v>1036</v>
      </c>
      <c r="B121" s="405" t="s">
        <v>585</v>
      </c>
      <c r="C121" s="405" t="s">
        <v>1037</v>
      </c>
      <c r="D121" s="287"/>
      <c r="E121" s="405" t="s">
        <v>202</v>
      </c>
      <c r="F121" s="405" t="s">
        <v>47</v>
      </c>
      <c r="G121" s="428">
        <v>43014</v>
      </c>
      <c r="H121" s="6"/>
      <c r="I121" s="6"/>
      <c r="J121" s="6"/>
      <c r="K121" s="6"/>
      <c r="L121" s="6"/>
    </row>
    <row r="122" spans="1:12" ht="15" customHeight="1" x14ac:dyDescent="0.2">
      <c r="A122" s="405" t="s">
        <v>1038</v>
      </c>
      <c r="B122" s="405" t="s">
        <v>1039</v>
      </c>
      <c r="C122" s="405" t="s">
        <v>1040</v>
      </c>
      <c r="D122" s="287"/>
      <c r="E122" s="405" t="s">
        <v>202</v>
      </c>
      <c r="F122" s="405" t="s">
        <v>51</v>
      </c>
      <c r="G122" s="428">
        <v>45559</v>
      </c>
      <c r="H122" s="6"/>
      <c r="I122" s="6"/>
      <c r="J122" s="6"/>
      <c r="K122" s="6"/>
      <c r="L122" s="6"/>
    </row>
    <row r="123" spans="1:12" ht="15" customHeight="1" x14ac:dyDescent="0.2">
      <c r="A123" s="405" t="s">
        <v>1041</v>
      </c>
      <c r="B123" s="405" t="s">
        <v>1042</v>
      </c>
      <c r="C123" s="405" t="s">
        <v>1043</v>
      </c>
      <c r="D123" s="287"/>
      <c r="E123" s="405" t="s">
        <v>202</v>
      </c>
      <c r="F123" s="405" t="s">
        <v>39</v>
      </c>
      <c r="G123" s="428">
        <v>44526</v>
      </c>
      <c r="H123" s="6"/>
      <c r="I123" s="6"/>
      <c r="J123" s="6"/>
      <c r="K123" s="6"/>
      <c r="L123" s="6"/>
    </row>
    <row r="124" spans="1:12" ht="15" customHeight="1" x14ac:dyDescent="0.2">
      <c r="A124" s="405" t="s">
        <v>1044</v>
      </c>
      <c r="B124" s="405" t="s">
        <v>1045</v>
      </c>
      <c r="C124" s="405" t="s">
        <v>1046</v>
      </c>
      <c r="D124" s="287"/>
      <c r="E124" s="405" t="s">
        <v>202</v>
      </c>
      <c r="F124" s="405" t="s">
        <v>50</v>
      </c>
      <c r="G124" s="428">
        <v>44355</v>
      </c>
      <c r="H124" s="6"/>
      <c r="I124" s="6"/>
      <c r="J124" s="6"/>
      <c r="K124" s="6"/>
      <c r="L124" s="6"/>
    </row>
    <row r="125" spans="1:12" ht="15" customHeight="1" x14ac:dyDescent="0.2">
      <c r="A125" s="405" t="s">
        <v>1047</v>
      </c>
      <c r="B125" s="405" t="s">
        <v>204</v>
      </c>
      <c r="C125" s="405" t="s">
        <v>1048</v>
      </c>
      <c r="D125" s="287"/>
      <c r="E125" s="405" t="s">
        <v>202</v>
      </c>
      <c r="F125" s="405" t="s">
        <v>47</v>
      </c>
      <c r="G125" s="428">
        <v>40716</v>
      </c>
      <c r="H125" s="6"/>
      <c r="I125" s="6"/>
      <c r="J125" s="6"/>
      <c r="K125" s="6"/>
      <c r="L125" s="6"/>
    </row>
    <row r="126" spans="1:12" ht="15" customHeight="1" x14ac:dyDescent="0.2">
      <c r="A126" s="405" t="s">
        <v>1049</v>
      </c>
      <c r="B126" s="405" t="s">
        <v>205</v>
      </c>
      <c r="C126" s="405" t="s">
        <v>1050</v>
      </c>
      <c r="D126" s="287"/>
      <c r="E126" s="405" t="s">
        <v>202</v>
      </c>
      <c r="F126" s="405" t="s">
        <v>38</v>
      </c>
      <c r="G126" s="428">
        <v>40868</v>
      </c>
      <c r="H126" s="6"/>
      <c r="I126" s="6"/>
      <c r="J126" s="6"/>
      <c r="K126" s="6"/>
      <c r="L126" s="6"/>
    </row>
    <row r="127" spans="1:12" ht="15" customHeight="1" x14ac:dyDescent="0.2">
      <c r="A127" s="405" t="s">
        <v>1051</v>
      </c>
      <c r="B127" s="405" t="s">
        <v>1052</v>
      </c>
      <c r="C127" s="405" t="s">
        <v>1053</v>
      </c>
      <c r="D127" s="287"/>
      <c r="E127" s="405" t="s">
        <v>202</v>
      </c>
      <c r="F127" s="405" t="s">
        <v>14</v>
      </c>
      <c r="G127" s="428">
        <v>43719</v>
      </c>
      <c r="H127" s="6"/>
      <c r="I127" s="6"/>
      <c r="J127" s="6"/>
      <c r="K127" s="6"/>
      <c r="L127" s="6"/>
    </row>
    <row r="128" spans="1:12" ht="15" customHeight="1" x14ac:dyDescent="0.2">
      <c r="A128" s="405" t="s">
        <v>1054</v>
      </c>
      <c r="B128" s="405" t="s">
        <v>390</v>
      </c>
      <c r="C128" s="405" t="s">
        <v>1055</v>
      </c>
      <c r="D128" s="287"/>
      <c r="E128" s="405" t="s">
        <v>202</v>
      </c>
      <c r="F128" s="405" t="s">
        <v>46</v>
      </c>
      <c r="G128" s="428">
        <v>41432</v>
      </c>
      <c r="H128" s="6"/>
      <c r="I128" s="6"/>
      <c r="J128" s="6"/>
      <c r="K128" s="6"/>
      <c r="L128" s="6"/>
    </row>
    <row r="129" spans="1:12" ht="15" customHeight="1" x14ac:dyDescent="0.2">
      <c r="A129" s="405" t="s">
        <v>1056</v>
      </c>
      <c r="B129" s="405" t="s">
        <v>1057</v>
      </c>
      <c r="C129" s="405" t="s">
        <v>1058</v>
      </c>
      <c r="D129" s="287"/>
      <c r="E129" s="405" t="s">
        <v>202</v>
      </c>
      <c r="F129" s="405" t="s">
        <v>40</v>
      </c>
      <c r="G129" s="428">
        <v>40506</v>
      </c>
      <c r="H129" s="6"/>
      <c r="I129" s="6"/>
      <c r="J129" s="6"/>
      <c r="K129" s="6"/>
      <c r="L129" s="6"/>
    </row>
    <row r="130" spans="1:12" ht="15" customHeight="1" x14ac:dyDescent="0.2">
      <c r="A130" s="405" t="s">
        <v>1059</v>
      </c>
      <c r="B130" s="405" t="s">
        <v>503</v>
      </c>
      <c r="C130" s="405" t="s">
        <v>484</v>
      </c>
      <c r="D130" s="287"/>
      <c r="E130" s="405" t="s">
        <v>202</v>
      </c>
      <c r="F130" s="405" t="s">
        <v>46</v>
      </c>
      <c r="G130" s="428">
        <v>42621</v>
      </c>
      <c r="H130" s="6"/>
      <c r="I130" s="6"/>
      <c r="J130" s="6"/>
      <c r="K130" s="6"/>
      <c r="L130" s="6"/>
    </row>
    <row r="131" spans="1:12" ht="15" customHeight="1" x14ac:dyDescent="0.2">
      <c r="A131" s="405" t="s">
        <v>1060</v>
      </c>
      <c r="B131" s="405" t="s">
        <v>391</v>
      </c>
      <c r="C131" s="405" t="s">
        <v>1061</v>
      </c>
      <c r="D131" s="287"/>
      <c r="E131" s="405" t="s">
        <v>202</v>
      </c>
      <c r="F131" s="405" t="s">
        <v>39</v>
      </c>
      <c r="G131" s="428">
        <v>41355</v>
      </c>
      <c r="H131" s="6"/>
      <c r="I131" s="6"/>
      <c r="J131" s="6"/>
      <c r="K131" s="6"/>
      <c r="L131" s="6"/>
    </row>
    <row r="132" spans="1:12" ht="15" customHeight="1" x14ac:dyDescent="0.2">
      <c r="A132" s="405" t="s">
        <v>1062</v>
      </c>
      <c r="B132" s="405" t="s">
        <v>1063</v>
      </c>
      <c r="C132" s="405" t="s">
        <v>1064</v>
      </c>
      <c r="D132" s="287"/>
      <c r="E132" s="405" t="s">
        <v>202</v>
      </c>
      <c r="F132" s="405" t="s">
        <v>48</v>
      </c>
      <c r="G132" s="428">
        <v>44897</v>
      </c>
      <c r="H132" s="6"/>
      <c r="I132" s="6"/>
      <c r="J132" s="6"/>
      <c r="K132" s="6"/>
      <c r="L132" s="6"/>
    </row>
    <row r="133" spans="1:12" ht="15" customHeight="1" x14ac:dyDescent="0.2">
      <c r="A133" s="405" t="s">
        <v>1065</v>
      </c>
      <c r="B133" s="405" t="s">
        <v>1066</v>
      </c>
      <c r="C133" s="405" t="s">
        <v>1067</v>
      </c>
      <c r="D133" s="287"/>
      <c r="E133" s="405" t="s">
        <v>202</v>
      </c>
      <c r="F133" s="405" t="s">
        <v>39</v>
      </c>
      <c r="G133" s="428">
        <v>40522</v>
      </c>
      <c r="H133" s="6"/>
      <c r="I133" s="6"/>
      <c r="J133" s="6"/>
      <c r="K133" s="6"/>
      <c r="L133" s="6"/>
    </row>
    <row r="134" spans="1:12" ht="15" customHeight="1" x14ac:dyDescent="0.2">
      <c r="A134" s="405" t="s">
        <v>1068</v>
      </c>
      <c r="B134" s="405" t="s">
        <v>1069</v>
      </c>
      <c r="C134" s="405" t="s">
        <v>1070</v>
      </c>
      <c r="D134" s="287"/>
      <c r="E134" s="405" t="s">
        <v>202</v>
      </c>
      <c r="F134" s="405" t="s">
        <v>39</v>
      </c>
      <c r="G134" s="428">
        <v>44510</v>
      </c>
      <c r="H134" s="6"/>
      <c r="I134" s="6"/>
      <c r="J134" s="6"/>
      <c r="K134" s="6"/>
      <c r="L134" s="6"/>
    </row>
    <row r="135" spans="1:12" ht="15" customHeight="1" x14ac:dyDescent="0.2">
      <c r="A135" s="405" t="s">
        <v>1071</v>
      </c>
      <c r="B135" s="405" t="s">
        <v>1072</v>
      </c>
      <c r="C135" s="405" t="s">
        <v>1073</v>
      </c>
      <c r="D135" s="287"/>
      <c r="E135" s="405" t="s">
        <v>202</v>
      </c>
      <c r="F135" s="405" t="s">
        <v>51</v>
      </c>
      <c r="G135" s="428">
        <v>44342</v>
      </c>
      <c r="H135" s="6"/>
      <c r="I135" s="6"/>
      <c r="J135" s="6"/>
      <c r="K135" s="6"/>
      <c r="L135" s="6"/>
    </row>
    <row r="136" spans="1:12" ht="15" customHeight="1" x14ac:dyDescent="0.2">
      <c r="A136" s="405" t="s">
        <v>1074</v>
      </c>
      <c r="B136" s="405" t="s">
        <v>458</v>
      </c>
      <c r="C136" s="405" t="s">
        <v>423</v>
      </c>
      <c r="D136" s="287"/>
      <c r="E136" s="405" t="s">
        <v>202</v>
      </c>
      <c r="F136" s="405" t="s">
        <v>38</v>
      </c>
      <c r="G136" s="428">
        <v>41772</v>
      </c>
      <c r="H136" s="6"/>
      <c r="I136" s="6"/>
      <c r="J136" s="6"/>
      <c r="K136" s="6"/>
      <c r="L136" s="6"/>
    </row>
    <row r="137" spans="1:12" ht="15" customHeight="1" x14ac:dyDescent="0.2">
      <c r="A137" s="405" t="s">
        <v>1075</v>
      </c>
      <c r="B137" s="405" t="s">
        <v>1076</v>
      </c>
      <c r="C137" s="405" t="s">
        <v>1077</v>
      </c>
      <c r="D137" s="287"/>
      <c r="E137" s="405" t="s">
        <v>202</v>
      </c>
      <c r="F137" s="405" t="s">
        <v>38</v>
      </c>
      <c r="G137" s="428">
        <v>40564</v>
      </c>
      <c r="H137" s="6"/>
      <c r="I137" s="6"/>
      <c r="J137" s="6"/>
      <c r="K137" s="6"/>
      <c r="L137" s="6"/>
    </row>
    <row r="138" spans="1:12" ht="15" customHeight="1" x14ac:dyDescent="0.2">
      <c r="A138" s="405" t="s">
        <v>1078</v>
      </c>
      <c r="B138" s="405" t="s">
        <v>504</v>
      </c>
      <c r="C138" s="405" t="s">
        <v>505</v>
      </c>
      <c r="D138" s="287"/>
      <c r="E138" s="405" t="s">
        <v>202</v>
      </c>
      <c r="F138" s="405" t="s">
        <v>47</v>
      </c>
      <c r="G138" s="428">
        <v>42899</v>
      </c>
      <c r="H138" s="6"/>
      <c r="I138" s="6"/>
      <c r="J138" s="6"/>
      <c r="K138" s="6"/>
      <c r="L138" s="6"/>
    </row>
    <row r="139" spans="1:12" ht="15" customHeight="1" x14ac:dyDescent="0.2">
      <c r="A139" s="405" t="s">
        <v>1079</v>
      </c>
      <c r="B139" s="405" t="s">
        <v>424</v>
      </c>
      <c r="C139" s="405" t="s">
        <v>425</v>
      </c>
      <c r="D139" s="287"/>
      <c r="E139" s="405" t="s">
        <v>202</v>
      </c>
      <c r="F139" s="405" t="s">
        <v>38</v>
      </c>
      <c r="G139" s="428">
        <v>41971</v>
      </c>
      <c r="H139" s="6"/>
      <c r="I139" s="6"/>
      <c r="J139" s="6"/>
      <c r="K139" s="6"/>
      <c r="L139" s="6"/>
    </row>
    <row r="140" spans="1:12" ht="15" customHeight="1" x14ac:dyDescent="0.2">
      <c r="A140" s="405" t="s">
        <v>1080</v>
      </c>
      <c r="B140" s="405" t="s">
        <v>586</v>
      </c>
      <c r="C140" s="405" t="s">
        <v>587</v>
      </c>
      <c r="D140" s="287"/>
      <c r="E140" s="405" t="s">
        <v>202</v>
      </c>
      <c r="F140" s="405" t="s">
        <v>39</v>
      </c>
      <c r="G140" s="428">
        <v>42699</v>
      </c>
      <c r="H140" s="6"/>
      <c r="I140" s="6"/>
      <c r="J140" s="6"/>
      <c r="K140" s="6"/>
      <c r="L140" s="6"/>
    </row>
    <row r="141" spans="1:12" ht="15" customHeight="1" x14ac:dyDescent="0.2">
      <c r="A141" s="405" t="s">
        <v>1081</v>
      </c>
      <c r="B141" s="405" t="s">
        <v>206</v>
      </c>
      <c r="C141" s="405" t="s">
        <v>207</v>
      </c>
      <c r="D141" s="287"/>
      <c r="E141" s="405" t="s">
        <v>202</v>
      </c>
      <c r="F141" s="405" t="s">
        <v>38</v>
      </c>
      <c r="G141" s="428">
        <v>40652</v>
      </c>
      <c r="H141" s="6"/>
      <c r="I141" s="6"/>
      <c r="J141" s="6"/>
      <c r="K141" s="6"/>
      <c r="L141" s="6"/>
    </row>
    <row r="142" spans="1:12" ht="15" customHeight="1" x14ac:dyDescent="0.2">
      <c r="A142" s="405" t="s">
        <v>1082</v>
      </c>
      <c r="B142" s="405" t="s">
        <v>1083</v>
      </c>
      <c r="C142" s="405" t="s">
        <v>1084</v>
      </c>
      <c r="D142" s="287"/>
      <c r="E142" s="405" t="s">
        <v>202</v>
      </c>
      <c r="F142" s="405" t="s">
        <v>39</v>
      </c>
      <c r="G142" s="428">
        <v>43648</v>
      </c>
      <c r="H142" s="6"/>
      <c r="I142" s="6"/>
      <c r="J142" s="6"/>
      <c r="K142" s="6"/>
      <c r="L142" s="6"/>
    </row>
    <row r="143" spans="1:12" ht="15" customHeight="1" x14ac:dyDescent="0.2">
      <c r="A143" s="405" t="s">
        <v>1085</v>
      </c>
      <c r="B143" s="405" t="s">
        <v>459</v>
      </c>
      <c r="C143" s="405" t="s">
        <v>460</v>
      </c>
      <c r="D143" s="287"/>
      <c r="E143" s="405" t="s">
        <v>202</v>
      </c>
      <c r="F143" s="405" t="s">
        <v>14</v>
      </c>
      <c r="G143" s="428">
        <v>42090</v>
      </c>
      <c r="H143" s="6"/>
      <c r="I143" s="6"/>
      <c r="J143" s="6"/>
      <c r="K143" s="6"/>
      <c r="L143" s="6"/>
    </row>
    <row r="144" spans="1:12" ht="15" customHeight="1" x14ac:dyDescent="0.2">
      <c r="A144" s="405" t="s">
        <v>1086</v>
      </c>
      <c r="B144" s="405" t="s">
        <v>1087</v>
      </c>
      <c r="C144" s="405" t="s">
        <v>1088</v>
      </c>
      <c r="D144" s="287"/>
      <c r="E144" s="405" t="s">
        <v>202</v>
      </c>
      <c r="F144" s="405" t="s">
        <v>38</v>
      </c>
      <c r="G144" s="428">
        <v>44033</v>
      </c>
      <c r="H144" s="6"/>
      <c r="I144" s="6"/>
      <c r="J144" s="6"/>
      <c r="K144" s="6"/>
      <c r="L144" s="6"/>
    </row>
    <row r="145" spans="1:12" ht="15" customHeight="1" x14ac:dyDescent="0.2">
      <c r="A145" s="405" t="s">
        <v>1089</v>
      </c>
      <c r="B145" s="405" t="s">
        <v>506</v>
      </c>
      <c r="C145" s="405" t="s">
        <v>409</v>
      </c>
      <c r="D145" s="287"/>
      <c r="E145" s="405" t="s">
        <v>202</v>
      </c>
      <c r="F145" s="405" t="s">
        <v>39</v>
      </c>
      <c r="G145" s="428">
        <v>40625</v>
      </c>
      <c r="H145" s="6"/>
      <c r="I145" s="6"/>
      <c r="J145" s="6"/>
      <c r="K145" s="6"/>
      <c r="L145" s="6"/>
    </row>
    <row r="146" spans="1:12" ht="15" customHeight="1" x14ac:dyDescent="0.2">
      <c r="A146" s="405" t="s">
        <v>1090</v>
      </c>
      <c r="B146" s="405" t="s">
        <v>507</v>
      </c>
      <c r="C146" s="405" t="s">
        <v>508</v>
      </c>
      <c r="D146" s="287"/>
      <c r="E146" s="405" t="s">
        <v>202</v>
      </c>
      <c r="F146" s="405" t="s">
        <v>38</v>
      </c>
      <c r="G146" s="428">
        <v>42853</v>
      </c>
      <c r="H146" s="6"/>
      <c r="I146" s="6"/>
      <c r="J146" s="6"/>
      <c r="K146" s="6"/>
      <c r="L146" s="6"/>
    </row>
    <row r="147" spans="1:12" ht="15" customHeight="1" x14ac:dyDescent="0.2">
      <c r="A147" s="405" t="s">
        <v>1091</v>
      </c>
      <c r="B147" s="405" t="s">
        <v>208</v>
      </c>
      <c r="C147" s="405" t="s">
        <v>1092</v>
      </c>
      <c r="D147" s="287"/>
      <c r="E147" s="405" t="s">
        <v>202</v>
      </c>
      <c r="F147" s="405" t="s">
        <v>38</v>
      </c>
      <c r="G147" s="428">
        <v>40889</v>
      </c>
      <c r="H147" s="6"/>
      <c r="I147" s="6"/>
      <c r="J147" s="6"/>
      <c r="K147" s="6"/>
      <c r="L147" s="6"/>
    </row>
    <row r="148" spans="1:12" ht="15" customHeight="1" x14ac:dyDescent="0.2">
      <c r="A148" s="405" t="s">
        <v>1093</v>
      </c>
      <c r="B148" s="405" t="s">
        <v>1094</v>
      </c>
      <c r="C148" s="405" t="s">
        <v>575</v>
      </c>
      <c r="D148" s="287"/>
      <c r="E148" s="405" t="s">
        <v>202</v>
      </c>
      <c r="F148" s="405" t="s">
        <v>39</v>
      </c>
      <c r="G148" s="428">
        <v>42208</v>
      </c>
      <c r="H148" s="6"/>
      <c r="I148" s="6"/>
      <c r="J148" s="6"/>
      <c r="K148" s="6"/>
      <c r="L148" s="6"/>
    </row>
    <row r="149" spans="1:12" ht="15" customHeight="1" x14ac:dyDescent="0.2">
      <c r="A149" s="405" t="s">
        <v>1095</v>
      </c>
      <c r="B149" s="405" t="s">
        <v>1096</v>
      </c>
      <c r="C149" s="405" t="s">
        <v>1097</v>
      </c>
      <c r="D149" s="287"/>
      <c r="E149" s="405" t="s">
        <v>202</v>
      </c>
      <c r="F149" s="405" t="s">
        <v>46</v>
      </c>
      <c r="G149" s="428">
        <v>45629</v>
      </c>
      <c r="H149" s="6"/>
      <c r="I149" s="6"/>
      <c r="J149" s="6"/>
      <c r="K149" s="6"/>
      <c r="L149" s="6"/>
    </row>
    <row r="150" spans="1:12" ht="15" customHeight="1" x14ac:dyDescent="0.2">
      <c r="A150" s="405" t="s">
        <v>1098</v>
      </c>
      <c r="B150" s="405" t="s">
        <v>1099</v>
      </c>
      <c r="C150" s="405" t="s">
        <v>1100</v>
      </c>
      <c r="D150" s="287"/>
      <c r="E150" s="405" t="s">
        <v>202</v>
      </c>
      <c r="F150" s="405" t="s">
        <v>44</v>
      </c>
      <c r="G150" s="428">
        <v>45275</v>
      </c>
      <c r="H150" s="6"/>
      <c r="I150" s="6"/>
      <c r="J150" s="6"/>
      <c r="K150" s="6"/>
      <c r="L150" s="6"/>
    </row>
    <row r="151" spans="1:12" ht="15" customHeight="1" x14ac:dyDescent="0.2">
      <c r="A151" s="405" t="s">
        <v>1101</v>
      </c>
      <c r="B151" s="405" t="s">
        <v>567</v>
      </c>
      <c r="C151" s="405" t="s">
        <v>576</v>
      </c>
      <c r="D151" s="287"/>
      <c r="E151" s="405" t="s">
        <v>202</v>
      </c>
      <c r="F151" s="405" t="s">
        <v>50</v>
      </c>
      <c r="G151" s="428">
        <v>43158</v>
      </c>
      <c r="H151" s="6"/>
      <c r="I151" s="6"/>
      <c r="J151" s="6"/>
      <c r="K151" s="6"/>
      <c r="L151" s="6"/>
    </row>
    <row r="152" spans="1:12" ht="15" customHeight="1" x14ac:dyDescent="0.2">
      <c r="A152" s="405" t="s">
        <v>1102</v>
      </c>
      <c r="B152" s="405" t="s">
        <v>209</v>
      </c>
      <c r="C152" s="405" t="s">
        <v>210</v>
      </c>
      <c r="D152" s="287"/>
      <c r="E152" s="405" t="s">
        <v>202</v>
      </c>
      <c r="F152" s="405" t="s">
        <v>38</v>
      </c>
      <c r="G152" s="428">
        <v>40490</v>
      </c>
      <c r="H152" s="6"/>
      <c r="I152" s="6"/>
      <c r="J152" s="6"/>
      <c r="K152" s="6"/>
      <c r="L152" s="6"/>
    </row>
    <row r="153" spans="1:12" ht="15" customHeight="1" x14ac:dyDescent="0.2">
      <c r="A153" s="405" t="s">
        <v>1103</v>
      </c>
      <c r="B153" s="405" t="s">
        <v>211</v>
      </c>
      <c r="C153" s="405" t="s">
        <v>509</v>
      </c>
      <c r="D153" s="287"/>
      <c r="E153" s="405" t="s">
        <v>202</v>
      </c>
      <c r="F153" s="405" t="s">
        <v>47</v>
      </c>
      <c r="G153" s="428">
        <v>40933</v>
      </c>
      <c r="H153" s="6"/>
      <c r="I153" s="6"/>
      <c r="J153" s="6"/>
      <c r="K153" s="6"/>
      <c r="L153" s="6"/>
    </row>
    <row r="154" spans="1:12" ht="15" customHeight="1" x14ac:dyDescent="0.2">
      <c r="A154" s="405" t="s">
        <v>1104</v>
      </c>
      <c r="B154" s="405" t="s">
        <v>461</v>
      </c>
      <c r="C154" s="405" t="s">
        <v>510</v>
      </c>
      <c r="D154" s="287"/>
      <c r="E154" s="405" t="s">
        <v>202</v>
      </c>
      <c r="F154" s="405" t="s">
        <v>39</v>
      </c>
      <c r="G154" s="428">
        <v>40499</v>
      </c>
      <c r="H154" s="6"/>
      <c r="I154" s="6"/>
      <c r="J154" s="6"/>
      <c r="K154" s="6"/>
      <c r="L154" s="6"/>
    </row>
    <row r="155" spans="1:12" ht="15" customHeight="1" x14ac:dyDescent="0.2">
      <c r="A155" s="405" t="s">
        <v>1105</v>
      </c>
      <c r="B155" s="405" t="s">
        <v>212</v>
      </c>
      <c r="C155" s="405" t="s">
        <v>213</v>
      </c>
      <c r="D155" s="287"/>
      <c r="E155" s="405" t="s">
        <v>202</v>
      </c>
      <c r="F155" s="405" t="s">
        <v>39</v>
      </c>
      <c r="G155" s="428">
        <v>40641</v>
      </c>
      <c r="H155" s="6"/>
      <c r="I155" s="6"/>
      <c r="J155" s="6"/>
      <c r="K155" s="6"/>
      <c r="L155" s="6"/>
    </row>
    <row r="156" spans="1:12" ht="15" customHeight="1" x14ac:dyDescent="0.2">
      <c r="A156" s="405" t="s">
        <v>1106</v>
      </c>
      <c r="B156" s="405" t="s">
        <v>214</v>
      </c>
      <c r="C156" s="405" t="s">
        <v>215</v>
      </c>
      <c r="D156" s="287"/>
      <c r="E156" s="405" t="s">
        <v>202</v>
      </c>
      <c r="F156" s="405" t="s">
        <v>39</v>
      </c>
      <c r="G156" s="428">
        <v>40996</v>
      </c>
      <c r="H156" s="6"/>
      <c r="I156" s="6"/>
      <c r="J156" s="6"/>
      <c r="K156" s="6"/>
      <c r="L156" s="6"/>
    </row>
    <row r="157" spans="1:12" ht="15" customHeight="1" x14ac:dyDescent="0.2">
      <c r="A157" s="405" t="s">
        <v>1107</v>
      </c>
      <c r="B157" s="405" t="s">
        <v>216</v>
      </c>
      <c r="C157" s="405" t="s">
        <v>217</v>
      </c>
      <c r="D157" s="287"/>
      <c r="E157" s="405" t="s">
        <v>202</v>
      </c>
      <c r="F157" s="405" t="s">
        <v>38</v>
      </c>
      <c r="G157" s="428">
        <v>40683</v>
      </c>
      <c r="H157" s="6"/>
      <c r="I157" s="6"/>
      <c r="J157" s="6"/>
      <c r="K157" s="6"/>
      <c r="L157" s="6"/>
    </row>
    <row r="158" spans="1:12" ht="15" customHeight="1" x14ac:dyDescent="0.2">
      <c r="A158" s="405" t="s">
        <v>1108</v>
      </c>
      <c r="B158" s="405" t="s">
        <v>1109</v>
      </c>
      <c r="C158" s="405" t="s">
        <v>462</v>
      </c>
      <c r="D158" s="287"/>
      <c r="E158" s="405" t="s">
        <v>202</v>
      </c>
      <c r="F158" s="405" t="s">
        <v>39</v>
      </c>
      <c r="G158" s="428">
        <v>42283</v>
      </c>
      <c r="H158" s="6"/>
      <c r="I158" s="6"/>
      <c r="J158" s="6"/>
      <c r="K158" s="6"/>
      <c r="L158" s="6"/>
    </row>
    <row r="159" spans="1:12" ht="15" customHeight="1" x14ac:dyDescent="0.2">
      <c r="A159" s="405" t="s">
        <v>1110</v>
      </c>
      <c r="B159" s="405" t="s">
        <v>1111</v>
      </c>
      <c r="C159" s="405" t="s">
        <v>1112</v>
      </c>
      <c r="D159" s="287"/>
      <c r="E159" s="405" t="s">
        <v>202</v>
      </c>
      <c r="F159" s="405" t="s">
        <v>48</v>
      </c>
      <c r="G159" s="428">
        <v>45408</v>
      </c>
      <c r="H159" s="6"/>
      <c r="I159" s="6"/>
      <c r="J159" s="6"/>
      <c r="K159" s="6"/>
      <c r="L159" s="6"/>
    </row>
    <row r="160" spans="1:12" ht="15" customHeight="1" x14ac:dyDescent="0.2">
      <c r="A160" s="405" t="s">
        <v>1113</v>
      </c>
      <c r="B160" s="405" t="s">
        <v>1114</v>
      </c>
      <c r="C160" s="405" t="s">
        <v>1115</v>
      </c>
      <c r="D160" s="287"/>
      <c r="E160" s="405" t="s">
        <v>202</v>
      </c>
      <c r="F160" s="405" t="s">
        <v>44</v>
      </c>
      <c r="G160" s="428">
        <v>44819</v>
      </c>
      <c r="H160" s="6"/>
      <c r="I160" s="6"/>
      <c r="J160" s="6"/>
      <c r="K160" s="6"/>
      <c r="L160" s="6"/>
    </row>
    <row r="161" spans="1:12" ht="15" customHeight="1" x14ac:dyDescent="0.2">
      <c r="A161" s="405" t="s">
        <v>1116</v>
      </c>
      <c r="B161" s="405" t="s">
        <v>218</v>
      </c>
      <c r="C161" s="405" t="s">
        <v>1117</v>
      </c>
      <c r="D161" s="287"/>
      <c r="E161" s="405" t="s">
        <v>202</v>
      </c>
      <c r="F161" s="405" t="s">
        <v>44</v>
      </c>
      <c r="G161" s="428">
        <v>40590</v>
      </c>
      <c r="H161" s="6"/>
      <c r="I161" s="6"/>
      <c r="J161" s="6"/>
      <c r="K161" s="6"/>
      <c r="L161" s="6"/>
    </row>
    <row r="162" spans="1:12" ht="15" customHeight="1" x14ac:dyDescent="0.2">
      <c r="A162" s="405" t="s">
        <v>1118</v>
      </c>
      <c r="B162" s="405" t="s">
        <v>568</v>
      </c>
      <c r="C162" s="405" t="s">
        <v>577</v>
      </c>
      <c r="D162" s="287"/>
      <c r="E162" s="405" t="s">
        <v>202</v>
      </c>
      <c r="F162" s="405" t="s">
        <v>44</v>
      </c>
      <c r="G162" s="428">
        <v>43216</v>
      </c>
      <c r="H162" s="6"/>
      <c r="I162" s="6"/>
      <c r="J162" s="6"/>
      <c r="K162" s="6"/>
      <c r="L162" s="6"/>
    </row>
    <row r="163" spans="1:12" ht="15" customHeight="1" x14ac:dyDescent="0.2">
      <c r="A163" s="405" t="s">
        <v>1119</v>
      </c>
      <c r="B163" s="405" t="s">
        <v>1120</v>
      </c>
      <c r="C163" s="405" t="s">
        <v>1121</v>
      </c>
      <c r="D163" s="287"/>
      <c r="E163" s="405" t="s">
        <v>202</v>
      </c>
      <c r="F163" s="405" t="s">
        <v>40</v>
      </c>
      <c r="G163" s="428">
        <v>45093</v>
      </c>
      <c r="H163" s="6"/>
      <c r="I163" s="6"/>
      <c r="J163" s="6"/>
      <c r="K163" s="6"/>
      <c r="L163" s="6"/>
    </row>
    <row r="164" spans="1:12" ht="15" customHeight="1" x14ac:dyDescent="0.2">
      <c r="A164" s="405" t="s">
        <v>1122</v>
      </c>
      <c r="B164" s="405" t="s">
        <v>219</v>
      </c>
      <c r="C164" s="405" t="s">
        <v>485</v>
      </c>
      <c r="D164" s="287"/>
      <c r="E164" s="405" t="s">
        <v>202</v>
      </c>
      <c r="F164" s="405" t="s">
        <v>44</v>
      </c>
      <c r="G164" s="428">
        <v>40673</v>
      </c>
      <c r="H164" s="6"/>
      <c r="I164" s="6"/>
      <c r="J164" s="6"/>
      <c r="K164" s="6"/>
      <c r="L164" s="6"/>
    </row>
    <row r="165" spans="1:12" ht="15" customHeight="1" x14ac:dyDescent="0.2">
      <c r="A165" s="405" t="s">
        <v>1123</v>
      </c>
      <c r="B165" s="405" t="s">
        <v>1124</v>
      </c>
      <c r="C165" s="405" t="s">
        <v>1125</v>
      </c>
      <c r="D165" s="287"/>
      <c r="E165" s="405" t="s">
        <v>202</v>
      </c>
      <c r="F165" s="405" t="s">
        <v>48</v>
      </c>
      <c r="G165" s="428">
        <v>43767</v>
      </c>
      <c r="H165" s="6"/>
      <c r="I165" s="6"/>
      <c r="J165" s="6"/>
      <c r="K165" s="6"/>
      <c r="L165" s="6"/>
    </row>
    <row r="166" spans="1:12" ht="15" customHeight="1" x14ac:dyDescent="0.2">
      <c r="A166" s="405" t="s">
        <v>1126</v>
      </c>
      <c r="B166" s="405" t="s">
        <v>220</v>
      </c>
      <c r="C166" s="405" t="s">
        <v>221</v>
      </c>
      <c r="D166" s="287"/>
      <c r="E166" s="405" t="s">
        <v>202</v>
      </c>
      <c r="F166" s="405" t="s">
        <v>45</v>
      </c>
      <c r="G166" s="428">
        <v>40553</v>
      </c>
      <c r="H166" s="6"/>
      <c r="I166" s="6"/>
      <c r="J166" s="6"/>
      <c r="K166" s="6"/>
      <c r="L166" s="6"/>
    </row>
    <row r="167" spans="1:12" ht="15" customHeight="1" x14ac:dyDescent="0.2">
      <c r="A167" s="405" t="s">
        <v>1127</v>
      </c>
      <c r="B167" s="405" t="s">
        <v>1128</v>
      </c>
      <c r="C167" s="405" t="s">
        <v>222</v>
      </c>
      <c r="D167" s="287"/>
      <c r="E167" s="405" t="s">
        <v>202</v>
      </c>
      <c r="F167" s="405" t="s">
        <v>43</v>
      </c>
      <c r="G167" s="428">
        <v>40512</v>
      </c>
      <c r="H167" s="6"/>
      <c r="I167" s="6"/>
      <c r="J167" s="6"/>
      <c r="K167" s="6"/>
      <c r="L167" s="6"/>
    </row>
    <row r="168" spans="1:12" ht="15" customHeight="1" x14ac:dyDescent="0.2">
      <c r="A168" s="405" t="s">
        <v>1129</v>
      </c>
      <c r="B168" s="405" t="s">
        <v>588</v>
      </c>
      <c r="C168" s="405" t="s">
        <v>589</v>
      </c>
      <c r="D168" s="287"/>
      <c r="E168" s="405" t="s">
        <v>202</v>
      </c>
      <c r="F168" s="405" t="s">
        <v>44</v>
      </c>
      <c r="G168" s="428">
        <v>41079</v>
      </c>
      <c r="H168" s="6"/>
      <c r="I168" s="6"/>
      <c r="J168" s="6"/>
      <c r="K168" s="6"/>
      <c r="L168" s="6"/>
    </row>
    <row r="169" spans="1:12" ht="15" customHeight="1" x14ac:dyDescent="0.2">
      <c r="A169" s="405" t="s">
        <v>1130</v>
      </c>
      <c r="B169" s="405" t="s">
        <v>511</v>
      </c>
      <c r="C169" s="405" t="s">
        <v>512</v>
      </c>
      <c r="D169" s="287"/>
      <c r="E169" s="405" t="s">
        <v>202</v>
      </c>
      <c r="F169" s="405" t="s">
        <v>47</v>
      </c>
      <c r="G169" s="428">
        <v>42853</v>
      </c>
      <c r="H169" s="6"/>
      <c r="I169" s="6"/>
      <c r="J169" s="6"/>
      <c r="K169" s="6"/>
      <c r="L169" s="6"/>
    </row>
    <row r="170" spans="1:12" ht="15" customHeight="1" x14ac:dyDescent="0.2">
      <c r="A170" s="405" t="s">
        <v>1131</v>
      </c>
      <c r="B170" s="405" t="s">
        <v>1132</v>
      </c>
      <c r="C170" s="405" t="s">
        <v>1133</v>
      </c>
      <c r="D170" s="287"/>
      <c r="E170" s="405" t="s">
        <v>202</v>
      </c>
      <c r="F170" s="405" t="s">
        <v>47</v>
      </c>
      <c r="G170" s="428">
        <v>40702</v>
      </c>
      <c r="H170" s="6"/>
      <c r="I170" s="6"/>
      <c r="J170" s="6"/>
      <c r="K170" s="6"/>
      <c r="L170" s="6"/>
    </row>
    <row r="171" spans="1:12" ht="15" customHeight="1" x14ac:dyDescent="0.2">
      <c r="A171" s="405" t="s">
        <v>1134</v>
      </c>
      <c r="B171" s="405" t="s">
        <v>1135</v>
      </c>
      <c r="C171" s="405" t="s">
        <v>1136</v>
      </c>
      <c r="D171" s="287"/>
      <c r="E171" s="405" t="s">
        <v>202</v>
      </c>
      <c r="F171" s="405" t="s">
        <v>47</v>
      </c>
      <c r="G171" s="428">
        <v>44736</v>
      </c>
      <c r="H171" s="6"/>
      <c r="I171" s="6"/>
      <c r="J171" s="6"/>
      <c r="K171" s="6"/>
      <c r="L171" s="6"/>
    </row>
    <row r="172" spans="1:12" ht="15" customHeight="1" x14ac:dyDescent="0.2">
      <c r="A172" s="405" t="s">
        <v>1137</v>
      </c>
      <c r="B172" s="405" t="s">
        <v>486</v>
      </c>
      <c r="C172" s="405" t="s">
        <v>487</v>
      </c>
      <c r="D172" s="287"/>
      <c r="E172" s="405" t="s">
        <v>202</v>
      </c>
      <c r="F172" s="405" t="s">
        <v>44</v>
      </c>
      <c r="G172" s="428">
        <v>42633</v>
      </c>
      <c r="H172" s="6"/>
      <c r="I172" s="6"/>
      <c r="J172" s="6"/>
      <c r="K172" s="6"/>
      <c r="L172" s="6"/>
    </row>
    <row r="173" spans="1:12" ht="15" customHeight="1" x14ac:dyDescent="0.2">
      <c r="A173" s="405" t="s">
        <v>1138</v>
      </c>
      <c r="B173" s="405" t="s">
        <v>569</v>
      </c>
      <c r="C173" s="405" t="s">
        <v>578</v>
      </c>
      <c r="D173" s="287"/>
      <c r="E173" s="405" t="s">
        <v>202</v>
      </c>
      <c r="F173" s="405" t="s">
        <v>47</v>
      </c>
      <c r="G173" s="428">
        <v>43370</v>
      </c>
      <c r="H173" s="6"/>
      <c r="I173" s="6"/>
      <c r="J173" s="6"/>
      <c r="K173" s="6"/>
      <c r="L173" s="6"/>
    </row>
    <row r="174" spans="1:12" ht="15" customHeight="1" x14ac:dyDescent="0.2">
      <c r="A174" s="405" t="s">
        <v>1139</v>
      </c>
      <c r="B174" s="405" t="s">
        <v>1140</v>
      </c>
      <c r="C174" s="405" t="s">
        <v>1141</v>
      </c>
      <c r="D174" s="287"/>
      <c r="E174" s="405" t="s">
        <v>202</v>
      </c>
      <c r="F174" s="405" t="s">
        <v>40</v>
      </c>
      <c r="G174" s="428">
        <v>45629</v>
      </c>
      <c r="H174" s="6"/>
      <c r="I174" s="6"/>
      <c r="J174" s="6"/>
      <c r="K174" s="6"/>
      <c r="L174" s="6"/>
    </row>
    <row r="175" spans="1:12" ht="15" customHeight="1" x14ac:dyDescent="0.2">
      <c r="A175" s="405" t="s">
        <v>1142</v>
      </c>
      <c r="B175" s="405" t="s">
        <v>1143</v>
      </c>
      <c r="C175" s="405" t="s">
        <v>1144</v>
      </c>
      <c r="D175" s="287"/>
      <c r="E175" s="405" t="s">
        <v>202</v>
      </c>
      <c r="F175" s="405" t="s">
        <v>47</v>
      </c>
      <c r="G175" s="428">
        <v>41453</v>
      </c>
      <c r="H175" s="6"/>
      <c r="I175" s="6"/>
      <c r="J175" s="6"/>
      <c r="K175" s="6"/>
      <c r="L175" s="6"/>
    </row>
    <row r="176" spans="1:12" ht="15" customHeight="1" x14ac:dyDescent="0.2">
      <c r="A176" s="405" t="s">
        <v>1145</v>
      </c>
      <c r="B176" s="405" t="s">
        <v>223</v>
      </c>
      <c r="C176" s="405" t="s">
        <v>224</v>
      </c>
      <c r="D176" s="287"/>
      <c r="E176" s="405" t="s">
        <v>202</v>
      </c>
      <c r="F176" s="405" t="s">
        <v>41</v>
      </c>
      <c r="G176" s="428">
        <v>40784</v>
      </c>
      <c r="H176" s="6"/>
      <c r="I176" s="6"/>
      <c r="J176" s="6"/>
      <c r="K176" s="6"/>
      <c r="L176" s="6"/>
    </row>
    <row r="177" spans="1:12" ht="15" customHeight="1" x14ac:dyDescent="0.2">
      <c r="A177" s="405" t="s">
        <v>1146</v>
      </c>
      <c r="B177" s="405" t="s">
        <v>488</v>
      </c>
      <c r="C177" s="405" t="s">
        <v>1147</v>
      </c>
      <c r="D177" s="287"/>
      <c r="E177" s="405" t="s">
        <v>202</v>
      </c>
      <c r="F177" s="405" t="s">
        <v>38</v>
      </c>
      <c r="G177" s="428">
        <v>41180</v>
      </c>
      <c r="H177" s="6"/>
      <c r="I177" s="6"/>
      <c r="J177" s="6"/>
      <c r="K177" s="6"/>
      <c r="L177" s="6"/>
    </row>
    <row r="178" spans="1:12" ht="15" customHeight="1" x14ac:dyDescent="0.2">
      <c r="A178" s="405" t="s">
        <v>1148</v>
      </c>
      <c r="B178" s="405" t="s">
        <v>225</v>
      </c>
      <c r="C178" s="405" t="s">
        <v>1149</v>
      </c>
      <c r="D178" s="287"/>
      <c r="E178" s="405" t="s">
        <v>202</v>
      </c>
      <c r="F178" s="405" t="s">
        <v>39</v>
      </c>
      <c r="G178" s="428">
        <v>40865</v>
      </c>
      <c r="H178" s="6"/>
      <c r="I178" s="6"/>
      <c r="J178" s="6"/>
      <c r="K178" s="6"/>
      <c r="L178" s="6"/>
    </row>
    <row r="179" spans="1:12" ht="15" customHeight="1" x14ac:dyDescent="0.2">
      <c r="A179" s="405" t="s">
        <v>1150</v>
      </c>
      <c r="B179" s="405" t="s">
        <v>1151</v>
      </c>
      <c r="C179" s="405" t="s">
        <v>1152</v>
      </c>
      <c r="D179" s="287"/>
      <c r="E179" s="405" t="s">
        <v>202</v>
      </c>
      <c r="F179" s="405" t="s">
        <v>46</v>
      </c>
      <c r="G179" s="428">
        <v>43991</v>
      </c>
      <c r="H179" s="6"/>
      <c r="I179" s="6"/>
      <c r="J179" s="6"/>
      <c r="K179" s="6"/>
      <c r="L179" s="6"/>
    </row>
    <row r="180" spans="1:12" ht="15" customHeight="1" x14ac:dyDescent="0.2">
      <c r="A180" s="405" t="s">
        <v>1153</v>
      </c>
      <c r="B180" s="405" t="s">
        <v>570</v>
      </c>
      <c r="C180" s="405" t="s">
        <v>579</v>
      </c>
      <c r="D180" s="287"/>
      <c r="E180" s="405" t="s">
        <v>202</v>
      </c>
      <c r="F180" s="405" t="s">
        <v>47</v>
      </c>
      <c r="G180" s="428">
        <v>43229</v>
      </c>
      <c r="H180" s="6"/>
      <c r="I180" s="6"/>
      <c r="J180" s="6"/>
      <c r="K180" s="6"/>
      <c r="L180" s="6"/>
    </row>
    <row r="181" spans="1:12" ht="15" customHeight="1" x14ac:dyDescent="0.2">
      <c r="A181" s="405" t="s">
        <v>1154</v>
      </c>
      <c r="B181" s="405" t="s">
        <v>226</v>
      </c>
      <c r="C181" s="405" t="s">
        <v>489</v>
      </c>
      <c r="D181" s="287"/>
      <c r="E181" s="405" t="s">
        <v>202</v>
      </c>
      <c r="F181" s="405" t="s">
        <v>48</v>
      </c>
      <c r="G181" s="428">
        <v>40567</v>
      </c>
      <c r="H181" s="6"/>
      <c r="I181" s="6"/>
      <c r="J181" s="6"/>
      <c r="K181" s="6"/>
      <c r="L181" s="6"/>
    </row>
    <row r="182" spans="1:12" ht="15" customHeight="1" x14ac:dyDescent="0.2">
      <c r="A182" s="405" t="s">
        <v>1155</v>
      </c>
      <c r="B182" s="405" t="s">
        <v>1156</v>
      </c>
      <c r="C182" s="405" t="s">
        <v>1157</v>
      </c>
      <c r="D182" s="287"/>
      <c r="E182" s="405" t="s">
        <v>202</v>
      </c>
      <c r="F182" s="405" t="s">
        <v>38</v>
      </c>
      <c r="G182" s="428">
        <v>44746</v>
      </c>
      <c r="H182" s="6"/>
      <c r="I182" s="6"/>
      <c r="J182" s="6"/>
      <c r="K182" s="6"/>
      <c r="L182" s="6"/>
    </row>
    <row r="183" spans="1:12" ht="15" customHeight="1" x14ac:dyDescent="0.2">
      <c r="A183" s="405" t="s">
        <v>1158</v>
      </c>
      <c r="B183" s="405" t="s">
        <v>1159</v>
      </c>
      <c r="C183" s="405" t="s">
        <v>1160</v>
      </c>
      <c r="D183" s="287"/>
      <c r="E183" s="405" t="s">
        <v>202</v>
      </c>
      <c r="F183" s="405" t="s">
        <v>39</v>
      </c>
      <c r="G183" s="428">
        <v>45589</v>
      </c>
      <c r="H183" s="6"/>
      <c r="I183" s="6"/>
      <c r="J183" s="6"/>
      <c r="K183" s="6"/>
      <c r="L183" s="6"/>
    </row>
    <row r="184" spans="1:12" ht="15" customHeight="1" x14ac:dyDescent="0.2">
      <c r="A184" s="405" t="s">
        <v>1161</v>
      </c>
      <c r="B184" s="405" t="s">
        <v>490</v>
      </c>
      <c r="C184" s="405" t="s">
        <v>491</v>
      </c>
      <c r="D184" s="287"/>
      <c r="E184" s="405" t="s">
        <v>202</v>
      </c>
      <c r="F184" s="405" t="s">
        <v>48</v>
      </c>
      <c r="G184" s="428">
        <v>42502</v>
      </c>
      <c r="H184" s="6"/>
      <c r="I184" s="6"/>
      <c r="J184" s="6"/>
      <c r="K184" s="6"/>
      <c r="L184" s="6"/>
    </row>
    <row r="185" spans="1:12" ht="15" customHeight="1" x14ac:dyDescent="0.2">
      <c r="A185" s="405" t="s">
        <v>1162</v>
      </c>
      <c r="B185" s="405" t="s">
        <v>1163</v>
      </c>
      <c r="C185" s="405" t="s">
        <v>1164</v>
      </c>
      <c r="D185" s="287"/>
      <c r="E185" s="405" t="s">
        <v>202</v>
      </c>
      <c r="F185" s="405" t="s">
        <v>39</v>
      </c>
      <c r="G185" s="428">
        <v>41625</v>
      </c>
      <c r="H185" s="6"/>
      <c r="I185" s="6"/>
      <c r="J185" s="6"/>
      <c r="K185" s="6"/>
      <c r="L185" s="6"/>
    </row>
    <row r="186" spans="1:12" ht="15" customHeight="1" x14ac:dyDescent="0.2">
      <c r="A186" s="405" t="s">
        <v>1165</v>
      </c>
      <c r="B186" s="405" t="s">
        <v>1166</v>
      </c>
      <c r="C186" s="405" t="s">
        <v>1167</v>
      </c>
      <c r="D186" s="287"/>
      <c r="E186" s="405" t="s">
        <v>202</v>
      </c>
      <c r="F186" s="405" t="s">
        <v>38</v>
      </c>
      <c r="G186" s="428">
        <v>40617</v>
      </c>
      <c r="H186" s="6"/>
      <c r="I186" s="6"/>
      <c r="J186" s="6"/>
      <c r="K186" s="6"/>
      <c r="L186" s="6"/>
    </row>
    <row r="187" spans="1:12" ht="15" customHeight="1" x14ac:dyDescent="0.2">
      <c r="A187" s="405" t="s">
        <v>1168</v>
      </c>
      <c r="B187" s="405" t="s">
        <v>492</v>
      </c>
      <c r="C187" s="405" t="s">
        <v>1169</v>
      </c>
      <c r="D187" s="287"/>
      <c r="E187" s="405" t="s">
        <v>202</v>
      </c>
      <c r="F187" s="405" t="s">
        <v>40</v>
      </c>
      <c r="G187" s="428">
        <v>42524</v>
      </c>
      <c r="H187" s="6"/>
      <c r="I187" s="6"/>
      <c r="J187" s="6"/>
      <c r="K187" s="6"/>
      <c r="L187" s="6"/>
    </row>
    <row r="188" spans="1:12" ht="15" customHeight="1" x14ac:dyDescent="0.2">
      <c r="A188" s="405" t="s">
        <v>1170</v>
      </c>
      <c r="B188" s="405" t="s">
        <v>1171</v>
      </c>
      <c r="C188" s="405" t="s">
        <v>1172</v>
      </c>
      <c r="D188" s="287"/>
      <c r="E188" s="405" t="s">
        <v>202</v>
      </c>
      <c r="F188" s="405" t="s">
        <v>39</v>
      </c>
      <c r="G188" s="428">
        <v>45419</v>
      </c>
      <c r="H188" s="6"/>
      <c r="I188" s="6"/>
      <c r="J188" s="6"/>
      <c r="K188" s="6"/>
      <c r="L188" s="6"/>
    </row>
    <row r="189" spans="1:12" ht="15" customHeight="1" x14ac:dyDescent="0.2">
      <c r="A189" s="405" t="s">
        <v>1173</v>
      </c>
      <c r="B189" s="405" t="s">
        <v>426</v>
      </c>
      <c r="C189" s="405" t="s">
        <v>427</v>
      </c>
      <c r="D189" s="287"/>
      <c r="E189" s="405" t="s">
        <v>202</v>
      </c>
      <c r="F189" s="405" t="s">
        <v>47</v>
      </c>
      <c r="G189" s="428">
        <v>41375</v>
      </c>
      <c r="H189" s="6"/>
      <c r="I189" s="6"/>
      <c r="J189" s="6"/>
      <c r="K189" s="6"/>
      <c r="L189" s="6"/>
    </row>
    <row r="190" spans="1:12" ht="15" customHeight="1" x14ac:dyDescent="0.2">
      <c r="A190" s="405" t="s">
        <v>1174</v>
      </c>
      <c r="B190" s="405" t="s">
        <v>477</v>
      </c>
      <c r="C190" s="405" t="s">
        <v>1175</v>
      </c>
      <c r="D190" s="287"/>
      <c r="E190" s="405" t="s">
        <v>202</v>
      </c>
      <c r="F190" s="405" t="s">
        <v>47</v>
      </c>
      <c r="G190" s="428">
        <v>42325</v>
      </c>
      <c r="H190" s="6"/>
      <c r="I190" s="6"/>
      <c r="J190" s="6"/>
      <c r="K190" s="6"/>
      <c r="L190" s="6"/>
    </row>
    <row r="191" spans="1:12" ht="15" customHeight="1" x14ac:dyDescent="0.2">
      <c r="A191" s="405" t="s">
        <v>1176</v>
      </c>
      <c r="B191" s="405" t="s">
        <v>406</v>
      </c>
      <c r="C191" s="405" t="s">
        <v>463</v>
      </c>
      <c r="D191" s="287"/>
      <c r="E191" s="405" t="s">
        <v>202</v>
      </c>
      <c r="F191" s="405" t="s">
        <v>46</v>
      </c>
      <c r="G191" s="428">
        <v>41705</v>
      </c>
      <c r="H191" s="6"/>
      <c r="I191" s="6"/>
      <c r="J191" s="6"/>
      <c r="K191" s="6"/>
      <c r="L191" s="6"/>
    </row>
    <row r="192" spans="1:12" ht="15" customHeight="1" x14ac:dyDescent="0.2">
      <c r="A192" s="405" t="s">
        <v>1177</v>
      </c>
      <c r="B192" s="405" t="s">
        <v>227</v>
      </c>
      <c r="C192" s="405" t="s">
        <v>228</v>
      </c>
      <c r="D192" s="287"/>
      <c r="E192" s="405" t="s">
        <v>202</v>
      </c>
      <c r="F192" s="405" t="s">
        <v>40</v>
      </c>
      <c r="G192" s="428">
        <v>40759</v>
      </c>
      <c r="H192" s="6"/>
      <c r="I192" s="6"/>
      <c r="J192" s="6"/>
      <c r="K192" s="6"/>
      <c r="L192" s="6"/>
    </row>
    <row r="193" spans="1:12" ht="15" customHeight="1" x14ac:dyDescent="0.2">
      <c r="A193" s="405" t="s">
        <v>1178</v>
      </c>
      <c r="B193" s="405" t="s">
        <v>1179</v>
      </c>
      <c r="C193" s="405" t="s">
        <v>1180</v>
      </c>
      <c r="D193" s="287"/>
      <c r="E193" s="405" t="s">
        <v>202</v>
      </c>
      <c r="F193" s="405" t="s">
        <v>38</v>
      </c>
      <c r="G193" s="428">
        <v>45490</v>
      </c>
      <c r="H193" s="6"/>
      <c r="I193" s="6"/>
      <c r="J193" s="6"/>
      <c r="K193" s="6"/>
      <c r="L193" s="6"/>
    </row>
    <row r="194" spans="1:12" ht="15" customHeight="1" x14ac:dyDescent="0.2">
      <c r="A194" s="405" t="s">
        <v>1181</v>
      </c>
      <c r="B194" s="405" t="s">
        <v>1182</v>
      </c>
      <c r="C194" s="405" t="s">
        <v>1183</v>
      </c>
      <c r="D194" s="287"/>
      <c r="E194" s="405" t="s">
        <v>202</v>
      </c>
      <c r="F194" s="405" t="s">
        <v>46</v>
      </c>
      <c r="G194" s="428">
        <v>45463</v>
      </c>
      <c r="H194" s="6"/>
      <c r="I194" s="6"/>
      <c r="J194" s="6"/>
      <c r="K194" s="6"/>
      <c r="L194" s="6"/>
    </row>
    <row r="195" spans="1:12" ht="15" customHeight="1" x14ac:dyDescent="0.2">
      <c r="A195" s="405" t="s">
        <v>1184</v>
      </c>
      <c r="B195" s="405" t="s">
        <v>1185</v>
      </c>
      <c r="C195" s="405" t="s">
        <v>1186</v>
      </c>
      <c r="D195" s="287"/>
      <c r="E195" s="405" t="s">
        <v>202</v>
      </c>
      <c r="F195" s="405" t="s">
        <v>46</v>
      </c>
      <c r="G195" s="428">
        <v>43791</v>
      </c>
      <c r="H195" s="6"/>
      <c r="I195" s="6"/>
      <c r="J195" s="6"/>
      <c r="K195" s="6"/>
      <c r="L195" s="6"/>
    </row>
    <row r="196" spans="1:12" ht="15" customHeight="1" x14ac:dyDescent="0.2">
      <c r="A196" s="405" t="s">
        <v>1187</v>
      </c>
      <c r="B196" s="405" t="s">
        <v>1188</v>
      </c>
      <c r="C196" s="405" t="s">
        <v>1189</v>
      </c>
      <c r="D196" s="287"/>
      <c r="E196" s="405" t="s">
        <v>202</v>
      </c>
      <c r="F196" s="405" t="s">
        <v>41</v>
      </c>
      <c r="G196" s="428">
        <v>45483</v>
      </c>
      <c r="H196" s="6"/>
      <c r="I196" s="6"/>
      <c r="J196" s="6"/>
      <c r="K196" s="6"/>
      <c r="L196" s="6"/>
    </row>
    <row r="197" spans="1:12" ht="15" customHeight="1" x14ac:dyDescent="0.2">
      <c r="A197" s="405" t="s">
        <v>1190</v>
      </c>
      <c r="B197" s="405" t="s">
        <v>590</v>
      </c>
      <c r="C197" s="405" t="s">
        <v>591</v>
      </c>
      <c r="D197" s="287"/>
      <c r="E197" s="405" t="s">
        <v>202</v>
      </c>
      <c r="F197" s="405" t="s">
        <v>39</v>
      </c>
      <c r="G197" s="428">
        <v>44168</v>
      </c>
      <c r="H197" s="6"/>
      <c r="I197" s="6"/>
      <c r="J197" s="6"/>
      <c r="K197" s="6"/>
      <c r="L197" s="6"/>
    </row>
    <row r="198" spans="1:12" ht="15" customHeight="1" x14ac:dyDescent="0.2">
      <c r="A198" s="405" t="s">
        <v>1191</v>
      </c>
      <c r="B198" s="405" t="s">
        <v>229</v>
      </c>
      <c r="C198" s="405" t="s">
        <v>230</v>
      </c>
      <c r="D198" s="287"/>
      <c r="E198" s="405" t="s">
        <v>202</v>
      </c>
      <c r="F198" s="405" t="s">
        <v>47</v>
      </c>
      <c r="G198" s="428">
        <v>40967</v>
      </c>
      <c r="H198" s="6"/>
      <c r="I198" s="6"/>
      <c r="J198" s="6"/>
      <c r="K198" s="6"/>
      <c r="L198" s="6"/>
    </row>
    <row r="199" spans="1:12" ht="15" customHeight="1" x14ac:dyDescent="0.2">
      <c r="A199" s="405" t="s">
        <v>1192</v>
      </c>
      <c r="B199" s="405" t="s">
        <v>1193</v>
      </c>
      <c r="C199" s="405" t="s">
        <v>407</v>
      </c>
      <c r="D199" s="287"/>
      <c r="E199" s="405" t="s">
        <v>202</v>
      </c>
      <c r="F199" s="405" t="s">
        <v>47</v>
      </c>
      <c r="G199" s="428">
        <v>41733</v>
      </c>
      <c r="H199" s="6"/>
      <c r="I199" s="6"/>
      <c r="J199" s="6"/>
      <c r="K199" s="6"/>
      <c r="L199" s="6"/>
    </row>
    <row r="200" spans="1:12" ht="15" customHeight="1" x14ac:dyDescent="0.2">
      <c r="A200" s="405" t="s">
        <v>1194</v>
      </c>
      <c r="B200" s="405" t="s">
        <v>231</v>
      </c>
      <c r="C200" s="405" t="s">
        <v>513</v>
      </c>
      <c r="D200" s="287"/>
      <c r="E200" s="405" t="s">
        <v>202</v>
      </c>
      <c r="F200" s="405" t="s">
        <v>46</v>
      </c>
      <c r="G200" s="428">
        <v>41078</v>
      </c>
      <c r="H200" s="6"/>
      <c r="I200" s="6"/>
      <c r="J200" s="6"/>
      <c r="K200" s="6"/>
      <c r="L200" s="6"/>
    </row>
    <row r="201" spans="1:12" ht="15" customHeight="1" x14ac:dyDescent="0.2">
      <c r="A201" s="405" t="s">
        <v>1195</v>
      </c>
      <c r="B201" s="405" t="s">
        <v>1196</v>
      </c>
      <c r="C201" s="405" t="s">
        <v>1197</v>
      </c>
      <c r="D201" s="287"/>
      <c r="E201" s="405" t="s">
        <v>202</v>
      </c>
      <c r="F201" s="405" t="s">
        <v>40</v>
      </c>
      <c r="G201" s="428">
        <v>45471</v>
      </c>
      <c r="H201" s="6"/>
      <c r="I201" s="6"/>
      <c r="J201" s="6"/>
      <c r="K201" s="6"/>
      <c r="L201" s="6"/>
    </row>
    <row r="202" spans="1:12" ht="15" customHeight="1" x14ac:dyDescent="0.2">
      <c r="A202" s="405" t="s">
        <v>1198</v>
      </c>
      <c r="B202" s="405" t="s">
        <v>232</v>
      </c>
      <c r="C202" s="405" t="s">
        <v>1199</v>
      </c>
      <c r="D202" s="287"/>
      <c r="E202" s="405" t="s">
        <v>202</v>
      </c>
      <c r="F202" s="405" t="s">
        <v>39</v>
      </c>
      <c r="G202" s="428">
        <v>40529</v>
      </c>
      <c r="H202" s="6"/>
      <c r="I202" s="6"/>
      <c r="J202" s="6"/>
      <c r="K202" s="6"/>
      <c r="L202" s="6"/>
    </row>
    <row r="203" spans="1:12" ht="15" customHeight="1" x14ac:dyDescent="0.2">
      <c r="A203" s="405" t="s">
        <v>1200</v>
      </c>
      <c r="B203" s="405" t="s">
        <v>514</v>
      </c>
      <c r="C203" s="405" t="s">
        <v>515</v>
      </c>
      <c r="D203" s="287"/>
      <c r="E203" s="405" t="s">
        <v>53</v>
      </c>
      <c r="F203" s="405" t="s">
        <v>53</v>
      </c>
      <c r="G203" s="428">
        <v>42873</v>
      </c>
      <c r="H203" s="6"/>
      <c r="I203" s="6"/>
      <c r="J203" s="6"/>
      <c r="K203" s="6"/>
      <c r="L203" s="6"/>
    </row>
    <row r="204" spans="1:12" ht="15" customHeight="1" x14ac:dyDescent="0.2">
      <c r="A204" s="405" t="s">
        <v>1201</v>
      </c>
      <c r="B204" s="405" t="s">
        <v>1202</v>
      </c>
      <c r="C204" s="405" t="s">
        <v>580</v>
      </c>
      <c r="D204" s="287"/>
      <c r="E204" s="405" t="s">
        <v>233</v>
      </c>
      <c r="F204" s="405" t="s">
        <v>233</v>
      </c>
      <c r="G204" s="428">
        <v>41187</v>
      </c>
      <c r="H204" s="6"/>
      <c r="I204" s="6"/>
      <c r="J204" s="35"/>
      <c r="K204" s="35"/>
      <c r="L204" s="6"/>
    </row>
    <row r="205" spans="1:12" ht="15" customHeight="1" x14ac:dyDescent="0.2">
      <c r="A205" s="405" t="s">
        <v>1203</v>
      </c>
      <c r="B205" s="405" t="s">
        <v>592</v>
      </c>
      <c r="C205" s="405" t="s">
        <v>593</v>
      </c>
      <c r="D205" s="287"/>
      <c r="E205" s="405" t="s">
        <v>202</v>
      </c>
      <c r="F205" s="405" t="s">
        <v>50</v>
      </c>
      <c r="G205" s="428">
        <v>40654</v>
      </c>
      <c r="H205" s="6"/>
      <c r="I205" s="6"/>
      <c r="J205" s="35"/>
      <c r="K205" s="35"/>
      <c r="L205" s="6"/>
    </row>
    <row r="206" spans="1:12" ht="15" customHeight="1" x14ac:dyDescent="0.2">
      <c r="A206" s="405" t="s">
        <v>1204</v>
      </c>
      <c r="B206" s="405" t="s">
        <v>1205</v>
      </c>
      <c r="C206" s="405" t="s">
        <v>1206</v>
      </c>
      <c r="D206" s="287"/>
      <c r="E206" s="405" t="s">
        <v>202</v>
      </c>
      <c r="F206" s="405" t="s">
        <v>47</v>
      </c>
      <c r="G206" s="428">
        <v>41563</v>
      </c>
      <c r="H206" s="6"/>
      <c r="I206" s="6"/>
      <c r="J206" s="35"/>
      <c r="K206" s="35"/>
      <c r="L206" s="6"/>
    </row>
    <row r="207" spans="1:12" ht="15" customHeight="1" x14ac:dyDescent="0.2">
      <c r="A207" s="405" t="s">
        <v>1207</v>
      </c>
      <c r="B207" s="405" t="s">
        <v>1208</v>
      </c>
      <c r="C207" s="405" t="s">
        <v>1209</v>
      </c>
      <c r="D207" s="287"/>
      <c r="E207" s="405" t="s">
        <v>202</v>
      </c>
      <c r="F207" s="405" t="s">
        <v>41</v>
      </c>
      <c r="G207" s="428">
        <v>41803</v>
      </c>
      <c r="H207" s="6"/>
      <c r="I207" s="6"/>
      <c r="J207" s="35"/>
      <c r="K207" s="35"/>
      <c r="L207" s="6"/>
    </row>
    <row r="208" spans="1:12" ht="15" customHeight="1" x14ac:dyDescent="0.2">
      <c r="A208" s="405" t="s">
        <v>1210</v>
      </c>
      <c r="B208" s="405" t="s">
        <v>493</v>
      </c>
      <c r="C208" s="405" t="s">
        <v>516</v>
      </c>
      <c r="D208" s="287"/>
      <c r="E208" s="405" t="s">
        <v>202</v>
      </c>
      <c r="F208" s="405" t="s">
        <v>46</v>
      </c>
      <c r="G208" s="428">
        <v>42482</v>
      </c>
      <c r="H208" s="6"/>
      <c r="I208" s="6"/>
      <c r="J208" s="35"/>
      <c r="K208" s="35"/>
      <c r="L208" s="6"/>
    </row>
    <row r="209" spans="1:12" ht="15" customHeight="1" x14ac:dyDescent="0.2">
      <c r="A209" s="405" t="s">
        <v>1211</v>
      </c>
      <c r="B209" s="405" t="s">
        <v>234</v>
      </c>
      <c r="C209" s="405" t="s">
        <v>235</v>
      </c>
      <c r="D209" s="287"/>
      <c r="E209" s="405" t="s">
        <v>202</v>
      </c>
      <c r="F209" s="405" t="s">
        <v>46</v>
      </c>
      <c r="G209" s="428">
        <v>40634</v>
      </c>
      <c r="H209" s="6"/>
      <c r="I209" s="6"/>
      <c r="J209" s="35"/>
      <c r="K209" s="35"/>
      <c r="L209" s="6"/>
    </row>
    <row r="210" spans="1:12" ht="15" customHeight="1" x14ac:dyDescent="0.2">
      <c r="A210" s="405" t="s">
        <v>1212</v>
      </c>
      <c r="B210" s="405" t="s">
        <v>428</v>
      </c>
      <c r="C210" s="405" t="s">
        <v>429</v>
      </c>
      <c r="D210" s="287"/>
      <c r="E210" s="405" t="s">
        <v>202</v>
      </c>
      <c r="F210" s="405" t="s">
        <v>46</v>
      </c>
      <c r="G210" s="428">
        <v>41905</v>
      </c>
      <c r="H210" s="6"/>
      <c r="I210" s="6"/>
      <c r="J210" s="35"/>
      <c r="K210" s="35"/>
      <c r="L210" s="6"/>
    </row>
    <row r="211" spans="1:12" ht="15" customHeight="1" x14ac:dyDescent="0.2">
      <c r="A211" s="405" t="s">
        <v>1213</v>
      </c>
      <c r="B211" s="405" t="s">
        <v>464</v>
      </c>
      <c r="C211" s="405" t="s">
        <v>465</v>
      </c>
      <c r="D211" s="287"/>
      <c r="E211" s="405" t="s">
        <v>202</v>
      </c>
      <c r="F211" s="405" t="s">
        <v>38</v>
      </c>
      <c r="G211" s="428">
        <v>41033</v>
      </c>
      <c r="H211" s="6"/>
      <c r="I211" s="6"/>
      <c r="J211" s="35"/>
      <c r="K211" s="35"/>
      <c r="L211" s="6"/>
    </row>
    <row r="212" spans="1:12" ht="15" customHeight="1" x14ac:dyDescent="0.2">
      <c r="A212" s="405" t="s">
        <v>1214</v>
      </c>
      <c r="B212" s="405" t="s">
        <v>1215</v>
      </c>
      <c r="C212" s="405" t="s">
        <v>1216</v>
      </c>
      <c r="D212" s="287"/>
      <c r="E212" s="405" t="s">
        <v>202</v>
      </c>
      <c r="F212" s="405" t="s">
        <v>14</v>
      </c>
      <c r="G212" s="428">
        <v>44146</v>
      </c>
      <c r="H212" s="6"/>
      <c r="I212" s="6"/>
      <c r="J212" s="35"/>
      <c r="K212" s="35"/>
      <c r="L212" s="6"/>
    </row>
    <row r="213" spans="1:12" ht="15" customHeight="1" x14ac:dyDescent="0.2">
      <c r="A213" s="405" t="s">
        <v>1217</v>
      </c>
      <c r="B213" s="405" t="s">
        <v>517</v>
      </c>
      <c r="C213" s="405" t="s">
        <v>1218</v>
      </c>
      <c r="D213" s="287"/>
      <c r="E213" s="405" t="s">
        <v>202</v>
      </c>
      <c r="F213" s="405" t="s">
        <v>50</v>
      </c>
      <c r="G213" s="428">
        <v>43069</v>
      </c>
      <c r="H213" s="6"/>
      <c r="I213" s="6"/>
      <c r="J213" s="35"/>
      <c r="K213" s="35"/>
      <c r="L213" s="6"/>
    </row>
    <row r="214" spans="1:12" ht="15" customHeight="1" x14ac:dyDescent="0.2">
      <c r="A214" s="405" t="s">
        <v>1219</v>
      </c>
      <c r="B214" s="405" t="s">
        <v>1220</v>
      </c>
      <c r="C214" s="405" t="s">
        <v>1221</v>
      </c>
      <c r="D214" s="287"/>
      <c r="E214" s="405" t="s">
        <v>202</v>
      </c>
      <c r="F214" s="405" t="s">
        <v>47</v>
      </c>
      <c r="G214" s="428">
        <v>45170</v>
      </c>
      <c r="H214" s="6"/>
      <c r="I214" s="6"/>
      <c r="J214" s="35"/>
      <c r="K214" s="35"/>
      <c r="L214" s="6"/>
    </row>
    <row r="215" spans="1:12" ht="15" customHeight="1" x14ac:dyDescent="0.2">
      <c r="A215" s="405" t="s">
        <v>1222</v>
      </c>
      <c r="B215" s="405" t="s">
        <v>494</v>
      </c>
      <c r="C215" s="405" t="s">
        <v>518</v>
      </c>
      <c r="D215" s="287"/>
      <c r="E215" s="405" t="s">
        <v>202</v>
      </c>
      <c r="F215" s="405" t="s">
        <v>50</v>
      </c>
      <c r="G215" s="428">
        <v>42640</v>
      </c>
      <c r="H215" s="6"/>
      <c r="I215" s="6"/>
      <c r="J215" s="35"/>
      <c r="K215" s="35"/>
      <c r="L215" s="6"/>
    </row>
    <row r="216" spans="1:12" s="11" customFormat="1" ht="15" customHeight="1" x14ac:dyDescent="0.2">
      <c r="A216" s="405" t="s">
        <v>1223</v>
      </c>
      <c r="B216" s="405" t="s">
        <v>1224</v>
      </c>
      <c r="C216" s="405" t="s">
        <v>1225</v>
      </c>
      <c r="D216" s="387"/>
      <c r="E216" s="405" t="s">
        <v>202</v>
      </c>
      <c r="F216" s="405" t="s">
        <v>44</v>
      </c>
      <c r="G216" s="428">
        <v>40814</v>
      </c>
      <c r="H216" s="17"/>
      <c r="I216" s="17"/>
      <c r="J216" s="390"/>
      <c r="K216" s="390"/>
      <c r="L216" s="17"/>
    </row>
    <row r="217" spans="1:12" ht="15" customHeight="1" x14ac:dyDescent="0.2">
      <c r="A217" s="405" t="s">
        <v>1226</v>
      </c>
      <c r="B217" s="405" t="s">
        <v>1227</v>
      </c>
      <c r="C217" s="405" t="s">
        <v>1228</v>
      </c>
      <c r="D217" s="287"/>
      <c r="E217" s="405" t="s">
        <v>202</v>
      </c>
      <c r="F217" s="405" t="s">
        <v>38</v>
      </c>
      <c r="G217" s="428">
        <v>44151</v>
      </c>
      <c r="H217" s="6"/>
      <c r="I217" s="6"/>
      <c r="J217" s="35"/>
      <c r="K217" s="35"/>
      <c r="L217" s="6"/>
    </row>
    <row r="218" spans="1:12" ht="15" customHeight="1" x14ac:dyDescent="0.2">
      <c r="A218" s="405" t="s">
        <v>1229</v>
      </c>
      <c r="B218" s="405" t="s">
        <v>236</v>
      </c>
      <c r="C218" s="405" t="s">
        <v>237</v>
      </c>
      <c r="D218" s="287"/>
      <c r="E218" s="405" t="s">
        <v>202</v>
      </c>
      <c r="F218" s="405" t="s">
        <v>47</v>
      </c>
      <c r="G218" s="428">
        <v>40897</v>
      </c>
      <c r="H218" s="6"/>
      <c r="I218" s="6"/>
      <c r="J218" s="35"/>
      <c r="K218" s="35"/>
      <c r="L218" s="6"/>
    </row>
    <row r="219" spans="1:12" ht="15" customHeight="1" x14ac:dyDescent="0.2">
      <c r="A219" s="405" t="s">
        <v>1230</v>
      </c>
      <c r="B219" s="405" t="s">
        <v>430</v>
      </c>
      <c r="C219" s="405" t="s">
        <v>431</v>
      </c>
      <c r="D219" s="287"/>
      <c r="E219" s="405" t="s">
        <v>202</v>
      </c>
      <c r="F219" s="405" t="s">
        <v>45</v>
      </c>
      <c r="G219" s="428">
        <v>41957</v>
      </c>
      <c r="H219" s="6"/>
      <c r="I219" s="6"/>
      <c r="J219" s="35"/>
      <c r="K219" s="35"/>
      <c r="L219" s="6"/>
    </row>
    <row r="220" spans="1:12" ht="15" customHeight="1" x14ac:dyDescent="0.2">
      <c r="A220" s="405" t="s">
        <v>1231</v>
      </c>
      <c r="B220" s="405" t="s">
        <v>392</v>
      </c>
      <c r="C220" s="405" t="s">
        <v>1232</v>
      </c>
      <c r="D220" s="287"/>
      <c r="E220" s="405" t="s">
        <v>202</v>
      </c>
      <c r="F220" s="405" t="s">
        <v>39</v>
      </c>
      <c r="G220" s="428">
        <v>41606</v>
      </c>
      <c r="H220" s="6"/>
      <c r="I220" s="6"/>
      <c r="J220" s="35"/>
      <c r="K220" s="35"/>
      <c r="L220" s="6"/>
    </row>
    <row r="221" spans="1:12" ht="15" customHeight="1" x14ac:dyDescent="0.2">
      <c r="A221" s="405" t="s">
        <v>1233</v>
      </c>
      <c r="B221" s="405" t="s">
        <v>594</v>
      </c>
      <c r="C221" s="405" t="s">
        <v>595</v>
      </c>
      <c r="D221" s="287"/>
      <c r="E221" s="405" t="s">
        <v>53</v>
      </c>
      <c r="F221" s="405" t="s">
        <v>53</v>
      </c>
      <c r="G221" s="428">
        <v>41075</v>
      </c>
      <c r="H221" s="6"/>
      <c r="I221" s="6"/>
      <c r="J221" s="35"/>
      <c r="K221" s="35"/>
      <c r="L221" s="6"/>
    </row>
    <row r="222" spans="1:12" ht="15" customHeight="1" x14ac:dyDescent="0.2">
      <c r="A222" s="405" t="s">
        <v>1234</v>
      </c>
      <c r="B222" s="405" t="s">
        <v>596</v>
      </c>
      <c r="C222" s="405" t="s">
        <v>597</v>
      </c>
      <c r="D222" s="287"/>
      <c r="E222" s="405" t="s">
        <v>202</v>
      </c>
      <c r="F222" s="405" t="s">
        <v>40</v>
      </c>
      <c r="G222" s="428">
        <v>45846</v>
      </c>
      <c r="H222" s="6"/>
      <c r="I222" s="6"/>
      <c r="J222" s="35"/>
      <c r="K222" s="35"/>
      <c r="L222" s="6"/>
    </row>
    <row r="223" spans="1:12" ht="15" customHeight="1" x14ac:dyDescent="0.2">
      <c r="A223" s="405" t="s">
        <v>1235</v>
      </c>
      <c r="B223" s="405" t="s">
        <v>1236</v>
      </c>
      <c r="C223" s="405" t="s">
        <v>1237</v>
      </c>
      <c r="D223" s="287"/>
      <c r="E223" s="405" t="s">
        <v>202</v>
      </c>
      <c r="F223" s="405" t="s">
        <v>46</v>
      </c>
      <c r="G223" s="429">
        <v>44365</v>
      </c>
      <c r="H223" s="6"/>
      <c r="I223" s="6"/>
      <c r="J223" s="35"/>
      <c r="K223" s="35"/>
      <c r="L223" s="6"/>
    </row>
    <row r="224" spans="1:12" ht="15" customHeight="1" x14ac:dyDescent="0.2">
      <c r="A224" s="405" t="s">
        <v>1238</v>
      </c>
      <c r="B224" s="405" t="s">
        <v>466</v>
      </c>
      <c r="C224" s="405" t="s">
        <v>238</v>
      </c>
      <c r="D224" s="287"/>
      <c r="E224" s="405" t="s">
        <v>202</v>
      </c>
      <c r="F224" s="405" t="s">
        <v>47</v>
      </c>
      <c r="G224" s="428">
        <v>41262</v>
      </c>
      <c r="H224" s="6"/>
      <c r="I224" s="6"/>
      <c r="J224" s="35"/>
      <c r="K224" s="35"/>
      <c r="L224" s="6"/>
    </row>
    <row r="225" spans="1:12" ht="15" customHeight="1" x14ac:dyDescent="0.2">
      <c r="A225" s="405" t="s">
        <v>1239</v>
      </c>
      <c r="B225" s="405" t="s">
        <v>495</v>
      </c>
      <c r="C225" s="405" t="s">
        <v>496</v>
      </c>
      <c r="D225" s="287"/>
      <c r="E225" s="405" t="s">
        <v>202</v>
      </c>
      <c r="F225" s="405" t="s">
        <v>47</v>
      </c>
      <c r="G225" s="428">
        <v>41893</v>
      </c>
      <c r="H225" s="6"/>
      <c r="I225" s="6"/>
      <c r="J225" s="35"/>
      <c r="K225" s="35"/>
      <c r="L225" s="6"/>
    </row>
    <row r="226" spans="1:12" ht="15" customHeight="1" x14ac:dyDescent="0.2">
      <c r="A226" s="405" t="s">
        <v>1240</v>
      </c>
      <c r="B226" s="405" t="s">
        <v>239</v>
      </c>
      <c r="C226" s="405" t="s">
        <v>240</v>
      </c>
      <c r="D226" s="287"/>
      <c r="E226" s="405" t="s">
        <v>202</v>
      </c>
      <c r="F226" s="405" t="s">
        <v>52</v>
      </c>
      <c r="G226" s="428">
        <v>41093</v>
      </c>
      <c r="H226" s="6"/>
      <c r="I226" s="6"/>
      <c r="J226" s="35"/>
      <c r="K226" s="35"/>
      <c r="L226" s="6"/>
    </row>
    <row r="227" spans="1:12" ht="15" customHeight="1" x14ac:dyDescent="0.2">
      <c r="A227" s="405" t="s">
        <v>1241</v>
      </c>
      <c r="B227" s="405" t="s">
        <v>571</v>
      </c>
      <c r="C227" s="405" t="s">
        <v>581</v>
      </c>
      <c r="D227" s="287"/>
      <c r="E227" s="405" t="s">
        <v>202</v>
      </c>
      <c r="F227" s="405" t="s">
        <v>45</v>
      </c>
      <c r="G227" s="428">
        <v>43425</v>
      </c>
      <c r="H227" s="6"/>
      <c r="I227" s="6"/>
      <c r="J227" s="35"/>
      <c r="K227" s="35"/>
      <c r="L227" s="6"/>
    </row>
    <row r="228" spans="1:12" ht="15" customHeight="1" x14ac:dyDescent="0.2">
      <c r="A228" s="405" t="s">
        <v>1242</v>
      </c>
      <c r="B228" s="405" t="s">
        <v>497</v>
      </c>
      <c r="C228" s="405" t="s">
        <v>498</v>
      </c>
      <c r="D228" s="287"/>
      <c r="E228" s="405" t="s">
        <v>202</v>
      </c>
      <c r="F228" s="405" t="s">
        <v>46</v>
      </c>
      <c r="G228" s="428">
        <v>42664</v>
      </c>
      <c r="H228" s="6"/>
      <c r="I228" s="6"/>
      <c r="J228" s="35"/>
      <c r="K228" s="35"/>
      <c r="L228" s="6"/>
    </row>
    <row r="229" spans="1:12" ht="15" customHeight="1" x14ac:dyDescent="0.2">
      <c r="A229" s="405" t="s">
        <v>1243</v>
      </c>
      <c r="B229" s="405" t="s">
        <v>432</v>
      </c>
      <c r="C229" s="405" t="s">
        <v>433</v>
      </c>
      <c r="D229" s="287"/>
      <c r="E229" s="405" t="s">
        <v>202</v>
      </c>
      <c r="F229" s="405" t="s">
        <v>44</v>
      </c>
      <c r="G229" s="428">
        <v>41789</v>
      </c>
      <c r="H229" s="6"/>
      <c r="I229" s="6"/>
      <c r="J229" s="35"/>
      <c r="K229" s="35"/>
      <c r="L229" s="6"/>
    </row>
    <row r="230" spans="1:12" ht="15" customHeight="1" x14ac:dyDescent="0.2">
      <c r="A230" s="405" t="s">
        <v>1244</v>
      </c>
      <c r="B230" s="405" t="s">
        <v>1245</v>
      </c>
      <c r="C230" s="405" t="s">
        <v>1246</v>
      </c>
      <c r="D230" s="287"/>
      <c r="E230" s="405" t="s">
        <v>202</v>
      </c>
      <c r="F230" s="405" t="s">
        <v>47</v>
      </c>
      <c r="G230" s="428">
        <v>45247</v>
      </c>
      <c r="H230" s="6"/>
      <c r="I230" s="6"/>
      <c r="J230" s="35"/>
      <c r="K230" s="35"/>
      <c r="L230" s="6"/>
    </row>
    <row r="231" spans="1:12" ht="15" customHeight="1" x14ac:dyDescent="0.2">
      <c r="A231" s="405" t="s">
        <v>1247</v>
      </c>
      <c r="B231" s="405" t="s">
        <v>598</v>
      </c>
      <c r="C231" s="405" t="s">
        <v>599</v>
      </c>
      <c r="D231" s="287"/>
      <c r="E231" s="405" t="s">
        <v>233</v>
      </c>
      <c r="F231" s="405" t="s">
        <v>233</v>
      </c>
      <c r="G231" s="428">
        <v>43081</v>
      </c>
      <c r="H231" s="6"/>
      <c r="I231" s="6"/>
      <c r="J231" s="35"/>
      <c r="K231" s="35"/>
      <c r="L231" s="6"/>
    </row>
    <row r="232" spans="1:12" ht="15" customHeight="1" x14ac:dyDescent="0.2">
      <c r="A232" s="405" t="s">
        <v>1248</v>
      </c>
      <c r="B232" s="405" t="s">
        <v>393</v>
      </c>
      <c r="C232" s="405" t="s">
        <v>394</v>
      </c>
      <c r="D232" s="287"/>
      <c r="E232" s="405" t="s">
        <v>202</v>
      </c>
      <c r="F232" s="405" t="s">
        <v>39</v>
      </c>
      <c r="G232" s="428">
        <v>41374</v>
      </c>
      <c r="H232" s="6"/>
      <c r="I232" s="6"/>
      <c r="J232" s="35"/>
      <c r="K232" s="35"/>
      <c r="L232" s="6"/>
    </row>
    <row r="233" spans="1:12" ht="15" customHeight="1" x14ac:dyDescent="0.2">
      <c r="A233" s="405" t="s">
        <v>1249</v>
      </c>
      <c r="B233" s="405" t="s">
        <v>600</v>
      </c>
      <c r="C233" s="405" t="s">
        <v>601</v>
      </c>
      <c r="D233" s="287"/>
      <c r="E233" s="405" t="s">
        <v>202</v>
      </c>
      <c r="F233" s="405" t="s">
        <v>45</v>
      </c>
      <c r="G233" s="428">
        <v>41737</v>
      </c>
      <c r="H233" s="6"/>
      <c r="I233" s="6"/>
      <c r="J233" s="35"/>
      <c r="K233" s="35"/>
      <c r="L233" s="6"/>
    </row>
    <row r="234" spans="1:12" ht="15" customHeight="1" x14ac:dyDescent="0.2">
      <c r="A234" s="405" t="s">
        <v>1250</v>
      </c>
      <c r="B234" s="405" t="s">
        <v>368</v>
      </c>
      <c r="C234" s="405" t="s">
        <v>369</v>
      </c>
      <c r="D234" s="287"/>
      <c r="E234" s="405" t="s">
        <v>202</v>
      </c>
      <c r="F234" s="405" t="s">
        <v>14</v>
      </c>
      <c r="G234" s="428">
        <v>41541</v>
      </c>
      <c r="H234" s="6"/>
      <c r="I234" s="6"/>
      <c r="J234" s="35"/>
      <c r="K234" s="35"/>
      <c r="L234" s="6"/>
    </row>
    <row r="235" spans="1:12" ht="15" customHeight="1" x14ac:dyDescent="0.2">
      <c r="A235" s="405" t="s">
        <v>1251</v>
      </c>
      <c r="B235" s="405" t="s">
        <v>572</v>
      </c>
      <c r="C235" s="405" t="s">
        <v>582</v>
      </c>
      <c r="D235" s="287"/>
      <c r="E235" s="405" t="s">
        <v>53</v>
      </c>
      <c r="F235" s="405" t="s">
        <v>53</v>
      </c>
      <c r="G235" s="428">
        <v>43343</v>
      </c>
      <c r="H235" s="6"/>
      <c r="I235" s="6"/>
      <c r="J235" s="35"/>
      <c r="K235" s="35"/>
      <c r="L235" s="6"/>
    </row>
    <row r="236" spans="1:12" ht="15" customHeight="1" x14ac:dyDescent="0.2">
      <c r="A236" s="405" t="s">
        <v>1252</v>
      </c>
      <c r="B236" s="405" t="s">
        <v>1253</v>
      </c>
      <c r="C236" s="405" t="s">
        <v>1254</v>
      </c>
      <c r="D236" s="287"/>
      <c r="E236" s="405" t="s">
        <v>202</v>
      </c>
      <c r="F236" s="405" t="s">
        <v>39</v>
      </c>
      <c r="G236" s="428">
        <v>41565</v>
      </c>
      <c r="H236" s="6"/>
      <c r="I236" s="6"/>
      <c r="J236" s="35"/>
      <c r="K236" s="35"/>
      <c r="L236" s="6"/>
    </row>
    <row r="237" spans="1:12" ht="15" customHeight="1" x14ac:dyDescent="0.2">
      <c r="A237" s="405" t="s">
        <v>1255</v>
      </c>
      <c r="B237" s="405" t="s">
        <v>1256</v>
      </c>
      <c r="C237" s="405" t="s">
        <v>401</v>
      </c>
      <c r="D237" s="287"/>
      <c r="E237" s="405" t="s">
        <v>202</v>
      </c>
      <c r="F237" s="405" t="s">
        <v>50</v>
      </c>
      <c r="G237" s="429">
        <v>41730</v>
      </c>
      <c r="H237" s="6"/>
      <c r="I237" s="6"/>
      <c r="J237" s="35"/>
      <c r="K237" s="35"/>
      <c r="L237" s="6"/>
    </row>
    <row r="238" spans="1:12" ht="15" customHeight="1" x14ac:dyDescent="0.2">
      <c r="A238" s="405" t="s">
        <v>1257</v>
      </c>
      <c r="B238" s="405" t="s">
        <v>467</v>
      </c>
      <c r="C238" s="405" t="s">
        <v>468</v>
      </c>
      <c r="D238" s="287"/>
      <c r="E238" s="405" t="s">
        <v>202</v>
      </c>
      <c r="F238" s="405" t="s">
        <v>46</v>
      </c>
      <c r="G238" s="428">
        <v>42307</v>
      </c>
      <c r="H238" s="6"/>
      <c r="I238" s="6"/>
      <c r="J238" s="35"/>
      <c r="K238" s="35"/>
      <c r="L238" s="6"/>
    </row>
    <row r="239" spans="1:12" ht="15" customHeight="1" x14ac:dyDescent="0.2">
      <c r="A239" s="405" t="s">
        <v>1258</v>
      </c>
      <c r="B239" s="405" t="s">
        <v>1259</v>
      </c>
      <c r="C239" s="405" t="s">
        <v>1260</v>
      </c>
      <c r="D239" s="287"/>
      <c r="E239" s="405" t="s">
        <v>202</v>
      </c>
      <c r="F239" s="405" t="s">
        <v>43</v>
      </c>
      <c r="G239" s="428">
        <v>44361</v>
      </c>
      <c r="H239" s="6"/>
      <c r="I239" s="6"/>
      <c r="J239" s="35"/>
      <c r="K239" s="35"/>
      <c r="L239" s="6"/>
    </row>
    <row r="240" spans="1:12" ht="15" customHeight="1" x14ac:dyDescent="0.2">
      <c r="A240" s="405" t="s">
        <v>1261</v>
      </c>
      <c r="B240" s="405" t="s">
        <v>1262</v>
      </c>
      <c r="C240" s="405" t="s">
        <v>408</v>
      </c>
      <c r="D240" s="287"/>
      <c r="E240" s="405" t="s">
        <v>202</v>
      </c>
      <c r="F240" s="405" t="s">
        <v>52</v>
      </c>
      <c r="G240" s="428">
        <v>41709</v>
      </c>
      <c r="H240" s="6"/>
      <c r="I240" s="6"/>
      <c r="J240" s="35"/>
      <c r="K240" s="35"/>
      <c r="L240" s="6"/>
    </row>
    <row r="241" spans="1:12" ht="15" customHeight="1" x14ac:dyDescent="0.2">
      <c r="A241" s="405" t="s">
        <v>1263</v>
      </c>
      <c r="B241" s="405" t="s">
        <v>1264</v>
      </c>
      <c r="C241" s="405" t="s">
        <v>1265</v>
      </c>
      <c r="D241" s="287"/>
      <c r="E241" s="405" t="s">
        <v>202</v>
      </c>
      <c r="F241" s="405" t="s">
        <v>46</v>
      </c>
      <c r="G241" s="428">
        <v>41765</v>
      </c>
      <c r="H241" s="6"/>
      <c r="I241" s="6"/>
      <c r="J241" s="35"/>
      <c r="K241" s="35"/>
      <c r="L241" s="6"/>
    </row>
    <row r="242" spans="1:12" ht="15" customHeight="1" x14ac:dyDescent="0.2">
      <c r="A242" s="405" t="s">
        <v>1266</v>
      </c>
      <c r="B242" s="405" t="s">
        <v>434</v>
      </c>
      <c r="C242" s="405" t="s">
        <v>469</v>
      </c>
      <c r="D242" s="287"/>
      <c r="E242" s="405" t="s">
        <v>202</v>
      </c>
      <c r="F242" s="405" t="s">
        <v>42</v>
      </c>
      <c r="G242" s="428">
        <v>41779</v>
      </c>
      <c r="H242" s="6"/>
      <c r="I242" s="6"/>
      <c r="J242" s="35"/>
      <c r="K242" s="35"/>
      <c r="L242" s="6"/>
    </row>
    <row r="243" spans="1:12" ht="15" customHeight="1" x14ac:dyDescent="0.2">
      <c r="A243" s="405" t="s">
        <v>1267</v>
      </c>
      <c r="B243" s="405" t="s">
        <v>1268</v>
      </c>
      <c r="C243" s="405" t="s">
        <v>1269</v>
      </c>
      <c r="D243" s="287"/>
      <c r="E243" s="405" t="s">
        <v>202</v>
      </c>
      <c r="F243" s="405" t="s">
        <v>52</v>
      </c>
      <c r="G243" s="429">
        <v>43808</v>
      </c>
      <c r="H243" s="6"/>
      <c r="I243" s="6"/>
      <c r="J243" s="35"/>
      <c r="K243" s="35"/>
      <c r="L243" s="6"/>
    </row>
    <row r="244" spans="1:12" ht="15" customHeight="1" x14ac:dyDescent="0.2">
      <c r="A244" s="405" t="s">
        <v>1270</v>
      </c>
      <c r="B244" s="405" t="s">
        <v>1271</v>
      </c>
      <c r="C244" s="405" t="s">
        <v>1272</v>
      </c>
      <c r="D244" s="287"/>
      <c r="E244" s="405" t="s">
        <v>202</v>
      </c>
      <c r="F244" s="405" t="s">
        <v>39</v>
      </c>
      <c r="G244" s="428">
        <v>44531</v>
      </c>
      <c r="H244" s="6"/>
      <c r="I244" s="6"/>
      <c r="J244" s="35"/>
      <c r="K244" s="35"/>
      <c r="L244" s="6"/>
    </row>
    <row r="245" spans="1:12" ht="15" customHeight="1" x14ac:dyDescent="0.2">
      <c r="A245" s="405" t="s">
        <v>1273</v>
      </c>
      <c r="B245" s="405" t="s">
        <v>435</v>
      </c>
      <c r="C245" s="405" t="s">
        <v>436</v>
      </c>
      <c r="D245" s="287"/>
      <c r="E245" s="405" t="s">
        <v>53</v>
      </c>
      <c r="F245" s="405" t="s">
        <v>53</v>
      </c>
      <c r="G245" s="428">
        <v>41954</v>
      </c>
      <c r="H245" s="6"/>
      <c r="I245" s="6"/>
      <c r="J245" s="35"/>
      <c r="K245" s="35"/>
      <c r="L245" s="6"/>
    </row>
    <row r="246" spans="1:12" ht="15" customHeight="1" x14ac:dyDescent="0.2">
      <c r="A246" s="405" t="s">
        <v>1274</v>
      </c>
      <c r="B246" s="405" t="s">
        <v>1275</v>
      </c>
      <c r="C246" s="405" t="s">
        <v>1276</v>
      </c>
      <c r="D246" s="287"/>
      <c r="E246" s="405" t="s">
        <v>202</v>
      </c>
      <c r="F246" s="405" t="s">
        <v>46</v>
      </c>
      <c r="G246" s="428">
        <v>45646</v>
      </c>
      <c r="H246" s="6"/>
      <c r="I246" s="6"/>
      <c r="J246" s="35"/>
      <c r="K246" s="35"/>
      <c r="L246" s="6"/>
    </row>
    <row r="247" spans="1:12" ht="15" customHeight="1" x14ac:dyDescent="0.2">
      <c r="A247" s="405" t="s">
        <v>1277</v>
      </c>
      <c r="B247" s="405" t="s">
        <v>499</v>
      </c>
      <c r="C247" s="405" t="s">
        <v>437</v>
      </c>
      <c r="D247" s="287"/>
      <c r="E247" s="405" t="s">
        <v>202</v>
      </c>
      <c r="F247" s="405" t="s">
        <v>47</v>
      </c>
      <c r="G247" s="428">
        <v>42304</v>
      </c>
      <c r="H247" s="6"/>
      <c r="I247" s="6"/>
      <c r="J247" s="35"/>
      <c r="K247" s="35"/>
      <c r="L247" s="6"/>
    </row>
    <row r="248" spans="1:12" ht="15" customHeight="1" x14ac:dyDescent="0.2">
      <c r="A248" s="405" t="s">
        <v>1278</v>
      </c>
      <c r="B248" s="405" t="s">
        <v>1279</v>
      </c>
      <c r="C248" s="405" t="s">
        <v>1280</v>
      </c>
      <c r="D248" s="287"/>
      <c r="E248" s="405" t="s">
        <v>202</v>
      </c>
      <c r="F248" s="405" t="s">
        <v>50</v>
      </c>
      <c r="G248" s="428">
        <v>45092</v>
      </c>
      <c r="H248" s="6"/>
      <c r="I248" s="6"/>
      <c r="J248" s="35"/>
      <c r="K248" s="35"/>
      <c r="L248" s="6"/>
    </row>
    <row r="249" spans="1:12" ht="15" customHeight="1" x14ac:dyDescent="0.2">
      <c r="A249" s="405" t="s">
        <v>1281</v>
      </c>
      <c r="B249" s="405" t="s">
        <v>438</v>
      </c>
      <c r="C249" s="405" t="s">
        <v>1282</v>
      </c>
      <c r="D249" s="287"/>
      <c r="E249" s="405" t="s">
        <v>53</v>
      </c>
      <c r="F249" s="405" t="s">
        <v>53</v>
      </c>
      <c r="G249" s="429">
        <v>41935</v>
      </c>
      <c r="H249" s="6"/>
      <c r="I249" s="6"/>
      <c r="J249" s="35"/>
      <c r="K249" s="35"/>
      <c r="L249" s="6"/>
    </row>
    <row r="250" spans="1:12" ht="15" customHeight="1" x14ac:dyDescent="0.2">
      <c r="A250" s="405" t="s">
        <v>1283</v>
      </c>
      <c r="B250" s="405" t="s">
        <v>1284</v>
      </c>
      <c r="C250" s="405" t="s">
        <v>1285</v>
      </c>
      <c r="D250" s="287"/>
      <c r="E250" s="405" t="s">
        <v>202</v>
      </c>
      <c r="F250" s="405" t="s">
        <v>47</v>
      </c>
      <c r="G250" s="428">
        <v>42144</v>
      </c>
      <c r="H250" s="6"/>
      <c r="I250" s="6"/>
      <c r="J250" s="35"/>
      <c r="K250" s="35"/>
      <c r="L250" s="6"/>
    </row>
    <row r="251" spans="1:12" ht="15" customHeight="1" x14ac:dyDescent="0.2">
      <c r="A251" s="405" t="s">
        <v>1286</v>
      </c>
      <c r="B251" s="405" t="s">
        <v>1287</v>
      </c>
      <c r="C251" s="405" t="s">
        <v>1288</v>
      </c>
      <c r="D251" s="287"/>
      <c r="E251" s="405" t="s">
        <v>202</v>
      </c>
      <c r="F251" s="405" t="s">
        <v>51</v>
      </c>
      <c r="G251" s="428">
        <v>43342</v>
      </c>
      <c r="H251" s="6"/>
      <c r="I251" s="6"/>
      <c r="J251" s="35"/>
      <c r="K251" s="35"/>
      <c r="L251" s="6"/>
    </row>
    <row r="252" spans="1:12" ht="15" customHeight="1" x14ac:dyDescent="0.2">
      <c r="A252" s="405" t="s">
        <v>1289</v>
      </c>
      <c r="B252" s="405" t="s">
        <v>519</v>
      </c>
      <c r="C252" s="405" t="s">
        <v>520</v>
      </c>
      <c r="D252" s="287"/>
      <c r="E252" s="405" t="s">
        <v>53</v>
      </c>
      <c r="F252" s="405" t="s">
        <v>53</v>
      </c>
      <c r="G252" s="428">
        <v>42858</v>
      </c>
      <c r="H252" s="6"/>
      <c r="I252" s="6"/>
      <c r="J252" s="35"/>
      <c r="K252" s="35"/>
      <c r="L252" s="6"/>
    </row>
    <row r="253" spans="1:12" ht="15" customHeight="1" x14ac:dyDescent="0.2">
      <c r="A253" s="405" t="s">
        <v>1290</v>
      </c>
      <c r="B253" s="405" t="s">
        <v>1291</v>
      </c>
      <c r="C253" s="405" t="s">
        <v>1292</v>
      </c>
      <c r="D253" s="287"/>
      <c r="E253" s="405" t="s">
        <v>202</v>
      </c>
      <c r="F253" s="405" t="s">
        <v>38</v>
      </c>
      <c r="G253" s="428">
        <v>45583</v>
      </c>
      <c r="H253" s="6"/>
      <c r="I253" s="6"/>
      <c r="J253" s="35"/>
      <c r="K253" s="35"/>
      <c r="L253" s="6"/>
    </row>
    <row r="254" spans="1:12" ht="15" customHeight="1" x14ac:dyDescent="0.2">
      <c r="A254" s="405" t="s">
        <v>1293</v>
      </c>
      <c r="B254" s="405" t="s">
        <v>1294</v>
      </c>
      <c r="C254" s="405" t="s">
        <v>1295</v>
      </c>
      <c r="D254" s="287"/>
      <c r="E254" s="405" t="s">
        <v>202</v>
      </c>
      <c r="F254" s="405" t="s">
        <v>47</v>
      </c>
      <c r="G254" s="428">
        <v>42090</v>
      </c>
      <c r="H254" s="6"/>
      <c r="I254" s="6"/>
      <c r="J254" s="35"/>
      <c r="K254" s="35"/>
      <c r="L254" s="6"/>
    </row>
    <row r="255" spans="1:12" ht="15" customHeight="1" x14ac:dyDescent="0.2">
      <c r="A255" s="405" t="s">
        <v>1296</v>
      </c>
      <c r="B255" s="405" t="s">
        <v>1297</v>
      </c>
      <c r="C255" s="405" t="s">
        <v>1298</v>
      </c>
      <c r="D255" s="287"/>
      <c r="E255" s="405" t="s">
        <v>202</v>
      </c>
      <c r="F255" s="405" t="s">
        <v>48</v>
      </c>
      <c r="G255" s="428">
        <v>44869</v>
      </c>
      <c r="H255" s="6"/>
      <c r="I255" s="6"/>
      <c r="J255" s="35"/>
      <c r="K255" s="35"/>
      <c r="L255" s="6"/>
    </row>
    <row r="256" spans="1:12" ht="15" customHeight="1" x14ac:dyDescent="0.2">
      <c r="A256" s="405" t="s">
        <v>1299</v>
      </c>
      <c r="B256" s="405" t="s">
        <v>521</v>
      </c>
      <c r="C256" s="405" t="s">
        <v>522</v>
      </c>
      <c r="D256" s="287"/>
      <c r="E256" s="405" t="s">
        <v>202</v>
      </c>
      <c r="F256" s="405" t="s">
        <v>48</v>
      </c>
      <c r="G256" s="428">
        <v>43063</v>
      </c>
      <c r="H256" s="6"/>
      <c r="I256" s="6"/>
      <c r="J256" s="35"/>
      <c r="K256" s="35"/>
      <c r="L256" s="6"/>
    </row>
    <row r="257" spans="1:12" ht="15" customHeight="1" x14ac:dyDescent="0.2">
      <c r="A257" s="405" t="s">
        <v>1300</v>
      </c>
      <c r="B257" s="405" t="s">
        <v>573</v>
      </c>
      <c r="C257" s="405" t="s">
        <v>523</v>
      </c>
      <c r="D257" s="287"/>
      <c r="E257" s="405" t="s">
        <v>202</v>
      </c>
      <c r="F257" s="405" t="s">
        <v>46</v>
      </c>
      <c r="G257" s="428">
        <v>43062</v>
      </c>
      <c r="H257" s="6"/>
      <c r="I257" s="6"/>
      <c r="J257" s="35"/>
      <c r="K257" s="35"/>
      <c r="L257" s="6"/>
    </row>
    <row r="258" spans="1:12" ht="15" customHeight="1" x14ac:dyDescent="0.2">
      <c r="A258" s="405" t="s">
        <v>1301</v>
      </c>
      <c r="B258" s="405" t="s">
        <v>476</v>
      </c>
      <c r="C258" s="405" t="s">
        <v>500</v>
      </c>
      <c r="D258" s="287"/>
      <c r="E258" s="405" t="s">
        <v>53</v>
      </c>
      <c r="F258" s="405" t="s">
        <v>53</v>
      </c>
      <c r="G258" s="428">
        <v>42545</v>
      </c>
      <c r="H258" s="6"/>
      <c r="I258" s="6"/>
      <c r="J258" s="35"/>
      <c r="K258" s="35"/>
      <c r="L258" s="6"/>
    </row>
    <row r="259" spans="1:12" ht="15" customHeight="1" x14ac:dyDescent="0.2">
      <c r="A259" s="405" t="s">
        <v>1302</v>
      </c>
      <c r="B259" s="405" t="s">
        <v>1303</v>
      </c>
      <c r="C259" s="405" t="s">
        <v>1304</v>
      </c>
      <c r="D259" s="287"/>
      <c r="E259" s="405" t="s">
        <v>202</v>
      </c>
      <c r="F259" s="405" t="s">
        <v>47</v>
      </c>
      <c r="G259" s="428">
        <v>44085</v>
      </c>
      <c r="H259" s="6"/>
      <c r="I259" s="6"/>
      <c r="J259" s="35"/>
      <c r="K259" s="35"/>
      <c r="L259" s="6"/>
    </row>
    <row r="260" spans="1:12" ht="15" customHeight="1" x14ac:dyDescent="0.2">
      <c r="A260" s="405" t="s">
        <v>1305</v>
      </c>
      <c r="B260" s="405" t="s">
        <v>524</v>
      </c>
      <c r="C260" s="405" t="s">
        <v>525</v>
      </c>
      <c r="D260" s="287"/>
      <c r="E260" s="405" t="s">
        <v>202</v>
      </c>
      <c r="F260" s="405" t="s">
        <v>38</v>
      </c>
      <c r="G260" s="428">
        <v>42934</v>
      </c>
      <c r="H260" s="6"/>
      <c r="I260" s="6"/>
      <c r="J260" s="35"/>
      <c r="K260" s="35"/>
      <c r="L260" s="6"/>
    </row>
    <row r="261" spans="1:12" ht="15" customHeight="1" x14ac:dyDescent="0.2">
      <c r="A261" s="405" t="s">
        <v>1306</v>
      </c>
      <c r="B261" s="405" t="s">
        <v>574</v>
      </c>
      <c r="C261" s="405" t="s">
        <v>583</v>
      </c>
      <c r="D261" s="287"/>
      <c r="E261" s="405" t="s">
        <v>202</v>
      </c>
      <c r="F261" s="405" t="s">
        <v>46</v>
      </c>
      <c r="G261" s="428">
        <v>43207</v>
      </c>
      <c r="H261" s="6"/>
      <c r="I261" s="6"/>
      <c r="J261" s="35"/>
      <c r="K261" s="35"/>
      <c r="L261" s="6"/>
    </row>
    <row r="262" spans="1:12" ht="15" customHeight="1" x14ac:dyDescent="0.2">
      <c r="A262" s="405" t="s">
        <v>1307</v>
      </c>
      <c r="B262" s="405" t="s">
        <v>526</v>
      </c>
      <c r="C262" s="405" t="s">
        <v>527</v>
      </c>
      <c r="D262" s="287"/>
      <c r="E262" s="405" t="s">
        <v>202</v>
      </c>
      <c r="F262" s="405" t="s">
        <v>46</v>
      </c>
      <c r="G262" s="428">
        <v>43060</v>
      </c>
      <c r="H262" s="6"/>
      <c r="I262" s="6"/>
      <c r="J262" s="35"/>
      <c r="K262" s="35"/>
      <c r="L262" s="6"/>
    </row>
    <row r="263" spans="1:12" ht="15" customHeight="1" x14ac:dyDescent="0.2">
      <c r="A263" s="405" t="s">
        <v>1308</v>
      </c>
      <c r="B263" s="405" t="s">
        <v>1309</v>
      </c>
      <c r="C263" s="405" t="s">
        <v>1310</v>
      </c>
      <c r="D263" s="287"/>
      <c r="E263" s="405" t="s">
        <v>202</v>
      </c>
      <c r="F263" s="405" t="s">
        <v>45</v>
      </c>
      <c r="G263" s="428">
        <v>43790</v>
      </c>
      <c r="H263" s="6"/>
      <c r="I263" s="6"/>
      <c r="J263" s="35"/>
      <c r="K263" s="35"/>
      <c r="L263" s="6"/>
    </row>
    <row r="264" spans="1:12" ht="15" customHeight="1" x14ac:dyDescent="0.2">
      <c r="A264" s="405" t="s">
        <v>1311</v>
      </c>
      <c r="B264" s="405" t="s">
        <v>501</v>
      </c>
      <c r="C264" s="405" t="s">
        <v>528</v>
      </c>
      <c r="D264" s="287"/>
      <c r="E264" s="405" t="s">
        <v>202</v>
      </c>
      <c r="F264" s="405" t="s">
        <v>44</v>
      </c>
      <c r="G264" s="428">
        <v>42571</v>
      </c>
      <c r="H264" s="6"/>
      <c r="I264" s="6"/>
      <c r="J264" s="35"/>
      <c r="K264" s="35"/>
      <c r="L264" s="6"/>
    </row>
    <row r="265" spans="1:12" ht="15" customHeight="1" x14ac:dyDescent="0.2">
      <c r="A265" s="405" t="s">
        <v>1312</v>
      </c>
      <c r="B265" s="405" t="s">
        <v>529</v>
      </c>
      <c r="C265" s="405" t="s">
        <v>530</v>
      </c>
      <c r="D265" s="287"/>
      <c r="E265" s="405" t="s">
        <v>202</v>
      </c>
      <c r="F265" s="405" t="s">
        <v>44</v>
      </c>
      <c r="G265" s="428">
        <v>42927</v>
      </c>
      <c r="H265" s="6"/>
      <c r="I265" s="6"/>
      <c r="J265" s="35"/>
      <c r="K265" s="35"/>
      <c r="L265" s="6"/>
    </row>
    <row r="266" spans="1:12" ht="15" customHeight="1" x14ac:dyDescent="0.2">
      <c r="A266" s="405" t="s">
        <v>1313</v>
      </c>
      <c r="B266" s="405" t="s">
        <v>531</v>
      </c>
      <c r="C266" s="405" t="s">
        <v>532</v>
      </c>
      <c r="D266" s="287"/>
      <c r="E266" s="405" t="s">
        <v>202</v>
      </c>
      <c r="F266" s="405" t="s">
        <v>51</v>
      </c>
      <c r="G266" s="428">
        <v>43032</v>
      </c>
      <c r="H266" s="6"/>
      <c r="I266" s="6"/>
      <c r="J266" s="35"/>
      <c r="K266" s="35"/>
      <c r="L266" s="6"/>
    </row>
    <row r="267" spans="1:12" ht="15" customHeight="1" x14ac:dyDescent="0.2">
      <c r="A267" s="405" t="s">
        <v>1314</v>
      </c>
      <c r="B267" s="405" t="s">
        <v>1315</v>
      </c>
      <c r="C267" s="405" t="s">
        <v>1316</v>
      </c>
      <c r="D267" s="287"/>
      <c r="E267" s="405" t="s">
        <v>202</v>
      </c>
      <c r="F267" s="405" t="s">
        <v>39</v>
      </c>
      <c r="G267" s="428">
        <v>45805</v>
      </c>
      <c r="H267" s="6"/>
      <c r="I267" s="6"/>
      <c r="J267" s="35"/>
      <c r="K267" s="35"/>
      <c r="L267" s="6"/>
    </row>
    <row r="268" spans="1:12" ht="15" customHeight="1" x14ac:dyDescent="0.2">
      <c r="A268" s="405" t="s">
        <v>1317</v>
      </c>
      <c r="B268" s="405" t="s">
        <v>1318</v>
      </c>
      <c r="C268" s="405" t="s">
        <v>1319</v>
      </c>
      <c r="D268" s="287"/>
      <c r="E268" s="405" t="s">
        <v>53</v>
      </c>
      <c r="F268" s="405" t="s">
        <v>53</v>
      </c>
      <c r="G268" s="428">
        <v>44453</v>
      </c>
      <c r="H268" s="6"/>
      <c r="I268" s="6"/>
      <c r="J268" s="35"/>
      <c r="K268" s="35"/>
      <c r="L268" s="6"/>
    </row>
    <row r="269" spans="1:12" ht="15" customHeight="1" x14ac:dyDescent="0.2">
      <c r="A269" s="405" t="s">
        <v>1320</v>
      </c>
      <c r="B269" s="405" t="s">
        <v>1321</v>
      </c>
      <c r="C269" s="405" t="s">
        <v>1322</v>
      </c>
      <c r="D269" s="287"/>
      <c r="E269" s="405" t="s">
        <v>202</v>
      </c>
      <c r="F269" s="405" t="s">
        <v>40</v>
      </c>
      <c r="G269" s="428">
        <v>44134</v>
      </c>
      <c r="H269" s="6"/>
      <c r="I269" s="6"/>
      <c r="J269" s="35"/>
      <c r="K269" s="35"/>
      <c r="L269" s="6"/>
    </row>
    <row r="270" spans="1:12" ht="15" customHeight="1" x14ac:dyDescent="0.2">
      <c r="A270" s="405" t="s">
        <v>1323</v>
      </c>
      <c r="B270" s="405" t="s">
        <v>1324</v>
      </c>
      <c r="C270" s="405" t="s">
        <v>1325</v>
      </c>
      <c r="D270" s="287"/>
      <c r="E270" s="405" t="s">
        <v>202</v>
      </c>
      <c r="F270" s="405" t="s">
        <v>40</v>
      </c>
      <c r="G270" s="428">
        <v>44077</v>
      </c>
      <c r="H270" s="6"/>
      <c r="I270" s="6"/>
      <c r="J270" s="35"/>
      <c r="K270" s="35"/>
      <c r="L270" s="6"/>
    </row>
    <row r="271" spans="1:12" ht="15" customHeight="1" x14ac:dyDescent="0.2">
      <c r="A271" s="405" t="s">
        <v>1326</v>
      </c>
      <c r="B271" s="405" t="s">
        <v>1327</v>
      </c>
      <c r="C271" s="405" t="s">
        <v>1328</v>
      </c>
      <c r="D271" s="287"/>
      <c r="E271" s="405" t="s">
        <v>202</v>
      </c>
      <c r="F271" s="405" t="s">
        <v>44</v>
      </c>
      <c r="G271" s="428">
        <v>43774</v>
      </c>
      <c r="H271" s="6"/>
      <c r="I271" s="6"/>
      <c r="J271" s="35"/>
      <c r="K271" s="35"/>
      <c r="L271" s="6"/>
    </row>
    <row r="272" spans="1:12" ht="15" customHeight="1" x14ac:dyDescent="0.2">
      <c r="A272" s="405" t="s">
        <v>1329</v>
      </c>
      <c r="B272" s="405" t="s">
        <v>1330</v>
      </c>
      <c r="C272" s="405" t="s">
        <v>1331</v>
      </c>
      <c r="D272" s="287"/>
      <c r="E272" s="405" t="s">
        <v>233</v>
      </c>
      <c r="F272" s="405" t="s">
        <v>233</v>
      </c>
      <c r="G272" s="428">
        <v>43655</v>
      </c>
      <c r="H272" s="6"/>
      <c r="I272" s="6"/>
      <c r="J272" s="35"/>
      <c r="K272" s="35"/>
      <c r="L272" s="6"/>
    </row>
    <row r="273" spans="1:12" ht="15" customHeight="1" x14ac:dyDescent="0.2">
      <c r="A273" s="405" t="s">
        <v>1332</v>
      </c>
      <c r="B273" s="405" t="s">
        <v>1333</v>
      </c>
      <c r="C273" s="405" t="s">
        <v>1334</v>
      </c>
      <c r="D273" s="287"/>
      <c r="E273" s="405" t="s">
        <v>202</v>
      </c>
      <c r="F273" s="405" t="s">
        <v>40</v>
      </c>
      <c r="G273" s="428">
        <v>44897</v>
      </c>
      <c r="H273" s="6"/>
      <c r="I273" s="6"/>
      <c r="J273" s="35"/>
      <c r="K273" s="35"/>
      <c r="L273" s="6"/>
    </row>
    <row r="274" spans="1:12" ht="15" customHeight="1" x14ac:dyDescent="0.2">
      <c r="A274" s="405" t="s">
        <v>1335</v>
      </c>
      <c r="B274" s="405" t="s">
        <v>1336</v>
      </c>
      <c r="C274" s="405" t="s">
        <v>1337</v>
      </c>
      <c r="D274" s="287"/>
      <c r="E274" s="405" t="s">
        <v>202</v>
      </c>
      <c r="F274" s="405" t="s">
        <v>52</v>
      </c>
      <c r="G274" s="428">
        <v>43802</v>
      </c>
      <c r="H274" s="6"/>
      <c r="I274" s="6"/>
      <c r="J274" s="35"/>
      <c r="K274" s="35"/>
      <c r="L274" s="6"/>
    </row>
    <row r="275" spans="1:12" ht="15" customHeight="1" x14ac:dyDescent="0.2">
      <c r="A275" s="405" t="s">
        <v>1338</v>
      </c>
      <c r="B275" s="405" t="s">
        <v>1339</v>
      </c>
      <c r="C275" s="405" t="s">
        <v>1340</v>
      </c>
      <c r="D275" s="287"/>
      <c r="E275" s="405" t="s">
        <v>53</v>
      </c>
      <c r="F275" s="405" t="s">
        <v>53</v>
      </c>
      <c r="G275" s="428">
        <v>44089</v>
      </c>
      <c r="H275" s="6"/>
      <c r="I275" s="6"/>
      <c r="J275" s="35"/>
      <c r="K275" s="35"/>
      <c r="L275" s="6"/>
    </row>
    <row r="276" spans="1:12" ht="15" customHeight="1" x14ac:dyDescent="0.2">
      <c r="A276" s="405" t="s">
        <v>1341</v>
      </c>
      <c r="B276" s="405" t="s">
        <v>1342</v>
      </c>
      <c r="C276" s="405" t="s">
        <v>1343</v>
      </c>
      <c r="D276" s="287"/>
      <c r="E276" s="405" t="s">
        <v>202</v>
      </c>
      <c r="F276" s="405" t="s">
        <v>47</v>
      </c>
      <c r="G276" s="428">
        <v>45604</v>
      </c>
      <c r="H276" s="6"/>
      <c r="I276" s="6"/>
      <c r="J276" s="35"/>
      <c r="K276" s="35"/>
      <c r="L276" s="6"/>
    </row>
    <row r="277" spans="1:12" ht="15" customHeight="1" x14ac:dyDescent="0.2">
      <c r="A277" s="405" t="s">
        <v>1344</v>
      </c>
      <c r="B277" s="405" t="s">
        <v>1345</v>
      </c>
      <c r="C277" s="405" t="s">
        <v>1346</v>
      </c>
      <c r="D277" s="287"/>
      <c r="E277" s="405" t="s">
        <v>202</v>
      </c>
      <c r="F277" s="405" t="s">
        <v>40</v>
      </c>
      <c r="G277" s="428">
        <v>45114</v>
      </c>
      <c r="H277" s="6"/>
      <c r="I277" s="6"/>
      <c r="J277" s="35"/>
      <c r="K277" s="35"/>
      <c r="L277" s="6"/>
    </row>
    <row r="278" spans="1:12" ht="15" customHeight="1" x14ac:dyDescent="0.2">
      <c r="A278" s="405" t="s">
        <v>1347</v>
      </c>
      <c r="B278" s="405" t="s">
        <v>1348</v>
      </c>
      <c r="C278" s="405" t="s">
        <v>1349</v>
      </c>
      <c r="D278" s="287"/>
      <c r="E278" s="405" t="s">
        <v>202</v>
      </c>
      <c r="F278" s="405" t="s">
        <v>43</v>
      </c>
      <c r="G278" s="428">
        <v>44371</v>
      </c>
      <c r="H278" s="6"/>
      <c r="I278" s="6"/>
      <c r="J278" s="35"/>
      <c r="K278" s="35"/>
      <c r="L278" s="6"/>
    </row>
    <row r="279" spans="1:12" ht="15" customHeight="1" x14ac:dyDescent="0.2">
      <c r="A279" s="405" t="s">
        <v>1350</v>
      </c>
      <c r="B279" s="405" t="s">
        <v>1351</v>
      </c>
      <c r="C279" s="405" t="s">
        <v>1352</v>
      </c>
      <c r="D279" s="287"/>
      <c r="E279" s="405" t="s">
        <v>202</v>
      </c>
      <c r="F279" s="405" t="s">
        <v>49</v>
      </c>
      <c r="G279" s="428">
        <v>45478</v>
      </c>
      <c r="H279" s="6"/>
      <c r="I279" s="6"/>
      <c r="J279" s="35"/>
      <c r="K279" s="35"/>
      <c r="L279" s="6"/>
    </row>
    <row r="280" spans="1:12" ht="15" customHeight="1" x14ac:dyDescent="0.2">
      <c r="A280" s="405" t="s">
        <v>1353</v>
      </c>
      <c r="B280" s="405" t="s">
        <v>1354</v>
      </c>
      <c r="C280" s="405" t="s">
        <v>1355</v>
      </c>
      <c r="D280" s="287"/>
      <c r="E280" s="405" t="s">
        <v>202</v>
      </c>
      <c r="F280" s="405" t="s">
        <v>47</v>
      </c>
      <c r="G280" s="428">
        <v>44531</v>
      </c>
      <c r="H280" s="6"/>
      <c r="I280" s="6"/>
      <c r="J280" s="35"/>
      <c r="K280" s="35"/>
      <c r="L280" s="6"/>
    </row>
    <row r="281" spans="1:12" ht="15" customHeight="1" x14ac:dyDescent="0.2">
      <c r="A281" s="405" t="s">
        <v>1356</v>
      </c>
      <c r="B281" s="405" t="s">
        <v>1357</v>
      </c>
      <c r="C281" s="405" t="s">
        <v>1358</v>
      </c>
      <c r="D281" s="287"/>
      <c r="E281" s="405" t="s">
        <v>202</v>
      </c>
      <c r="F281" s="405" t="s">
        <v>50</v>
      </c>
      <c r="G281" s="428">
        <v>44540</v>
      </c>
      <c r="H281" s="6"/>
      <c r="I281" s="6"/>
      <c r="J281" s="35"/>
      <c r="K281" s="35"/>
      <c r="L281" s="6"/>
    </row>
    <row r="282" spans="1:12" ht="15" customHeight="1" x14ac:dyDescent="0.2">
      <c r="A282" s="405" t="s">
        <v>1359</v>
      </c>
      <c r="B282" s="405" t="s">
        <v>1360</v>
      </c>
      <c r="C282" s="405" t="s">
        <v>1361</v>
      </c>
      <c r="D282" s="287"/>
      <c r="E282" s="405" t="s">
        <v>202</v>
      </c>
      <c r="F282" s="405" t="s">
        <v>47</v>
      </c>
      <c r="G282" s="428">
        <v>45258</v>
      </c>
      <c r="H282" s="6"/>
      <c r="I282" s="6"/>
      <c r="J282" s="35"/>
      <c r="K282" s="35"/>
      <c r="L282" s="6"/>
    </row>
    <row r="283" spans="1:12" ht="15" customHeight="1" x14ac:dyDescent="0.2">
      <c r="A283" s="405" t="s">
        <v>1362</v>
      </c>
      <c r="B283" s="405" t="s">
        <v>1363</v>
      </c>
      <c r="C283" s="405" t="s">
        <v>1364</v>
      </c>
      <c r="D283" s="287"/>
      <c r="E283" s="405" t="s">
        <v>202</v>
      </c>
      <c r="F283" s="405" t="s">
        <v>49</v>
      </c>
      <c r="G283" s="428">
        <v>45576</v>
      </c>
      <c r="H283" s="6"/>
      <c r="I283" s="6"/>
      <c r="J283" s="35"/>
      <c r="K283" s="35"/>
      <c r="L283" s="6"/>
    </row>
    <row r="284" spans="1:12" ht="15" customHeight="1" x14ac:dyDescent="0.2">
      <c r="A284" s="405" t="s">
        <v>1365</v>
      </c>
      <c r="B284" s="405" t="s">
        <v>1366</v>
      </c>
      <c r="C284" s="405" t="s">
        <v>1367</v>
      </c>
      <c r="D284" s="287"/>
      <c r="E284" s="405" t="s">
        <v>53</v>
      </c>
      <c r="F284" s="405" t="s">
        <v>53</v>
      </c>
      <c r="G284" s="428">
        <v>45625</v>
      </c>
      <c r="H284" s="6"/>
      <c r="I284" s="6"/>
      <c r="J284" s="35"/>
      <c r="K284" s="35"/>
      <c r="L284" s="6"/>
    </row>
    <row r="285" spans="1:12" ht="15" customHeight="1" x14ac:dyDescent="0.2">
      <c r="A285" s="405" t="s">
        <v>1368</v>
      </c>
      <c r="B285" s="405" t="s">
        <v>1369</v>
      </c>
      <c r="C285" s="405" t="s">
        <v>1370</v>
      </c>
      <c r="D285" s="287"/>
      <c r="E285" s="405" t="s">
        <v>202</v>
      </c>
      <c r="F285" s="405" t="s">
        <v>45</v>
      </c>
      <c r="G285" s="428">
        <v>45762</v>
      </c>
      <c r="H285" s="6"/>
      <c r="I285" s="6"/>
      <c r="J285" s="35"/>
      <c r="K285" s="35"/>
      <c r="L285" s="6"/>
    </row>
    <row r="286" spans="1:12" ht="15" customHeight="1" x14ac:dyDescent="0.2">
      <c r="A286" s="287" t="s">
        <v>605</v>
      </c>
      <c r="B286" s="391" t="s">
        <v>302</v>
      </c>
      <c r="C286" s="391" t="s">
        <v>302</v>
      </c>
      <c r="D286" s="391" t="s">
        <v>302</v>
      </c>
      <c r="E286" s="391" t="s">
        <v>302</v>
      </c>
      <c r="F286" s="391" t="s">
        <v>302</v>
      </c>
      <c r="G286" s="406" t="s">
        <v>302</v>
      </c>
      <c r="H286" s="6"/>
      <c r="I286" s="6"/>
      <c r="J286" s="35"/>
      <c r="K286" s="35"/>
      <c r="L286" s="6"/>
    </row>
    <row r="287" spans="1:12" x14ac:dyDescent="0.2">
      <c r="A287" s="231"/>
      <c r="B287" s="6"/>
      <c r="C287" s="6"/>
      <c r="D287" s="73"/>
      <c r="E287" s="73"/>
      <c r="F287" s="6"/>
      <c r="G287" s="288"/>
      <c r="H287" s="6"/>
      <c r="I287" s="6"/>
      <c r="J287" s="35"/>
      <c r="K287" s="35"/>
      <c r="L287" s="6"/>
    </row>
    <row r="288" spans="1:12" x14ac:dyDescent="0.2">
      <c r="A288" s="231"/>
      <c r="B288" s="6"/>
      <c r="C288" s="6"/>
      <c r="D288" s="73"/>
      <c r="E288" s="73"/>
      <c r="F288" s="6"/>
      <c r="G288" s="288"/>
      <c r="H288" s="6"/>
      <c r="I288" s="6"/>
      <c r="J288" s="35"/>
      <c r="K288" s="35"/>
      <c r="L288" s="6"/>
    </row>
    <row r="289" spans="1:12" x14ac:dyDescent="0.2">
      <c r="A289" s="231"/>
      <c r="B289" s="6"/>
      <c r="C289" s="6"/>
      <c r="D289" s="73"/>
      <c r="E289" s="73"/>
      <c r="F289" s="6"/>
      <c r="G289" s="288"/>
      <c r="H289" s="6"/>
      <c r="I289" s="6"/>
      <c r="J289" s="35"/>
      <c r="K289" s="35"/>
      <c r="L289" s="6"/>
    </row>
    <row r="290" spans="1:12" x14ac:dyDescent="0.2">
      <c r="A290" s="231"/>
      <c r="B290" s="6"/>
      <c r="C290" s="6"/>
      <c r="D290" s="73"/>
      <c r="E290" s="73"/>
      <c r="F290" s="6"/>
      <c r="G290" s="288"/>
      <c r="H290" s="6"/>
      <c r="I290" s="6"/>
      <c r="J290" s="35"/>
      <c r="K290" s="35"/>
      <c r="L290" s="6"/>
    </row>
    <row r="291" spans="1:12" x14ac:dyDescent="0.2">
      <c r="A291" s="231"/>
      <c r="B291" s="6"/>
      <c r="C291" s="6"/>
      <c r="D291" s="73"/>
      <c r="E291" s="73"/>
      <c r="F291" s="6"/>
      <c r="G291" s="288"/>
      <c r="H291" s="6"/>
      <c r="I291" s="6"/>
      <c r="J291" s="35"/>
      <c r="K291" s="35"/>
      <c r="L291" s="6"/>
    </row>
    <row r="292" spans="1:12" x14ac:dyDescent="0.2">
      <c r="A292" s="231"/>
      <c r="B292" s="6"/>
      <c r="C292" s="6"/>
      <c r="D292" s="73"/>
      <c r="E292" s="73"/>
      <c r="F292" s="6"/>
      <c r="G292" s="288"/>
      <c r="H292" s="6"/>
      <c r="I292" s="6"/>
      <c r="J292" s="35"/>
      <c r="K292" s="35"/>
      <c r="L292" s="6"/>
    </row>
    <row r="293" spans="1:12" x14ac:dyDescent="0.2">
      <c r="A293" s="231"/>
      <c r="B293" s="6"/>
      <c r="C293" s="6"/>
      <c r="D293" s="73"/>
      <c r="E293" s="73"/>
      <c r="F293" s="6"/>
      <c r="G293" s="288"/>
      <c r="H293" s="6"/>
      <c r="I293" s="6"/>
      <c r="J293" s="35"/>
      <c r="K293" s="35"/>
      <c r="L293" s="6"/>
    </row>
    <row r="294" spans="1:12" x14ac:dyDescent="0.2">
      <c r="A294" s="231"/>
      <c r="B294" s="6"/>
      <c r="C294" s="6"/>
      <c r="D294" s="73"/>
      <c r="E294" s="73"/>
      <c r="F294" s="6"/>
      <c r="G294" s="288"/>
      <c r="H294" s="6"/>
      <c r="I294" s="6"/>
      <c r="J294" s="35"/>
      <c r="K294" s="35"/>
      <c r="L294" s="6"/>
    </row>
    <row r="295" spans="1:12" x14ac:dyDescent="0.2">
      <c r="A295" s="231"/>
      <c r="B295" s="6"/>
      <c r="C295" s="6"/>
      <c r="D295" s="73"/>
      <c r="E295" s="73"/>
      <c r="F295" s="6"/>
      <c r="G295" s="288"/>
      <c r="H295" s="6"/>
      <c r="I295" s="6"/>
      <c r="J295" s="35"/>
      <c r="K295" s="35"/>
      <c r="L295" s="6"/>
    </row>
    <row r="296" spans="1:12" x14ac:dyDescent="0.2">
      <c r="A296" s="231"/>
      <c r="B296" s="6"/>
      <c r="C296" s="6"/>
      <c r="D296" s="73"/>
      <c r="E296" s="73"/>
      <c r="F296" s="6"/>
      <c r="G296" s="288"/>
      <c r="H296" s="6"/>
      <c r="I296" s="6"/>
      <c r="J296" s="35"/>
      <c r="K296" s="35"/>
      <c r="L296" s="6"/>
    </row>
    <row r="297" spans="1:12" x14ac:dyDescent="0.2">
      <c r="A297" s="231"/>
      <c r="B297" s="6"/>
      <c r="C297" s="6"/>
      <c r="D297" s="73"/>
      <c r="E297" s="73"/>
      <c r="F297" s="6"/>
      <c r="G297" s="288"/>
      <c r="H297" s="6"/>
      <c r="I297" s="6"/>
      <c r="J297" s="35"/>
      <c r="K297" s="35"/>
      <c r="L297" s="6"/>
    </row>
    <row r="298" spans="1:12" x14ac:dyDescent="0.2">
      <c r="A298" s="231"/>
      <c r="B298" s="6"/>
      <c r="C298" s="6"/>
      <c r="D298" s="73"/>
      <c r="E298" s="73"/>
      <c r="F298" s="6"/>
      <c r="G298" s="288"/>
      <c r="H298" s="6"/>
      <c r="I298" s="6"/>
      <c r="J298" s="35"/>
      <c r="K298" s="35"/>
      <c r="L298" s="6"/>
    </row>
    <row r="299" spans="1:12" x14ac:dyDescent="0.2">
      <c r="A299" s="231"/>
      <c r="B299" s="6"/>
      <c r="C299" s="6"/>
      <c r="D299" s="73"/>
      <c r="E299" s="73"/>
      <c r="F299" s="6"/>
      <c r="G299" s="288"/>
      <c r="H299" s="6"/>
      <c r="I299" s="6"/>
      <c r="J299" s="35"/>
      <c r="K299" s="35"/>
      <c r="L299" s="6"/>
    </row>
    <row r="300" spans="1:12" x14ac:dyDescent="0.2">
      <c r="A300" s="231"/>
      <c r="B300" s="6"/>
      <c r="C300" s="6"/>
      <c r="D300" s="73"/>
      <c r="E300" s="73"/>
      <c r="F300" s="6"/>
      <c r="G300" s="288"/>
      <c r="H300" s="6"/>
      <c r="I300" s="6"/>
      <c r="J300" s="35"/>
      <c r="K300" s="35"/>
      <c r="L300" s="6"/>
    </row>
    <row r="301" spans="1:12" x14ac:dyDescent="0.2">
      <c r="A301" s="231"/>
      <c r="B301" s="6"/>
      <c r="C301" s="6"/>
      <c r="D301" s="73"/>
      <c r="E301" s="73"/>
      <c r="F301" s="6"/>
      <c r="G301" s="288"/>
      <c r="H301" s="6"/>
      <c r="I301" s="6"/>
      <c r="J301" s="35"/>
      <c r="K301" s="35"/>
      <c r="L301" s="6"/>
    </row>
    <row r="302" spans="1:12" x14ac:dyDescent="0.2">
      <c r="A302" s="231"/>
      <c r="B302" s="6"/>
      <c r="C302" s="6"/>
      <c r="D302" s="73"/>
      <c r="E302" s="73"/>
      <c r="F302" s="6"/>
      <c r="G302" s="288"/>
      <c r="H302" s="6"/>
      <c r="I302" s="6"/>
      <c r="J302" s="35"/>
      <c r="K302" s="35"/>
      <c r="L302" s="6"/>
    </row>
    <row r="303" spans="1:12" x14ac:dyDescent="0.2">
      <c r="A303" s="231"/>
      <c r="B303" s="6"/>
      <c r="C303" s="6"/>
      <c r="D303" s="73"/>
      <c r="E303" s="73"/>
      <c r="F303" s="6"/>
      <c r="G303" s="288"/>
      <c r="H303" s="6"/>
      <c r="I303" s="6"/>
      <c r="J303" s="35"/>
      <c r="K303" s="35"/>
      <c r="L303" s="6"/>
    </row>
    <row r="304" spans="1:12" x14ac:dyDescent="0.2">
      <c r="A304" s="231"/>
      <c r="B304" s="6"/>
      <c r="C304" s="6"/>
      <c r="D304" s="73"/>
      <c r="E304" s="73"/>
      <c r="F304" s="6"/>
      <c r="G304" s="288"/>
      <c r="H304" s="6"/>
      <c r="I304" s="6"/>
      <c r="J304" s="35"/>
      <c r="K304" s="35"/>
      <c r="L304" s="6"/>
    </row>
    <row r="305" spans="1:12" x14ac:dyDescent="0.2">
      <c r="A305" s="231"/>
      <c r="B305" s="6"/>
      <c r="C305" s="6"/>
      <c r="D305" s="73"/>
      <c r="E305" s="73"/>
      <c r="F305" s="6"/>
      <c r="G305" s="288"/>
      <c r="H305" s="6"/>
      <c r="I305" s="6"/>
      <c r="J305" s="35"/>
      <c r="K305" s="35"/>
      <c r="L305" s="6"/>
    </row>
    <row r="306" spans="1:12" x14ac:dyDescent="0.2">
      <c r="A306" s="231"/>
      <c r="B306" s="6"/>
      <c r="C306" s="6"/>
      <c r="D306" s="73"/>
      <c r="E306" s="73"/>
      <c r="F306" s="6"/>
      <c r="G306" s="288"/>
      <c r="H306" s="6"/>
      <c r="I306" s="6"/>
      <c r="J306" s="35"/>
      <c r="K306" s="35"/>
      <c r="L306" s="6"/>
    </row>
    <row r="307" spans="1:12" x14ac:dyDescent="0.2">
      <c r="A307" s="231"/>
      <c r="B307" s="6"/>
      <c r="C307" s="6"/>
      <c r="D307" s="73"/>
      <c r="E307" s="73"/>
      <c r="F307" s="6"/>
      <c r="G307" s="288"/>
      <c r="H307" s="6"/>
      <c r="I307" s="6"/>
      <c r="J307" s="35"/>
      <c r="K307" s="35"/>
      <c r="L307" s="6"/>
    </row>
    <row r="308" spans="1:12" x14ac:dyDescent="0.2">
      <c r="A308" s="231"/>
      <c r="B308" s="6"/>
      <c r="C308" s="6"/>
      <c r="D308" s="73"/>
      <c r="E308" s="73"/>
      <c r="F308" s="6"/>
      <c r="G308" s="288"/>
      <c r="H308" s="6"/>
      <c r="I308" s="6"/>
      <c r="J308" s="35"/>
      <c r="K308" s="35"/>
      <c r="L308" s="6"/>
    </row>
    <row r="309" spans="1:12" x14ac:dyDescent="0.2">
      <c r="A309" s="231"/>
      <c r="B309" s="6"/>
      <c r="C309" s="6"/>
      <c r="D309" s="73"/>
      <c r="E309" s="73"/>
      <c r="F309" s="6"/>
      <c r="G309" s="288"/>
      <c r="H309" s="6"/>
      <c r="I309" s="6"/>
      <c r="J309" s="35"/>
      <c r="K309" s="35"/>
      <c r="L309" s="6"/>
    </row>
    <row r="310" spans="1:12" x14ac:dyDescent="0.2">
      <c r="A310" s="231"/>
      <c r="B310" s="6"/>
      <c r="C310" s="6"/>
      <c r="D310" s="73"/>
      <c r="E310" s="73"/>
      <c r="F310" s="6"/>
      <c r="G310" s="288"/>
      <c r="H310" s="6"/>
      <c r="I310" s="6"/>
      <c r="J310" s="35"/>
      <c r="K310" s="35"/>
      <c r="L310" s="6"/>
    </row>
    <row r="311" spans="1:12" x14ac:dyDescent="0.2">
      <c r="A311" s="231"/>
      <c r="B311" s="6"/>
      <c r="C311" s="6"/>
      <c r="D311" s="73"/>
      <c r="E311" s="73"/>
      <c r="F311" s="6"/>
      <c r="G311" s="288"/>
      <c r="H311" s="6"/>
      <c r="I311" s="6"/>
      <c r="J311" s="35"/>
      <c r="K311" s="35"/>
      <c r="L311" s="6"/>
    </row>
    <row r="312" spans="1:12" x14ac:dyDescent="0.2">
      <c r="A312" s="231"/>
      <c r="B312" s="6"/>
      <c r="C312" s="6"/>
      <c r="D312" s="73"/>
      <c r="E312" s="73"/>
      <c r="F312" s="6"/>
      <c r="G312" s="288"/>
      <c r="H312" s="6"/>
      <c r="I312" s="6"/>
      <c r="J312" s="35"/>
      <c r="K312" s="35"/>
      <c r="L312" s="6"/>
    </row>
    <row r="313" spans="1:12" x14ac:dyDescent="0.2">
      <c r="A313" s="437" t="s">
        <v>606</v>
      </c>
      <c r="B313" s="6"/>
      <c r="C313" s="6"/>
      <c r="D313" s="73"/>
      <c r="E313" s="73"/>
      <c r="F313" s="6"/>
      <c r="G313" s="288"/>
      <c r="H313" s="6"/>
      <c r="I313" s="6"/>
      <c r="J313" s="35"/>
      <c r="K313" s="35"/>
      <c r="L313" s="6"/>
    </row>
    <row r="314" spans="1:12" x14ac:dyDescent="0.2">
      <c r="A314" s="437" t="s">
        <v>607</v>
      </c>
      <c r="B314" s="6"/>
      <c r="C314" s="6"/>
      <c r="D314" s="73"/>
      <c r="E314" s="73"/>
      <c r="F314" s="6"/>
      <c r="G314" s="288"/>
      <c r="H314" s="6"/>
      <c r="I314" s="6"/>
      <c r="J314" s="35"/>
      <c r="K314" s="35"/>
      <c r="L314" s="6"/>
    </row>
    <row r="315" spans="1:12" x14ac:dyDescent="0.2">
      <c r="A315" s="437" t="s">
        <v>608</v>
      </c>
      <c r="B315" s="6"/>
      <c r="C315" s="6"/>
      <c r="D315" s="73"/>
      <c r="E315" s="73"/>
      <c r="F315" s="6"/>
      <c r="G315" s="288"/>
      <c r="H315" s="6"/>
      <c r="I315" s="6"/>
      <c r="J315" s="35"/>
      <c r="K315" s="35"/>
      <c r="L315" s="6"/>
    </row>
    <row r="316" spans="1:12" x14ac:dyDescent="0.2">
      <c r="A316" s="437" t="s">
        <v>609</v>
      </c>
      <c r="B316" s="6"/>
      <c r="C316" s="6"/>
      <c r="D316" s="73"/>
      <c r="E316" s="73"/>
      <c r="F316" s="6"/>
      <c r="G316" s="288"/>
      <c r="H316" s="6"/>
      <c r="I316" s="6"/>
      <c r="J316" s="35"/>
      <c r="K316" s="35"/>
      <c r="L316" s="6"/>
    </row>
    <row r="317" spans="1:12" x14ac:dyDescent="0.2">
      <c r="A317" s="437" t="s">
        <v>610</v>
      </c>
      <c r="B317" s="6"/>
      <c r="C317" s="6"/>
      <c r="D317" s="73"/>
      <c r="E317" s="73"/>
      <c r="F317" s="6"/>
      <c r="G317" s="288"/>
      <c r="H317" s="6"/>
      <c r="I317" s="6"/>
      <c r="J317" s="35"/>
      <c r="K317" s="35"/>
      <c r="L317" s="6"/>
    </row>
    <row r="318" spans="1:12" x14ac:dyDescent="0.2">
      <c r="A318" s="437" t="s">
        <v>611</v>
      </c>
      <c r="B318" s="6"/>
      <c r="C318" s="6"/>
      <c r="D318" s="73"/>
      <c r="E318" s="73"/>
      <c r="F318" s="6"/>
      <c r="G318" s="288"/>
      <c r="H318" s="6"/>
      <c r="I318" s="6"/>
      <c r="J318" s="35"/>
      <c r="K318" s="35"/>
      <c r="L318" s="6"/>
    </row>
    <row r="319" spans="1:12" x14ac:dyDescent="0.2">
      <c r="A319" s="437" t="s">
        <v>612</v>
      </c>
      <c r="B319" s="6"/>
      <c r="C319" s="6"/>
      <c r="D319" s="73"/>
      <c r="E319" s="73"/>
      <c r="F319" s="6"/>
      <c r="G319" s="288"/>
      <c r="H319" s="6"/>
      <c r="I319" s="6"/>
      <c r="J319" s="35"/>
      <c r="K319" s="35"/>
      <c r="L319" s="6"/>
    </row>
    <row r="320" spans="1:12" x14ac:dyDescent="0.2">
      <c r="A320" s="437" t="s">
        <v>613</v>
      </c>
      <c r="B320" s="6"/>
      <c r="C320" s="6"/>
      <c r="D320" s="73"/>
      <c r="E320" s="73"/>
      <c r="F320" s="6"/>
      <c r="G320" s="288"/>
      <c r="H320" s="6"/>
      <c r="I320" s="6"/>
      <c r="J320" s="35"/>
      <c r="K320" s="35"/>
      <c r="L320" s="6"/>
    </row>
    <row r="321" spans="1:12" x14ac:dyDescent="0.2">
      <c r="A321" s="437" t="s">
        <v>614</v>
      </c>
      <c r="B321" s="6"/>
      <c r="C321" s="6"/>
      <c r="D321" s="73"/>
      <c r="E321" s="73"/>
      <c r="F321" s="6"/>
      <c r="G321" s="288"/>
      <c r="H321" s="6"/>
      <c r="I321" s="6"/>
      <c r="J321" s="35"/>
      <c r="K321" s="35"/>
      <c r="L321" s="6"/>
    </row>
    <row r="322" spans="1:12" x14ac:dyDescent="0.2">
      <c r="A322" s="437" t="s">
        <v>615</v>
      </c>
      <c r="B322" s="6"/>
      <c r="C322" s="6"/>
      <c r="D322" s="73"/>
      <c r="E322" s="73"/>
      <c r="F322" s="6"/>
      <c r="G322" s="288"/>
      <c r="H322" s="6"/>
      <c r="I322" s="6"/>
      <c r="J322" s="35"/>
      <c r="K322" s="35"/>
      <c r="L322" s="6"/>
    </row>
    <row r="323" spans="1:12" x14ac:dyDescent="0.2">
      <c r="A323" s="437" t="s">
        <v>616</v>
      </c>
      <c r="B323" s="6"/>
      <c r="C323" s="6"/>
      <c r="D323" s="73"/>
      <c r="E323" s="73"/>
      <c r="F323" s="6"/>
      <c r="G323" s="288"/>
      <c r="H323" s="6"/>
      <c r="I323" s="6"/>
      <c r="J323" s="6"/>
      <c r="K323" s="6"/>
      <c r="L323" s="6"/>
    </row>
    <row r="324" spans="1:12" x14ac:dyDescent="0.2">
      <c r="A324" s="437" t="s">
        <v>617</v>
      </c>
      <c r="B324" s="6"/>
      <c r="C324" s="6"/>
      <c r="D324" s="73"/>
      <c r="E324" s="73"/>
      <c r="F324" s="6"/>
      <c r="G324" s="288"/>
      <c r="H324" s="6"/>
      <c r="I324" s="6"/>
      <c r="J324" s="6"/>
      <c r="K324" s="6"/>
      <c r="L324" s="6"/>
    </row>
    <row r="325" spans="1:12" x14ac:dyDescent="0.2">
      <c r="A325" s="437" t="s">
        <v>618</v>
      </c>
      <c r="B325" s="6"/>
      <c r="C325" s="6"/>
      <c r="D325" s="73"/>
      <c r="E325" s="73"/>
      <c r="F325" s="6"/>
      <c r="G325" s="288"/>
      <c r="H325" s="6"/>
      <c r="I325" s="6"/>
      <c r="J325" s="6"/>
      <c r="K325" s="6"/>
      <c r="L325" s="6"/>
    </row>
    <row r="326" spans="1:12" x14ac:dyDescent="0.2">
      <c r="A326" s="437" t="s">
        <v>619</v>
      </c>
      <c r="B326" s="6"/>
      <c r="C326" s="6"/>
      <c r="D326" s="73"/>
      <c r="E326" s="73"/>
      <c r="F326" s="6"/>
      <c r="G326" s="288"/>
      <c r="H326" s="6"/>
      <c r="I326" s="6"/>
      <c r="J326" s="6"/>
      <c r="K326" s="6"/>
      <c r="L326" s="6"/>
    </row>
    <row r="327" spans="1:12" x14ac:dyDescent="0.2">
      <c r="A327" s="437" t="s">
        <v>620</v>
      </c>
      <c r="B327" s="6"/>
      <c r="C327" s="6"/>
      <c r="D327" s="73"/>
      <c r="E327" s="73"/>
      <c r="F327" s="6"/>
      <c r="G327" s="288"/>
      <c r="H327" s="6"/>
      <c r="I327" s="6"/>
      <c r="J327" s="6"/>
      <c r="K327" s="6"/>
      <c r="L327" s="6"/>
    </row>
    <row r="328" spans="1:12" x14ac:dyDescent="0.2">
      <c r="A328" s="437" t="s">
        <v>621</v>
      </c>
      <c r="B328" s="6"/>
      <c r="C328" s="6"/>
      <c r="D328" s="73"/>
      <c r="E328" s="73"/>
      <c r="F328" s="6"/>
      <c r="G328" s="288"/>
      <c r="H328" s="6"/>
      <c r="I328" s="6"/>
      <c r="J328" s="6"/>
      <c r="K328" s="6"/>
      <c r="L328" s="6"/>
    </row>
    <row r="329" spans="1:12" x14ac:dyDescent="0.2">
      <c r="A329" s="437" t="s">
        <v>622</v>
      </c>
      <c r="B329" s="6"/>
      <c r="C329" s="6"/>
      <c r="D329" s="73"/>
      <c r="E329" s="73"/>
      <c r="F329" s="6"/>
      <c r="G329" s="288"/>
      <c r="H329" s="6"/>
      <c r="I329" s="6"/>
      <c r="J329" s="6"/>
      <c r="K329" s="6"/>
      <c r="L329" s="6"/>
    </row>
    <row r="330" spans="1:12" x14ac:dyDescent="0.2">
      <c r="A330" s="437" t="s">
        <v>623</v>
      </c>
      <c r="B330" s="6"/>
      <c r="C330" s="6"/>
      <c r="D330" s="73"/>
      <c r="E330" s="73"/>
      <c r="F330" s="6"/>
      <c r="G330" s="288"/>
      <c r="H330" s="6"/>
      <c r="I330" s="6"/>
      <c r="J330" s="6"/>
      <c r="K330" s="6"/>
      <c r="L330" s="6"/>
    </row>
    <row r="331" spans="1:12" x14ac:dyDescent="0.2">
      <c r="A331" s="437" t="s">
        <v>624</v>
      </c>
      <c r="B331" s="6"/>
      <c r="C331" s="6"/>
      <c r="D331" s="73"/>
      <c r="E331" s="73"/>
      <c r="F331" s="6"/>
      <c r="G331" s="288"/>
      <c r="H331" s="6"/>
      <c r="I331" s="6"/>
      <c r="J331" s="6"/>
      <c r="K331" s="6"/>
      <c r="L331" s="6"/>
    </row>
    <row r="332" spans="1:12" x14ac:dyDescent="0.2">
      <c r="A332" s="437" t="s">
        <v>625</v>
      </c>
      <c r="B332" s="6"/>
      <c r="C332" s="6"/>
      <c r="D332" s="73"/>
      <c r="E332" s="73"/>
      <c r="F332" s="6"/>
      <c r="G332" s="288"/>
      <c r="H332" s="6"/>
      <c r="I332" s="6"/>
      <c r="J332" s="6"/>
      <c r="K332" s="6"/>
      <c r="L332" s="6"/>
    </row>
    <row r="333" spans="1:12" x14ac:dyDescent="0.2">
      <c r="A333" s="437" t="s">
        <v>626</v>
      </c>
      <c r="B333" s="6"/>
      <c r="C333" s="6"/>
      <c r="D333" s="73"/>
      <c r="E333" s="73"/>
      <c r="F333" s="6"/>
      <c r="G333" s="288"/>
      <c r="H333" s="6"/>
      <c r="I333" s="6"/>
      <c r="J333" s="6"/>
      <c r="K333" s="6"/>
      <c r="L333" s="6"/>
    </row>
    <row r="334" spans="1:12" x14ac:dyDescent="0.2">
      <c r="A334" s="437" t="s">
        <v>627</v>
      </c>
      <c r="B334" s="6"/>
      <c r="C334" s="6"/>
      <c r="D334" s="73"/>
      <c r="E334" s="73"/>
      <c r="F334" s="6"/>
      <c r="G334" s="288"/>
      <c r="H334" s="6"/>
      <c r="I334" s="6"/>
      <c r="J334" s="6"/>
      <c r="K334" s="6"/>
      <c r="L334" s="6"/>
    </row>
    <row r="335" spans="1:12" x14ac:dyDescent="0.2">
      <c r="A335" s="437" t="s">
        <v>628</v>
      </c>
      <c r="B335" s="6"/>
      <c r="C335" s="6"/>
      <c r="D335" s="73"/>
      <c r="E335" s="73"/>
      <c r="F335" s="6"/>
      <c r="G335" s="288"/>
      <c r="H335" s="6"/>
      <c r="I335" s="6"/>
      <c r="J335" s="6"/>
      <c r="K335" s="6"/>
      <c r="L335" s="6"/>
    </row>
    <row r="336" spans="1:12" x14ac:dyDescent="0.2">
      <c r="A336" s="437" t="s">
        <v>629</v>
      </c>
      <c r="B336" s="6"/>
      <c r="C336" s="6"/>
      <c r="D336" s="73"/>
      <c r="E336" s="73"/>
      <c r="F336" s="6"/>
      <c r="G336" s="288"/>
      <c r="H336" s="35"/>
      <c r="I336" s="6"/>
      <c r="J336" s="35"/>
      <c r="K336" s="35"/>
      <c r="L336" s="6"/>
    </row>
    <row r="337" spans="1:12" x14ac:dyDescent="0.2">
      <c r="A337" s="437" t="s">
        <v>630</v>
      </c>
      <c r="B337" s="6"/>
      <c r="C337" s="6"/>
      <c r="D337" s="73"/>
      <c r="E337" s="73"/>
      <c r="F337" s="6"/>
      <c r="G337" s="35"/>
      <c r="H337" s="35"/>
      <c r="I337" s="6"/>
      <c r="J337" s="35"/>
      <c r="K337" s="35"/>
      <c r="L337" s="6"/>
    </row>
    <row r="338" spans="1:12" x14ac:dyDescent="0.2">
      <c r="A338" s="437" t="s">
        <v>631</v>
      </c>
      <c r="B338" s="6"/>
      <c r="C338" s="6"/>
      <c r="D338" s="73"/>
      <c r="E338" s="73"/>
      <c r="F338" s="6"/>
      <c r="G338" s="35"/>
      <c r="H338" s="35"/>
      <c r="I338" s="6"/>
      <c r="J338" s="35"/>
      <c r="K338" s="35"/>
      <c r="L338" s="6"/>
    </row>
    <row r="339" spans="1:12" x14ac:dyDescent="0.2">
      <c r="A339" s="437" t="s">
        <v>632</v>
      </c>
      <c r="B339" s="6"/>
      <c r="C339" s="6"/>
      <c r="D339" s="73"/>
      <c r="E339" s="73"/>
      <c r="F339" s="6"/>
      <c r="G339" s="35"/>
      <c r="H339" s="35"/>
      <c r="I339" s="6"/>
      <c r="J339" s="35"/>
      <c r="K339" s="35"/>
      <c r="L339" s="6"/>
    </row>
    <row r="340" spans="1:12" x14ac:dyDescent="0.2">
      <c r="A340" s="437" t="s">
        <v>633</v>
      </c>
      <c r="B340" s="6"/>
      <c r="C340" s="6"/>
      <c r="D340" s="73"/>
      <c r="E340" s="73"/>
      <c r="F340" s="6"/>
      <c r="G340" s="35"/>
      <c r="H340" s="35"/>
      <c r="I340" s="6"/>
      <c r="J340" s="35"/>
      <c r="K340" s="35"/>
      <c r="L340" s="6"/>
    </row>
    <row r="341" spans="1:12" x14ac:dyDescent="0.2">
      <c r="A341" s="437" t="s">
        <v>634</v>
      </c>
      <c r="B341" s="6"/>
      <c r="C341" s="6"/>
      <c r="D341" s="73"/>
      <c r="E341" s="73"/>
      <c r="F341" s="6"/>
      <c r="G341" s="35"/>
      <c r="H341" s="35"/>
      <c r="I341" s="6"/>
      <c r="J341" s="35"/>
      <c r="K341" s="35"/>
      <c r="L341" s="6"/>
    </row>
    <row r="342" spans="1:12" x14ac:dyDescent="0.2">
      <c r="A342" s="437" t="s">
        <v>635</v>
      </c>
      <c r="B342" s="6"/>
      <c r="C342" s="6"/>
      <c r="D342" s="73"/>
      <c r="E342" s="73"/>
      <c r="F342" s="6"/>
      <c r="G342" s="35"/>
      <c r="H342" s="35"/>
      <c r="I342" s="6"/>
      <c r="J342" s="35"/>
      <c r="K342" s="35"/>
      <c r="L342" s="6"/>
    </row>
    <row r="343" spans="1:12" x14ac:dyDescent="0.2">
      <c r="A343" s="437" t="s">
        <v>636</v>
      </c>
      <c r="B343" s="6"/>
      <c r="C343" s="6"/>
      <c r="D343" s="73"/>
      <c r="E343" s="73"/>
      <c r="F343" s="6"/>
      <c r="G343" s="35"/>
      <c r="H343" s="35"/>
      <c r="I343" s="6"/>
      <c r="J343" s="35"/>
      <c r="K343" s="35"/>
      <c r="L343" s="6"/>
    </row>
    <row r="344" spans="1:12" x14ac:dyDescent="0.2">
      <c r="A344" s="437" t="s">
        <v>637</v>
      </c>
      <c r="B344" s="6"/>
      <c r="C344" s="6"/>
      <c r="D344" s="73"/>
      <c r="E344" s="73"/>
      <c r="F344" s="6"/>
      <c r="G344" s="35"/>
      <c r="H344" s="35"/>
      <c r="I344" s="6"/>
      <c r="J344" s="35"/>
      <c r="K344" s="35"/>
      <c r="L344" s="6"/>
    </row>
    <row r="345" spans="1:12" x14ac:dyDescent="0.2">
      <c r="A345" s="437" t="s">
        <v>638</v>
      </c>
    </row>
    <row r="346" spans="1:12" x14ac:dyDescent="0.2">
      <c r="A346" s="437" t="s">
        <v>639</v>
      </c>
    </row>
    <row r="347" spans="1:12" x14ac:dyDescent="0.2">
      <c r="A347" s="437" t="s">
        <v>640</v>
      </c>
    </row>
    <row r="348" spans="1:12" x14ac:dyDescent="0.2">
      <c r="A348" s="437" t="s">
        <v>641</v>
      </c>
    </row>
    <row r="349" spans="1:12" x14ac:dyDescent="0.2">
      <c r="A349" s="437" t="s">
        <v>642</v>
      </c>
    </row>
    <row r="350" spans="1:12" x14ac:dyDescent="0.2">
      <c r="A350" s="437" t="s">
        <v>643</v>
      </c>
    </row>
    <row r="351" spans="1:12" x14ac:dyDescent="0.2">
      <c r="A351" s="437" t="s">
        <v>644</v>
      </c>
    </row>
    <row r="352" spans="1:12" x14ac:dyDescent="0.2">
      <c r="A352" s="437" t="s">
        <v>645</v>
      </c>
    </row>
    <row r="353" spans="1:12" x14ac:dyDescent="0.2">
      <c r="A353" s="437" t="s">
        <v>646</v>
      </c>
    </row>
    <row r="354" spans="1:12" x14ac:dyDescent="0.2">
      <c r="A354" s="437" t="s">
        <v>647</v>
      </c>
    </row>
    <row r="355" spans="1:12" x14ac:dyDescent="0.2">
      <c r="A355" s="437" t="s">
        <v>648</v>
      </c>
    </row>
    <row r="356" spans="1:12" x14ac:dyDescent="0.2">
      <c r="A356" s="437" t="s">
        <v>649</v>
      </c>
    </row>
    <row r="357" spans="1:12" x14ac:dyDescent="0.2">
      <c r="A357" s="437" t="s">
        <v>650</v>
      </c>
    </row>
    <row r="358" spans="1:12" x14ac:dyDescent="0.2">
      <c r="A358" s="437" t="s">
        <v>651</v>
      </c>
    </row>
    <row r="359" spans="1:12" x14ac:dyDescent="0.2">
      <c r="A359" s="437" t="s">
        <v>652</v>
      </c>
    </row>
    <row r="360" spans="1:12" x14ac:dyDescent="0.2">
      <c r="A360" s="437" t="s">
        <v>653</v>
      </c>
    </row>
    <row r="361" spans="1:12" x14ac:dyDescent="0.2">
      <c r="A361" s="437" t="s">
        <v>654</v>
      </c>
      <c r="B361" s="6"/>
      <c r="C361" s="6"/>
      <c r="D361" s="73"/>
      <c r="E361" s="73"/>
      <c r="F361" s="6"/>
      <c r="G361" s="35"/>
      <c r="H361" s="35"/>
      <c r="I361" s="6"/>
      <c r="J361" s="35"/>
      <c r="K361" s="35"/>
      <c r="L361" s="6"/>
    </row>
    <row r="362" spans="1:12" x14ac:dyDescent="0.2">
      <c r="A362" s="437" t="s">
        <v>655</v>
      </c>
      <c r="B362" s="6"/>
      <c r="C362" s="6"/>
      <c r="D362" s="73"/>
      <c r="E362" s="73"/>
      <c r="F362" s="6"/>
      <c r="G362" s="35"/>
      <c r="H362" s="35"/>
      <c r="I362" s="6"/>
      <c r="J362" s="35"/>
      <c r="K362" s="35"/>
      <c r="L362" s="6"/>
    </row>
    <row r="363" spans="1:12" x14ac:dyDescent="0.2">
      <c r="A363" s="437" t="s">
        <v>656</v>
      </c>
      <c r="B363" s="6"/>
      <c r="C363" s="6"/>
      <c r="D363" s="73"/>
      <c r="E363" s="73"/>
      <c r="F363" s="6"/>
      <c r="G363" s="35"/>
      <c r="H363" s="35"/>
      <c r="I363" s="6"/>
      <c r="J363" s="35"/>
      <c r="K363" s="35"/>
      <c r="L363" s="6"/>
    </row>
    <row r="364" spans="1:12" x14ac:dyDescent="0.2">
      <c r="A364" s="437" t="s">
        <v>657</v>
      </c>
      <c r="B364" s="6"/>
      <c r="C364" s="6"/>
      <c r="D364" s="73"/>
      <c r="E364" s="73"/>
      <c r="F364" s="6"/>
      <c r="G364" s="35"/>
      <c r="H364" s="35"/>
      <c r="I364" s="6"/>
      <c r="J364" s="35"/>
      <c r="K364" s="35"/>
      <c r="L364" s="6"/>
    </row>
    <row r="365" spans="1:12" x14ac:dyDescent="0.2">
      <c r="A365" s="437" t="s">
        <v>658</v>
      </c>
      <c r="B365" s="6"/>
      <c r="C365" s="6"/>
      <c r="D365" s="73"/>
      <c r="E365" s="73"/>
      <c r="F365" s="6"/>
      <c r="G365" s="35"/>
      <c r="H365" s="35"/>
      <c r="I365" s="6"/>
      <c r="J365" s="35"/>
      <c r="K365" s="35"/>
      <c r="L365" s="6"/>
    </row>
    <row r="366" spans="1:12" x14ac:dyDescent="0.2">
      <c r="A366" s="437" t="s">
        <v>659</v>
      </c>
      <c r="B366" s="6"/>
      <c r="C366" s="6"/>
      <c r="D366" s="73"/>
      <c r="E366" s="73"/>
      <c r="F366" s="6"/>
      <c r="G366" s="35"/>
      <c r="H366" s="35"/>
      <c r="I366" s="6"/>
      <c r="J366" s="35"/>
      <c r="K366" s="35"/>
      <c r="L366" s="6"/>
    </row>
    <row r="367" spans="1:12" x14ac:dyDescent="0.2">
      <c r="A367" s="437" t="s">
        <v>660</v>
      </c>
      <c r="B367" s="6"/>
      <c r="C367" s="6"/>
      <c r="D367" s="73"/>
      <c r="E367" s="73"/>
      <c r="F367" s="6"/>
      <c r="G367" s="35"/>
      <c r="H367" s="35"/>
      <c r="I367" s="6"/>
      <c r="J367" s="35"/>
      <c r="K367" s="35"/>
      <c r="L367" s="6"/>
    </row>
    <row r="368" spans="1:12" x14ac:dyDescent="0.2">
      <c r="A368" s="437" t="s">
        <v>661</v>
      </c>
      <c r="B368" s="6"/>
      <c r="C368" s="6"/>
      <c r="D368" s="73"/>
      <c r="E368" s="73"/>
      <c r="F368" s="6"/>
      <c r="G368" s="35"/>
      <c r="H368" s="35"/>
      <c r="I368" s="6"/>
      <c r="J368" s="35"/>
      <c r="K368" s="35"/>
      <c r="L368" s="6"/>
    </row>
    <row r="369" spans="1:12" x14ac:dyDescent="0.2">
      <c r="A369" s="437" t="s">
        <v>662</v>
      </c>
      <c r="B369" s="6"/>
      <c r="C369" s="6"/>
      <c r="D369" s="73"/>
      <c r="E369" s="73"/>
      <c r="F369" s="6"/>
      <c r="G369" s="35"/>
      <c r="H369" s="35"/>
      <c r="I369" s="6"/>
      <c r="J369" s="35"/>
      <c r="K369" s="35"/>
      <c r="L369" s="6"/>
    </row>
    <row r="370" spans="1:12" x14ac:dyDescent="0.2">
      <c r="A370" s="437" t="s">
        <v>663</v>
      </c>
      <c r="B370" s="6"/>
      <c r="C370" s="6"/>
      <c r="D370" s="73"/>
      <c r="E370" s="73"/>
      <c r="F370" s="6"/>
      <c r="G370" s="35"/>
      <c r="H370" s="35"/>
      <c r="I370" s="6"/>
      <c r="J370" s="35"/>
      <c r="K370" s="35"/>
      <c r="L370" s="6"/>
    </row>
    <row r="371" spans="1:12" x14ac:dyDescent="0.2">
      <c r="A371" s="437" t="s">
        <v>664</v>
      </c>
      <c r="B371" s="6"/>
      <c r="C371" s="6"/>
      <c r="D371" s="73"/>
      <c r="E371" s="73"/>
      <c r="F371" s="6"/>
      <c r="G371" s="35"/>
      <c r="H371" s="35"/>
      <c r="I371" s="6"/>
      <c r="J371" s="35"/>
      <c r="K371" s="35"/>
      <c r="L371" s="6"/>
    </row>
    <row r="372" spans="1:12" x14ac:dyDescent="0.2">
      <c r="A372" s="437" t="s">
        <v>665</v>
      </c>
      <c r="B372" s="6"/>
      <c r="C372" s="6"/>
      <c r="D372" s="73"/>
      <c r="E372" s="73"/>
      <c r="F372" s="6"/>
      <c r="G372" s="35"/>
      <c r="H372" s="35"/>
      <c r="I372" s="6"/>
      <c r="J372" s="35"/>
      <c r="K372" s="35"/>
      <c r="L372" s="6"/>
    </row>
    <row r="373" spans="1:12" x14ac:dyDescent="0.2">
      <c r="A373" s="437" t="s">
        <v>666</v>
      </c>
      <c r="B373" s="6"/>
      <c r="C373" s="6"/>
      <c r="D373" s="73"/>
      <c r="E373" s="73"/>
      <c r="F373" s="6"/>
      <c r="G373" s="35"/>
      <c r="H373" s="35"/>
      <c r="I373" s="6"/>
      <c r="J373" s="35"/>
      <c r="K373" s="35"/>
      <c r="L373" s="6"/>
    </row>
    <row r="374" spans="1:12" x14ac:dyDescent="0.2">
      <c r="A374" s="437" t="s">
        <v>667</v>
      </c>
      <c r="B374" s="6"/>
      <c r="C374" s="6"/>
      <c r="D374" s="73"/>
      <c r="E374" s="73"/>
      <c r="F374" s="6"/>
      <c r="G374" s="35"/>
      <c r="H374" s="35"/>
      <c r="I374" s="6"/>
      <c r="J374" s="35"/>
      <c r="K374" s="35"/>
      <c r="L374" s="6"/>
    </row>
    <row r="375" spans="1:12" x14ac:dyDescent="0.2">
      <c r="A375" s="437" t="s">
        <v>668</v>
      </c>
      <c r="B375" s="6"/>
      <c r="C375" s="6"/>
      <c r="D375" s="73"/>
      <c r="E375" s="73"/>
      <c r="F375" s="6"/>
      <c r="G375" s="35"/>
      <c r="H375" s="35"/>
      <c r="I375" s="6"/>
      <c r="J375" s="35"/>
      <c r="K375" s="35"/>
      <c r="L375" s="6"/>
    </row>
    <row r="376" spans="1:12" x14ac:dyDescent="0.2">
      <c r="A376" s="437" t="s">
        <v>669</v>
      </c>
      <c r="B376" s="6"/>
      <c r="C376" s="6"/>
      <c r="D376" s="73"/>
      <c r="E376" s="73"/>
      <c r="F376" s="6"/>
      <c r="G376" s="35"/>
      <c r="H376" s="35"/>
      <c r="I376" s="6"/>
      <c r="J376" s="35"/>
      <c r="K376" s="35"/>
      <c r="L376" s="6"/>
    </row>
    <row r="377" spans="1:12" x14ac:dyDescent="0.2">
      <c r="A377" s="437" t="s">
        <v>670</v>
      </c>
      <c r="B377" s="6"/>
      <c r="C377" s="6"/>
      <c r="D377" s="73"/>
      <c r="E377" s="73"/>
      <c r="F377" s="6"/>
      <c r="G377" s="35"/>
      <c r="H377" s="35"/>
      <c r="I377" s="6"/>
      <c r="J377" s="35"/>
      <c r="K377" s="35"/>
      <c r="L377" s="6"/>
    </row>
    <row r="378" spans="1:12" x14ac:dyDescent="0.2">
      <c r="A378" s="437" t="s">
        <v>671</v>
      </c>
      <c r="B378" s="6"/>
      <c r="C378" s="6"/>
      <c r="D378" s="73"/>
      <c r="E378" s="73"/>
      <c r="F378" s="6"/>
      <c r="G378" s="35"/>
      <c r="H378" s="35"/>
      <c r="I378" s="6"/>
      <c r="J378" s="35"/>
      <c r="K378" s="35"/>
      <c r="L378" s="6"/>
    </row>
    <row r="379" spans="1:12" x14ac:dyDescent="0.2">
      <c r="A379" s="437" t="s">
        <v>672</v>
      </c>
      <c r="B379" s="6"/>
      <c r="C379" s="6"/>
      <c r="D379" s="73"/>
      <c r="E379" s="73"/>
      <c r="F379" s="6"/>
      <c r="G379" s="35"/>
      <c r="H379" s="35"/>
      <c r="I379" s="6"/>
      <c r="J379" s="35"/>
      <c r="K379" s="35"/>
      <c r="L379" s="6"/>
    </row>
    <row r="380" spans="1:12" x14ac:dyDescent="0.2">
      <c r="A380" s="437" t="s">
        <v>673</v>
      </c>
      <c r="B380" s="6"/>
      <c r="C380" s="6"/>
      <c r="D380" s="73"/>
      <c r="E380" s="73"/>
      <c r="F380" s="6"/>
      <c r="G380" s="35"/>
      <c r="H380" s="35"/>
      <c r="I380" s="6"/>
      <c r="J380" s="35"/>
      <c r="K380" s="35"/>
      <c r="L380" s="6"/>
    </row>
    <row r="381" spans="1:12" x14ac:dyDescent="0.2">
      <c r="A381" s="437" t="s">
        <v>674</v>
      </c>
      <c r="B381" s="6"/>
      <c r="C381" s="6"/>
      <c r="D381" s="73"/>
      <c r="E381" s="73"/>
      <c r="F381" s="6"/>
      <c r="G381" s="35"/>
      <c r="H381" s="35"/>
      <c r="I381" s="6"/>
      <c r="J381" s="35"/>
      <c r="K381" s="35"/>
      <c r="L381" s="6"/>
    </row>
    <row r="382" spans="1:12" x14ac:dyDescent="0.2">
      <c r="A382" s="437" t="s">
        <v>675</v>
      </c>
      <c r="B382" s="6"/>
      <c r="C382" s="6"/>
      <c r="D382" s="73"/>
      <c r="E382" s="73"/>
      <c r="F382" s="6"/>
      <c r="G382" s="35"/>
      <c r="H382" s="35"/>
      <c r="I382" s="6"/>
      <c r="J382" s="35"/>
      <c r="K382" s="35"/>
      <c r="L382" s="6"/>
    </row>
    <row r="383" spans="1:12" x14ac:dyDescent="0.2">
      <c r="A383" s="437" t="s">
        <v>676</v>
      </c>
      <c r="B383" s="6"/>
      <c r="C383" s="6"/>
      <c r="D383" s="73"/>
      <c r="E383" s="73"/>
      <c r="F383" s="6"/>
      <c r="G383" s="35"/>
      <c r="H383" s="35"/>
      <c r="I383" s="6"/>
      <c r="J383" s="35"/>
      <c r="K383" s="35"/>
      <c r="L383" s="6"/>
    </row>
    <row r="384" spans="1:12" x14ac:dyDescent="0.2">
      <c r="A384" s="437" t="s">
        <v>677</v>
      </c>
      <c r="B384" s="6"/>
      <c r="C384" s="6"/>
      <c r="D384" s="73"/>
      <c r="E384" s="73"/>
      <c r="F384" s="6"/>
      <c r="G384" s="35"/>
      <c r="H384" s="35"/>
      <c r="I384" s="6"/>
      <c r="J384" s="35"/>
      <c r="K384" s="35"/>
      <c r="L384" s="6"/>
    </row>
    <row r="385" spans="1:12" x14ac:dyDescent="0.2">
      <c r="A385" s="437" t="s">
        <v>678</v>
      </c>
      <c r="B385" s="6"/>
      <c r="C385" s="6"/>
      <c r="D385" s="73"/>
      <c r="E385" s="73"/>
      <c r="F385" s="6"/>
      <c r="G385" s="35"/>
      <c r="H385" s="35"/>
      <c r="I385" s="6"/>
      <c r="J385" s="35"/>
      <c r="K385" s="35"/>
      <c r="L385" s="6"/>
    </row>
    <row r="386" spans="1:12" x14ac:dyDescent="0.2">
      <c r="A386" s="437" t="s">
        <v>679</v>
      </c>
      <c r="B386" s="6"/>
      <c r="C386" s="6"/>
      <c r="D386" s="73"/>
      <c r="E386" s="73"/>
      <c r="F386" s="6"/>
      <c r="G386" s="35"/>
      <c r="H386" s="35"/>
      <c r="I386" s="6"/>
      <c r="J386" s="35"/>
      <c r="K386" s="35"/>
      <c r="L386" s="6"/>
    </row>
    <row r="387" spans="1:12" x14ac:dyDescent="0.2">
      <c r="A387" s="437" t="s">
        <v>680</v>
      </c>
      <c r="B387" s="6"/>
      <c r="C387" s="6"/>
      <c r="D387" s="73"/>
      <c r="E387" s="73"/>
      <c r="F387" s="6"/>
      <c r="G387" s="35"/>
      <c r="H387" s="35"/>
      <c r="I387" s="6"/>
      <c r="J387" s="35"/>
      <c r="K387" s="35"/>
      <c r="L387" s="6"/>
    </row>
    <row r="388" spans="1:12" x14ac:dyDescent="0.2">
      <c r="A388" s="437" t="s">
        <v>681</v>
      </c>
      <c r="B388" s="6"/>
      <c r="C388" s="6"/>
      <c r="D388" s="73"/>
      <c r="E388" s="73"/>
      <c r="F388" s="6"/>
      <c r="G388" s="35"/>
      <c r="H388" s="35"/>
      <c r="I388" s="6"/>
      <c r="J388" s="35"/>
      <c r="K388" s="35"/>
      <c r="L388" s="6"/>
    </row>
    <row r="389" spans="1:12" x14ac:dyDescent="0.2">
      <c r="A389" s="437" t="s">
        <v>682</v>
      </c>
      <c r="B389" s="6"/>
      <c r="C389" s="6"/>
      <c r="D389" s="73"/>
      <c r="E389" s="73"/>
      <c r="F389" s="6"/>
      <c r="G389" s="35"/>
      <c r="H389" s="35"/>
      <c r="I389" s="6"/>
      <c r="J389" s="35"/>
      <c r="K389" s="35"/>
      <c r="L389" s="6"/>
    </row>
    <row r="390" spans="1:12" x14ac:dyDescent="0.2">
      <c r="A390" s="437" t="s">
        <v>683</v>
      </c>
      <c r="B390" s="6"/>
      <c r="C390" s="6"/>
      <c r="D390" s="73"/>
      <c r="E390" s="73"/>
      <c r="F390" s="6"/>
      <c r="G390" s="35"/>
      <c r="H390" s="35"/>
      <c r="I390" s="6"/>
      <c r="J390" s="35"/>
      <c r="K390" s="35"/>
      <c r="L390" s="6"/>
    </row>
    <row r="391" spans="1:12" x14ac:dyDescent="0.2">
      <c r="A391" s="437" t="s">
        <v>684</v>
      </c>
      <c r="B391" s="6"/>
      <c r="C391" s="6"/>
      <c r="D391" s="73"/>
      <c r="E391" s="73"/>
      <c r="F391" s="6"/>
      <c r="G391" s="35"/>
      <c r="H391" s="35"/>
      <c r="I391" s="6"/>
      <c r="J391" s="35"/>
      <c r="K391" s="35"/>
      <c r="L391" s="6"/>
    </row>
    <row r="392" spans="1:12" x14ac:dyDescent="0.2">
      <c r="A392" s="437" t="s">
        <v>685</v>
      </c>
      <c r="B392" s="6"/>
      <c r="C392" s="6"/>
      <c r="D392" s="73"/>
      <c r="E392" s="73"/>
      <c r="F392" s="6"/>
      <c r="G392" s="35"/>
      <c r="H392" s="35"/>
      <c r="I392" s="6"/>
      <c r="J392" s="35"/>
      <c r="K392" s="35"/>
      <c r="L392" s="6"/>
    </row>
    <row r="393" spans="1:12" x14ac:dyDescent="0.2">
      <c r="A393" s="437" t="s">
        <v>686</v>
      </c>
      <c r="B393" s="6"/>
      <c r="C393" s="6"/>
      <c r="D393" s="73"/>
      <c r="E393" s="73"/>
      <c r="F393" s="6"/>
      <c r="G393" s="35"/>
      <c r="H393" s="35"/>
      <c r="I393" s="6"/>
      <c r="J393" s="35"/>
      <c r="K393" s="35"/>
      <c r="L393" s="6"/>
    </row>
    <row r="394" spans="1:12" x14ac:dyDescent="0.2">
      <c r="A394" s="437" t="s">
        <v>687</v>
      </c>
      <c r="B394" s="6"/>
      <c r="C394" s="6"/>
      <c r="D394" s="73"/>
      <c r="E394" s="73"/>
      <c r="F394" s="6"/>
      <c r="G394" s="35"/>
      <c r="H394" s="35"/>
      <c r="I394" s="6"/>
      <c r="J394" s="35"/>
      <c r="K394" s="35"/>
      <c r="L394" s="6"/>
    </row>
    <row r="395" spans="1:12" x14ac:dyDescent="0.2">
      <c r="A395" s="437" t="s">
        <v>688</v>
      </c>
      <c r="B395" s="6"/>
      <c r="C395" s="6"/>
      <c r="D395" s="73"/>
      <c r="E395" s="73"/>
      <c r="F395" s="6"/>
      <c r="G395" s="35"/>
      <c r="H395" s="35"/>
      <c r="I395" s="6"/>
      <c r="J395" s="35"/>
      <c r="K395" s="35"/>
      <c r="L395" s="6"/>
    </row>
    <row r="396" spans="1:12" x14ac:dyDescent="0.2">
      <c r="A396" s="437" t="s">
        <v>689</v>
      </c>
      <c r="B396" s="6"/>
      <c r="C396" s="6"/>
      <c r="D396" s="73"/>
      <c r="E396" s="73"/>
      <c r="F396" s="6"/>
      <c r="G396" s="35"/>
      <c r="H396" s="35"/>
      <c r="I396" s="6"/>
      <c r="J396" s="35"/>
      <c r="K396" s="35"/>
      <c r="L396" s="6"/>
    </row>
    <row r="397" spans="1:12" x14ac:dyDescent="0.2">
      <c r="A397" s="437" t="s">
        <v>690</v>
      </c>
      <c r="B397" s="6"/>
      <c r="C397" s="6"/>
      <c r="D397" s="73"/>
      <c r="E397" s="73"/>
      <c r="F397" s="6"/>
      <c r="G397" s="35"/>
      <c r="H397" s="35"/>
      <c r="I397" s="6"/>
      <c r="J397" s="35"/>
      <c r="K397" s="35"/>
      <c r="L397" s="6"/>
    </row>
    <row r="398" spans="1:12" x14ac:dyDescent="0.2">
      <c r="A398" s="437" t="s">
        <v>691</v>
      </c>
      <c r="B398" s="6"/>
      <c r="C398" s="6"/>
      <c r="D398" s="73"/>
      <c r="E398" s="73"/>
      <c r="F398" s="6"/>
      <c r="G398" s="35"/>
      <c r="H398" s="35"/>
      <c r="I398" s="6"/>
      <c r="J398" s="35"/>
      <c r="K398" s="35"/>
      <c r="L398" s="6"/>
    </row>
    <row r="399" spans="1:12" x14ac:dyDescent="0.2">
      <c r="A399" s="437" t="s">
        <v>692</v>
      </c>
      <c r="B399" s="6"/>
      <c r="C399" s="6"/>
      <c r="D399" s="73"/>
      <c r="E399" s="73"/>
      <c r="F399" s="6"/>
      <c r="G399" s="35"/>
      <c r="H399" s="35"/>
      <c r="I399" s="6"/>
      <c r="J399" s="35"/>
      <c r="K399" s="35"/>
      <c r="L399" s="6"/>
    </row>
    <row r="400" spans="1:12" x14ac:dyDescent="0.2">
      <c r="A400" s="437" t="s">
        <v>693</v>
      </c>
      <c r="B400" s="6"/>
      <c r="C400" s="6"/>
      <c r="D400" s="73"/>
      <c r="E400" s="73"/>
      <c r="F400" s="6"/>
      <c r="G400" s="35"/>
      <c r="H400" s="35"/>
      <c r="I400" s="6"/>
      <c r="J400" s="35"/>
      <c r="K400" s="35"/>
      <c r="L400" s="6"/>
    </row>
    <row r="401" spans="1:12" x14ac:dyDescent="0.2">
      <c r="A401" s="437" t="s">
        <v>694</v>
      </c>
      <c r="B401" s="6"/>
      <c r="C401" s="6"/>
      <c r="D401" s="73"/>
      <c r="E401" s="73"/>
      <c r="F401" s="6"/>
      <c r="G401" s="35"/>
      <c r="H401" s="35"/>
      <c r="I401" s="6"/>
      <c r="J401" s="35"/>
      <c r="K401" s="35"/>
      <c r="L401" s="6"/>
    </row>
    <row r="402" spans="1:12" x14ac:dyDescent="0.2">
      <c r="A402" s="437" t="s">
        <v>695</v>
      </c>
      <c r="B402" s="6"/>
      <c r="C402" s="6"/>
      <c r="D402" s="73"/>
      <c r="E402" s="73"/>
      <c r="F402" s="6"/>
      <c r="G402" s="35"/>
      <c r="H402" s="35"/>
      <c r="I402" s="6"/>
      <c r="J402" s="35"/>
      <c r="K402" s="35"/>
      <c r="L402" s="6"/>
    </row>
    <row r="403" spans="1:12" x14ac:dyDescent="0.2">
      <c r="A403" s="437" t="s">
        <v>696</v>
      </c>
      <c r="B403" s="6"/>
      <c r="C403" s="6"/>
      <c r="D403" s="73"/>
      <c r="E403" s="73"/>
      <c r="F403" s="6"/>
      <c r="G403" s="35"/>
      <c r="H403" s="35"/>
      <c r="I403" s="6"/>
      <c r="J403" s="35"/>
      <c r="K403" s="35"/>
      <c r="L403" s="6"/>
    </row>
    <row r="404" spans="1:12" x14ac:dyDescent="0.2">
      <c r="A404" s="437" t="s">
        <v>697</v>
      </c>
      <c r="B404" s="6"/>
      <c r="C404" s="6"/>
      <c r="D404" s="73"/>
      <c r="E404" s="73"/>
      <c r="F404" s="6"/>
      <c r="G404" s="35"/>
      <c r="H404" s="35"/>
      <c r="I404" s="6"/>
      <c r="J404" s="35"/>
      <c r="K404" s="35"/>
      <c r="L404" s="6"/>
    </row>
    <row r="405" spans="1:12" x14ac:dyDescent="0.2">
      <c r="A405" s="437" t="s">
        <v>698</v>
      </c>
      <c r="B405" s="6"/>
      <c r="C405" s="6"/>
      <c r="D405" s="73"/>
      <c r="E405" s="73"/>
      <c r="F405" s="6"/>
      <c r="G405" s="35"/>
      <c r="H405" s="35"/>
      <c r="I405" s="6"/>
      <c r="J405" s="35"/>
      <c r="K405" s="35"/>
      <c r="L405" s="6"/>
    </row>
    <row r="406" spans="1:12" x14ac:dyDescent="0.2">
      <c r="A406" s="437" t="s">
        <v>699</v>
      </c>
      <c r="B406" s="6"/>
      <c r="C406" s="6"/>
      <c r="D406" s="73"/>
      <c r="E406" s="73"/>
      <c r="F406" s="6"/>
      <c r="G406" s="35"/>
      <c r="H406" s="35"/>
      <c r="I406" s="6"/>
      <c r="J406" s="35"/>
      <c r="K406" s="35"/>
      <c r="L406" s="6"/>
    </row>
    <row r="407" spans="1:12" x14ac:dyDescent="0.2">
      <c r="A407" s="437" t="s">
        <v>700</v>
      </c>
      <c r="B407" s="6"/>
      <c r="C407" s="6"/>
      <c r="D407" s="73"/>
      <c r="E407" s="73"/>
      <c r="F407" s="6"/>
      <c r="G407" s="35"/>
      <c r="H407" s="35"/>
      <c r="I407" s="6"/>
      <c r="J407" s="35"/>
      <c r="K407" s="35"/>
      <c r="L407" s="6"/>
    </row>
    <row r="408" spans="1:12" x14ac:dyDescent="0.2">
      <c r="A408" s="437" t="s">
        <v>701</v>
      </c>
      <c r="B408" s="6"/>
      <c r="C408" s="6"/>
      <c r="D408" s="73"/>
      <c r="E408" s="73"/>
      <c r="F408" s="6"/>
      <c r="G408" s="35"/>
      <c r="H408" s="35"/>
      <c r="I408" s="6"/>
      <c r="J408" s="35"/>
      <c r="K408" s="35"/>
      <c r="L408" s="6"/>
    </row>
    <row r="409" spans="1:12" x14ac:dyDescent="0.2">
      <c r="A409" s="437" t="s">
        <v>702</v>
      </c>
      <c r="B409" s="6"/>
      <c r="C409" s="6"/>
      <c r="D409" s="73"/>
      <c r="E409" s="73"/>
      <c r="F409" s="6"/>
      <c r="G409" s="35"/>
      <c r="H409" s="35"/>
      <c r="I409" s="6"/>
      <c r="J409" s="35"/>
      <c r="K409" s="35"/>
      <c r="L409" s="6"/>
    </row>
    <row r="410" spans="1:12" x14ac:dyDescent="0.2">
      <c r="A410" s="437" t="s">
        <v>703</v>
      </c>
      <c r="B410" s="6"/>
      <c r="C410" s="6"/>
      <c r="D410" s="73"/>
      <c r="E410" s="73"/>
      <c r="F410" s="6"/>
      <c r="G410" s="35"/>
      <c r="H410" s="35"/>
      <c r="I410" s="6"/>
      <c r="J410" s="35"/>
      <c r="K410" s="35"/>
      <c r="L410" s="6"/>
    </row>
    <row r="411" spans="1:12" x14ac:dyDescent="0.2">
      <c r="A411" s="437" t="s">
        <v>704</v>
      </c>
      <c r="B411" s="6"/>
      <c r="C411" s="6"/>
      <c r="D411" s="73"/>
      <c r="E411" s="73"/>
      <c r="F411" s="6"/>
      <c r="G411" s="35"/>
      <c r="H411" s="35"/>
      <c r="I411" s="6"/>
      <c r="J411" s="35"/>
      <c r="K411" s="35"/>
      <c r="L411" s="6"/>
    </row>
    <row r="412" spans="1:12" x14ac:dyDescent="0.2">
      <c r="A412" s="437" t="s">
        <v>705</v>
      </c>
      <c r="B412" s="6"/>
      <c r="C412" s="6"/>
      <c r="D412" s="73"/>
      <c r="E412" s="73"/>
      <c r="F412" s="6"/>
      <c r="G412" s="35"/>
      <c r="H412" s="35"/>
      <c r="I412" s="6"/>
      <c r="J412" s="35"/>
      <c r="K412" s="35"/>
      <c r="L412" s="6"/>
    </row>
    <row r="413" spans="1:12" x14ac:dyDescent="0.2">
      <c r="A413" s="437" t="s">
        <v>706</v>
      </c>
      <c r="B413" s="6"/>
      <c r="C413" s="6"/>
      <c r="D413" s="73"/>
      <c r="E413" s="73"/>
      <c r="F413" s="6"/>
      <c r="G413" s="35"/>
      <c r="H413" s="35"/>
      <c r="I413" s="6"/>
      <c r="J413" s="35"/>
      <c r="K413" s="35"/>
      <c r="L413" s="6"/>
    </row>
    <row r="414" spans="1:12" x14ac:dyDescent="0.2">
      <c r="A414" s="437" t="s">
        <v>707</v>
      </c>
      <c r="B414" s="6"/>
      <c r="C414" s="6"/>
      <c r="D414" s="73"/>
      <c r="E414" s="73"/>
      <c r="F414" s="6"/>
      <c r="G414" s="35"/>
      <c r="H414" s="35"/>
      <c r="I414" s="6"/>
      <c r="J414" s="35"/>
      <c r="K414" s="35"/>
      <c r="L414" s="6"/>
    </row>
    <row r="415" spans="1:12" x14ac:dyDescent="0.2">
      <c r="A415" s="437" t="s">
        <v>708</v>
      </c>
      <c r="B415" s="6"/>
      <c r="C415" s="6"/>
      <c r="D415" s="73"/>
      <c r="E415" s="73"/>
      <c r="F415" s="6"/>
      <c r="G415" s="35"/>
      <c r="H415" s="35"/>
      <c r="I415" s="6"/>
      <c r="J415" s="35"/>
      <c r="K415" s="35"/>
      <c r="L415" s="6"/>
    </row>
    <row r="416" spans="1:12" x14ac:dyDescent="0.2">
      <c r="A416" s="437" t="s">
        <v>709</v>
      </c>
      <c r="B416" s="6"/>
      <c r="C416" s="6"/>
      <c r="D416" s="73"/>
      <c r="E416" s="73"/>
      <c r="F416" s="6"/>
      <c r="G416" s="35"/>
      <c r="H416" s="35"/>
      <c r="I416" s="6"/>
      <c r="J416" s="35"/>
      <c r="K416" s="35"/>
      <c r="L416" s="6"/>
    </row>
    <row r="417" spans="1:12" x14ac:dyDescent="0.2">
      <c r="A417" s="437" t="s">
        <v>710</v>
      </c>
      <c r="B417" s="6"/>
      <c r="C417" s="6"/>
      <c r="D417" s="73"/>
      <c r="E417" s="73"/>
      <c r="F417" s="6"/>
      <c r="G417" s="35"/>
      <c r="H417" s="35"/>
      <c r="I417" s="6"/>
      <c r="J417" s="35"/>
      <c r="K417" s="35"/>
      <c r="L417" s="6"/>
    </row>
    <row r="418" spans="1:12" x14ac:dyDescent="0.2">
      <c r="A418" s="437" t="s">
        <v>711</v>
      </c>
      <c r="B418" s="6"/>
      <c r="C418" s="6"/>
      <c r="D418" s="73"/>
      <c r="E418" s="73"/>
      <c r="F418" s="6"/>
      <c r="G418" s="35"/>
      <c r="H418" s="35"/>
      <c r="I418" s="6"/>
      <c r="J418" s="35"/>
      <c r="K418" s="35"/>
      <c r="L418" s="6"/>
    </row>
    <row r="419" spans="1:12" x14ac:dyDescent="0.2">
      <c r="A419" s="437" t="s">
        <v>712</v>
      </c>
      <c r="B419" s="6"/>
      <c r="C419" s="6"/>
      <c r="D419" s="73"/>
      <c r="E419" s="73"/>
      <c r="F419" s="6"/>
      <c r="G419" s="35"/>
      <c r="H419" s="35"/>
      <c r="I419" s="6"/>
      <c r="J419" s="35"/>
      <c r="K419" s="35"/>
      <c r="L419" s="6"/>
    </row>
    <row r="420" spans="1:12" x14ac:dyDescent="0.2">
      <c r="A420" s="437" t="s">
        <v>713</v>
      </c>
      <c r="B420" s="6"/>
      <c r="C420" s="6"/>
      <c r="D420" s="73"/>
      <c r="E420" s="73"/>
      <c r="F420" s="6"/>
      <c r="G420" s="35"/>
      <c r="H420" s="35"/>
      <c r="I420" s="6"/>
      <c r="J420" s="35"/>
      <c r="K420" s="35"/>
      <c r="L420" s="6"/>
    </row>
    <row r="421" spans="1:12" x14ac:dyDescent="0.2">
      <c r="A421" s="437" t="s">
        <v>714</v>
      </c>
      <c r="B421" s="6"/>
      <c r="C421" s="6"/>
      <c r="D421" s="73"/>
      <c r="E421" s="73"/>
      <c r="F421" s="6"/>
      <c r="G421" s="35"/>
      <c r="H421" s="35"/>
      <c r="I421" s="6"/>
      <c r="J421" s="35"/>
      <c r="K421" s="35"/>
      <c r="L421" s="6"/>
    </row>
    <row r="422" spans="1:12" x14ac:dyDescent="0.2">
      <c r="A422" s="437" t="s">
        <v>715</v>
      </c>
      <c r="B422" s="6"/>
      <c r="C422" s="6"/>
      <c r="D422" s="73"/>
      <c r="E422" s="73"/>
      <c r="F422" s="6"/>
      <c r="G422" s="35"/>
      <c r="H422" s="35"/>
      <c r="I422" s="6"/>
      <c r="J422" s="35"/>
      <c r="K422" s="35"/>
      <c r="L422" s="6"/>
    </row>
    <row r="423" spans="1:12" x14ac:dyDescent="0.2">
      <c r="A423" s="437" t="s">
        <v>716</v>
      </c>
      <c r="B423" s="6"/>
      <c r="C423" s="6"/>
      <c r="D423" s="73"/>
      <c r="E423" s="73"/>
      <c r="F423" s="6"/>
      <c r="G423" s="35"/>
      <c r="H423" s="35"/>
      <c r="I423" s="6"/>
      <c r="J423" s="35"/>
      <c r="K423" s="35"/>
      <c r="L423" s="6"/>
    </row>
    <row r="424" spans="1:12" x14ac:dyDescent="0.2">
      <c r="A424" s="437" t="s">
        <v>717</v>
      </c>
      <c r="B424" s="6"/>
      <c r="C424" s="6"/>
      <c r="D424" s="73"/>
      <c r="E424" s="73"/>
      <c r="F424" s="6"/>
      <c r="G424" s="35"/>
      <c r="H424" s="35"/>
      <c r="I424" s="6"/>
      <c r="J424" s="35"/>
      <c r="K424" s="35"/>
      <c r="L424" s="6"/>
    </row>
    <row r="425" spans="1:12" x14ac:dyDescent="0.2">
      <c r="A425" s="437" t="s">
        <v>718</v>
      </c>
      <c r="B425" s="6"/>
      <c r="C425" s="6"/>
      <c r="D425" s="73"/>
      <c r="E425" s="73"/>
      <c r="F425" s="6"/>
      <c r="G425" s="35"/>
      <c r="H425" s="35"/>
      <c r="I425" s="6"/>
      <c r="J425" s="35"/>
      <c r="K425" s="35"/>
      <c r="L425" s="6"/>
    </row>
    <row r="426" spans="1:12" x14ac:dyDescent="0.2">
      <c r="A426" s="437" t="s">
        <v>719</v>
      </c>
      <c r="B426" s="6"/>
      <c r="C426" s="6"/>
      <c r="D426" s="73"/>
      <c r="E426" s="73"/>
      <c r="F426" s="6"/>
      <c r="G426" s="35"/>
      <c r="H426" s="35"/>
      <c r="I426" s="6"/>
      <c r="J426" s="35"/>
      <c r="K426" s="35"/>
      <c r="L426" s="6"/>
    </row>
    <row r="427" spans="1:12" x14ac:dyDescent="0.2">
      <c r="A427" s="437" t="s">
        <v>720</v>
      </c>
      <c r="B427" s="6"/>
      <c r="C427" s="6"/>
      <c r="D427" s="73"/>
      <c r="E427" s="73"/>
      <c r="F427" s="6"/>
      <c r="G427" s="35"/>
      <c r="H427" s="35"/>
      <c r="I427" s="6"/>
      <c r="J427" s="35"/>
      <c r="K427" s="35"/>
      <c r="L427" s="6"/>
    </row>
    <row r="428" spans="1:12" x14ac:dyDescent="0.2">
      <c r="A428" s="437" t="s">
        <v>721</v>
      </c>
      <c r="B428" s="6"/>
      <c r="C428" s="6"/>
      <c r="D428" s="73"/>
      <c r="E428" s="73"/>
      <c r="F428" s="6"/>
      <c r="G428" s="35"/>
      <c r="H428" s="35"/>
      <c r="I428" s="6"/>
      <c r="J428" s="35"/>
      <c r="K428" s="35"/>
      <c r="L428" s="6"/>
    </row>
    <row r="429" spans="1:12" x14ac:dyDescent="0.2">
      <c r="A429" s="437" t="s">
        <v>722</v>
      </c>
      <c r="B429" s="6"/>
      <c r="C429" s="6"/>
      <c r="D429" s="73"/>
      <c r="E429" s="73"/>
      <c r="F429" s="6"/>
      <c r="G429" s="35"/>
      <c r="H429" s="35"/>
      <c r="I429" s="6"/>
      <c r="J429" s="35"/>
      <c r="K429" s="35"/>
      <c r="L429" s="6"/>
    </row>
    <row r="430" spans="1:12" x14ac:dyDescent="0.2">
      <c r="A430" s="437" t="s">
        <v>723</v>
      </c>
      <c r="B430" s="6"/>
      <c r="C430" s="6"/>
      <c r="D430" s="73"/>
      <c r="E430" s="73"/>
      <c r="F430" s="6"/>
      <c r="G430" s="35"/>
      <c r="H430" s="35"/>
      <c r="I430" s="6"/>
      <c r="J430" s="35"/>
      <c r="K430" s="35"/>
      <c r="L430" s="6"/>
    </row>
    <row r="431" spans="1:12" x14ac:dyDescent="0.2">
      <c r="A431" s="437" t="s">
        <v>724</v>
      </c>
      <c r="B431" s="6"/>
      <c r="C431" s="6"/>
      <c r="D431" s="73"/>
      <c r="E431" s="73"/>
      <c r="F431" s="6"/>
      <c r="G431" s="35"/>
      <c r="H431" s="35"/>
      <c r="I431" s="6"/>
      <c r="J431" s="35"/>
      <c r="K431" s="35"/>
      <c r="L431" s="6"/>
    </row>
    <row r="432" spans="1:12" x14ac:dyDescent="0.2">
      <c r="A432" s="437" t="s">
        <v>725</v>
      </c>
      <c r="B432" s="6"/>
      <c r="C432" s="6"/>
      <c r="D432" s="73"/>
      <c r="E432" s="73"/>
      <c r="F432" s="6"/>
      <c r="G432" s="35"/>
      <c r="H432" s="35"/>
      <c r="I432" s="6"/>
      <c r="J432" s="35"/>
      <c r="K432" s="35"/>
      <c r="L432" s="6"/>
    </row>
    <row r="433" spans="1:12" x14ac:dyDescent="0.2">
      <c r="A433" s="437" t="s">
        <v>726</v>
      </c>
      <c r="B433" s="6"/>
      <c r="C433" s="6"/>
      <c r="D433" s="73"/>
      <c r="E433" s="73"/>
      <c r="F433" s="6"/>
      <c r="G433" s="35"/>
      <c r="H433" s="35"/>
      <c r="I433" s="6"/>
      <c r="J433" s="35"/>
      <c r="K433" s="35"/>
      <c r="L433" s="6"/>
    </row>
    <row r="434" spans="1:12" x14ac:dyDescent="0.2">
      <c r="A434" s="437" t="s">
        <v>727</v>
      </c>
      <c r="B434" s="6"/>
      <c r="C434" s="6"/>
      <c r="D434" s="73"/>
      <c r="E434" s="73"/>
      <c r="F434" s="6"/>
      <c r="G434" s="35"/>
      <c r="H434" s="35"/>
      <c r="I434" s="6"/>
      <c r="J434" s="35"/>
      <c r="K434" s="35"/>
      <c r="L434" s="6"/>
    </row>
    <row r="435" spans="1:12" x14ac:dyDescent="0.2">
      <c r="A435" s="437" t="s">
        <v>728</v>
      </c>
      <c r="B435" s="6"/>
      <c r="C435" s="6"/>
      <c r="D435" s="73"/>
      <c r="E435" s="73"/>
      <c r="F435" s="6"/>
      <c r="G435" s="35"/>
      <c r="H435" s="35"/>
      <c r="I435" s="6"/>
      <c r="J435" s="35"/>
      <c r="K435" s="35"/>
      <c r="L435" s="6"/>
    </row>
    <row r="436" spans="1:12" x14ac:dyDescent="0.2">
      <c r="A436" s="437" t="s">
        <v>729</v>
      </c>
      <c r="B436" s="6"/>
      <c r="C436" s="6"/>
      <c r="D436" s="73"/>
      <c r="E436" s="73"/>
      <c r="F436" s="6"/>
      <c r="G436" s="35"/>
      <c r="H436" s="35"/>
      <c r="I436" s="6"/>
      <c r="J436" s="35"/>
      <c r="K436" s="35"/>
      <c r="L436" s="6"/>
    </row>
    <row r="437" spans="1:12" x14ac:dyDescent="0.2">
      <c r="A437" s="437" t="s">
        <v>730</v>
      </c>
      <c r="B437" s="6"/>
      <c r="C437" s="6"/>
      <c r="D437" s="73"/>
      <c r="E437" s="73"/>
      <c r="F437" s="6"/>
      <c r="G437" s="35"/>
      <c r="H437" s="35"/>
      <c r="I437" s="6"/>
      <c r="J437" s="35"/>
      <c r="K437" s="35"/>
      <c r="L437" s="6"/>
    </row>
    <row r="438" spans="1:12" x14ac:dyDescent="0.2">
      <c r="A438" s="437" t="s">
        <v>731</v>
      </c>
      <c r="B438" s="6"/>
      <c r="C438" s="6"/>
      <c r="D438" s="73"/>
      <c r="E438" s="73"/>
      <c r="F438" s="6"/>
      <c r="G438" s="35"/>
      <c r="H438" s="35"/>
      <c r="I438" s="6"/>
      <c r="J438" s="35"/>
      <c r="K438" s="35"/>
      <c r="L438" s="6"/>
    </row>
    <row r="439" spans="1:12" x14ac:dyDescent="0.2">
      <c r="A439" s="437" t="s">
        <v>732</v>
      </c>
      <c r="B439" s="6"/>
      <c r="C439" s="6"/>
      <c r="D439" s="73"/>
      <c r="E439" s="73"/>
      <c r="F439" s="6"/>
      <c r="G439" s="35"/>
      <c r="H439" s="35"/>
      <c r="I439" s="6"/>
      <c r="J439" s="35"/>
      <c r="K439" s="35"/>
      <c r="L439" s="6"/>
    </row>
    <row r="440" spans="1:12" x14ac:dyDescent="0.2">
      <c r="A440" s="437" t="s">
        <v>733</v>
      </c>
      <c r="B440" s="6"/>
      <c r="C440" s="6"/>
      <c r="D440" s="73"/>
      <c r="E440" s="73"/>
      <c r="F440" s="6"/>
      <c r="G440" s="35"/>
      <c r="H440" s="35"/>
      <c r="I440" s="6"/>
      <c r="J440" s="35"/>
      <c r="K440" s="35"/>
      <c r="L440" s="6"/>
    </row>
    <row r="441" spans="1:12" x14ac:dyDescent="0.2">
      <c r="A441" s="437" t="s">
        <v>734</v>
      </c>
      <c r="B441" s="6"/>
      <c r="C441" s="6"/>
      <c r="D441" s="73"/>
      <c r="E441" s="73"/>
      <c r="F441" s="6"/>
      <c r="G441" s="35"/>
      <c r="H441" s="35"/>
      <c r="I441" s="6"/>
      <c r="J441" s="35"/>
      <c r="K441" s="35"/>
      <c r="L441" s="6"/>
    </row>
    <row r="442" spans="1:12" x14ac:dyDescent="0.2">
      <c r="A442" s="437" t="s">
        <v>735</v>
      </c>
      <c r="B442" s="6"/>
      <c r="C442" s="6"/>
      <c r="D442" s="73"/>
      <c r="E442" s="73"/>
      <c r="F442" s="6"/>
      <c r="G442" s="35"/>
      <c r="H442" s="35"/>
      <c r="I442" s="6"/>
      <c r="J442" s="35"/>
      <c r="K442" s="35"/>
      <c r="L442" s="6"/>
    </row>
    <row r="443" spans="1:12" x14ac:dyDescent="0.2">
      <c r="A443" s="437" t="s">
        <v>736</v>
      </c>
      <c r="B443" s="6"/>
      <c r="C443" s="6"/>
      <c r="D443" s="73"/>
      <c r="E443" s="73"/>
      <c r="F443" s="6"/>
      <c r="G443" s="35"/>
      <c r="H443" s="35"/>
      <c r="I443" s="6"/>
      <c r="J443" s="35"/>
      <c r="K443" s="35"/>
      <c r="L443" s="6"/>
    </row>
    <row r="444" spans="1:12" x14ac:dyDescent="0.2">
      <c r="A444" s="437" t="s">
        <v>737</v>
      </c>
      <c r="B444" s="6"/>
      <c r="C444" s="6"/>
      <c r="D444" s="73"/>
      <c r="E444" s="73"/>
      <c r="F444" s="6"/>
      <c r="G444" s="35"/>
      <c r="H444" s="35"/>
      <c r="I444" s="6"/>
      <c r="J444" s="35"/>
      <c r="K444" s="35"/>
      <c r="L444" s="6"/>
    </row>
    <row r="445" spans="1:12" x14ac:dyDescent="0.2">
      <c r="A445" s="437" t="s">
        <v>738</v>
      </c>
      <c r="B445" s="6"/>
      <c r="C445" s="6"/>
      <c r="D445" s="73"/>
      <c r="E445" s="73"/>
      <c r="F445" s="6"/>
      <c r="G445" s="35"/>
      <c r="H445" s="35"/>
      <c r="I445" s="6"/>
      <c r="J445" s="35"/>
      <c r="K445" s="35"/>
      <c r="L445" s="6"/>
    </row>
    <row r="446" spans="1:12" x14ac:dyDescent="0.2">
      <c r="A446" s="437" t="s">
        <v>739</v>
      </c>
      <c r="B446" s="6"/>
      <c r="C446" s="6"/>
      <c r="D446" s="73"/>
      <c r="E446" s="73"/>
      <c r="F446" s="6"/>
      <c r="G446" s="35"/>
      <c r="H446" s="35"/>
      <c r="I446" s="6"/>
      <c r="J446" s="35"/>
      <c r="K446" s="35"/>
      <c r="L446" s="6"/>
    </row>
    <row r="447" spans="1:12" x14ac:dyDescent="0.2">
      <c r="A447" s="437" t="s">
        <v>740</v>
      </c>
      <c r="B447" s="6"/>
      <c r="C447" s="6"/>
      <c r="D447" s="73"/>
      <c r="E447" s="73"/>
      <c r="F447" s="6"/>
      <c r="G447" s="35"/>
      <c r="H447" s="35"/>
      <c r="I447" s="6"/>
      <c r="J447" s="35"/>
      <c r="K447" s="35"/>
      <c r="L447" s="6"/>
    </row>
    <row r="448" spans="1:12" x14ac:dyDescent="0.2">
      <c r="A448" s="437" t="s">
        <v>741</v>
      </c>
      <c r="B448" s="6"/>
      <c r="C448" s="6"/>
      <c r="D448" s="73"/>
      <c r="E448" s="73"/>
      <c r="F448" s="6"/>
      <c r="G448" s="35"/>
      <c r="H448" s="35"/>
      <c r="I448" s="6"/>
      <c r="J448" s="35"/>
      <c r="K448" s="35"/>
      <c r="L448" s="6"/>
    </row>
    <row r="449" spans="1:12" x14ac:dyDescent="0.2">
      <c r="A449" s="437" t="s">
        <v>742</v>
      </c>
      <c r="B449" s="6"/>
      <c r="C449" s="6"/>
      <c r="D449" s="73"/>
      <c r="E449" s="73"/>
      <c r="F449" s="6"/>
      <c r="G449" s="35"/>
      <c r="H449" s="35"/>
      <c r="I449" s="6"/>
      <c r="J449" s="35"/>
      <c r="K449" s="35"/>
      <c r="L449" s="6"/>
    </row>
    <row r="450" spans="1:12" x14ac:dyDescent="0.2">
      <c r="A450" s="437" t="s">
        <v>743</v>
      </c>
      <c r="B450" s="6"/>
      <c r="C450" s="6"/>
      <c r="D450" s="73"/>
      <c r="E450" s="73"/>
      <c r="F450" s="6"/>
      <c r="G450" s="35"/>
      <c r="H450" s="35"/>
      <c r="I450" s="6"/>
      <c r="J450" s="35"/>
      <c r="K450" s="35"/>
      <c r="L450" s="6"/>
    </row>
    <row r="451" spans="1:12" x14ac:dyDescent="0.2">
      <c r="A451" s="437" t="s">
        <v>744</v>
      </c>
      <c r="B451" s="6"/>
      <c r="C451" s="6"/>
      <c r="D451" s="73"/>
      <c r="E451" s="73"/>
      <c r="F451" s="6"/>
      <c r="G451" s="35"/>
      <c r="H451" s="35"/>
      <c r="I451" s="6"/>
      <c r="J451" s="35"/>
      <c r="K451" s="35"/>
      <c r="L451" s="6"/>
    </row>
    <row r="452" spans="1:12" x14ac:dyDescent="0.2">
      <c r="A452" s="437" t="s">
        <v>745</v>
      </c>
      <c r="B452" s="6"/>
      <c r="C452" s="6"/>
      <c r="D452" s="73"/>
      <c r="E452" s="73"/>
      <c r="F452" s="6"/>
      <c r="G452" s="35"/>
      <c r="H452" s="35"/>
      <c r="I452" s="6"/>
      <c r="J452" s="35"/>
      <c r="K452" s="35"/>
      <c r="L452" s="6"/>
    </row>
    <row r="453" spans="1:12" x14ac:dyDescent="0.2">
      <c r="A453" s="437" t="s">
        <v>746</v>
      </c>
      <c r="B453" s="6"/>
      <c r="C453" s="6"/>
      <c r="D453" s="73"/>
      <c r="E453" s="73"/>
      <c r="F453" s="6"/>
      <c r="G453" s="35"/>
      <c r="H453" s="35"/>
      <c r="I453" s="6"/>
      <c r="J453" s="35"/>
      <c r="K453" s="35"/>
      <c r="L453" s="6"/>
    </row>
    <row r="454" spans="1:12" x14ac:dyDescent="0.2">
      <c r="A454" s="437" t="s">
        <v>747</v>
      </c>
      <c r="B454" s="6"/>
      <c r="C454" s="6"/>
      <c r="D454" s="73"/>
      <c r="E454" s="73"/>
      <c r="F454" s="6"/>
      <c r="G454" s="35"/>
      <c r="H454" s="35"/>
      <c r="I454" s="6"/>
      <c r="J454" s="35"/>
      <c r="K454" s="35"/>
      <c r="L454" s="6"/>
    </row>
    <row r="455" spans="1:12" x14ac:dyDescent="0.2">
      <c r="A455" s="437" t="s">
        <v>748</v>
      </c>
      <c r="B455" s="6"/>
      <c r="C455" s="6"/>
      <c r="D455" s="73"/>
      <c r="E455" s="73"/>
      <c r="F455" s="6"/>
      <c r="G455" s="35"/>
      <c r="H455" s="35"/>
      <c r="I455" s="6"/>
      <c r="J455" s="35"/>
      <c r="K455" s="35"/>
      <c r="L455" s="6"/>
    </row>
    <row r="456" spans="1:12" x14ac:dyDescent="0.2">
      <c r="A456" s="437" t="s">
        <v>749</v>
      </c>
      <c r="B456" s="6"/>
      <c r="C456" s="6"/>
      <c r="D456" s="73"/>
      <c r="E456" s="73"/>
      <c r="F456" s="6"/>
      <c r="G456" s="35"/>
      <c r="H456" s="35"/>
      <c r="I456" s="6"/>
      <c r="J456" s="35"/>
      <c r="K456" s="35"/>
      <c r="L456" s="6"/>
    </row>
    <row r="457" spans="1:12" x14ac:dyDescent="0.2">
      <c r="A457" s="437" t="s">
        <v>750</v>
      </c>
      <c r="B457" s="6"/>
      <c r="C457" s="6"/>
      <c r="D457" s="73"/>
      <c r="E457" s="73"/>
      <c r="F457" s="6"/>
      <c r="G457" s="35"/>
      <c r="H457" s="35"/>
      <c r="I457" s="6"/>
      <c r="J457" s="35"/>
      <c r="K457" s="35"/>
      <c r="L457" s="6"/>
    </row>
    <row r="458" spans="1:12" x14ac:dyDescent="0.2">
      <c r="A458" s="437" t="s">
        <v>751</v>
      </c>
      <c r="B458" s="6"/>
      <c r="C458" s="6"/>
      <c r="D458" s="73"/>
      <c r="E458" s="73"/>
      <c r="F458" s="6"/>
      <c r="G458" s="35"/>
      <c r="H458" s="35"/>
      <c r="I458" s="6"/>
      <c r="J458" s="35"/>
      <c r="K458" s="35"/>
      <c r="L458" s="6"/>
    </row>
    <row r="459" spans="1:12" x14ac:dyDescent="0.2">
      <c r="A459" s="437" t="s">
        <v>752</v>
      </c>
      <c r="B459" s="6"/>
      <c r="C459" s="6"/>
      <c r="D459" s="73"/>
      <c r="E459" s="73"/>
      <c r="F459" s="6"/>
      <c r="G459" s="35"/>
      <c r="H459" s="35"/>
      <c r="I459" s="6"/>
      <c r="J459" s="35"/>
      <c r="K459" s="35"/>
      <c r="L459" s="6"/>
    </row>
    <row r="460" spans="1:12" x14ac:dyDescent="0.2">
      <c r="A460" s="437" t="s">
        <v>753</v>
      </c>
      <c r="B460" s="6"/>
      <c r="C460" s="6"/>
      <c r="D460" s="73"/>
      <c r="E460" s="73"/>
      <c r="F460" s="6"/>
      <c r="G460" s="35"/>
      <c r="H460" s="35"/>
      <c r="I460" s="6"/>
      <c r="J460" s="35"/>
      <c r="K460" s="35"/>
      <c r="L460" s="6"/>
    </row>
    <row r="461" spans="1:12" x14ac:dyDescent="0.2">
      <c r="A461" s="437" t="s">
        <v>754</v>
      </c>
      <c r="B461" s="6"/>
      <c r="C461" s="6"/>
      <c r="D461" s="73"/>
      <c r="E461" s="73"/>
      <c r="F461" s="6"/>
      <c r="G461" s="35"/>
      <c r="H461" s="35"/>
      <c r="I461" s="6"/>
      <c r="J461" s="35"/>
      <c r="K461" s="35"/>
      <c r="L461" s="6"/>
    </row>
    <row r="462" spans="1:12" x14ac:dyDescent="0.2">
      <c r="A462" s="437" t="s">
        <v>755</v>
      </c>
      <c r="B462" s="6"/>
      <c r="C462" s="6"/>
      <c r="D462" s="73"/>
      <c r="E462" s="73"/>
      <c r="F462" s="6"/>
      <c r="G462" s="35"/>
      <c r="H462" s="35"/>
      <c r="I462" s="6"/>
      <c r="J462" s="35"/>
      <c r="K462" s="35"/>
      <c r="L462" s="6"/>
    </row>
    <row r="463" spans="1:12" x14ac:dyDescent="0.2">
      <c r="A463" s="437" t="s">
        <v>756</v>
      </c>
      <c r="B463" s="6"/>
      <c r="C463" s="6"/>
      <c r="D463" s="73"/>
      <c r="E463" s="73"/>
      <c r="F463" s="6"/>
      <c r="G463" s="35"/>
      <c r="H463" s="35"/>
      <c r="I463" s="6"/>
      <c r="J463" s="35"/>
      <c r="K463" s="35"/>
      <c r="L463" s="6"/>
    </row>
    <row r="464" spans="1:12" x14ac:dyDescent="0.2">
      <c r="A464" s="437" t="s">
        <v>757</v>
      </c>
      <c r="B464" s="6"/>
      <c r="C464" s="6"/>
      <c r="D464" s="73"/>
      <c r="E464" s="73"/>
      <c r="F464" s="6"/>
      <c r="G464" s="35"/>
      <c r="H464" s="35"/>
      <c r="I464" s="6"/>
      <c r="J464" s="35"/>
      <c r="K464" s="35"/>
      <c r="L464" s="6"/>
    </row>
    <row r="465" spans="1:12" x14ac:dyDescent="0.2">
      <c r="A465" s="437" t="s">
        <v>758</v>
      </c>
      <c r="B465" s="6"/>
      <c r="C465" s="6"/>
      <c r="D465" s="73"/>
      <c r="E465" s="73"/>
      <c r="F465" s="6"/>
      <c r="G465" s="35"/>
      <c r="H465" s="35"/>
      <c r="I465" s="6"/>
      <c r="J465" s="35"/>
      <c r="K465" s="35"/>
      <c r="L465" s="6"/>
    </row>
    <row r="466" spans="1:12" x14ac:dyDescent="0.2">
      <c r="A466" s="437" t="s">
        <v>759</v>
      </c>
      <c r="B466" s="6"/>
      <c r="C466" s="6"/>
      <c r="D466" s="73"/>
      <c r="E466" s="73"/>
      <c r="F466" s="6"/>
      <c r="G466" s="35"/>
      <c r="H466" s="35"/>
      <c r="I466" s="6"/>
      <c r="J466" s="35"/>
      <c r="K466" s="35"/>
      <c r="L466" s="6"/>
    </row>
    <row r="467" spans="1:12" x14ac:dyDescent="0.2">
      <c r="A467" s="437" t="s">
        <v>760</v>
      </c>
      <c r="B467" s="6"/>
      <c r="C467" s="6"/>
      <c r="D467" s="73"/>
      <c r="E467" s="73"/>
      <c r="F467" s="6"/>
      <c r="G467" s="35"/>
      <c r="H467" s="35"/>
      <c r="I467" s="6"/>
      <c r="J467" s="35"/>
      <c r="K467" s="35"/>
      <c r="L467" s="6"/>
    </row>
    <row r="468" spans="1:12" x14ac:dyDescent="0.2">
      <c r="A468" s="437" t="s">
        <v>761</v>
      </c>
      <c r="B468" s="6"/>
      <c r="C468" s="6"/>
      <c r="D468" s="73"/>
      <c r="E468" s="73"/>
      <c r="F468" s="6"/>
      <c r="G468" s="35"/>
      <c r="H468" s="35"/>
      <c r="I468" s="6"/>
      <c r="J468" s="35"/>
      <c r="K468" s="35"/>
      <c r="L468" s="6"/>
    </row>
    <row r="469" spans="1:12" x14ac:dyDescent="0.2">
      <c r="A469" s="437" t="s">
        <v>762</v>
      </c>
      <c r="B469" s="6"/>
      <c r="C469" s="6"/>
      <c r="D469" s="73"/>
      <c r="E469" s="73"/>
      <c r="F469" s="6"/>
      <c r="G469" s="35"/>
      <c r="H469" s="35"/>
      <c r="I469" s="6"/>
      <c r="J469" s="35"/>
      <c r="K469" s="35"/>
      <c r="L469" s="6"/>
    </row>
    <row r="470" spans="1:12" x14ac:dyDescent="0.2">
      <c r="A470" s="437" t="s">
        <v>763</v>
      </c>
      <c r="B470" s="6"/>
      <c r="C470" s="6"/>
      <c r="D470" s="73"/>
      <c r="E470" s="73"/>
      <c r="F470" s="6"/>
      <c r="G470" s="35"/>
      <c r="H470" s="35"/>
      <c r="I470" s="6"/>
      <c r="J470" s="35"/>
      <c r="K470" s="35"/>
      <c r="L470" s="6"/>
    </row>
    <row r="471" spans="1:12" x14ac:dyDescent="0.2">
      <c r="A471" s="437" t="s">
        <v>764</v>
      </c>
      <c r="B471" s="6"/>
      <c r="C471" s="6"/>
      <c r="D471" s="73"/>
      <c r="E471" s="73"/>
      <c r="F471" s="6"/>
      <c r="G471" s="35"/>
      <c r="H471" s="35"/>
      <c r="I471" s="6"/>
      <c r="J471" s="35"/>
      <c r="K471" s="35"/>
      <c r="L471" s="6"/>
    </row>
    <row r="472" spans="1:12" x14ac:dyDescent="0.2">
      <c r="A472" s="437" t="s">
        <v>765</v>
      </c>
      <c r="B472" s="6"/>
      <c r="C472" s="6"/>
      <c r="D472" s="73"/>
      <c r="E472" s="73"/>
      <c r="F472" s="6"/>
      <c r="G472" s="35"/>
      <c r="H472" s="35"/>
      <c r="I472" s="6"/>
      <c r="J472" s="35"/>
      <c r="K472" s="35"/>
      <c r="L472" s="6"/>
    </row>
    <row r="473" spans="1:12" x14ac:dyDescent="0.2">
      <c r="A473" s="437" t="s">
        <v>766</v>
      </c>
      <c r="B473" s="6"/>
      <c r="C473" s="6"/>
      <c r="D473" s="73"/>
      <c r="E473" s="73"/>
      <c r="F473" s="6"/>
      <c r="G473" s="35"/>
      <c r="H473" s="35"/>
      <c r="I473" s="6"/>
      <c r="J473" s="35"/>
      <c r="K473" s="35"/>
      <c r="L473" s="6"/>
    </row>
    <row r="474" spans="1:12" x14ac:dyDescent="0.2">
      <c r="A474" s="437" t="s">
        <v>767</v>
      </c>
      <c r="B474" s="6"/>
      <c r="C474" s="6"/>
      <c r="D474" s="73"/>
      <c r="E474" s="73"/>
      <c r="F474" s="6"/>
      <c r="G474" s="35"/>
      <c r="H474" s="35"/>
      <c r="I474" s="6"/>
      <c r="J474" s="35"/>
      <c r="K474" s="35"/>
      <c r="L474" s="6"/>
    </row>
    <row r="475" spans="1:12" x14ac:dyDescent="0.2">
      <c r="A475" s="437" t="s">
        <v>768</v>
      </c>
      <c r="B475" s="6"/>
      <c r="C475" s="6"/>
      <c r="D475" s="73"/>
      <c r="E475" s="73"/>
      <c r="F475" s="6"/>
      <c r="G475" s="35"/>
      <c r="H475" s="35"/>
      <c r="I475" s="6"/>
      <c r="J475" s="35"/>
      <c r="K475" s="35"/>
      <c r="L475" s="6"/>
    </row>
    <row r="476" spans="1:12" x14ac:dyDescent="0.2">
      <c r="A476" s="437" t="s">
        <v>769</v>
      </c>
      <c r="B476" s="6"/>
      <c r="C476" s="6"/>
      <c r="D476" s="73"/>
      <c r="E476" s="73"/>
      <c r="F476" s="6"/>
      <c r="G476" s="35"/>
      <c r="H476" s="35"/>
      <c r="I476" s="6"/>
      <c r="J476" s="35"/>
      <c r="K476" s="35"/>
      <c r="L476" s="6"/>
    </row>
    <row r="477" spans="1:12" x14ac:dyDescent="0.2">
      <c r="A477" s="437" t="s">
        <v>770</v>
      </c>
      <c r="B477" s="6"/>
      <c r="C477" s="6"/>
      <c r="D477" s="73"/>
      <c r="E477" s="73"/>
      <c r="F477" s="6"/>
      <c r="G477" s="35"/>
      <c r="H477" s="35"/>
      <c r="I477" s="6"/>
      <c r="J477" s="35"/>
      <c r="K477" s="35"/>
      <c r="L477" s="6"/>
    </row>
    <row r="478" spans="1:12" x14ac:dyDescent="0.2">
      <c r="A478" s="437" t="s">
        <v>771</v>
      </c>
      <c r="B478" s="6"/>
      <c r="C478" s="6"/>
      <c r="D478" s="73"/>
      <c r="E478" s="73"/>
      <c r="F478" s="6"/>
      <c r="G478" s="35"/>
      <c r="H478" s="35"/>
      <c r="I478" s="6"/>
      <c r="J478" s="35"/>
      <c r="K478" s="35"/>
      <c r="L478" s="6"/>
    </row>
    <row r="479" spans="1:12" x14ac:dyDescent="0.2">
      <c r="A479" s="437" t="s">
        <v>772</v>
      </c>
      <c r="B479" s="6"/>
      <c r="C479" s="6"/>
      <c r="D479" s="73"/>
      <c r="E479" s="73"/>
      <c r="F479" s="6"/>
      <c r="G479" s="35"/>
      <c r="H479" s="35"/>
      <c r="I479" s="6"/>
      <c r="J479" s="35"/>
      <c r="K479" s="35"/>
      <c r="L479" s="6"/>
    </row>
    <row r="480" spans="1:12" x14ac:dyDescent="0.2">
      <c r="A480" s="437" t="s">
        <v>773</v>
      </c>
      <c r="B480" s="6"/>
      <c r="C480" s="6"/>
      <c r="D480" s="73"/>
      <c r="E480" s="73"/>
      <c r="F480" s="6"/>
      <c r="G480" s="35"/>
      <c r="H480" s="35"/>
      <c r="I480" s="6"/>
      <c r="J480" s="35"/>
      <c r="K480" s="35"/>
      <c r="L480" s="6"/>
    </row>
    <row r="481" spans="1:12" x14ac:dyDescent="0.2">
      <c r="A481" s="437" t="s">
        <v>774</v>
      </c>
      <c r="B481" s="6"/>
      <c r="C481" s="6"/>
      <c r="D481" s="73"/>
      <c r="E481" s="73"/>
      <c r="F481" s="6"/>
      <c r="G481" s="35"/>
      <c r="H481" s="35"/>
      <c r="I481" s="6"/>
      <c r="J481" s="35"/>
      <c r="K481" s="35"/>
      <c r="L481" s="6"/>
    </row>
    <row r="482" spans="1:12" x14ac:dyDescent="0.2">
      <c r="A482" s="437" t="s">
        <v>775</v>
      </c>
      <c r="B482" s="6"/>
      <c r="C482" s="6"/>
      <c r="D482" s="73"/>
      <c r="E482" s="73"/>
      <c r="F482" s="6"/>
      <c r="G482" s="35"/>
      <c r="H482" s="35"/>
      <c r="I482" s="6"/>
      <c r="J482" s="35"/>
      <c r="K482" s="35"/>
      <c r="L482" s="6"/>
    </row>
    <row r="483" spans="1:12" x14ac:dyDescent="0.2">
      <c r="A483" s="437" t="s">
        <v>776</v>
      </c>
      <c r="B483" s="6"/>
      <c r="C483" s="6"/>
      <c r="D483" s="73"/>
      <c r="E483" s="73"/>
      <c r="F483" s="6"/>
      <c r="G483" s="35"/>
      <c r="H483" s="35"/>
      <c r="I483" s="6"/>
      <c r="J483" s="35"/>
      <c r="K483" s="35"/>
      <c r="L483" s="6"/>
    </row>
    <row r="484" spans="1:12" x14ac:dyDescent="0.2">
      <c r="A484" s="437" t="s">
        <v>777</v>
      </c>
      <c r="B484" s="6"/>
      <c r="C484" s="6"/>
      <c r="D484" s="73"/>
      <c r="E484" s="73"/>
      <c r="F484" s="6"/>
      <c r="G484" s="35"/>
      <c r="H484" s="35"/>
      <c r="I484" s="6"/>
      <c r="J484" s="35"/>
      <c r="K484" s="35"/>
      <c r="L484" s="6"/>
    </row>
    <row r="485" spans="1:12" x14ac:dyDescent="0.2">
      <c r="A485" s="437" t="s">
        <v>778</v>
      </c>
      <c r="B485" s="6"/>
      <c r="C485" s="6"/>
      <c r="D485" s="73"/>
      <c r="E485" s="73"/>
      <c r="F485" s="6"/>
      <c r="G485" s="35"/>
      <c r="H485" s="35"/>
      <c r="I485" s="6"/>
      <c r="J485" s="35"/>
      <c r="K485" s="35"/>
      <c r="L485" s="6"/>
    </row>
    <row r="486" spans="1:12" x14ac:dyDescent="0.2">
      <c r="A486" s="437" t="s">
        <v>779</v>
      </c>
      <c r="B486" s="6"/>
      <c r="C486" s="6"/>
      <c r="D486" s="73"/>
      <c r="E486" s="73"/>
      <c r="F486" s="6"/>
      <c r="G486" s="35"/>
      <c r="H486" s="35"/>
      <c r="I486" s="6"/>
      <c r="J486" s="35"/>
      <c r="K486" s="35"/>
      <c r="L486" s="6"/>
    </row>
    <row r="487" spans="1:12" x14ac:dyDescent="0.2">
      <c r="A487" s="437" t="s">
        <v>780</v>
      </c>
      <c r="B487" s="6"/>
      <c r="C487" s="6"/>
      <c r="D487" s="73"/>
      <c r="E487" s="73"/>
      <c r="F487" s="6"/>
      <c r="G487" s="35"/>
      <c r="H487" s="35"/>
      <c r="I487" s="6"/>
      <c r="J487" s="35"/>
      <c r="K487" s="35"/>
      <c r="L487" s="6"/>
    </row>
    <row r="488" spans="1:12" x14ac:dyDescent="0.2">
      <c r="A488" s="437" t="s">
        <v>781</v>
      </c>
      <c r="B488" s="6"/>
      <c r="C488" s="6"/>
      <c r="D488" s="73"/>
      <c r="E488" s="73"/>
      <c r="F488" s="6"/>
      <c r="G488" s="35"/>
      <c r="H488" s="35"/>
      <c r="I488" s="6"/>
      <c r="J488" s="35"/>
      <c r="K488" s="35"/>
      <c r="L488" s="6"/>
    </row>
    <row r="489" spans="1:12" x14ac:dyDescent="0.2">
      <c r="A489" s="437" t="s">
        <v>782</v>
      </c>
      <c r="B489" s="6"/>
      <c r="C489" s="6"/>
      <c r="D489" s="73"/>
      <c r="E489" s="73"/>
      <c r="F489" s="6"/>
      <c r="G489" s="35"/>
      <c r="H489" s="35"/>
      <c r="I489" s="6"/>
      <c r="J489" s="35"/>
      <c r="K489" s="35"/>
      <c r="L489" s="6"/>
    </row>
    <row r="490" spans="1:12" x14ac:dyDescent="0.2">
      <c r="A490" s="437" t="s">
        <v>783</v>
      </c>
      <c r="B490" s="6"/>
      <c r="C490" s="6"/>
      <c r="D490" s="73"/>
      <c r="E490" s="73"/>
      <c r="F490" s="6"/>
      <c r="G490" s="35"/>
      <c r="H490" s="35"/>
      <c r="I490" s="6"/>
      <c r="J490" s="35"/>
      <c r="K490" s="35"/>
      <c r="L490" s="6"/>
    </row>
    <row r="491" spans="1:12" x14ac:dyDescent="0.2">
      <c r="A491" s="437" t="s">
        <v>784</v>
      </c>
      <c r="B491" s="6"/>
      <c r="C491" s="6"/>
      <c r="D491" s="73"/>
      <c r="E491" s="73"/>
      <c r="F491" s="6"/>
      <c r="G491" s="35"/>
      <c r="H491" s="35"/>
      <c r="I491" s="6"/>
      <c r="J491" s="35"/>
      <c r="K491" s="35"/>
      <c r="L491" s="6"/>
    </row>
    <row r="492" spans="1:12" x14ac:dyDescent="0.2">
      <c r="A492" s="437" t="s">
        <v>785</v>
      </c>
      <c r="B492" s="6"/>
      <c r="C492" s="6"/>
      <c r="D492" s="73"/>
      <c r="E492" s="73"/>
      <c r="F492" s="6"/>
      <c r="G492" s="35"/>
      <c r="H492" s="35"/>
      <c r="I492" s="6"/>
      <c r="J492" s="35"/>
      <c r="K492" s="35"/>
      <c r="L492" s="6"/>
    </row>
    <row r="493" spans="1:12" x14ac:dyDescent="0.2">
      <c r="A493" s="437" t="s">
        <v>786</v>
      </c>
      <c r="B493" s="6"/>
      <c r="C493" s="6"/>
      <c r="D493" s="73"/>
      <c r="E493" s="73"/>
      <c r="F493" s="6"/>
      <c r="G493" s="35"/>
      <c r="H493" s="35"/>
      <c r="I493" s="6"/>
      <c r="J493" s="35"/>
      <c r="K493" s="35"/>
      <c r="L493" s="6"/>
    </row>
    <row r="494" spans="1:12" x14ac:dyDescent="0.2">
      <c r="A494" s="437" t="s">
        <v>787</v>
      </c>
      <c r="B494" s="6"/>
      <c r="C494" s="6"/>
      <c r="D494" s="73"/>
      <c r="E494" s="73"/>
      <c r="F494" s="6"/>
      <c r="G494" s="35"/>
      <c r="H494" s="35"/>
      <c r="I494" s="6"/>
      <c r="J494" s="35"/>
      <c r="K494" s="35"/>
      <c r="L494" s="6"/>
    </row>
    <row r="495" spans="1:12" x14ac:dyDescent="0.2">
      <c r="A495" s="437" t="s">
        <v>788</v>
      </c>
      <c r="B495" s="6"/>
      <c r="C495" s="6"/>
      <c r="D495" s="73"/>
      <c r="E495" s="73"/>
      <c r="F495" s="6"/>
      <c r="G495" s="35"/>
      <c r="H495" s="35"/>
      <c r="I495" s="6"/>
      <c r="J495" s="35"/>
      <c r="K495" s="35"/>
      <c r="L495" s="6"/>
    </row>
    <row r="496" spans="1:12" x14ac:dyDescent="0.2">
      <c r="A496" s="437" t="s">
        <v>789</v>
      </c>
      <c r="B496" s="6"/>
      <c r="C496" s="6"/>
      <c r="D496" s="73"/>
      <c r="E496" s="73"/>
      <c r="F496" s="6"/>
      <c r="G496" s="35"/>
      <c r="H496" s="35"/>
      <c r="I496" s="6"/>
      <c r="J496" s="35"/>
      <c r="K496" s="35"/>
      <c r="L496" s="6"/>
    </row>
    <row r="497" spans="1:12" x14ac:dyDescent="0.2">
      <c r="A497" s="437" t="s">
        <v>790</v>
      </c>
      <c r="B497" s="6"/>
      <c r="C497" s="6"/>
      <c r="D497" s="73"/>
      <c r="E497" s="73"/>
      <c r="F497" s="6"/>
      <c r="G497" s="35"/>
      <c r="H497" s="35"/>
      <c r="I497" s="6"/>
      <c r="J497" s="35"/>
      <c r="K497" s="35"/>
      <c r="L497" s="6"/>
    </row>
    <row r="498" spans="1:12" x14ac:dyDescent="0.2">
      <c r="A498" s="437" t="s">
        <v>791</v>
      </c>
      <c r="B498" s="6"/>
      <c r="C498" s="6"/>
      <c r="D498" s="73"/>
      <c r="E498" s="73"/>
      <c r="F498" s="6"/>
      <c r="G498" s="35"/>
      <c r="H498" s="35"/>
      <c r="I498" s="6"/>
      <c r="J498" s="35"/>
      <c r="K498" s="35"/>
      <c r="L498" s="6"/>
    </row>
    <row r="499" spans="1:12" x14ac:dyDescent="0.2">
      <c r="A499" s="437" t="s">
        <v>792</v>
      </c>
      <c r="B499" s="6"/>
      <c r="C499" s="6"/>
      <c r="D499" s="73"/>
      <c r="E499" s="73"/>
      <c r="F499" s="6"/>
      <c r="G499" s="35"/>
      <c r="H499" s="35"/>
      <c r="I499" s="6"/>
      <c r="J499" s="35"/>
      <c r="K499" s="35"/>
      <c r="L499" s="6"/>
    </row>
    <row r="500" spans="1:12" x14ac:dyDescent="0.2">
      <c r="A500" s="437" t="s">
        <v>793</v>
      </c>
      <c r="B500" s="6"/>
      <c r="C500" s="6"/>
      <c r="D500" s="73"/>
      <c r="E500" s="73"/>
      <c r="F500" s="6"/>
      <c r="G500" s="35"/>
      <c r="H500" s="35"/>
      <c r="I500" s="6"/>
      <c r="J500" s="35"/>
      <c r="K500" s="35"/>
      <c r="L500" s="6"/>
    </row>
    <row r="501" spans="1:12" x14ac:dyDescent="0.2">
      <c r="A501" s="437" t="s">
        <v>794</v>
      </c>
      <c r="B501" s="6"/>
      <c r="C501" s="6"/>
      <c r="D501" s="73"/>
      <c r="E501" s="73"/>
      <c r="F501" s="6"/>
      <c r="G501" s="35"/>
      <c r="H501" s="35"/>
      <c r="I501" s="6"/>
      <c r="J501" s="35"/>
      <c r="K501" s="35"/>
      <c r="L501" s="6"/>
    </row>
    <row r="502" spans="1:12" x14ac:dyDescent="0.2">
      <c r="A502" s="437" t="s">
        <v>795</v>
      </c>
      <c r="B502" s="6"/>
      <c r="C502" s="6"/>
      <c r="D502" s="73"/>
      <c r="E502" s="73"/>
      <c r="F502" s="6"/>
      <c r="G502" s="35"/>
      <c r="H502" s="35"/>
      <c r="I502" s="6"/>
      <c r="J502" s="35"/>
      <c r="K502" s="35"/>
      <c r="L502" s="6"/>
    </row>
    <row r="503" spans="1:12" x14ac:dyDescent="0.2">
      <c r="A503" s="437" t="s">
        <v>796</v>
      </c>
      <c r="B503" s="6"/>
      <c r="C503" s="6"/>
      <c r="D503" s="73"/>
      <c r="E503" s="73"/>
      <c r="F503" s="6"/>
      <c r="G503" s="35"/>
      <c r="H503" s="35"/>
      <c r="I503" s="6"/>
      <c r="J503" s="35"/>
      <c r="K503" s="35"/>
      <c r="L503" s="6"/>
    </row>
    <row r="504" spans="1:12" x14ac:dyDescent="0.2">
      <c r="A504" s="437" t="s">
        <v>797</v>
      </c>
      <c r="B504" s="6"/>
      <c r="C504" s="6"/>
      <c r="D504" s="73"/>
      <c r="E504" s="73"/>
      <c r="F504" s="6"/>
      <c r="G504" s="35"/>
      <c r="H504" s="35"/>
      <c r="I504" s="6"/>
      <c r="J504" s="35"/>
      <c r="K504" s="35"/>
      <c r="L504" s="6"/>
    </row>
    <row r="505" spans="1:12" x14ac:dyDescent="0.2">
      <c r="A505" s="437" t="s">
        <v>798</v>
      </c>
      <c r="B505" s="6"/>
      <c r="C505" s="6"/>
      <c r="D505" s="73"/>
      <c r="E505" s="73"/>
      <c r="F505" s="6"/>
      <c r="G505" s="35"/>
      <c r="H505" s="35"/>
      <c r="I505" s="6"/>
      <c r="J505" s="35"/>
      <c r="K505" s="35"/>
      <c r="L505" s="6"/>
    </row>
    <row r="506" spans="1:12" x14ac:dyDescent="0.2">
      <c r="A506" s="437" t="s">
        <v>799</v>
      </c>
      <c r="B506" s="6"/>
      <c r="C506" s="6"/>
      <c r="D506" s="73"/>
      <c r="E506" s="73"/>
      <c r="F506" s="6"/>
      <c r="G506" s="35"/>
      <c r="H506" s="35"/>
      <c r="I506" s="6"/>
      <c r="J506" s="35"/>
      <c r="K506" s="35"/>
      <c r="L506" s="6"/>
    </row>
    <row r="507" spans="1:12" x14ac:dyDescent="0.2">
      <c r="A507" s="437" t="s">
        <v>800</v>
      </c>
      <c r="B507" s="6"/>
      <c r="C507" s="6"/>
      <c r="D507" s="73"/>
      <c r="E507" s="73"/>
      <c r="F507" s="6"/>
      <c r="G507" s="35"/>
      <c r="H507" s="35"/>
      <c r="I507" s="6"/>
      <c r="J507" s="35"/>
      <c r="K507" s="35"/>
      <c r="L507" s="6"/>
    </row>
    <row r="508" spans="1:12" x14ac:dyDescent="0.2">
      <c r="A508" s="437" t="s">
        <v>801</v>
      </c>
      <c r="B508" s="6"/>
      <c r="C508" s="6"/>
      <c r="D508" s="73"/>
      <c r="E508" s="73"/>
      <c r="F508" s="6"/>
      <c r="G508" s="35"/>
      <c r="H508" s="35"/>
      <c r="I508" s="6"/>
      <c r="J508" s="35"/>
      <c r="K508" s="35"/>
      <c r="L508" s="6"/>
    </row>
    <row r="509" spans="1:12" x14ac:dyDescent="0.2">
      <c r="A509" s="6"/>
      <c r="B509" s="6"/>
      <c r="C509" s="6"/>
      <c r="D509" s="73"/>
      <c r="E509" s="73"/>
      <c r="F509" s="6"/>
      <c r="G509" s="35"/>
      <c r="H509" s="35"/>
      <c r="I509" s="6"/>
      <c r="J509" s="35"/>
      <c r="K509" s="35"/>
      <c r="L509" s="6"/>
    </row>
    <row r="510" spans="1:12" x14ac:dyDescent="0.2">
      <c r="A510" s="6"/>
      <c r="B510" s="6"/>
      <c r="C510" s="6"/>
      <c r="D510" s="73"/>
      <c r="E510" s="73"/>
      <c r="F510" s="6"/>
      <c r="G510" s="35"/>
      <c r="H510" s="35"/>
      <c r="I510" s="6"/>
      <c r="J510" s="35"/>
      <c r="K510" s="35"/>
      <c r="L510" s="6"/>
    </row>
    <row r="511" spans="1:12" x14ac:dyDescent="0.2">
      <c r="A511" s="6"/>
      <c r="B511" s="6"/>
      <c r="C511" s="6"/>
      <c r="D511" s="73"/>
      <c r="E511" s="73"/>
      <c r="F511" s="6"/>
      <c r="G511" s="35"/>
      <c r="H511" s="35"/>
      <c r="I511" s="6"/>
      <c r="J511" s="35"/>
      <c r="K511" s="35"/>
      <c r="L511" s="6"/>
    </row>
    <row r="512" spans="1:12" x14ac:dyDescent="0.2">
      <c r="A512" s="6"/>
      <c r="B512" s="6"/>
      <c r="C512" s="6"/>
      <c r="D512" s="73"/>
      <c r="E512" s="73"/>
      <c r="F512" s="6"/>
      <c r="G512" s="6"/>
      <c r="H512" s="6"/>
      <c r="I512" s="6"/>
      <c r="J512" s="35"/>
      <c r="K512" s="35"/>
      <c r="L512" s="6"/>
    </row>
    <row r="513" spans="1:12" x14ac:dyDescent="0.2">
      <c r="A513" s="6"/>
      <c r="B513" s="6"/>
      <c r="C513" s="6"/>
      <c r="D513" s="73"/>
      <c r="E513" s="73"/>
      <c r="F513" s="6"/>
      <c r="G513" s="35"/>
      <c r="H513" s="35"/>
      <c r="I513" s="6"/>
      <c r="J513" s="35"/>
      <c r="K513" s="35"/>
      <c r="L513" s="6"/>
    </row>
    <row r="514" spans="1:12" x14ac:dyDescent="0.2">
      <c r="A514" s="6"/>
      <c r="B514" s="6"/>
      <c r="C514" s="6"/>
      <c r="D514" s="73"/>
      <c r="E514" s="73"/>
      <c r="F514" s="6"/>
      <c r="G514" s="35"/>
      <c r="H514" s="35"/>
      <c r="I514" s="6"/>
      <c r="J514" s="35"/>
      <c r="K514" s="35"/>
      <c r="L514" s="6"/>
    </row>
    <row r="515" spans="1:12" x14ac:dyDescent="0.2">
      <c r="A515" s="6"/>
      <c r="B515" s="6"/>
      <c r="C515" s="6"/>
      <c r="D515" s="73"/>
      <c r="E515" s="73"/>
      <c r="F515" s="6"/>
      <c r="G515" s="35"/>
      <c r="H515" s="35"/>
      <c r="I515" s="6"/>
      <c r="J515" s="35"/>
      <c r="K515" s="35"/>
      <c r="L515" s="6"/>
    </row>
    <row r="516" spans="1:12" x14ac:dyDescent="0.2">
      <c r="A516" s="6"/>
      <c r="B516" s="6"/>
      <c r="C516" s="6"/>
      <c r="D516" s="73"/>
      <c r="E516" s="73"/>
      <c r="F516" s="6"/>
      <c r="G516" s="35"/>
      <c r="H516" s="35"/>
      <c r="I516" s="6"/>
      <c r="J516" s="35"/>
      <c r="K516" s="35"/>
      <c r="L516" s="6"/>
    </row>
    <row r="517" spans="1:12" x14ac:dyDescent="0.2">
      <c r="A517" s="6"/>
      <c r="B517" s="6"/>
      <c r="C517" s="6"/>
      <c r="D517" s="73"/>
      <c r="E517" s="73"/>
      <c r="F517" s="6"/>
      <c r="G517" s="35"/>
      <c r="H517" s="35"/>
      <c r="I517" s="6"/>
      <c r="J517" s="35"/>
      <c r="K517" s="35"/>
      <c r="L517" s="6"/>
    </row>
    <row r="518" spans="1:12" x14ac:dyDescent="0.2">
      <c r="A518" s="6"/>
      <c r="B518" s="6"/>
      <c r="C518" s="6"/>
      <c r="D518" s="73"/>
      <c r="E518" s="73"/>
      <c r="F518" s="6"/>
      <c r="G518" s="35"/>
      <c r="H518" s="35"/>
      <c r="I518" s="6"/>
      <c r="J518" s="35"/>
      <c r="K518" s="35"/>
      <c r="L518" s="6"/>
    </row>
    <row r="519" spans="1:12" x14ac:dyDescent="0.2">
      <c r="A519" s="6"/>
      <c r="B519" s="6"/>
      <c r="C519" s="6"/>
      <c r="D519" s="73"/>
      <c r="E519" s="73"/>
      <c r="F519" s="6"/>
      <c r="G519" s="6"/>
      <c r="H519" s="6"/>
      <c r="I519" s="6"/>
      <c r="J519" s="35"/>
      <c r="K519" s="35"/>
      <c r="L519" s="6"/>
    </row>
    <row r="520" spans="1:12" x14ac:dyDescent="0.2">
      <c r="A520" s="6"/>
      <c r="B520" s="6"/>
      <c r="C520" s="6"/>
      <c r="D520" s="73"/>
      <c r="E520" s="73"/>
      <c r="F520" s="6"/>
      <c r="G520" s="6"/>
      <c r="H520" s="6"/>
      <c r="I520" s="6"/>
      <c r="J520" s="35"/>
      <c r="K520" s="35"/>
      <c r="L520" s="6"/>
    </row>
    <row r="521" spans="1:12" x14ac:dyDescent="0.2">
      <c r="A521" s="6"/>
      <c r="B521" s="6"/>
      <c r="C521" s="6"/>
      <c r="D521" s="73"/>
      <c r="E521" s="73"/>
      <c r="F521" s="6"/>
      <c r="G521" s="6"/>
      <c r="H521" s="6"/>
      <c r="I521" s="6"/>
      <c r="J521" s="35"/>
      <c r="K521" s="35"/>
      <c r="L521" s="6"/>
    </row>
    <row r="522" spans="1:12" x14ac:dyDescent="0.2">
      <c r="A522" s="6"/>
      <c r="B522" s="6"/>
      <c r="C522" s="6"/>
      <c r="D522" s="73"/>
      <c r="E522" s="73"/>
      <c r="F522" s="6"/>
      <c r="G522" s="6"/>
      <c r="H522" s="6"/>
      <c r="I522" s="6"/>
      <c r="J522" s="35"/>
      <c r="K522" s="35"/>
      <c r="L522" s="6"/>
    </row>
    <row r="523" spans="1:12" x14ac:dyDescent="0.2">
      <c r="A523" s="6"/>
      <c r="B523" s="6"/>
      <c r="C523" s="6"/>
      <c r="D523" s="73"/>
      <c r="E523" s="73"/>
      <c r="F523" s="6"/>
      <c r="G523" s="6"/>
      <c r="H523" s="6"/>
      <c r="I523" s="6"/>
      <c r="J523" s="35"/>
      <c r="K523" s="35"/>
      <c r="L523" s="6"/>
    </row>
    <row r="524" spans="1:12" x14ac:dyDescent="0.2">
      <c r="A524" s="6"/>
      <c r="B524" s="6"/>
      <c r="C524" s="6"/>
      <c r="D524" s="73"/>
      <c r="E524" s="73"/>
      <c r="F524" s="6"/>
      <c r="G524" s="35"/>
      <c r="H524" s="35"/>
      <c r="I524" s="6"/>
      <c r="J524" s="35"/>
      <c r="K524" s="35"/>
      <c r="L524" s="6"/>
    </row>
    <row r="525" spans="1:12" x14ac:dyDescent="0.2">
      <c r="A525" s="6"/>
      <c r="B525" s="6"/>
      <c r="C525" s="6"/>
      <c r="D525" s="73"/>
      <c r="E525" s="73"/>
      <c r="F525" s="6"/>
      <c r="G525" s="6"/>
      <c r="H525" s="6"/>
      <c r="I525" s="6"/>
      <c r="J525" s="35"/>
      <c r="K525" s="35"/>
      <c r="L525" s="6"/>
    </row>
    <row r="526" spans="1:12" x14ac:dyDescent="0.2">
      <c r="A526" s="6"/>
      <c r="B526" s="6"/>
      <c r="C526" s="6"/>
      <c r="D526" s="73"/>
      <c r="E526" s="73"/>
      <c r="F526" s="6"/>
      <c r="G526" s="6"/>
      <c r="H526" s="6"/>
      <c r="I526" s="6"/>
      <c r="J526" s="35"/>
      <c r="K526" s="35"/>
      <c r="L526" s="6"/>
    </row>
    <row r="527" spans="1:12" x14ac:dyDescent="0.2">
      <c r="A527" s="6"/>
      <c r="B527" s="6"/>
      <c r="C527" s="6"/>
      <c r="D527" s="73"/>
      <c r="E527" s="73"/>
      <c r="F527" s="6"/>
      <c r="G527" s="6"/>
      <c r="H527" s="6"/>
      <c r="I527" s="6"/>
      <c r="J527" s="35"/>
      <c r="K527" s="35"/>
      <c r="L527" s="6"/>
    </row>
  </sheetData>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2" type="noConversion"/>
  <pageMargins left="0.7" right="0.7" top="0.78740157499999996" bottom="0.78740157499999996" header="0.3" footer="0.3"/>
  <pageSetup paperSize="9" orientation="portrait"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F6"/>
  <sheetViews>
    <sheetView workbookViewId="0">
      <selection activeCell="A11" sqref="A11"/>
    </sheetView>
  </sheetViews>
  <sheetFormatPr defaultColWidth="11.42578125" defaultRowHeight="15" x14ac:dyDescent="0.25"/>
  <cols>
    <col min="1" max="1" width="21.85546875" customWidth="1"/>
    <col min="2" max="2" width="33.5703125" customWidth="1"/>
    <col min="3" max="3" width="44.140625" customWidth="1"/>
    <col min="4" max="4" width="41.140625" customWidth="1"/>
    <col min="5" max="5" width="46.7109375" customWidth="1"/>
    <col min="6" max="6" width="38.2851562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x14ac:dyDescent="0.25">
      <c r="A1" s="166" t="s">
        <v>353</v>
      </c>
      <c r="B1" s="299" t="str">
        <f>IF('Basic data'!C16="","",'Basic data'!C16)</f>
        <v/>
      </c>
    </row>
    <row r="2" spans="1:6" x14ac:dyDescent="0.25">
      <c r="A2" s="166" t="s">
        <v>72</v>
      </c>
      <c r="B2" s="300" t="str">
        <f>IF('Basic data'!I12="","",'Basic data'!I12)</f>
        <v/>
      </c>
    </row>
    <row r="3" spans="1:6" x14ac:dyDescent="0.25">
      <c r="A3" s="166" t="s">
        <v>439</v>
      </c>
      <c r="B3" s="300" t="str">
        <f>IF('Basic data'!I14="","",'Basic data'!I14)</f>
        <v>-----</v>
      </c>
    </row>
    <row r="5" spans="1:6" x14ac:dyDescent="0.25">
      <c r="A5" s="159" t="s">
        <v>12</v>
      </c>
      <c r="B5" s="160" t="s">
        <v>17</v>
      </c>
      <c r="C5" s="160" t="s">
        <v>480</v>
      </c>
      <c r="D5" s="160" t="s">
        <v>479</v>
      </c>
      <c r="E5" s="160" t="s">
        <v>1003</v>
      </c>
      <c r="F5" s="160" t="s">
        <v>951</v>
      </c>
    </row>
    <row r="6" spans="1:6" x14ac:dyDescent="0.25">
      <c r="A6" s="106" t="str">
        <f>IF('Basic data'!B22=0,"",'Basic data'!B22)</f>
        <v/>
      </c>
      <c r="B6" s="106" t="str">
        <f>IF('Basic data'!B25=0,"",'Basic data'!B25)</f>
        <v/>
      </c>
      <c r="C6" s="550" t="str">
        <f>IF('Basic data'!F22=0,"",'Basic data'!F22)</f>
        <v/>
      </c>
      <c r="D6" s="106" t="str">
        <f>IF('Basic data'!F25=0,"",'Basic data'!F25)</f>
        <v>Not yet available</v>
      </c>
      <c r="E6" s="106" t="str">
        <f>IF('Basic data'!C12="","",'Basic data'!C12)</f>
        <v/>
      </c>
      <c r="F6" s="106" t="str">
        <f>IF('Basic data'!C14="","",'Basic data'!C14)</f>
        <v/>
      </c>
    </row>
  </sheetData>
  <customSheetViews>
    <customSheetView guid="{DAA0C1F4-4D8F-4BD8-91F9-40281B589772}" state="hidden">
      <selection activeCell="C26" sqref="C26"/>
      <pageMargins left="0.7" right="0.7" top="0.78740157499999996" bottom="0.78740157499999996" header="0.3" footer="0.3"/>
    </customSheetView>
    <customSheetView guid="{AD479C9E-06F7-4C03-8179-295428B49475}">
      <selection activeCell="E8" sqref="E8"/>
      <pageMargins left="0.7" right="0.7" top="0.78740157499999996" bottom="0.78740157499999996" header="0.3" footer="0.3"/>
    </customSheetView>
  </customSheetViews>
  <phoneticPr fontId="42" type="noConversion"/>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dimension ref="A4:H11"/>
  <sheetViews>
    <sheetView workbookViewId="0">
      <selection activeCell="C16" sqref="C16"/>
    </sheetView>
  </sheetViews>
  <sheetFormatPr defaultColWidth="11.42578125" defaultRowHeight="15" x14ac:dyDescent="0.25"/>
  <cols>
    <col min="1" max="1" width="28.140625" customWidth="1"/>
    <col min="2" max="2" width="23.140625" customWidth="1"/>
    <col min="3" max="3" width="11.28515625" customWidth="1"/>
    <col min="4" max="4" width="13.140625" customWidth="1"/>
    <col min="5" max="5" width="13.28515625" customWidth="1"/>
    <col min="6" max="6" width="12" customWidth="1"/>
    <col min="7" max="7" width="12.140625" customWidth="1"/>
    <col min="8" max="8" width="11.85546875" customWidth="1"/>
    <col min="9" max="9" width="38.28515625" customWidth="1"/>
    <col min="10" max="10" width="42.85546875" customWidth="1"/>
    <col min="11" max="11" width="43.7109375" customWidth="1"/>
    <col min="12" max="12" width="36" customWidth="1"/>
    <col min="13" max="13" width="16.5703125" customWidth="1"/>
    <col min="14" max="14" width="24.140625" customWidth="1"/>
    <col min="15" max="15" width="35" customWidth="1"/>
    <col min="16" max="16" width="28.140625" customWidth="1"/>
    <col min="17" max="17" width="27.7109375" customWidth="1"/>
    <col min="18" max="18" width="30.140625" customWidth="1"/>
    <col min="19" max="19" width="28.140625" customWidth="1"/>
    <col min="20" max="20" width="29.7109375" customWidth="1"/>
    <col min="21" max="21" width="15.28515625" customWidth="1"/>
    <col min="22" max="22" width="17.28515625" customWidth="1"/>
  </cols>
  <sheetData>
    <row r="4" spans="1:8" ht="43.5" customHeight="1" x14ac:dyDescent="0.25">
      <c r="A4" s="246" t="str">
        <f>'Basic data'!B27</f>
        <v>Primary cases 
Pancreatic cancer 
Definition in accordance with CR 1.2.0</v>
      </c>
      <c r="B4" s="55" t="str">
        <f>'Basic data'!D27</f>
        <v>IA</v>
      </c>
      <c r="C4" s="55" t="str">
        <f>'Basic data'!E27</f>
        <v>IB</v>
      </c>
      <c r="D4" s="55" t="str">
        <f>'Basic data'!F27</f>
        <v>IIA</v>
      </c>
      <c r="E4" s="55" t="str">
        <f>'Basic data'!G27</f>
        <v>IIB</v>
      </c>
      <c r="F4" s="55" t="str">
        <f>'Basic data'!H27</f>
        <v>III</v>
      </c>
      <c r="G4" s="55" t="str">
        <f>'Basic data'!I27</f>
        <v>IV</v>
      </c>
      <c r="H4" s="242" t="str">
        <f>'Basic data'!J27</f>
        <v>Total</v>
      </c>
    </row>
    <row r="5" spans="1:8" ht="43.5" customHeight="1" x14ac:dyDescent="0.25">
      <c r="A5" s="243" t="str">
        <f>'Basic data'!B31</f>
        <v xml:space="preserve">Primary cases pancreatic cancer 
= exocrine pancreatic cancer </v>
      </c>
      <c r="B5" s="241" t="str">
        <f>IF('Basic data'!D31="","",'Basic data'!D31)</f>
        <v/>
      </c>
      <c r="C5" s="241" t="str">
        <f>IF('Basic data'!E31="","",'Basic data'!E31)</f>
        <v/>
      </c>
      <c r="D5" s="241" t="str">
        <f>IF('Basic data'!F31="","",'Basic data'!F31)</f>
        <v/>
      </c>
      <c r="E5" s="241" t="str">
        <f>IF('Basic data'!G31="","",'Basic data'!G31)</f>
        <v/>
      </c>
      <c r="F5" s="241" t="str">
        <f>IF('Basic data'!H31="","",'Basic data'!H31)</f>
        <v/>
      </c>
      <c r="G5" s="241" t="str">
        <f>IF('Basic data'!I31="","",'Basic data'!I31)</f>
        <v/>
      </c>
      <c r="H5" s="241" t="str">
        <f>IF('Basic data'!J31="","",'Basic data'!J31)</f>
        <v/>
      </c>
    </row>
    <row r="6" spans="1:8" ht="51.75" customHeight="1" x14ac:dyDescent="0.25">
      <c r="A6" s="243" t="str">
        <f>'Basic data'!B32</f>
        <v xml:space="preserve">    of which surgical primary cases of 
    pancreatic cancer
     (Only ICD-10 C25 in combination with OPS 
     (German procedure classification) 
     5-524*, 5-525*)</v>
      </c>
      <c r="B6" s="241" t="str">
        <f>IF('Basic data'!D32="","",'Basic data'!D32)</f>
        <v/>
      </c>
      <c r="C6" s="241" t="str">
        <f>IF('Basic data'!E32="","",'Basic data'!E32)</f>
        <v/>
      </c>
      <c r="D6" s="241" t="str">
        <f>IF('Basic data'!F32="","",'Basic data'!F32)</f>
        <v/>
      </c>
      <c r="E6" s="241" t="str">
        <f>IF('Basic data'!G32="","",'Basic data'!G32)</f>
        <v/>
      </c>
      <c r="F6" s="241" t="str">
        <f>IF('Basic data'!H32="","",'Basic data'!H32)</f>
        <v/>
      </c>
      <c r="G6" s="241" t="str">
        <f>IF('Basic data'!I32="","",'Basic data'!I32)</f>
        <v/>
      </c>
      <c r="H6" s="241" t="str">
        <f>IF('Basic data'!J32="","",'Basic data'!J32)</f>
        <v/>
      </c>
    </row>
    <row r="7" spans="1:8" ht="51.75" customHeight="1" x14ac:dyDescent="0.25">
      <c r="A7" s="630" t="str">
        <f>'Basic data'!B34</f>
        <v>Primary cases of neuroendocrine tumours (NETs) and neuroendocrine carcinomas (NECs)</v>
      </c>
      <c r="B7" s="631"/>
      <c r="C7" s="631"/>
      <c r="D7" s="631"/>
      <c r="E7" s="631"/>
      <c r="F7" s="631"/>
      <c r="G7" s="632"/>
      <c r="H7" s="241" t="str">
        <f>IF('Basic data'!J34="","",'Basic data'!J34)</f>
        <v/>
      </c>
    </row>
    <row r="8" spans="1:8" ht="51.75" customHeight="1" x14ac:dyDescent="0.25">
      <c r="A8" s="630" t="str">
        <f>'Basic data'!B35</f>
        <v xml:space="preserve">     of which surgical primary cases NET and NEC
     (Only ICD-10 C25 in combination with OPS: 5-524*, 5-525*)</v>
      </c>
      <c r="B8" s="631"/>
      <c r="C8" s="631"/>
      <c r="D8" s="631"/>
      <c r="E8" s="631"/>
      <c r="F8" s="631"/>
      <c r="G8" s="632"/>
      <c r="H8" s="241" t="str">
        <f>IF('Basic data'!J35="","",'Basic data'!J35)</f>
        <v/>
      </c>
    </row>
    <row r="9" spans="1:8" ht="51.75" customHeight="1" x14ac:dyDescent="0.25">
      <c r="A9" s="630" t="str">
        <f>'Basic data'!B37</f>
        <v>Primary cases total</v>
      </c>
      <c r="B9" s="631"/>
      <c r="C9" s="631"/>
      <c r="D9" s="631"/>
      <c r="E9" s="631"/>
      <c r="F9" s="631"/>
      <c r="G9" s="632"/>
      <c r="H9" s="241" t="str">
        <f>IF('Basic data'!J37="","",'Basic data'!J37)</f>
        <v/>
      </c>
    </row>
    <row r="10" spans="1:8" ht="51.75" customHeight="1" x14ac:dyDescent="0.25">
      <c r="A10" s="630" t="str">
        <f>'Basic data'!B38</f>
        <v>Surgical primary cases total</v>
      </c>
      <c r="B10" s="631"/>
      <c r="C10" s="631"/>
      <c r="D10" s="631"/>
      <c r="E10" s="631"/>
      <c r="F10" s="631"/>
      <c r="G10" s="632"/>
      <c r="H10" s="241" t="str">
        <f>IF('Basic data'!J38="","",'Basic data'!J38)</f>
        <v/>
      </c>
    </row>
    <row r="11" spans="1:8" ht="43.5" customHeight="1" x14ac:dyDescent="0.25">
      <c r="A11" s="628" t="s">
        <v>537</v>
      </c>
      <c r="B11" s="629"/>
      <c r="C11" s="629"/>
      <c r="D11" s="629"/>
      <c r="E11" s="629"/>
      <c r="F11" s="629"/>
      <c r="G11" s="629"/>
      <c r="H11" s="241" t="str">
        <f>IF('Basic data'!J40="","",'Basic data'!J40)</f>
        <v/>
      </c>
    </row>
  </sheetData>
  <mergeCells count="5">
    <mergeCell ref="A11:G11"/>
    <mergeCell ref="A7:G7"/>
    <mergeCell ref="A8:G8"/>
    <mergeCell ref="A9:G9"/>
    <mergeCell ref="A10:G10"/>
  </mergeCell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7F2BC-0B9A-482F-AF1C-81C321638499}">
  <sheetPr>
    <pageSetUpPr fitToPage="1"/>
  </sheetPr>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3" width="20.5703125" customWidth="1"/>
    <col min="4" max="4" width="21" customWidth="1"/>
    <col min="5" max="5" width="20.7109375" customWidth="1"/>
    <col min="9" max="11" width="9.140625" style="344" hidden="1" customWidth="1"/>
  </cols>
  <sheetData>
    <row r="1" spans="1:11" ht="7.5" customHeight="1" x14ac:dyDescent="0.25"/>
    <row r="2" spans="1:11" x14ac:dyDescent="0.25">
      <c r="A2" s="493" t="str">
        <f>'Basic data'!B2</f>
        <v>Annex CR Version P1.1 (Audit year 2026 / Indicator year 2025)</v>
      </c>
    </row>
    <row r="3" spans="1:11" ht="15.75" x14ac:dyDescent="0.25">
      <c r="A3" s="494" t="s">
        <v>953</v>
      </c>
    </row>
    <row r="4" spans="1:11" ht="15.95" customHeight="1" thickBot="1" x14ac:dyDescent="0.3"/>
    <row r="5" spans="1:11" ht="18" customHeight="1" thickBot="1" x14ac:dyDescent="0.3">
      <c r="D5" s="495" t="s">
        <v>954</v>
      </c>
      <c r="E5" s="496">
        <f>SUM(K11:K60)</f>
        <v>0</v>
      </c>
    </row>
    <row r="6" spans="1:11" ht="12" customHeight="1" x14ac:dyDescent="0.25">
      <c r="A6" s="342"/>
    </row>
    <row r="7" spans="1:11" ht="21.75" customHeight="1" x14ac:dyDescent="0.25">
      <c r="A7" s="633" t="s">
        <v>955</v>
      </c>
      <c r="B7" s="634"/>
      <c r="C7" s="634"/>
      <c r="D7" s="634"/>
      <c r="E7" s="634"/>
    </row>
    <row r="8" spans="1:11" ht="10.5" customHeight="1" thickBot="1" x14ac:dyDescent="0.3"/>
    <row r="9" spans="1:11" ht="18.75" customHeight="1" x14ac:dyDescent="0.25">
      <c r="A9" s="635" t="s">
        <v>956</v>
      </c>
      <c r="B9" s="637" t="s">
        <v>957</v>
      </c>
      <c r="C9" s="637" t="s">
        <v>958</v>
      </c>
      <c r="D9" s="637"/>
      <c r="E9" s="639"/>
    </row>
    <row r="10" spans="1:11" ht="51.75" customHeight="1" thickBot="1" x14ac:dyDescent="0.3">
      <c r="A10" s="636"/>
      <c r="B10" s="638"/>
      <c r="C10" s="497" t="s">
        <v>959</v>
      </c>
      <c r="D10" s="497" t="s">
        <v>960</v>
      </c>
      <c r="E10" s="498" t="s">
        <v>961</v>
      </c>
    </row>
    <row r="11" spans="1:11" ht="26.1" customHeight="1" x14ac:dyDescent="0.25">
      <c r="A11" s="499"/>
      <c r="B11" s="500"/>
      <c r="C11" s="501"/>
      <c r="D11" s="501"/>
      <c r="E11" s="502"/>
      <c r="I11" s="344">
        <f>IF(A11&lt;&gt;"",1,0)</f>
        <v>0</v>
      </c>
      <c r="J11" s="344">
        <f>IF(B11&lt;&gt;"",1,0)</f>
        <v>0</v>
      </c>
      <c r="K11" s="344" t="str">
        <f>IF(AND(SUM($C$11:$C$60)&gt;=1,SUM(I11:J11)=2),SUM(C11:E11),"")</f>
        <v/>
      </c>
    </row>
    <row r="12" spans="1:11" ht="26.1" customHeight="1" x14ac:dyDescent="0.25">
      <c r="A12" s="499"/>
      <c r="B12" s="500"/>
      <c r="C12" s="501"/>
      <c r="D12" s="501"/>
      <c r="E12" s="502"/>
      <c r="I12" s="344">
        <f t="shared" ref="I12:J60" si="0">IF(A12&lt;&gt;"",1,0)</f>
        <v>0</v>
      </c>
      <c r="J12" s="344">
        <f t="shared" si="0"/>
        <v>0</v>
      </c>
      <c r="K12" s="344" t="str">
        <f t="shared" ref="K12:K60" si="1">IF(AND(SUM($C$11:$C$60)&gt;=1,SUM(I12:J12)=2),SUM(C12:E12),"")</f>
        <v/>
      </c>
    </row>
    <row r="13" spans="1:11" ht="26.1" customHeight="1" x14ac:dyDescent="0.25">
      <c r="A13" s="499"/>
      <c r="B13" s="500"/>
      <c r="C13" s="501"/>
      <c r="D13" s="501"/>
      <c r="E13" s="502"/>
      <c r="I13" s="344">
        <f t="shared" si="0"/>
        <v>0</v>
      </c>
      <c r="J13" s="344">
        <f t="shared" si="0"/>
        <v>0</v>
      </c>
      <c r="K13" s="344" t="str">
        <f t="shared" si="1"/>
        <v/>
      </c>
    </row>
    <row r="14" spans="1:11" ht="26.1" customHeight="1" x14ac:dyDescent="0.25">
      <c r="A14" s="499"/>
      <c r="B14" s="500"/>
      <c r="C14" s="501"/>
      <c r="D14" s="501"/>
      <c r="E14" s="502"/>
      <c r="I14" s="344">
        <f t="shared" si="0"/>
        <v>0</v>
      </c>
      <c r="J14" s="344">
        <f t="shared" si="0"/>
        <v>0</v>
      </c>
      <c r="K14" s="344" t="str">
        <f t="shared" si="1"/>
        <v/>
      </c>
    </row>
    <row r="15" spans="1:11" ht="26.1" customHeight="1" x14ac:dyDescent="0.25">
      <c r="A15" s="499"/>
      <c r="B15" s="500"/>
      <c r="C15" s="501"/>
      <c r="D15" s="501"/>
      <c r="E15" s="502"/>
      <c r="I15" s="344">
        <f t="shared" si="0"/>
        <v>0</v>
      </c>
      <c r="J15" s="344">
        <f t="shared" si="0"/>
        <v>0</v>
      </c>
      <c r="K15" s="344" t="str">
        <f t="shared" si="1"/>
        <v/>
      </c>
    </row>
    <row r="16" spans="1:11" ht="26.1" customHeight="1" x14ac:dyDescent="0.25">
      <c r="A16" s="499"/>
      <c r="B16" s="500"/>
      <c r="C16" s="501"/>
      <c r="D16" s="501"/>
      <c r="E16" s="502"/>
      <c r="I16" s="344">
        <f t="shared" si="0"/>
        <v>0</v>
      </c>
      <c r="J16" s="344">
        <f t="shared" si="0"/>
        <v>0</v>
      </c>
      <c r="K16" s="344" t="str">
        <f t="shared" si="1"/>
        <v/>
      </c>
    </row>
    <row r="17" spans="1:11" ht="26.1" customHeight="1" x14ac:dyDescent="0.25">
      <c r="A17" s="499"/>
      <c r="B17" s="500"/>
      <c r="C17" s="501"/>
      <c r="D17" s="501"/>
      <c r="E17" s="502"/>
      <c r="I17" s="344">
        <f t="shared" si="0"/>
        <v>0</v>
      </c>
      <c r="J17" s="344">
        <f t="shared" si="0"/>
        <v>0</v>
      </c>
      <c r="K17" s="344" t="str">
        <f t="shared" si="1"/>
        <v/>
      </c>
    </row>
    <row r="18" spans="1:11" ht="26.1" customHeight="1" x14ac:dyDescent="0.25">
      <c r="A18" s="499"/>
      <c r="B18" s="500"/>
      <c r="C18" s="501"/>
      <c r="D18" s="501"/>
      <c r="E18" s="502"/>
      <c r="I18" s="344">
        <f t="shared" si="0"/>
        <v>0</v>
      </c>
      <c r="J18" s="344">
        <f t="shared" si="0"/>
        <v>0</v>
      </c>
      <c r="K18" s="344" t="str">
        <f t="shared" si="1"/>
        <v/>
      </c>
    </row>
    <row r="19" spans="1:11" ht="26.1" customHeight="1" x14ac:dyDescent="0.25">
      <c r="A19" s="499"/>
      <c r="B19" s="500"/>
      <c r="C19" s="501"/>
      <c r="D19" s="501"/>
      <c r="E19" s="502"/>
      <c r="I19" s="344">
        <f t="shared" si="0"/>
        <v>0</v>
      </c>
      <c r="J19" s="344">
        <f t="shared" si="0"/>
        <v>0</v>
      </c>
      <c r="K19" s="344" t="str">
        <f t="shared" si="1"/>
        <v/>
      </c>
    </row>
    <row r="20" spans="1:11" ht="26.1" customHeight="1" x14ac:dyDescent="0.25">
      <c r="A20" s="499"/>
      <c r="B20" s="500"/>
      <c r="C20" s="501"/>
      <c r="D20" s="501"/>
      <c r="E20" s="502"/>
      <c r="I20" s="344">
        <f t="shared" si="0"/>
        <v>0</v>
      </c>
      <c r="J20" s="344">
        <f t="shared" si="0"/>
        <v>0</v>
      </c>
      <c r="K20" s="344" t="str">
        <f t="shared" si="1"/>
        <v/>
      </c>
    </row>
    <row r="21" spans="1:11" ht="26.1" customHeight="1" x14ac:dyDescent="0.25">
      <c r="A21" s="499"/>
      <c r="B21" s="500"/>
      <c r="C21" s="501"/>
      <c r="D21" s="501"/>
      <c r="E21" s="502"/>
      <c r="I21" s="344">
        <f t="shared" si="0"/>
        <v>0</v>
      </c>
      <c r="J21" s="344">
        <f t="shared" si="0"/>
        <v>0</v>
      </c>
      <c r="K21" s="344" t="str">
        <f t="shared" si="1"/>
        <v/>
      </c>
    </row>
    <row r="22" spans="1:11" ht="26.1" customHeight="1" x14ac:dyDescent="0.25">
      <c r="A22" s="499"/>
      <c r="B22" s="500"/>
      <c r="C22" s="501"/>
      <c r="D22" s="501"/>
      <c r="E22" s="502"/>
      <c r="I22" s="344">
        <f t="shared" si="0"/>
        <v>0</v>
      </c>
      <c r="J22" s="344">
        <f t="shared" si="0"/>
        <v>0</v>
      </c>
      <c r="K22" s="344" t="str">
        <f t="shared" si="1"/>
        <v/>
      </c>
    </row>
    <row r="23" spans="1:11" ht="26.1" customHeight="1" x14ac:dyDescent="0.25">
      <c r="A23" s="499"/>
      <c r="B23" s="500"/>
      <c r="C23" s="501"/>
      <c r="D23" s="501"/>
      <c r="E23" s="502"/>
      <c r="I23" s="344">
        <f t="shared" si="0"/>
        <v>0</v>
      </c>
      <c r="J23" s="344">
        <f t="shared" si="0"/>
        <v>0</v>
      </c>
      <c r="K23" s="344" t="str">
        <f t="shared" si="1"/>
        <v/>
      </c>
    </row>
    <row r="24" spans="1:11" ht="26.1" customHeight="1" x14ac:dyDescent="0.25">
      <c r="A24" s="499"/>
      <c r="B24" s="500"/>
      <c r="C24" s="501"/>
      <c r="D24" s="501"/>
      <c r="E24" s="502"/>
      <c r="I24" s="344">
        <f t="shared" si="0"/>
        <v>0</v>
      </c>
      <c r="J24" s="344">
        <f t="shared" si="0"/>
        <v>0</v>
      </c>
      <c r="K24" s="344" t="str">
        <f t="shared" si="1"/>
        <v/>
      </c>
    </row>
    <row r="25" spans="1:11" ht="26.1" customHeight="1" x14ac:dyDescent="0.25">
      <c r="A25" s="499"/>
      <c r="B25" s="500"/>
      <c r="C25" s="501"/>
      <c r="D25" s="501"/>
      <c r="E25" s="502"/>
      <c r="I25" s="344">
        <f t="shared" si="0"/>
        <v>0</v>
      </c>
      <c r="J25" s="344">
        <f t="shared" si="0"/>
        <v>0</v>
      </c>
      <c r="K25" s="344" t="str">
        <f t="shared" si="1"/>
        <v/>
      </c>
    </row>
    <row r="26" spans="1:11" ht="26.1" customHeight="1" x14ac:dyDescent="0.25">
      <c r="A26" s="499"/>
      <c r="B26" s="500"/>
      <c r="C26" s="501"/>
      <c r="D26" s="501"/>
      <c r="E26" s="502"/>
      <c r="I26" s="344">
        <f t="shared" si="0"/>
        <v>0</v>
      </c>
      <c r="J26" s="344">
        <f t="shared" si="0"/>
        <v>0</v>
      </c>
      <c r="K26" s="344" t="str">
        <f t="shared" si="1"/>
        <v/>
      </c>
    </row>
    <row r="27" spans="1:11" ht="26.1" customHeight="1" x14ac:dyDescent="0.25">
      <c r="A27" s="499"/>
      <c r="B27" s="500"/>
      <c r="C27" s="501"/>
      <c r="D27" s="501"/>
      <c r="E27" s="502"/>
      <c r="I27" s="344">
        <f t="shared" si="0"/>
        <v>0</v>
      </c>
      <c r="J27" s="344">
        <f t="shared" si="0"/>
        <v>0</v>
      </c>
      <c r="K27" s="344" t="str">
        <f t="shared" si="1"/>
        <v/>
      </c>
    </row>
    <row r="28" spans="1:11" ht="26.1" customHeight="1" x14ac:dyDescent="0.25">
      <c r="A28" s="499"/>
      <c r="B28" s="500"/>
      <c r="C28" s="501"/>
      <c r="D28" s="501"/>
      <c r="E28" s="502"/>
      <c r="I28" s="344">
        <f t="shared" si="0"/>
        <v>0</v>
      </c>
      <c r="J28" s="344">
        <f t="shared" si="0"/>
        <v>0</v>
      </c>
      <c r="K28" s="344" t="str">
        <f t="shared" si="1"/>
        <v/>
      </c>
    </row>
    <row r="29" spans="1:11" ht="26.1" customHeight="1" x14ac:dyDescent="0.25">
      <c r="A29" s="499"/>
      <c r="B29" s="500"/>
      <c r="C29" s="501"/>
      <c r="D29" s="501"/>
      <c r="E29" s="502"/>
      <c r="I29" s="344">
        <f t="shared" si="0"/>
        <v>0</v>
      </c>
      <c r="J29" s="344">
        <f t="shared" si="0"/>
        <v>0</v>
      </c>
      <c r="K29" s="344" t="str">
        <f t="shared" si="1"/>
        <v/>
      </c>
    </row>
    <row r="30" spans="1:11" ht="26.1" customHeight="1" x14ac:dyDescent="0.25">
      <c r="A30" s="499"/>
      <c r="B30" s="500"/>
      <c r="C30" s="501"/>
      <c r="D30" s="501"/>
      <c r="E30" s="502"/>
      <c r="I30" s="344">
        <f t="shared" si="0"/>
        <v>0</v>
      </c>
      <c r="J30" s="344">
        <f t="shared" si="0"/>
        <v>0</v>
      </c>
      <c r="K30" s="344" t="str">
        <f t="shared" si="1"/>
        <v/>
      </c>
    </row>
    <row r="31" spans="1:11" ht="26.1" customHeight="1" x14ac:dyDescent="0.25">
      <c r="A31" s="499"/>
      <c r="B31" s="500"/>
      <c r="C31" s="501"/>
      <c r="D31" s="501"/>
      <c r="E31" s="502"/>
      <c r="I31" s="344">
        <f t="shared" si="0"/>
        <v>0</v>
      </c>
      <c r="J31" s="344">
        <f t="shared" si="0"/>
        <v>0</v>
      </c>
      <c r="K31" s="344" t="str">
        <f t="shared" si="1"/>
        <v/>
      </c>
    </row>
    <row r="32" spans="1:11" ht="26.1" customHeight="1" x14ac:dyDescent="0.25">
      <c r="A32" s="499"/>
      <c r="B32" s="500"/>
      <c r="C32" s="501"/>
      <c r="D32" s="501"/>
      <c r="E32" s="502"/>
      <c r="I32" s="344">
        <f t="shared" si="0"/>
        <v>0</v>
      </c>
      <c r="J32" s="344">
        <f t="shared" si="0"/>
        <v>0</v>
      </c>
      <c r="K32" s="344" t="str">
        <f t="shared" si="1"/>
        <v/>
      </c>
    </row>
    <row r="33" spans="1:11" ht="26.1" customHeight="1" x14ac:dyDescent="0.25">
      <c r="A33" s="499"/>
      <c r="B33" s="500"/>
      <c r="C33" s="501"/>
      <c r="D33" s="501"/>
      <c r="E33" s="502"/>
      <c r="I33" s="344">
        <f t="shared" si="0"/>
        <v>0</v>
      </c>
      <c r="J33" s="344">
        <f t="shared" si="0"/>
        <v>0</v>
      </c>
      <c r="K33" s="344" t="str">
        <f t="shared" si="1"/>
        <v/>
      </c>
    </row>
    <row r="34" spans="1:11" ht="26.1" customHeight="1" x14ac:dyDescent="0.25">
      <c r="A34" s="499"/>
      <c r="B34" s="500"/>
      <c r="C34" s="501"/>
      <c r="D34" s="501"/>
      <c r="E34" s="502"/>
      <c r="I34" s="344">
        <f t="shared" si="0"/>
        <v>0</v>
      </c>
      <c r="J34" s="344">
        <f t="shared" si="0"/>
        <v>0</v>
      </c>
      <c r="K34" s="344" t="str">
        <f t="shared" si="1"/>
        <v/>
      </c>
    </row>
    <row r="35" spans="1:11" ht="26.1" customHeight="1" x14ac:dyDescent="0.25">
      <c r="A35" s="499"/>
      <c r="B35" s="500"/>
      <c r="C35" s="501"/>
      <c r="D35" s="501"/>
      <c r="E35" s="502"/>
      <c r="I35" s="344">
        <f t="shared" si="0"/>
        <v>0</v>
      </c>
      <c r="J35" s="344">
        <f t="shared" si="0"/>
        <v>0</v>
      </c>
      <c r="K35" s="344" t="str">
        <f t="shared" si="1"/>
        <v/>
      </c>
    </row>
    <row r="36" spans="1:11" ht="26.1" customHeight="1" x14ac:dyDescent="0.25">
      <c r="A36" s="499"/>
      <c r="B36" s="500"/>
      <c r="C36" s="501"/>
      <c r="D36" s="501"/>
      <c r="E36" s="502"/>
      <c r="I36" s="344">
        <f t="shared" si="0"/>
        <v>0</v>
      </c>
      <c r="J36" s="344">
        <f t="shared" si="0"/>
        <v>0</v>
      </c>
      <c r="K36" s="344" t="str">
        <f t="shared" si="1"/>
        <v/>
      </c>
    </row>
    <row r="37" spans="1:11" ht="26.1" customHeight="1" x14ac:dyDescent="0.25">
      <c r="A37" s="499"/>
      <c r="B37" s="500"/>
      <c r="C37" s="501"/>
      <c r="D37" s="501"/>
      <c r="E37" s="502"/>
      <c r="I37" s="344">
        <f t="shared" si="0"/>
        <v>0</v>
      </c>
      <c r="J37" s="344">
        <f t="shared" si="0"/>
        <v>0</v>
      </c>
      <c r="K37" s="344" t="str">
        <f t="shared" si="1"/>
        <v/>
      </c>
    </row>
    <row r="38" spans="1:11" ht="26.1" customHeight="1" x14ac:dyDescent="0.25">
      <c r="A38" s="499"/>
      <c r="B38" s="500"/>
      <c r="C38" s="501"/>
      <c r="D38" s="501"/>
      <c r="E38" s="502"/>
      <c r="I38" s="344">
        <f t="shared" si="0"/>
        <v>0</v>
      </c>
      <c r="J38" s="344">
        <f t="shared" si="0"/>
        <v>0</v>
      </c>
      <c r="K38" s="344" t="str">
        <f t="shared" si="1"/>
        <v/>
      </c>
    </row>
    <row r="39" spans="1:11" ht="26.1" customHeight="1" x14ac:dyDescent="0.25">
      <c r="A39" s="499"/>
      <c r="B39" s="500"/>
      <c r="C39" s="501"/>
      <c r="D39" s="501"/>
      <c r="E39" s="502"/>
      <c r="I39" s="344">
        <f t="shared" si="0"/>
        <v>0</v>
      </c>
      <c r="J39" s="344">
        <f t="shared" si="0"/>
        <v>0</v>
      </c>
      <c r="K39" s="344" t="str">
        <f t="shared" si="1"/>
        <v/>
      </c>
    </row>
    <row r="40" spans="1:11" ht="26.1" customHeight="1" x14ac:dyDescent="0.25">
      <c r="A40" s="499"/>
      <c r="B40" s="500"/>
      <c r="C40" s="501"/>
      <c r="D40" s="501"/>
      <c r="E40" s="502"/>
      <c r="I40" s="344">
        <f t="shared" si="0"/>
        <v>0</v>
      </c>
      <c r="J40" s="344">
        <f t="shared" si="0"/>
        <v>0</v>
      </c>
      <c r="K40" s="344" t="str">
        <f t="shared" si="1"/>
        <v/>
      </c>
    </row>
    <row r="41" spans="1:11" ht="26.1" customHeight="1" x14ac:dyDescent="0.25">
      <c r="A41" s="499"/>
      <c r="B41" s="500"/>
      <c r="C41" s="501"/>
      <c r="D41" s="501"/>
      <c r="E41" s="502"/>
      <c r="I41" s="344">
        <f t="shared" si="0"/>
        <v>0</v>
      </c>
      <c r="J41" s="344">
        <f t="shared" si="0"/>
        <v>0</v>
      </c>
      <c r="K41" s="344" t="str">
        <f t="shared" si="1"/>
        <v/>
      </c>
    </row>
    <row r="42" spans="1:11" ht="26.1" customHeight="1" x14ac:dyDescent="0.25">
      <c r="A42" s="499"/>
      <c r="B42" s="500"/>
      <c r="C42" s="501"/>
      <c r="D42" s="501"/>
      <c r="E42" s="502"/>
      <c r="I42" s="344">
        <f t="shared" si="0"/>
        <v>0</v>
      </c>
      <c r="J42" s="344">
        <f t="shared" si="0"/>
        <v>0</v>
      </c>
      <c r="K42" s="344" t="str">
        <f t="shared" si="1"/>
        <v/>
      </c>
    </row>
    <row r="43" spans="1:11" ht="26.1" customHeight="1" x14ac:dyDescent="0.25">
      <c r="A43" s="499"/>
      <c r="B43" s="500"/>
      <c r="C43" s="501"/>
      <c r="D43" s="501"/>
      <c r="E43" s="502"/>
      <c r="I43" s="344">
        <f t="shared" si="0"/>
        <v>0</v>
      </c>
      <c r="J43" s="344">
        <f t="shared" si="0"/>
        <v>0</v>
      </c>
      <c r="K43" s="344" t="str">
        <f t="shared" si="1"/>
        <v/>
      </c>
    </row>
    <row r="44" spans="1:11" ht="26.1" customHeight="1" x14ac:dyDescent="0.25">
      <c r="A44" s="499"/>
      <c r="B44" s="500"/>
      <c r="C44" s="501"/>
      <c r="D44" s="501"/>
      <c r="E44" s="502"/>
      <c r="I44" s="344">
        <f t="shared" si="0"/>
        <v>0</v>
      </c>
      <c r="J44" s="344">
        <f t="shared" si="0"/>
        <v>0</v>
      </c>
      <c r="K44" s="344" t="str">
        <f t="shared" si="1"/>
        <v/>
      </c>
    </row>
    <row r="45" spans="1:11" ht="26.1" customHeight="1" x14ac:dyDescent="0.25">
      <c r="A45" s="499"/>
      <c r="B45" s="500"/>
      <c r="C45" s="501"/>
      <c r="D45" s="501"/>
      <c r="E45" s="502"/>
      <c r="I45" s="344">
        <f t="shared" si="0"/>
        <v>0</v>
      </c>
      <c r="J45" s="344">
        <f t="shared" si="0"/>
        <v>0</v>
      </c>
      <c r="K45" s="344" t="str">
        <f t="shared" si="1"/>
        <v/>
      </c>
    </row>
    <row r="46" spans="1:11" ht="26.1" customHeight="1" x14ac:dyDescent="0.25">
      <c r="A46" s="499"/>
      <c r="B46" s="500"/>
      <c r="C46" s="501"/>
      <c r="D46" s="501"/>
      <c r="E46" s="502"/>
      <c r="I46" s="344">
        <f t="shared" si="0"/>
        <v>0</v>
      </c>
      <c r="J46" s="344">
        <f t="shared" si="0"/>
        <v>0</v>
      </c>
      <c r="K46" s="344" t="str">
        <f t="shared" si="1"/>
        <v/>
      </c>
    </row>
    <row r="47" spans="1:11" ht="26.1" customHeight="1" x14ac:dyDescent="0.25">
      <c r="A47" s="499"/>
      <c r="B47" s="500"/>
      <c r="C47" s="501"/>
      <c r="D47" s="501"/>
      <c r="E47" s="502"/>
      <c r="I47" s="344">
        <f t="shared" si="0"/>
        <v>0</v>
      </c>
      <c r="J47" s="344">
        <f t="shared" si="0"/>
        <v>0</v>
      </c>
      <c r="K47" s="344" t="str">
        <f t="shared" si="1"/>
        <v/>
      </c>
    </row>
    <row r="48" spans="1:11" ht="26.1" customHeight="1" x14ac:dyDescent="0.25">
      <c r="A48" s="499"/>
      <c r="B48" s="500"/>
      <c r="C48" s="501"/>
      <c r="D48" s="501"/>
      <c r="E48" s="502"/>
      <c r="I48" s="344">
        <f t="shared" si="0"/>
        <v>0</v>
      </c>
      <c r="J48" s="344">
        <f t="shared" si="0"/>
        <v>0</v>
      </c>
      <c r="K48" s="344" t="str">
        <f t="shared" si="1"/>
        <v/>
      </c>
    </row>
    <row r="49" spans="1:11" ht="26.1" customHeight="1" x14ac:dyDescent="0.25">
      <c r="A49" s="499"/>
      <c r="B49" s="500"/>
      <c r="C49" s="501"/>
      <c r="D49" s="501"/>
      <c r="E49" s="502"/>
      <c r="I49" s="344">
        <f t="shared" si="0"/>
        <v>0</v>
      </c>
      <c r="J49" s="344">
        <f t="shared" si="0"/>
        <v>0</v>
      </c>
      <c r="K49" s="344" t="str">
        <f t="shared" si="1"/>
        <v/>
      </c>
    </row>
    <row r="50" spans="1:11" ht="26.1" customHeight="1" x14ac:dyDescent="0.25">
      <c r="A50" s="499"/>
      <c r="B50" s="500"/>
      <c r="C50" s="501"/>
      <c r="D50" s="501"/>
      <c r="E50" s="502"/>
      <c r="I50" s="344">
        <f t="shared" si="0"/>
        <v>0</v>
      </c>
      <c r="J50" s="344">
        <f t="shared" si="0"/>
        <v>0</v>
      </c>
      <c r="K50" s="344" t="str">
        <f t="shared" si="1"/>
        <v/>
      </c>
    </row>
    <row r="51" spans="1:11" ht="26.1" customHeight="1" x14ac:dyDescent="0.25">
      <c r="A51" s="499"/>
      <c r="B51" s="500"/>
      <c r="C51" s="501"/>
      <c r="D51" s="501"/>
      <c r="E51" s="502"/>
      <c r="I51" s="344">
        <f t="shared" si="0"/>
        <v>0</v>
      </c>
      <c r="J51" s="344">
        <f t="shared" si="0"/>
        <v>0</v>
      </c>
      <c r="K51" s="344" t="str">
        <f t="shared" si="1"/>
        <v/>
      </c>
    </row>
    <row r="52" spans="1:11" ht="26.1" customHeight="1" x14ac:dyDescent="0.25">
      <c r="A52" s="499"/>
      <c r="B52" s="500"/>
      <c r="C52" s="501"/>
      <c r="D52" s="501"/>
      <c r="E52" s="502"/>
      <c r="I52" s="344">
        <f t="shared" si="0"/>
        <v>0</v>
      </c>
      <c r="J52" s="344">
        <f t="shared" si="0"/>
        <v>0</v>
      </c>
      <c r="K52" s="344" t="str">
        <f t="shared" si="1"/>
        <v/>
      </c>
    </row>
    <row r="53" spans="1:11" ht="26.1" customHeight="1" x14ac:dyDescent="0.25">
      <c r="A53" s="499"/>
      <c r="B53" s="500"/>
      <c r="C53" s="501"/>
      <c r="D53" s="501"/>
      <c r="E53" s="502"/>
      <c r="I53" s="344">
        <f t="shared" si="0"/>
        <v>0</v>
      </c>
      <c r="J53" s="344">
        <f t="shared" si="0"/>
        <v>0</v>
      </c>
      <c r="K53" s="344" t="str">
        <f t="shared" si="1"/>
        <v/>
      </c>
    </row>
    <row r="54" spans="1:11" ht="26.1" customHeight="1" x14ac:dyDescent="0.25">
      <c r="A54" s="499"/>
      <c r="B54" s="500"/>
      <c r="C54" s="501"/>
      <c r="D54" s="501"/>
      <c r="E54" s="502"/>
      <c r="I54" s="344">
        <f t="shared" si="0"/>
        <v>0</v>
      </c>
      <c r="J54" s="344">
        <f t="shared" si="0"/>
        <v>0</v>
      </c>
      <c r="K54" s="344" t="str">
        <f t="shared" si="1"/>
        <v/>
      </c>
    </row>
    <row r="55" spans="1:11" ht="26.1" customHeight="1" x14ac:dyDescent="0.25">
      <c r="A55" s="499"/>
      <c r="B55" s="500"/>
      <c r="C55" s="501"/>
      <c r="D55" s="501"/>
      <c r="E55" s="502"/>
      <c r="I55" s="344">
        <f t="shared" si="0"/>
        <v>0</v>
      </c>
      <c r="J55" s="344">
        <f t="shared" si="0"/>
        <v>0</v>
      </c>
      <c r="K55" s="344" t="str">
        <f t="shared" si="1"/>
        <v/>
      </c>
    </row>
    <row r="56" spans="1:11" ht="26.1" customHeight="1" x14ac:dyDescent="0.25">
      <c r="A56" s="499"/>
      <c r="B56" s="500"/>
      <c r="C56" s="501"/>
      <c r="D56" s="501"/>
      <c r="E56" s="502"/>
      <c r="I56" s="344">
        <f t="shared" si="0"/>
        <v>0</v>
      </c>
      <c r="J56" s="344">
        <f t="shared" si="0"/>
        <v>0</v>
      </c>
      <c r="K56" s="344" t="str">
        <f t="shared" si="1"/>
        <v/>
      </c>
    </row>
    <row r="57" spans="1:11" ht="26.1" customHeight="1" x14ac:dyDescent="0.25">
      <c r="A57" s="499"/>
      <c r="B57" s="500"/>
      <c r="C57" s="501"/>
      <c r="D57" s="501"/>
      <c r="E57" s="502"/>
      <c r="I57" s="344">
        <f t="shared" si="0"/>
        <v>0</v>
      </c>
      <c r="J57" s="344">
        <f t="shared" si="0"/>
        <v>0</v>
      </c>
      <c r="K57" s="344" t="str">
        <f t="shared" si="1"/>
        <v/>
      </c>
    </row>
    <row r="58" spans="1:11" ht="26.1" customHeight="1" x14ac:dyDescent="0.25">
      <c r="A58" s="499"/>
      <c r="B58" s="500"/>
      <c r="C58" s="501"/>
      <c r="D58" s="501"/>
      <c r="E58" s="502"/>
      <c r="I58" s="344">
        <f t="shared" si="0"/>
        <v>0</v>
      </c>
      <c r="J58" s="344">
        <f t="shared" si="0"/>
        <v>0</v>
      </c>
      <c r="K58" s="344" t="str">
        <f t="shared" si="1"/>
        <v/>
      </c>
    </row>
    <row r="59" spans="1:11" ht="26.1" customHeight="1" x14ac:dyDescent="0.25">
      <c r="A59" s="499"/>
      <c r="B59" s="500"/>
      <c r="C59" s="501"/>
      <c r="D59" s="501"/>
      <c r="E59" s="502"/>
      <c r="I59" s="344">
        <f t="shared" si="0"/>
        <v>0</v>
      </c>
      <c r="J59" s="344">
        <f t="shared" si="0"/>
        <v>0</v>
      </c>
      <c r="K59" s="344" t="str">
        <f t="shared" si="1"/>
        <v/>
      </c>
    </row>
    <row r="60" spans="1:11" ht="26.1" customHeight="1" thickBot="1" x14ac:dyDescent="0.3">
      <c r="A60" s="503"/>
      <c r="B60" s="504"/>
      <c r="C60" s="505"/>
      <c r="D60" s="505"/>
      <c r="E60" s="506"/>
      <c r="I60" s="344">
        <f t="shared" si="0"/>
        <v>0</v>
      </c>
      <c r="J60" s="344">
        <f t="shared" si="0"/>
        <v>0</v>
      </c>
      <c r="K60" s="344" t="str">
        <f t="shared" si="1"/>
        <v/>
      </c>
    </row>
  </sheetData>
  <sheetProtection algorithmName="SHA-512" hashValue="MCzRtY6vXQjz47vrF305RmFjQtqkVt5kp2VLcD3ovjTw2h27Axua03FOwk9rPYhS7pzMot/eHEX+hfUWFkF/Ag==" saltValue="3E6M4fy/U8AjnAvhIcJOTg==" spinCount="100000" sheet="1" objects="1" selectLockedCells="1"/>
  <mergeCells count="4">
    <mergeCell ref="A7:E7"/>
    <mergeCell ref="A9:A10"/>
    <mergeCell ref="B9:B10"/>
    <mergeCell ref="C9:E9"/>
  </mergeCells>
  <phoneticPr fontId="126" type="noConversion"/>
  <conditionalFormatting sqref="A11:E60">
    <cfRule type="expression" dxfId="134" priority="2" stopIfTrue="1">
      <formula>LEN(TRIM(A11))=0</formula>
    </cfRule>
  </conditionalFormatting>
  <conditionalFormatting sqref="B11:B60">
    <cfRule type="duplicateValues" dxfId="133" priority="1"/>
  </conditionalFormatting>
  <dataValidations count="4">
    <dataValidation type="textLength" allowBlank="1" showInputMessage="1" showErrorMessage="1" errorTitle="Character length" error="Only text input up to 200 characters possible." sqref="B11:B60" xr:uid="{491889B3-739B-470D-9359-022B3266C1C0}">
      <formula1>2</formula1>
      <formula2>200</formula2>
    </dataValidation>
    <dataValidation type="textLength" showInputMessage="1" showErrorMessage="1" errorTitle="Character length" error="Only text input up to 200 characters possible." sqref="A11:A60" xr:uid="{40B875DF-F977-4874-83BD-9605CD969AE5}">
      <formula1>2</formula1>
      <formula2>200</formula2>
    </dataValidation>
    <dataValidation type="whole" allowBlank="1" showInputMessage="1" showErrorMessage="1" errorTitle="Input data error" error="Whole number between 0 and 5000." sqref="C11:C60" xr:uid="{019DE093-5F83-4611-9140-164DEE8C6271}">
      <formula1>0</formula1>
      <formula2>5000</formula2>
    </dataValidation>
    <dataValidation type="whole" showInputMessage="1" showErrorMessage="1" errorTitle="Input data error" error="Whole number between 0 and 5000." sqref="D11:E60" xr:uid="{8E4B8E48-9E7D-43EF-B89B-D2D6D7C40E2C}">
      <formula1>0</formula1>
      <formula2>5000</formula2>
    </dataValidation>
  </dataValidations>
  <pageMargins left="0.7" right="0.7" top="0.75" bottom="0.75" header="0.3" footer="0.3"/>
  <pageSetup scale="47" orientation="portrait" r:id="rId1"/>
  <headerFooter>
    <oddFooter>&amp;L&amp;"Arial,Regular"&amp;7&amp;F&amp;C&amp;"Arial,Regular"&amp;7© DKG  All rights reserved&amp;R&amp;"Arial,Regular"&amp;7&amp;P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569B-EBE8-421F-A8C9-93CBF2C15D51}">
  <dimension ref="A1:M51"/>
  <sheetViews>
    <sheetView workbookViewId="0">
      <selection activeCell="A3" sqref="A3"/>
    </sheetView>
  </sheetViews>
  <sheetFormatPr defaultColWidth="9.140625" defaultRowHeight="15" x14ac:dyDescent="0.25"/>
  <cols>
    <col min="1" max="5" width="37.7109375" customWidth="1"/>
  </cols>
  <sheetData>
    <row r="1" spans="1:13" ht="41.25" customHeight="1" x14ac:dyDescent="0.25">
      <c r="A1" s="507" t="s">
        <v>962</v>
      </c>
      <c r="B1" s="507" t="s">
        <v>963</v>
      </c>
      <c r="C1" s="507" t="s">
        <v>964</v>
      </c>
      <c r="D1" s="507" t="s">
        <v>965</v>
      </c>
      <c r="E1" s="507" t="s">
        <v>966</v>
      </c>
      <c r="F1" s="508" t="s">
        <v>967</v>
      </c>
      <c r="G1" s="508" t="s">
        <v>968</v>
      </c>
      <c r="H1" s="508" t="s">
        <v>969</v>
      </c>
      <c r="I1" s="508" t="s">
        <v>970</v>
      </c>
      <c r="J1" s="508" t="s">
        <v>971</v>
      </c>
      <c r="K1" s="508" t="s">
        <v>972</v>
      </c>
      <c r="L1" s="508" t="s">
        <v>973</v>
      </c>
      <c r="M1" s="508" t="s">
        <v>974</v>
      </c>
    </row>
    <row r="2" spans="1:13" x14ac:dyDescent="0.25">
      <c r="A2" s="509" t="str">
        <f>IF(AND(SUM(Studies!I11:J11)=2,Studies!K11&lt;&gt;0),Studies!A11,"")</f>
        <v/>
      </c>
      <c r="B2" s="509" t="str">
        <f>IF(AND(SUM(Studies!I11:J11)=2,Studies!K11&lt;&gt;0),Studies!B11,"")</f>
        <v/>
      </c>
      <c r="C2" s="509" t="str">
        <f>IF(AND(SUM(Studies!I11:J11)=2,Studies!K11&lt;&gt;0),Studies!C11,"")</f>
        <v/>
      </c>
      <c r="D2" s="509" t="str">
        <f>IF(AND(SUM(Studies!I11:J11)=2,Studies!K11&lt;&gt;0),Studies!D11,"")</f>
        <v/>
      </c>
      <c r="E2" s="509" t="str">
        <f>IF(AND(SUM(Studies!I11:J11)=2,Studies!K11&lt;&gt;0),Studies!E11,"")</f>
        <v/>
      </c>
      <c r="F2" s="510"/>
      <c r="G2" s="510"/>
      <c r="H2" s="510"/>
      <c r="I2" s="510"/>
      <c r="J2" s="510"/>
      <c r="K2" s="510"/>
      <c r="L2" s="510"/>
      <c r="M2" s="510"/>
    </row>
    <row r="3" spans="1:13" x14ac:dyDescent="0.25">
      <c r="A3" s="509" t="str">
        <f>IF(AND(SUM(Studies!I12:J12)=2,Studies!K12&lt;&gt;0),Studies!A12,"")</f>
        <v/>
      </c>
      <c r="B3" s="509" t="str">
        <f>IF(AND(SUM(Studies!I12:J12)=2,Studies!K12&lt;&gt;0),Studies!B12,"")</f>
        <v/>
      </c>
      <c r="C3" s="509" t="str">
        <f>IF(AND(SUM(Studies!I12:J12)=2,Studies!K12&lt;&gt;0),Studies!C12,"")</f>
        <v/>
      </c>
      <c r="D3" s="509" t="str">
        <f>IF(AND(SUM(Studies!I12:J12)=2,Studies!K12&lt;&gt;0),Studies!D12,"")</f>
        <v/>
      </c>
      <c r="E3" s="509" t="str">
        <f>IF(AND(SUM(Studies!I12:J12)=2,Studies!K12&lt;&gt;0),Studies!E12,"")</f>
        <v/>
      </c>
      <c r="F3" s="510"/>
      <c r="G3" s="510"/>
      <c r="H3" s="510"/>
      <c r="I3" s="510"/>
      <c r="J3" s="510"/>
      <c r="K3" s="510"/>
      <c r="L3" s="510"/>
      <c r="M3" s="510"/>
    </row>
    <row r="4" spans="1:13" x14ac:dyDescent="0.25">
      <c r="A4" s="509" t="str">
        <f>IF(AND(SUM(Studies!I13:J13)=2,Studies!K13&lt;&gt;0),Studies!A13,"")</f>
        <v/>
      </c>
      <c r="B4" s="509" t="str">
        <f>IF(AND(SUM(Studies!I13:J13)=2,Studies!K13&lt;&gt;0),Studies!B13,"")</f>
        <v/>
      </c>
      <c r="C4" s="509" t="str">
        <f>IF(AND(SUM(Studies!I13:J13)=2,Studies!K13&lt;&gt;0),Studies!C13,"")</f>
        <v/>
      </c>
      <c r="D4" s="509" t="str">
        <f>IF(AND(SUM(Studies!I13:J13)=2,Studies!K13&lt;&gt;0),Studies!D13,"")</f>
        <v/>
      </c>
      <c r="E4" s="509" t="str">
        <f>IF(AND(SUM(Studies!I13:J13)=2,Studies!K13&lt;&gt;0),Studies!E13,"")</f>
        <v/>
      </c>
      <c r="F4" s="510"/>
      <c r="G4" s="510"/>
      <c r="H4" s="510"/>
      <c r="I4" s="510"/>
      <c r="J4" s="510"/>
      <c r="K4" s="510"/>
      <c r="L4" s="510"/>
      <c r="M4" s="510"/>
    </row>
    <row r="5" spans="1:13" x14ac:dyDescent="0.25">
      <c r="A5" s="509" t="str">
        <f>IF(AND(SUM(Studies!I14:J14)=2,Studies!K14&lt;&gt;0),Studies!A14,"")</f>
        <v/>
      </c>
      <c r="B5" s="509" t="str">
        <f>IF(AND(SUM(Studies!I14:J14)=2,Studies!K14&lt;&gt;0),Studies!B14,"")</f>
        <v/>
      </c>
      <c r="C5" s="509" t="str">
        <f>IF(AND(SUM(Studies!I14:J14)=2,Studies!K14&lt;&gt;0),Studies!C14,"")</f>
        <v/>
      </c>
      <c r="D5" s="509" t="str">
        <f>IF(AND(SUM(Studies!I14:J14)=2,Studies!K14&lt;&gt;0),Studies!D14,"")</f>
        <v/>
      </c>
      <c r="E5" s="509" t="str">
        <f>IF(AND(SUM(Studies!I14:J14)=2,Studies!K14&lt;&gt;0),Studies!E14,"")</f>
        <v/>
      </c>
      <c r="F5" s="510"/>
      <c r="G5" s="510"/>
      <c r="H5" s="510"/>
      <c r="I5" s="510"/>
      <c r="J5" s="510"/>
      <c r="K5" s="510"/>
      <c r="L5" s="510"/>
      <c r="M5" s="510"/>
    </row>
    <row r="6" spans="1:13" x14ac:dyDescent="0.25">
      <c r="A6" s="509" t="str">
        <f>IF(AND(SUM(Studies!I15:J15)=2,Studies!K15&lt;&gt;0),Studies!A15,"")</f>
        <v/>
      </c>
      <c r="B6" s="509" t="str">
        <f>IF(AND(SUM(Studies!I15:J15)=2,Studies!K15&lt;&gt;0),Studies!B15,"")</f>
        <v/>
      </c>
      <c r="C6" s="509" t="str">
        <f>IF(AND(SUM(Studies!I15:J15)=2,Studies!K15&lt;&gt;0),Studies!C15,"")</f>
        <v/>
      </c>
      <c r="D6" s="509" t="str">
        <f>IF(AND(SUM(Studies!I15:J15)=2,Studies!K15&lt;&gt;0),Studies!D15,"")</f>
        <v/>
      </c>
      <c r="E6" s="509" t="str">
        <f>IF(AND(SUM(Studies!I15:J15)=2,Studies!K15&lt;&gt;0),Studies!E15,"")</f>
        <v/>
      </c>
      <c r="F6" s="510"/>
      <c r="G6" s="510"/>
      <c r="H6" s="510"/>
      <c r="I6" s="510"/>
      <c r="J6" s="510"/>
      <c r="K6" s="510"/>
      <c r="L6" s="510"/>
      <c r="M6" s="510"/>
    </row>
    <row r="7" spans="1:13" x14ac:dyDescent="0.25">
      <c r="A7" s="509" t="str">
        <f>IF(AND(SUM(Studies!I16:J16)=2,Studies!K16&lt;&gt;0),Studies!A16,"")</f>
        <v/>
      </c>
      <c r="B7" s="509" t="str">
        <f>IF(AND(SUM(Studies!I16:J16)=2,Studies!K16&lt;&gt;0),Studies!B16,"")</f>
        <v/>
      </c>
      <c r="C7" s="509" t="str">
        <f>IF(AND(SUM(Studies!I16:J16)=2,Studies!K16&lt;&gt;0),Studies!C16,"")</f>
        <v/>
      </c>
      <c r="D7" s="509" t="str">
        <f>IF(AND(SUM(Studies!I16:J16)=2,Studies!K16&lt;&gt;0),Studies!D16,"")</f>
        <v/>
      </c>
      <c r="E7" s="509" t="str">
        <f>IF(AND(SUM(Studies!I16:J16)=2,Studies!K16&lt;&gt;0),Studies!E16,"")</f>
        <v/>
      </c>
      <c r="F7" s="510"/>
      <c r="G7" s="510"/>
      <c r="H7" s="510"/>
      <c r="I7" s="510"/>
      <c r="J7" s="510"/>
      <c r="K7" s="510"/>
      <c r="L7" s="510"/>
      <c r="M7" s="510"/>
    </row>
    <row r="8" spans="1:13" x14ac:dyDescent="0.25">
      <c r="A8" s="509" t="str">
        <f>IF(AND(SUM(Studies!I17:J17)=2,Studies!K17&lt;&gt;0),Studies!A17,"")</f>
        <v/>
      </c>
      <c r="B8" s="509" t="str">
        <f>IF(AND(SUM(Studies!I17:J17)=2,Studies!K17&lt;&gt;0),Studies!B17,"")</f>
        <v/>
      </c>
      <c r="C8" s="509" t="str">
        <f>IF(AND(SUM(Studies!I17:J17)=2,Studies!K17&lt;&gt;0),Studies!C17,"")</f>
        <v/>
      </c>
      <c r="D8" s="509" t="str">
        <f>IF(AND(SUM(Studies!I17:J17)=2,Studies!K17&lt;&gt;0),Studies!D17,"")</f>
        <v/>
      </c>
      <c r="E8" s="509" t="str">
        <f>IF(AND(SUM(Studies!I17:J17)=2,Studies!K17&lt;&gt;0),Studies!E17,"")</f>
        <v/>
      </c>
      <c r="F8" s="510"/>
      <c r="G8" s="510"/>
      <c r="H8" s="510"/>
      <c r="I8" s="510"/>
      <c r="J8" s="510"/>
      <c r="K8" s="510"/>
      <c r="L8" s="510"/>
      <c r="M8" s="510"/>
    </row>
    <row r="9" spans="1:13" x14ac:dyDescent="0.25">
      <c r="A9" s="509" t="str">
        <f>IF(AND(SUM(Studies!I18:J18)=2,Studies!K18&lt;&gt;0),Studies!A18,"")</f>
        <v/>
      </c>
      <c r="B9" s="509" t="str">
        <f>IF(AND(SUM(Studies!I18:J18)=2,Studies!K18&lt;&gt;0),Studies!B18,"")</f>
        <v/>
      </c>
      <c r="C9" s="509" t="str">
        <f>IF(AND(SUM(Studies!I18:J18)=2,Studies!K18&lt;&gt;0),Studies!C18,"")</f>
        <v/>
      </c>
      <c r="D9" s="509" t="str">
        <f>IF(AND(SUM(Studies!I18:J18)=2,Studies!K18&lt;&gt;0),Studies!D18,"")</f>
        <v/>
      </c>
      <c r="E9" s="509" t="str">
        <f>IF(AND(SUM(Studies!I18:J18)=2,Studies!K18&lt;&gt;0),Studies!E18,"")</f>
        <v/>
      </c>
      <c r="F9" s="510"/>
      <c r="G9" s="510"/>
      <c r="H9" s="510"/>
      <c r="I9" s="510"/>
      <c r="J9" s="510"/>
      <c r="K9" s="510"/>
      <c r="L9" s="510"/>
      <c r="M9" s="510"/>
    </row>
    <row r="10" spans="1:13" x14ac:dyDescent="0.25">
      <c r="A10" s="509" t="str">
        <f>IF(AND(SUM(Studies!I19:J19)=2,Studies!K19&lt;&gt;0),Studies!A19,"")</f>
        <v/>
      </c>
      <c r="B10" s="509" t="str">
        <f>IF(AND(SUM(Studies!I19:J19)=2,Studies!K19&lt;&gt;0),Studies!B19,"")</f>
        <v/>
      </c>
      <c r="C10" s="509" t="str">
        <f>IF(AND(SUM(Studies!I19:J19)=2,Studies!K19&lt;&gt;0),Studies!C19,"")</f>
        <v/>
      </c>
      <c r="D10" s="509" t="str">
        <f>IF(AND(SUM(Studies!I19:J19)=2,Studies!K19&lt;&gt;0),Studies!D19,"")</f>
        <v/>
      </c>
      <c r="E10" s="509" t="str">
        <f>IF(AND(SUM(Studies!I19:J19)=2,Studies!K19&lt;&gt;0),Studies!E19,"")</f>
        <v/>
      </c>
      <c r="F10" s="510"/>
      <c r="G10" s="510"/>
      <c r="H10" s="510"/>
      <c r="I10" s="510"/>
      <c r="J10" s="510"/>
      <c r="K10" s="510"/>
      <c r="L10" s="510"/>
      <c r="M10" s="510"/>
    </row>
    <row r="11" spans="1:13" x14ac:dyDescent="0.25">
      <c r="A11" s="509" t="str">
        <f>IF(AND(SUM(Studies!I20:J20)=2,Studies!K20&lt;&gt;0),Studies!A20,"")</f>
        <v/>
      </c>
      <c r="B11" s="509" t="str">
        <f>IF(AND(SUM(Studies!I20:J20)=2,Studies!K20&lt;&gt;0),Studies!B20,"")</f>
        <v/>
      </c>
      <c r="C11" s="509" t="str">
        <f>IF(AND(SUM(Studies!I20:J20)=2,Studies!K20&lt;&gt;0),Studies!C20,"")</f>
        <v/>
      </c>
      <c r="D11" s="509" t="str">
        <f>IF(AND(SUM(Studies!I20:J20)=2,Studies!K20&lt;&gt;0),Studies!D20,"")</f>
        <v/>
      </c>
      <c r="E11" s="509" t="str">
        <f>IF(AND(SUM(Studies!I20:J20)=2,Studies!K20&lt;&gt;0),Studies!E20,"")</f>
        <v/>
      </c>
      <c r="F11" s="510"/>
      <c r="G11" s="510"/>
      <c r="H11" s="510"/>
      <c r="I11" s="510"/>
      <c r="J11" s="510"/>
      <c r="K11" s="510"/>
      <c r="L11" s="510"/>
      <c r="M11" s="510"/>
    </row>
    <row r="12" spans="1:13" x14ac:dyDescent="0.25">
      <c r="A12" s="509" t="str">
        <f>IF(AND(SUM(Studies!I21:J21)=2,Studies!K21&lt;&gt;0),Studies!A21,"")</f>
        <v/>
      </c>
      <c r="B12" s="509" t="str">
        <f>IF(AND(SUM(Studies!I21:J21)=2,Studies!K21&lt;&gt;0),Studies!B21,"")</f>
        <v/>
      </c>
      <c r="C12" s="509" t="str">
        <f>IF(AND(SUM(Studies!I21:J21)=2,Studies!K21&lt;&gt;0),Studies!C21,"")</f>
        <v/>
      </c>
      <c r="D12" s="509" t="str">
        <f>IF(AND(SUM(Studies!I21:J21)=2,Studies!K21&lt;&gt;0),Studies!D21,"")</f>
        <v/>
      </c>
      <c r="E12" s="509" t="str">
        <f>IF(AND(SUM(Studies!I21:J21)=2,Studies!K21&lt;&gt;0),Studies!E21,"")</f>
        <v/>
      </c>
      <c r="F12" s="510"/>
      <c r="G12" s="510"/>
      <c r="H12" s="510"/>
      <c r="I12" s="510"/>
      <c r="J12" s="510"/>
      <c r="K12" s="510"/>
      <c r="L12" s="510"/>
      <c r="M12" s="510"/>
    </row>
    <row r="13" spans="1:13" x14ac:dyDescent="0.25">
      <c r="A13" s="509" t="str">
        <f>IF(AND(SUM(Studies!I22:J22)=2,Studies!K22&lt;&gt;0),Studies!A22,"")</f>
        <v/>
      </c>
      <c r="B13" s="509" t="str">
        <f>IF(AND(SUM(Studies!I22:J22)=2,Studies!K22&lt;&gt;0),Studies!B22,"")</f>
        <v/>
      </c>
      <c r="C13" s="509" t="str">
        <f>IF(AND(SUM(Studies!I22:J22)=2,Studies!K22&lt;&gt;0),Studies!C22,"")</f>
        <v/>
      </c>
      <c r="D13" s="509" t="str">
        <f>IF(AND(SUM(Studies!I22:J22)=2,Studies!K22&lt;&gt;0),Studies!D22,"")</f>
        <v/>
      </c>
      <c r="E13" s="509" t="str">
        <f>IF(AND(SUM(Studies!I22:J22)=2,Studies!K22&lt;&gt;0),Studies!E22,"")</f>
        <v/>
      </c>
      <c r="F13" s="510"/>
      <c r="G13" s="510"/>
      <c r="H13" s="510"/>
      <c r="I13" s="510"/>
      <c r="J13" s="510"/>
      <c r="K13" s="510"/>
      <c r="L13" s="510"/>
      <c r="M13" s="510"/>
    </row>
    <row r="14" spans="1:13" x14ac:dyDescent="0.25">
      <c r="A14" s="509" t="str">
        <f>IF(AND(SUM(Studies!I23:J23)=2,Studies!K23&lt;&gt;0),Studies!A23,"")</f>
        <v/>
      </c>
      <c r="B14" s="509" t="str">
        <f>IF(AND(SUM(Studies!I23:J23)=2,Studies!K23&lt;&gt;0),Studies!B23,"")</f>
        <v/>
      </c>
      <c r="C14" s="509" t="str">
        <f>IF(AND(SUM(Studies!I23:J23)=2,Studies!K23&lt;&gt;0),Studies!C23,"")</f>
        <v/>
      </c>
      <c r="D14" s="509" t="str">
        <f>IF(AND(SUM(Studies!I23:J23)=2,Studies!K23&lt;&gt;0),Studies!D23,"")</f>
        <v/>
      </c>
      <c r="E14" s="509" t="str">
        <f>IF(AND(SUM(Studies!I23:J23)=2,Studies!K23&lt;&gt;0),Studies!E23,"")</f>
        <v/>
      </c>
      <c r="F14" s="510"/>
      <c r="G14" s="510"/>
      <c r="H14" s="510"/>
      <c r="I14" s="510"/>
      <c r="J14" s="510"/>
      <c r="K14" s="510"/>
      <c r="L14" s="510"/>
      <c r="M14" s="510"/>
    </row>
    <row r="15" spans="1:13" x14ac:dyDescent="0.25">
      <c r="A15" s="509" t="str">
        <f>IF(AND(SUM(Studies!I24:J24)=2,Studies!K24&lt;&gt;0),Studies!A24,"")</f>
        <v/>
      </c>
      <c r="B15" s="509" t="str">
        <f>IF(AND(SUM(Studies!I24:J24)=2,Studies!K24&lt;&gt;0),Studies!B24,"")</f>
        <v/>
      </c>
      <c r="C15" s="509" t="str">
        <f>IF(AND(SUM(Studies!I24:J24)=2,Studies!K24&lt;&gt;0),Studies!C24,"")</f>
        <v/>
      </c>
      <c r="D15" s="509" t="str">
        <f>IF(AND(SUM(Studies!I24:J24)=2,Studies!K24&lt;&gt;0),Studies!D24,"")</f>
        <v/>
      </c>
      <c r="E15" s="509" t="str">
        <f>IF(AND(SUM(Studies!I24:J24)=2,Studies!K24&lt;&gt;0),Studies!E24,"")</f>
        <v/>
      </c>
      <c r="F15" s="510"/>
      <c r="G15" s="510"/>
      <c r="H15" s="510"/>
      <c r="I15" s="510"/>
      <c r="J15" s="510"/>
      <c r="K15" s="510"/>
      <c r="L15" s="510"/>
      <c r="M15" s="510"/>
    </row>
    <row r="16" spans="1:13" x14ac:dyDescent="0.25">
      <c r="A16" s="509" t="str">
        <f>IF(AND(SUM(Studies!I25:J25)=2,Studies!K25&lt;&gt;0),Studies!A25,"")</f>
        <v/>
      </c>
      <c r="B16" s="509" t="str">
        <f>IF(AND(SUM(Studies!I25:J25)=2,Studies!K25&lt;&gt;0),Studies!B25,"")</f>
        <v/>
      </c>
      <c r="C16" s="509" t="str">
        <f>IF(AND(SUM(Studies!I25:J25)=2,Studies!K25&lt;&gt;0),Studies!C25,"")</f>
        <v/>
      </c>
      <c r="D16" s="509" t="str">
        <f>IF(AND(SUM(Studies!I25:J25)=2,Studies!K25&lt;&gt;0),Studies!D25,"")</f>
        <v/>
      </c>
      <c r="E16" s="509" t="str">
        <f>IF(AND(SUM(Studies!I25:J25)=2,Studies!K25&lt;&gt;0),Studies!E25,"")</f>
        <v/>
      </c>
      <c r="F16" s="510"/>
      <c r="G16" s="510"/>
      <c r="H16" s="510"/>
      <c r="I16" s="510"/>
      <c r="J16" s="510"/>
      <c r="K16" s="510"/>
      <c r="L16" s="510"/>
      <c r="M16" s="510"/>
    </row>
    <row r="17" spans="1:13" x14ac:dyDescent="0.25">
      <c r="A17" s="509" t="str">
        <f>IF(AND(SUM(Studies!I26:J26)=2,Studies!K26&lt;&gt;0),Studies!A26,"")</f>
        <v/>
      </c>
      <c r="B17" s="509" t="str">
        <f>IF(AND(SUM(Studies!I26:J26)=2,Studies!K26&lt;&gt;0),Studies!B26,"")</f>
        <v/>
      </c>
      <c r="C17" s="509" t="str">
        <f>IF(AND(SUM(Studies!I26:J26)=2,Studies!K26&lt;&gt;0),Studies!C26,"")</f>
        <v/>
      </c>
      <c r="D17" s="509" t="str">
        <f>IF(AND(SUM(Studies!I26:J26)=2,Studies!K26&lt;&gt;0),Studies!D26,"")</f>
        <v/>
      </c>
      <c r="E17" s="509" t="str">
        <f>IF(AND(SUM(Studies!I26:J26)=2,Studies!K26&lt;&gt;0),Studies!E26,"")</f>
        <v/>
      </c>
      <c r="F17" s="510"/>
      <c r="G17" s="510"/>
      <c r="H17" s="510"/>
      <c r="I17" s="510"/>
      <c r="J17" s="510"/>
      <c r="K17" s="510"/>
      <c r="L17" s="510"/>
      <c r="M17" s="510"/>
    </row>
    <row r="18" spans="1:13" x14ac:dyDescent="0.25">
      <c r="A18" s="509" t="str">
        <f>IF(AND(SUM(Studies!I27:J27)=2,Studies!K27&lt;&gt;0),Studies!A27,"")</f>
        <v/>
      </c>
      <c r="B18" s="509" t="str">
        <f>IF(AND(SUM(Studies!I27:J27)=2,Studies!K27&lt;&gt;0),Studies!B27,"")</f>
        <v/>
      </c>
      <c r="C18" s="509" t="str">
        <f>IF(AND(SUM(Studies!I27:J27)=2,Studies!K27&lt;&gt;0),Studies!C27,"")</f>
        <v/>
      </c>
      <c r="D18" s="509" t="str">
        <f>IF(AND(SUM(Studies!I27:J27)=2,Studies!K27&lt;&gt;0),Studies!D27,"")</f>
        <v/>
      </c>
      <c r="E18" s="509" t="str">
        <f>IF(AND(SUM(Studies!I27:J27)=2,Studies!K27&lt;&gt;0),Studies!E27,"")</f>
        <v/>
      </c>
      <c r="F18" s="510"/>
      <c r="G18" s="510"/>
      <c r="H18" s="510"/>
      <c r="I18" s="510"/>
      <c r="J18" s="510"/>
      <c r="K18" s="510"/>
      <c r="L18" s="510"/>
      <c r="M18" s="510"/>
    </row>
    <row r="19" spans="1:13" x14ac:dyDescent="0.25">
      <c r="A19" s="509" t="str">
        <f>IF(AND(SUM(Studies!I28:J28)=2,Studies!K28&lt;&gt;0),Studies!A28,"")</f>
        <v/>
      </c>
      <c r="B19" s="509" t="str">
        <f>IF(AND(SUM(Studies!I28:J28)=2,Studies!K28&lt;&gt;0),Studies!B28,"")</f>
        <v/>
      </c>
      <c r="C19" s="509" t="str">
        <f>IF(AND(SUM(Studies!I28:J28)=2,Studies!K28&lt;&gt;0),Studies!C28,"")</f>
        <v/>
      </c>
      <c r="D19" s="509" t="str">
        <f>IF(AND(SUM(Studies!I28:J28)=2,Studies!K28&lt;&gt;0),Studies!D28,"")</f>
        <v/>
      </c>
      <c r="E19" s="509" t="str">
        <f>IF(AND(SUM(Studies!I28:J28)=2,Studies!K28&lt;&gt;0),Studies!E28,"")</f>
        <v/>
      </c>
      <c r="F19" s="510"/>
      <c r="G19" s="510"/>
      <c r="H19" s="510"/>
      <c r="I19" s="510"/>
      <c r="J19" s="510"/>
      <c r="K19" s="510"/>
      <c r="L19" s="510"/>
      <c r="M19" s="510"/>
    </row>
    <row r="20" spans="1:13" x14ac:dyDescent="0.25">
      <c r="A20" s="509" t="str">
        <f>IF(AND(SUM(Studies!I29:J29)=2,Studies!K29&lt;&gt;0),Studies!A29,"")</f>
        <v/>
      </c>
      <c r="B20" s="509" t="str">
        <f>IF(AND(SUM(Studies!I29:J29)=2,Studies!K29&lt;&gt;0),Studies!B29,"")</f>
        <v/>
      </c>
      <c r="C20" s="509" t="str">
        <f>IF(AND(SUM(Studies!I29:J29)=2,Studies!K29&lt;&gt;0),Studies!C29,"")</f>
        <v/>
      </c>
      <c r="D20" s="509" t="str">
        <f>IF(AND(SUM(Studies!I29:J29)=2,Studies!K29&lt;&gt;0),Studies!D29,"")</f>
        <v/>
      </c>
      <c r="E20" s="509" t="str">
        <f>IF(AND(SUM(Studies!I29:J29)=2,Studies!K29&lt;&gt;0),Studies!E29,"")</f>
        <v/>
      </c>
      <c r="F20" s="510"/>
      <c r="G20" s="510"/>
      <c r="H20" s="510"/>
      <c r="I20" s="510"/>
      <c r="J20" s="510"/>
      <c r="K20" s="510"/>
      <c r="L20" s="510"/>
      <c r="M20" s="510"/>
    </row>
    <row r="21" spans="1:13" x14ac:dyDescent="0.25">
      <c r="A21" s="509" t="str">
        <f>IF(AND(SUM(Studies!I30:J30)=2,Studies!K30&lt;&gt;0),Studies!A30,"")</f>
        <v/>
      </c>
      <c r="B21" s="509" t="str">
        <f>IF(AND(SUM(Studies!I30:J30)=2,Studies!K30&lt;&gt;0),Studies!B30,"")</f>
        <v/>
      </c>
      <c r="C21" s="509" t="str">
        <f>IF(AND(SUM(Studies!I30:J30)=2,Studies!K30&lt;&gt;0),Studies!C30,"")</f>
        <v/>
      </c>
      <c r="D21" s="509" t="str">
        <f>IF(AND(SUM(Studies!I30:J30)=2,Studies!K30&lt;&gt;0),Studies!D30,"")</f>
        <v/>
      </c>
      <c r="E21" s="509" t="str">
        <f>IF(AND(SUM(Studies!I30:J30)=2,Studies!K30&lt;&gt;0),Studies!E30,"")</f>
        <v/>
      </c>
      <c r="F21" s="510"/>
      <c r="G21" s="510"/>
      <c r="H21" s="510"/>
      <c r="I21" s="510"/>
      <c r="J21" s="510"/>
      <c r="K21" s="510"/>
      <c r="L21" s="510"/>
      <c r="M21" s="510"/>
    </row>
    <row r="22" spans="1:13" x14ac:dyDescent="0.25">
      <c r="A22" s="509" t="str">
        <f>IF(AND(SUM(Studies!I31:J31)=2,Studies!K31&lt;&gt;0),Studies!A31,"")</f>
        <v/>
      </c>
      <c r="B22" s="509" t="str">
        <f>IF(AND(SUM(Studies!I31:J31)=2,Studies!K31&lt;&gt;0),Studies!B31,"")</f>
        <v/>
      </c>
      <c r="C22" s="509" t="str">
        <f>IF(AND(SUM(Studies!I31:J31)=2,Studies!K31&lt;&gt;0),Studies!C31,"")</f>
        <v/>
      </c>
      <c r="D22" s="509" t="str">
        <f>IF(AND(SUM(Studies!I31:J31)=2,Studies!K31&lt;&gt;0),Studies!D31,"")</f>
        <v/>
      </c>
      <c r="E22" s="509" t="str">
        <f>IF(AND(SUM(Studies!I31:J31)=2,Studies!K31&lt;&gt;0),Studies!E31,"")</f>
        <v/>
      </c>
      <c r="F22" s="510"/>
      <c r="G22" s="510"/>
      <c r="H22" s="510"/>
      <c r="I22" s="510"/>
      <c r="J22" s="510"/>
      <c r="K22" s="510"/>
      <c r="L22" s="510"/>
      <c r="M22" s="510"/>
    </row>
    <row r="23" spans="1:13" x14ac:dyDescent="0.25">
      <c r="A23" s="509" t="str">
        <f>IF(AND(SUM(Studies!I32:J32)=2,Studies!K32&lt;&gt;0),Studies!A32,"")</f>
        <v/>
      </c>
      <c r="B23" s="509" t="str">
        <f>IF(AND(SUM(Studies!I32:J32)=2,Studies!K32&lt;&gt;0),Studies!B32,"")</f>
        <v/>
      </c>
      <c r="C23" s="509" t="str">
        <f>IF(AND(SUM(Studies!I32:J32)=2,Studies!K32&lt;&gt;0),Studies!C32,"")</f>
        <v/>
      </c>
      <c r="D23" s="509" t="str">
        <f>IF(AND(SUM(Studies!I32:J32)=2,Studies!K32&lt;&gt;0),Studies!D32,"")</f>
        <v/>
      </c>
      <c r="E23" s="509" t="str">
        <f>IF(AND(SUM(Studies!I32:J32)=2,Studies!K32&lt;&gt;0),Studies!E32,"")</f>
        <v/>
      </c>
      <c r="F23" s="510"/>
      <c r="G23" s="510"/>
      <c r="H23" s="510"/>
      <c r="I23" s="510"/>
      <c r="J23" s="510"/>
      <c r="K23" s="510"/>
      <c r="L23" s="510"/>
      <c r="M23" s="510"/>
    </row>
    <row r="24" spans="1:13" x14ac:dyDescent="0.25">
      <c r="A24" s="509" t="str">
        <f>IF(AND(SUM(Studies!I33:J33)=2,Studies!K33&lt;&gt;0),Studies!A33,"")</f>
        <v/>
      </c>
      <c r="B24" s="509" t="str">
        <f>IF(AND(SUM(Studies!I33:J33)=2,Studies!K33&lt;&gt;0),Studies!B33,"")</f>
        <v/>
      </c>
      <c r="C24" s="509" t="str">
        <f>IF(AND(SUM(Studies!I33:J33)=2,Studies!K33&lt;&gt;0),Studies!C33,"")</f>
        <v/>
      </c>
      <c r="D24" s="509" t="str">
        <f>IF(AND(SUM(Studies!I33:J33)=2,Studies!K33&lt;&gt;0),Studies!D33,"")</f>
        <v/>
      </c>
      <c r="E24" s="509" t="str">
        <f>IF(AND(SUM(Studies!I33:J33)=2,Studies!K33&lt;&gt;0),Studies!E33,"")</f>
        <v/>
      </c>
      <c r="F24" s="510"/>
      <c r="G24" s="510"/>
      <c r="H24" s="510"/>
      <c r="I24" s="510"/>
      <c r="J24" s="510"/>
      <c r="K24" s="510"/>
      <c r="L24" s="510"/>
      <c r="M24" s="510"/>
    </row>
    <row r="25" spans="1:13" x14ac:dyDescent="0.25">
      <c r="A25" s="509" t="str">
        <f>IF(AND(SUM(Studies!I34:J34)=2,Studies!K34&lt;&gt;0),Studies!A34,"")</f>
        <v/>
      </c>
      <c r="B25" s="509" t="str">
        <f>IF(AND(SUM(Studies!I34:J34)=2,Studies!K34&lt;&gt;0),Studies!B34,"")</f>
        <v/>
      </c>
      <c r="C25" s="509" t="str">
        <f>IF(AND(SUM(Studies!I34:J34)=2,Studies!K34&lt;&gt;0),Studies!C34,"")</f>
        <v/>
      </c>
      <c r="D25" s="509" t="str">
        <f>IF(AND(SUM(Studies!I34:J34)=2,Studies!K34&lt;&gt;0),Studies!D34,"")</f>
        <v/>
      </c>
      <c r="E25" s="509" t="str">
        <f>IF(AND(SUM(Studies!I34:J34)=2,Studies!K34&lt;&gt;0),Studies!E34,"")</f>
        <v/>
      </c>
      <c r="F25" s="510"/>
      <c r="G25" s="510"/>
      <c r="H25" s="510"/>
      <c r="I25" s="510"/>
      <c r="J25" s="510"/>
      <c r="K25" s="510"/>
      <c r="L25" s="510"/>
      <c r="M25" s="510"/>
    </row>
    <row r="26" spans="1:13" x14ac:dyDescent="0.25">
      <c r="A26" s="509" t="str">
        <f>IF(AND(SUM(Studies!I35:J35)=2,Studies!K35&lt;&gt;0),Studies!A35,"")</f>
        <v/>
      </c>
      <c r="B26" s="509" t="str">
        <f>IF(AND(SUM(Studies!I35:J35)=2,Studies!K35&lt;&gt;0),Studies!B35,"")</f>
        <v/>
      </c>
      <c r="C26" s="509" t="str">
        <f>IF(AND(SUM(Studies!I35:J35)=2,Studies!K35&lt;&gt;0),Studies!C35,"")</f>
        <v/>
      </c>
      <c r="D26" s="509" t="str">
        <f>IF(AND(SUM(Studies!I35:J35)=2,Studies!K35&lt;&gt;0),Studies!D35,"")</f>
        <v/>
      </c>
      <c r="E26" s="509" t="str">
        <f>IF(AND(SUM(Studies!I35:J35)=2,Studies!K35&lt;&gt;0),Studies!E35,"")</f>
        <v/>
      </c>
      <c r="F26" s="510"/>
      <c r="G26" s="510"/>
      <c r="H26" s="510"/>
      <c r="I26" s="510"/>
      <c r="J26" s="510"/>
      <c r="K26" s="510"/>
      <c r="L26" s="510"/>
      <c r="M26" s="510"/>
    </row>
    <row r="27" spans="1:13" x14ac:dyDescent="0.25">
      <c r="A27" s="509" t="str">
        <f>IF(AND(SUM(Studies!I36:J36)=2,Studies!K36&lt;&gt;0),Studies!A36,"")</f>
        <v/>
      </c>
      <c r="B27" s="509" t="str">
        <f>IF(AND(SUM(Studies!I36:J36)=2,Studies!K36&lt;&gt;0),Studies!B36,"")</f>
        <v/>
      </c>
      <c r="C27" s="509" t="str">
        <f>IF(AND(SUM(Studies!I36:J36)=2,Studies!K36&lt;&gt;0),Studies!C36,"")</f>
        <v/>
      </c>
      <c r="D27" s="509" t="str">
        <f>IF(AND(SUM(Studies!I36:J36)=2,Studies!K36&lt;&gt;0),Studies!D36,"")</f>
        <v/>
      </c>
      <c r="E27" s="509" t="str">
        <f>IF(AND(SUM(Studies!I36:J36)=2,Studies!K36&lt;&gt;0),Studies!E36,"")</f>
        <v/>
      </c>
      <c r="F27" s="510"/>
      <c r="G27" s="510"/>
      <c r="H27" s="510"/>
      <c r="I27" s="510"/>
      <c r="J27" s="510"/>
      <c r="K27" s="510"/>
      <c r="L27" s="510"/>
      <c r="M27" s="510"/>
    </row>
    <row r="28" spans="1:13" x14ac:dyDescent="0.25">
      <c r="A28" s="509" t="str">
        <f>IF(AND(SUM(Studies!I37:J37)=2,Studies!K37&lt;&gt;0),Studies!A37,"")</f>
        <v/>
      </c>
      <c r="B28" s="509" t="str">
        <f>IF(AND(SUM(Studies!I37:J37)=2,Studies!K37&lt;&gt;0),Studies!B37,"")</f>
        <v/>
      </c>
      <c r="C28" s="509" t="str">
        <f>IF(AND(SUM(Studies!I37:J37)=2,Studies!K37&lt;&gt;0),Studies!C37,"")</f>
        <v/>
      </c>
      <c r="D28" s="509" t="str">
        <f>IF(AND(SUM(Studies!I37:J37)=2,Studies!K37&lt;&gt;0),Studies!D37,"")</f>
        <v/>
      </c>
      <c r="E28" s="509" t="str">
        <f>IF(AND(SUM(Studies!I37:J37)=2,Studies!K37&lt;&gt;0),Studies!E37,"")</f>
        <v/>
      </c>
      <c r="F28" s="510"/>
      <c r="G28" s="510"/>
      <c r="H28" s="510"/>
      <c r="I28" s="510"/>
      <c r="J28" s="510"/>
      <c r="K28" s="510"/>
      <c r="L28" s="510"/>
      <c r="M28" s="510"/>
    </row>
    <row r="29" spans="1:13" x14ac:dyDescent="0.25">
      <c r="A29" s="509" t="str">
        <f>IF(AND(SUM(Studies!I38:J38)=2,Studies!K38&lt;&gt;0),Studies!A38,"")</f>
        <v/>
      </c>
      <c r="B29" s="509" t="str">
        <f>IF(AND(SUM(Studies!I38:J38)=2,Studies!K38&lt;&gt;0),Studies!B38,"")</f>
        <v/>
      </c>
      <c r="C29" s="509" t="str">
        <f>IF(AND(SUM(Studies!I38:J38)=2,Studies!K38&lt;&gt;0),Studies!C38,"")</f>
        <v/>
      </c>
      <c r="D29" s="509" t="str">
        <f>IF(AND(SUM(Studies!I38:J38)=2,Studies!K38&lt;&gt;0),Studies!D38,"")</f>
        <v/>
      </c>
      <c r="E29" s="509" t="str">
        <f>IF(AND(SUM(Studies!I38:J38)=2,Studies!K38&lt;&gt;0),Studies!E38,"")</f>
        <v/>
      </c>
      <c r="F29" s="510"/>
      <c r="G29" s="510"/>
      <c r="H29" s="510"/>
      <c r="I29" s="510"/>
      <c r="J29" s="510"/>
      <c r="K29" s="510"/>
      <c r="L29" s="510"/>
      <c r="M29" s="510"/>
    </row>
    <row r="30" spans="1:13" x14ac:dyDescent="0.25">
      <c r="A30" s="509" t="str">
        <f>IF(AND(SUM(Studies!I39:J39)=2,Studies!K39&lt;&gt;0),Studies!A39,"")</f>
        <v/>
      </c>
      <c r="B30" s="509" t="str">
        <f>IF(AND(SUM(Studies!I39:J39)=2,Studies!K39&lt;&gt;0),Studies!B39,"")</f>
        <v/>
      </c>
      <c r="C30" s="509" t="str">
        <f>IF(AND(SUM(Studies!I39:J39)=2,Studies!K39&lt;&gt;0),Studies!C39,"")</f>
        <v/>
      </c>
      <c r="D30" s="509" t="str">
        <f>IF(AND(SUM(Studies!I39:J39)=2,Studies!K39&lt;&gt;0),Studies!D39,"")</f>
        <v/>
      </c>
      <c r="E30" s="509" t="str">
        <f>IF(AND(SUM(Studies!I39:J39)=2,Studies!K39&lt;&gt;0),Studies!E39,"")</f>
        <v/>
      </c>
      <c r="F30" s="510"/>
      <c r="G30" s="510"/>
      <c r="H30" s="510"/>
      <c r="I30" s="510"/>
      <c r="J30" s="510"/>
      <c r="K30" s="510"/>
      <c r="L30" s="510"/>
      <c r="M30" s="510"/>
    </row>
    <row r="31" spans="1:13" x14ac:dyDescent="0.25">
      <c r="A31" s="509" t="str">
        <f>IF(AND(SUM(Studies!I40:J40)=2,Studies!K40&lt;&gt;0),Studies!A40,"")</f>
        <v/>
      </c>
      <c r="B31" s="509" t="str">
        <f>IF(AND(SUM(Studies!I40:J40)=2,Studies!K40&lt;&gt;0),Studies!B40,"")</f>
        <v/>
      </c>
      <c r="C31" s="509" t="str">
        <f>IF(AND(SUM(Studies!I40:J40)=2,Studies!K40&lt;&gt;0),Studies!C40,"")</f>
        <v/>
      </c>
      <c r="D31" s="509" t="str">
        <f>IF(AND(SUM(Studies!I40:J40)=2,Studies!K40&lt;&gt;0),Studies!D40,"")</f>
        <v/>
      </c>
      <c r="E31" s="509" t="str">
        <f>IF(AND(SUM(Studies!I40:J40)=2,Studies!K40&lt;&gt;0),Studies!E40,"")</f>
        <v/>
      </c>
      <c r="F31" s="510"/>
      <c r="G31" s="510"/>
      <c r="H31" s="510"/>
      <c r="I31" s="510"/>
      <c r="J31" s="510"/>
      <c r="K31" s="510"/>
      <c r="L31" s="510"/>
      <c r="M31" s="510"/>
    </row>
    <row r="32" spans="1:13" x14ac:dyDescent="0.25">
      <c r="A32" s="509" t="str">
        <f>IF(AND(SUM(Studies!I41:J41)=2,Studies!K41&lt;&gt;0),Studies!A41,"")</f>
        <v/>
      </c>
      <c r="B32" s="509" t="str">
        <f>IF(AND(SUM(Studies!I41:J41)=2,Studies!K41&lt;&gt;0),Studies!B41,"")</f>
        <v/>
      </c>
      <c r="C32" s="509" t="str">
        <f>IF(AND(SUM(Studies!I41:J41)=2,Studies!K41&lt;&gt;0),Studies!C41,"")</f>
        <v/>
      </c>
      <c r="D32" s="509" t="str">
        <f>IF(AND(SUM(Studies!I41:J41)=2,Studies!K41&lt;&gt;0),Studies!D41,"")</f>
        <v/>
      </c>
      <c r="E32" s="509" t="str">
        <f>IF(AND(SUM(Studies!I41:J41)=2,Studies!K41&lt;&gt;0),Studies!E41,"")</f>
        <v/>
      </c>
      <c r="F32" s="510"/>
      <c r="G32" s="510"/>
      <c r="H32" s="510"/>
      <c r="I32" s="510"/>
      <c r="J32" s="510"/>
      <c r="K32" s="510"/>
      <c r="L32" s="510"/>
      <c r="M32" s="510"/>
    </row>
    <row r="33" spans="1:13" x14ac:dyDescent="0.25">
      <c r="A33" s="509" t="str">
        <f>IF(AND(SUM(Studies!I42:J42)=2,Studies!K42&lt;&gt;0),Studies!A42,"")</f>
        <v/>
      </c>
      <c r="B33" s="509" t="str">
        <f>IF(AND(SUM(Studies!I42:J42)=2,Studies!K42&lt;&gt;0),Studies!B42,"")</f>
        <v/>
      </c>
      <c r="C33" s="509" t="str">
        <f>IF(AND(SUM(Studies!I42:J42)=2,Studies!K42&lt;&gt;0),Studies!C42,"")</f>
        <v/>
      </c>
      <c r="D33" s="509" t="str">
        <f>IF(AND(SUM(Studies!I42:J42)=2,Studies!K42&lt;&gt;0),Studies!D42,"")</f>
        <v/>
      </c>
      <c r="E33" s="509" t="str">
        <f>IF(AND(SUM(Studies!I42:J42)=2,Studies!K42&lt;&gt;0),Studies!E42,"")</f>
        <v/>
      </c>
      <c r="F33" s="510"/>
      <c r="G33" s="510"/>
      <c r="H33" s="510"/>
      <c r="I33" s="510"/>
      <c r="J33" s="510"/>
      <c r="K33" s="510"/>
      <c r="L33" s="510"/>
      <c r="M33" s="510"/>
    </row>
    <row r="34" spans="1:13" x14ac:dyDescent="0.25">
      <c r="A34" s="509" t="str">
        <f>IF(AND(SUM(Studies!I43:J43)=2,Studies!K43&lt;&gt;0),Studies!A43,"")</f>
        <v/>
      </c>
      <c r="B34" s="509" t="str">
        <f>IF(AND(SUM(Studies!I43:J43)=2,Studies!K43&lt;&gt;0),Studies!B43,"")</f>
        <v/>
      </c>
      <c r="C34" s="509" t="str">
        <f>IF(AND(SUM(Studies!I43:J43)=2,Studies!K43&lt;&gt;0),Studies!C43,"")</f>
        <v/>
      </c>
      <c r="D34" s="509" t="str">
        <f>IF(AND(SUM(Studies!I43:J43)=2,Studies!K43&lt;&gt;0),Studies!D43,"")</f>
        <v/>
      </c>
      <c r="E34" s="509" t="str">
        <f>IF(AND(SUM(Studies!I43:J43)=2,Studies!K43&lt;&gt;0),Studies!E43,"")</f>
        <v/>
      </c>
      <c r="F34" s="510"/>
      <c r="G34" s="510"/>
      <c r="H34" s="510"/>
      <c r="I34" s="510"/>
      <c r="J34" s="510"/>
      <c r="K34" s="510"/>
      <c r="L34" s="510"/>
      <c r="M34" s="510"/>
    </row>
    <row r="35" spans="1:13" x14ac:dyDescent="0.25">
      <c r="A35" s="509" t="str">
        <f>IF(AND(SUM(Studies!I44:J44)=2,Studies!K44&lt;&gt;0),Studies!A44,"")</f>
        <v/>
      </c>
      <c r="B35" s="509" t="str">
        <f>IF(AND(SUM(Studies!I44:J44)=2,Studies!K44&lt;&gt;0),Studies!B44,"")</f>
        <v/>
      </c>
      <c r="C35" s="509" t="str">
        <f>IF(AND(SUM(Studies!I44:J44)=2,Studies!K44&lt;&gt;0),Studies!C44,"")</f>
        <v/>
      </c>
      <c r="D35" s="509" t="str">
        <f>IF(AND(SUM(Studies!I44:J44)=2,Studies!K44&lt;&gt;0),Studies!D44,"")</f>
        <v/>
      </c>
      <c r="E35" s="509" t="str">
        <f>IF(AND(SUM(Studies!I44:J44)=2,Studies!K44&lt;&gt;0),Studies!E44,"")</f>
        <v/>
      </c>
      <c r="F35" s="510"/>
      <c r="G35" s="510"/>
      <c r="H35" s="510"/>
      <c r="I35" s="510"/>
      <c r="J35" s="510"/>
      <c r="K35" s="510"/>
      <c r="L35" s="510"/>
      <c r="M35" s="510"/>
    </row>
    <row r="36" spans="1:13" x14ac:dyDescent="0.25">
      <c r="A36" s="509" t="str">
        <f>IF(AND(SUM(Studies!I45:J45)=2,Studies!K45&lt;&gt;0),Studies!A45,"")</f>
        <v/>
      </c>
      <c r="B36" s="509" t="str">
        <f>IF(AND(SUM(Studies!I45:J45)=2,Studies!K45&lt;&gt;0),Studies!B45,"")</f>
        <v/>
      </c>
      <c r="C36" s="509" t="str">
        <f>IF(AND(SUM(Studies!I45:J45)=2,Studies!K45&lt;&gt;0),Studies!C45,"")</f>
        <v/>
      </c>
      <c r="D36" s="509" t="str">
        <f>IF(AND(SUM(Studies!I45:J45)=2,Studies!K45&lt;&gt;0),Studies!D45,"")</f>
        <v/>
      </c>
      <c r="E36" s="509" t="str">
        <f>IF(AND(SUM(Studies!I45:J45)=2,Studies!K45&lt;&gt;0),Studies!E45,"")</f>
        <v/>
      </c>
      <c r="F36" s="510"/>
      <c r="G36" s="510"/>
      <c r="H36" s="510"/>
      <c r="I36" s="510"/>
      <c r="J36" s="510"/>
      <c r="K36" s="510"/>
      <c r="L36" s="510"/>
      <c r="M36" s="510"/>
    </row>
    <row r="37" spans="1:13" x14ac:dyDescent="0.25">
      <c r="A37" s="509" t="str">
        <f>IF(AND(SUM(Studies!I46:J46)=2,Studies!K46&lt;&gt;0),Studies!A46,"")</f>
        <v/>
      </c>
      <c r="B37" s="509" t="str">
        <f>IF(AND(SUM(Studies!I46:J46)=2,Studies!K46&lt;&gt;0),Studies!B46,"")</f>
        <v/>
      </c>
      <c r="C37" s="509" t="str">
        <f>IF(AND(SUM(Studies!I46:J46)=2,Studies!K46&lt;&gt;0),Studies!C46,"")</f>
        <v/>
      </c>
      <c r="D37" s="509" t="str">
        <f>IF(AND(SUM(Studies!I46:J46)=2,Studies!K46&lt;&gt;0),Studies!D46,"")</f>
        <v/>
      </c>
      <c r="E37" s="509" t="str">
        <f>IF(AND(SUM(Studies!I46:J46)=2,Studies!K46&lt;&gt;0),Studies!E46,"")</f>
        <v/>
      </c>
      <c r="F37" s="510"/>
      <c r="G37" s="510"/>
      <c r="H37" s="510"/>
      <c r="I37" s="510"/>
      <c r="J37" s="510"/>
      <c r="K37" s="510"/>
      <c r="L37" s="510"/>
      <c r="M37" s="510"/>
    </row>
    <row r="38" spans="1:13" x14ac:dyDescent="0.25">
      <c r="A38" s="509" t="str">
        <f>IF(AND(SUM(Studies!I47:J47)=2,Studies!K47&lt;&gt;0),Studies!A47,"")</f>
        <v/>
      </c>
      <c r="B38" s="509" t="str">
        <f>IF(AND(SUM(Studies!I47:J47)=2,Studies!K47&lt;&gt;0),Studies!B47,"")</f>
        <v/>
      </c>
      <c r="C38" s="509" t="str">
        <f>IF(AND(SUM(Studies!I47:J47)=2,Studies!K47&lt;&gt;0),Studies!C47,"")</f>
        <v/>
      </c>
      <c r="D38" s="509" t="str">
        <f>IF(AND(SUM(Studies!I47:J47)=2,Studies!K47&lt;&gt;0),Studies!D47,"")</f>
        <v/>
      </c>
      <c r="E38" s="509" t="str">
        <f>IF(AND(SUM(Studies!I47:J47)=2,Studies!K47&lt;&gt;0),Studies!E47,"")</f>
        <v/>
      </c>
      <c r="F38" s="510"/>
      <c r="G38" s="510"/>
      <c r="H38" s="510"/>
      <c r="I38" s="510"/>
      <c r="J38" s="510"/>
      <c r="K38" s="510"/>
      <c r="L38" s="510"/>
      <c r="M38" s="510"/>
    </row>
    <row r="39" spans="1:13" x14ac:dyDescent="0.25">
      <c r="A39" s="509" t="str">
        <f>IF(AND(SUM(Studies!I48:J48)=2,Studies!K48&lt;&gt;0),Studies!A48,"")</f>
        <v/>
      </c>
      <c r="B39" s="509" t="str">
        <f>IF(AND(SUM(Studies!I48:J48)=2,Studies!K48&lt;&gt;0),Studies!B48,"")</f>
        <v/>
      </c>
      <c r="C39" s="509" t="str">
        <f>IF(AND(SUM(Studies!I48:J48)=2,Studies!K48&lt;&gt;0),Studies!C48,"")</f>
        <v/>
      </c>
      <c r="D39" s="509" t="str">
        <f>IF(AND(SUM(Studies!I48:J48)=2,Studies!K48&lt;&gt;0),Studies!D48,"")</f>
        <v/>
      </c>
      <c r="E39" s="509" t="str">
        <f>IF(AND(SUM(Studies!I48:J48)=2,Studies!K48&lt;&gt;0),Studies!E48,"")</f>
        <v/>
      </c>
      <c r="F39" s="510"/>
      <c r="G39" s="510"/>
      <c r="H39" s="510"/>
      <c r="I39" s="510"/>
      <c r="J39" s="510"/>
      <c r="K39" s="510"/>
      <c r="L39" s="510"/>
      <c r="M39" s="510"/>
    </row>
    <row r="40" spans="1:13" x14ac:dyDescent="0.25">
      <c r="A40" s="509" t="str">
        <f>IF(AND(SUM(Studies!I49:J49)=2,Studies!K49&lt;&gt;0),Studies!A49,"")</f>
        <v/>
      </c>
      <c r="B40" s="509" t="str">
        <f>IF(AND(SUM(Studies!I49:J49)=2,Studies!K49&lt;&gt;0),Studies!B49,"")</f>
        <v/>
      </c>
      <c r="C40" s="509" t="str">
        <f>IF(AND(SUM(Studies!I49:J49)=2,Studies!K49&lt;&gt;0),Studies!C49,"")</f>
        <v/>
      </c>
      <c r="D40" s="509" t="str">
        <f>IF(AND(SUM(Studies!I49:J49)=2,Studies!K49&lt;&gt;0),Studies!D49,"")</f>
        <v/>
      </c>
      <c r="E40" s="509" t="str">
        <f>IF(AND(SUM(Studies!I49:J49)=2,Studies!K49&lt;&gt;0),Studies!E49,"")</f>
        <v/>
      </c>
      <c r="F40" s="510"/>
      <c r="G40" s="510"/>
      <c r="H40" s="510"/>
      <c r="I40" s="510"/>
      <c r="J40" s="510"/>
      <c r="K40" s="510"/>
      <c r="L40" s="510"/>
      <c r="M40" s="510"/>
    </row>
    <row r="41" spans="1:13" x14ac:dyDescent="0.25">
      <c r="A41" s="509" t="str">
        <f>IF(AND(SUM(Studies!I50:J50)=2,Studies!K50&lt;&gt;0),Studies!A50,"")</f>
        <v/>
      </c>
      <c r="B41" s="509" t="str">
        <f>IF(AND(SUM(Studies!I50:J50)=2,Studies!K50&lt;&gt;0),Studies!B50,"")</f>
        <v/>
      </c>
      <c r="C41" s="509" t="str">
        <f>IF(AND(SUM(Studies!I50:J50)=2,Studies!K50&lt;&gt;0),Studies!C50,"")</f>
        <v/>
      </c>
      <c r="D41" s="509" t="str">
        <f>IF(AND(SUM(Studies!I50:J50)=2,Studies!K50&lt;&gt;0),Studies!D50,"")</f>
        <v/>
      </c>
      <c r="E41" s="509" t="str">
        <f>IF(AND(SUM(Studies!I50:J50)=2,Studies!K50&lt;&gt;0),Studies!E50,"")</f>
        <v/>
      </c>
      <c r="F41" s="510"/>
      <c r="G41" s="510"/>
      <c r="H41" s="510"/>
      <c r="I41" s="510"/>
      <c r="J41" s="510"/>
      <c r="K41" s="510"/>
      <c r="L41" s="510"/>
      <c r="M41" s="510"/>
    </row>
    <row r="42" spans="1:13" x14ac:dyDescent="0.25">
      <c r="A42" s="509" t="str">
        <f>IF(AND(SUM(Studies!I51:J51)=2,Studies!K51&lt;&gt;0),Studies!A51,"")</f>
        <v/>
      </c>
      <c r="B42" s="509" t="str">
        <f>IF(AND(SUM(Studies!I51:J51)=2,Studies!K51&lt;&gt;0),Studies!B51,"")</f>
        <v/>
      </c>
      <c r="C42" s="509" t="str">
        <f>IF(AND(SUM(Studies!I51:J51)=2,Studies!K51&lt;&gt;0),Studies!C51,"")</f>
        <v/>
      </c>
      <c r="D42" s="509" t="str">
        <f>IF(AND(SUM(Studies!I51:J51)=2,Studies!K51&lt;&gt;0),Studies!D51,"")</f>
        <v/>
      </c>
      <c r="E42" s="509" t="str">
        <f>IF(AND(SUM(Studies!I51:J51)=2,Studies!K51&lt;&gt;0),Studies!E51,"")</f>
        <v/>
      </c>
      <c r="F42" s="510"/>
      <c r="G42" s="510"/>
      <c r="H42" s="510"/>
      <c r="I42" s="510"/>
      <c r="J42" s="510"/>
      <c r="K42" s="510"/>
      <c r="L42" s="510"/>
      <c r="M42" s="510"/>
    </row>
    <row r="43" spans="1:13" x14ac:dyDescent="0.25">
      <c r="A43" s="509" t="str">
        <f>IF(AND(SUM(Studies!I52:J52)=2,Studies!K52&lt;&gt;0),Studies!A52,"")</f>
        <v/>
      </c>
      <c r="B43" s="509" t="str">
        <f>IF(AND(SUM(Studies!I52:J52)=2,Studies!K52&lt;&gt;0),Studies!B52,"")</f>
        <v/>
      </c>
      <c r="C43" s="509" t="str">
        <f>IF(AND(SUM(Studies!I52:J52)=2,Studies!K52&lt;&gt;0),Studies!C52,"")</f>
        <v/>
      </c>
      <c r="D43" s="509" t="str">
        <f>IF(AND(SUM(Studies!I52:J52)=2,Studies!K52&lt;&gt;0),Studies!D52,"")</f>
        <v/>
      </c>
      <c r="E43" s="509" t="str">
        <f>IF(AND(SUM(Studies!I52:J52)=2,Studies!K52&lt;&gt;0),Studies!E52,"")</f>
        <v/>
      </c>
      <c r="F43" s="510"/>
      <c r="G43" s="510"/>
      <c r="H43" s="510"/>
      <c r="I43" s="510"/>
      <c r="J43" s="510"/>
      <c r="K43" s="510"/>
      <c r="L43" s="510"/>
      <c r="M43" s="510"/>
    </row>
    <row r="44" spans="1:13" x14ac:dyDescent="0.25">
      <c r="A44" s="509" t="str">
        <f>IF(AND(SUM(Studies!I53:J53)=2,Studies!K53&lt;&gt;0),Studies!A53,"")</f>
        <v/>
      </c>
      <c r="B44" s="509" t="str">
        <f>IF(AND(SUM(Studies!I53:J53)=2,Studies!K53&lt;&gt;0),Studies!B53,"")</f>
        <v/>
      </c>
      <c r="C44" s="509" t="str">
        <f>IF(AND(SUM(Studies!I53:J53)=2,Studies!K53&lt;&gt;0),Studies!C53,"")</f>
        <v/>
      </c>
      <c r="D44" s="509" t="str">
        <f>IF(AND(SUM(Studies!I53:J53)=2,Studies!K53&lt;&gt;0),Studies!D53,"")</f>
        <v/>
      </c>
      <c r="E44" s="509" t="str">
        <f>IF(AND(SUM(Studies!I53:J53)=2,Studies!K53&lt;&gt;0),Studies!E53,"")</f>
        <v/>
      </c>
      <c r="F44" s="510"/>
      <c r="G44" s="510"/>
      <c r="H44" s="510"/>
      <c r="I44" s="510"/>
      <c r="J44" s="510"/>
      <c r="K44" s="510"/>
      <c r="L44" s="510"/>
      <c r="M44" s="510"/>
    </row>
    <row r="45" spans="1:13" x14ac:dyDescent="0.25">
      <c r="A45" s="509" t="str">
        <f>IF(AND(SUM(Studies!I54:J54)=2,Studies!K54&lt;&gt;0),Studies!A54,"")</f>
        <v/>
      </c>
      <c r="B45" s="509" t="str">
        <f>IF(AND(SUM(Studies!I54:J54)=2,Studies!K54&lt;&gt;0),Studies!B54,"")</f>
        <v/>
      </c>
      <c r="C45" s="509" t="str">
        <f>IF(AND(SUM(Studies!I54:J54)=2,Studies!K54&lt;&gt;0),Studies!C54,"")</f>
        <v/>
      </c>
      <c r="D45" s="509" t="str">
        <f>IF(AND(SUM(Studies!I54:J54)=2,Studies!K54&lt;&gt;0),Studies!D54,"")</f>
        <v/>
      </c>
      <c r="E45" s="509" t="str">
        <f>IF(AND(SUM(Studies!I54:J54)=2,Studies!K54&lt;&gt;0),Studies!E54,"")</f>
        <v/>
      </c>
      <c r="F45" s="510"/>
      <c r="G45" s="510"/>
      <c r="H45" s="510"/>
      <c r="I45" s="510"/>
      <c r="J45" s="510"/>
      <c r="K45" s="510"/>
      <c r="L45" s="510"/>
      <c r="M45" s="510"/>
    </row>
    <row r="46" spans="1:13" x14ac:dyDescent="0.25">
      <c r="A46" s="509" t="str">
        <f>IF(AND(SUM(Studies!I55:J55)=2,Studies!K55&lt;&gt;0),Studies!A55,"")</f>
        <v/>
      </c>
      <c r="B46" s="509" t="str">
        <f>IF(AND(SUM(Studies!I55:J55)=2,Studies!K55&lt;&gt;0),Studies!B55,"")</f>
        <v/>
      </c>
      <c r="C46" s="509" t="str">
        <f>IF(AND(SUM(Studies!I55:J55)=2,Studies!K55&lt;&gt;0),Studies!C55,"")</f>
        <v/>
      </c>
      <c r="D46" s="509" t="str">
        <f>IF(AND(SUM(Studies!I55:J55)=2,Studies!K55&lt;&gt;0),Studies!D55,"")</f>
        <v/>
      </c>
      <c r="E46" s="509" t="str">
        <f>IF(AND(SUM(Studies!I55:J55)=2,Studies!K55&lt;&gt;0),Studies!E55,"")</f>
        <v/>
      </c>
      <c r="F46" s="510"/>
      <c r="G46" s="510"/>
      <c r="H46" s="510"/>
      <c r="I46" s="510"/>
      <c r="J46" s="510"/>
      <c r="K46" s="510"/>
      <c r="L46" s="510"/>
      <c r="M46" s="510"/>
    </row>
    <row r="47" spans="1:13" x14ac:dyDescent="0.25">
      <c r="A47" s="509" t="str">
        <f>IF(AND(SUM(Studies!I56:J56)=2,Studies!K56&lt;&gt;0),Studies!A56,"")</f>
        <v/>
      </c>
      <c r="B47" s="509" t="str">
        <f>IF(AND(SUM(Studies!I56:J56)=2,Studies!K56&lt;&gt;0),Studies!B56,"")</f>
        <v/>
      </c>
      <c r="C47" s="509" t="str">
        <f>IF(AND(SUM(Studies!I56:J56)=2,Studies!K56&lt;&gt;0),Studies!C56,"")</f>
        <v/>
      </c>
      <c r="D47" s="509" t="str">
        <f>IF(AND(SUM(Studies!I56:J56)=2,Studies!K56&lt;&gt;0),Studies!D56,"")</f>
        <v/>
      </c>
      <c r="E47" s="509" t="str">
        <f>IF(AND(SUM(Studies!I56:J56)=2,Studies!K56&lt;&gt;0),Studies!E56,"")</f>
        <v/>
      </c>
      <c r="F47" s="510"/>
      <c r="G47" s="510"/>
      <c r="H47" s="510"/>
      <c r="I47" s="510"/>
      <c r="J47" s="510"/>
      <c r="K47" s="510"/>
      <c r="L47" s="510"/>
      <c r="M47" s="510"/>
    </row>
    <row r="48" spans="1:13" x14ac:dyDescent="0.25">
      <c r="A48" s="509" t="str">
        <f>IF(AND(SUM(Studies!I57:J57)=2,Studies!K57&lt;&gt;0),Studies!A57,"")</f>
        <v/>
      </c>
      <c r="B48" s="509" t="str">
        <f>IF(AND(SUM(Studies!I57:J57)=2,Studies!K57&lt;&gt;0),Studies!B57,"")</f>
        <v/>
      </c>
      <c r="C48" s="509" t="str">
        <f>IF(AND(SUM(Studies!I57:J57)=2,Studies!K57&lt;&gt;0),Studies!C57,"")</f>
        <v/>
      </c>
      <c r="D48" s="509" t="str">
        <f>IF(AND(SUM(Studies!I57:J57)=2,Studies!K57&lt;&gt;0),Studies!D57,"")</f>
        <v/>
      </c>
      <c r="E48" s="509" t="str">
        <f>IF(AND(SUM(Studies!I57:J57)=2,Studies!K57&lt;&gt;0),Studies!E57,"")</f>
        <v/>
      </c>
      <c r="F48" s="510"/>
      <c r="G48" s="510"/>
      <c r="H48" s="510"/>
      <c r="I48" s="510"/>
      <c r="J48" s="510"/>
      <c r="K48" s="510"/>
      <c r="L48" s="510"/>
      <c r="M48" s="510"/>
    </row>
    <row r="49" spans="1:13" x14ac:dyDescent="0.25">
      <c r="A49" s="509" t="str">
        <f>IF(AND(SUM(Studies!I58:J58)=2,Studies!K58&lt;&gt;0),Studies!A58,"")</f>
        <v/>
      </c>
      <c r="B49" s="509" t="str">
        <f>IF(AND(SUM(Studies!I58:J58)=2,Studies!K58&lt;&gt;0),Studies!B58,"")</f>
        <v/>
      </c>
      <c r="C49" s="509" t="str">
        <f>IF(AND(SUM(Studies!I58:J58)=2,Studies!K58&lt;&gt;0),Studies!C58,"")</f>
        <v/>
      </c>
      <c r="D49" s="509" t="str">
        <f>IF(AND(SUM(Studies!I58:J58)=2,Studies!K58&lt;&gt;0),Studies!D58,"")</f>
        <v/>
      </c>
      <c r="E49" s="509" t="str">
        <f>IF(AND(SUM(Studies!I58:J58)=2,Studies!K58&lt;&gt;0),Studies!E58,"")</f>
        <v/>
      </c>
      <c r="F49" s="510"/>
      <c r="G49" s="510"/>
      <c r="H49" s="510"/>
      <c r="I49" s="510"/>
      <c r="J49" s="510"/>
      <c r="K49" s="510"/>
      <c r="L49" s="510"/>
      <c r="M49" s="510"/>
    </row>
    <row r="50" spans="1:13" x14ac:dyDescent="0.25">
      <c r="A50" s="509" t="str">
        <f>IF(AND(SUM(Studies!I59:J59)=2,Studies!K59&lt;&gt;0),Studies!A59,"")</f>
        <v/>
      </c>
      <c r="B50" s="509" t="str">
        <f>IF(AND(SUM(Studies!I59:J59)=2,Studies!K59&lt;&gt;0),Studies!B59,"")</f>
        <v/>
      </c>
      <c r="C50" s="509" t="str">
        <f>IF(AND(SUM(Studies!I59:J59)=2,Studies!K59&lt;&gt;0),Studies!C59,"")</f>
        <v/>
      </c>
      <c r="D50" s="509" t="str">
        <f>IF(AND(SUM(Studies!I59:J59)=2,Studies!K59&lt;&gt;0),Studies!D59,"")</f>
        <v/>
      </c>
      <c r="E50" s="509" t="str">
        <f>IF(AND(SUM(Studies!I59:J59)=2,Studies!K59&lt;&gt;0),Studies!E59,"")</f>
        <v/>
      </c>
      <c r="F50" s="510"/>
      <c r="G50" s="510"/>
      <c r="H50" s="510"/>
      <c r="I50" s="510"/>
      <c r="J50" s="510"/>
      <c r="K50" s="510"/>
      <c r="L50" s="510"/>
      <c r="M50" s="510"/>
    </row>
    <row r="51" spans="1:13" x14ac:dyDescent="0.25">
      <c r="A51" s="509" t="str">
        <f>IF(AND(SUM(Studies!I60:J60)=2,Studies!K60&lt;&gt;0),Studies!A60,"")</f>
        <v/>
      </c>
      <c r="B51" s="509" t="str">
        <f>IF(AND(SUM(Studies!I60:J60)=2,Studies!K60&lt;&gt;0),Studies!B60,"")</f>
        <v/>
      </c>
      <c r="C51" s="509" t="str">
        <f>IF(AND(SUM(Studies!I60:J60)=2,Studies!K60&lt;&gt;0),Studies!C60,"")</f>
        <v/>
      </c>
      <c r="D51" s="509" t="str">
        <f>IF(AND(SUM(Studies!I60:J60)=2,Studies!K60&lt;&gt;0),Studies!D60,"")</f>
        <v/>
      </c>
      <c r="E51" s="509" t="str">
        <f>IF(AND(SUM(Studies!I60:J60)=2,Studies!K60&lt;&gt;0),Studies!E60,"")</f>
        <v/>
      </c>
      <c r="F51" s="510"/>
      <c r="G51" s="510"/>
      <c r="H51" s="510"/>
      <c r="I51" s="510"/>
      <c r="J51" s="510"/>
      <c r="K51" s="510"/>
      <c r="L51" s="510"/>
      <c r="M51" s="51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9BE7B-A8E1-4973-B0EA-56344D413479}">
  <sheetPr>
    <pageSetUpPr fitToPage="1"/>
  </sheetPr>
  <dimension ref="A1:K24"/>
  <sheetViews>
    <sheetView showGridLines="0" zoomScaleNormal="100" workbookViewId="0">
      <pane ySplit="7" topLeftCell="A8" activePane="bottomLeft" state="frozen"/>
      <selection pane="bottomLeft" activeCell="A8" sqref="A8"/>
    </sheetView>
  </sheetViews>
  <sheetFormatPr defaultColWidth="9.140625" defaultRowHeight="15" x14ac:dyDescent="0.25"/>
  <cols>
    <col min="1" max="1" width="31.140625" customWidth="1"/>
    <col min="2" max="2" width="20.42578125" customWidth="1"/>
    <col min="3" max="3" width="46.28515625" customWidth="1"/>
    <col min="4" max="7" width="15.7109375" customWidth="1"/>
    <col min="8" max="8" width="45.7109375" customWidth="1"/>
    <col min="11" max="11" width="14.28515625" hidden="1" customWidth="1"/>
  </cols>
  <sheetData>
    <row r="1" spans="1:11" ht="7.5" customHeight="1" x14ac:dyDescent="0.25"/>
    <row r="2" spans="1:11" x14ac:dyDescent="0.25">
      <c r="A2" s="493" t="str">
        <f>'Basic data'!B2</f>
        <v>Annex CR Version P1.1 (Audit year 2026 / Indicator year 2025)</v>
      </c>
      <c r="B2" s="493"/>
    </row>
    <row r="3" spans="1:11" ht="27" customHeight="1" x14ac:dyDescent="0.25">
      <c r="A3" s="511" t="s">
        <v>975</v>
      </c>
      <c r="B3" s="494"/>
      <c r="K3" s="426" t="s">
        <v>976</v>
      </c>
    </row>
    <row r="4" spans="1:11" ht="43.5" customHeight="1" x14ac:dyDescent="0.25">
      <c r="A4" s="640" t="s">
        <v>977</v>
      </c>
      <c r="B4" s="640"/>
      <c r="C4" s="640"/>
      <c r="D4" s="640"/>
      <c r="E4" s="640"/>
      <c r="F4" s="640"/>
      <c r="G4" s="640"/>
      <c r="H4" s="640"/>
      <c r="K4" s="426" t="s">
        <v>978</v>
      </c>
    </row>
    <row r="5" spans="1:11" ht="4.5" customHeight="1" x14ac:dyDescent="0.25">
      <c r="A5" s="512"/>
      <c r="B5" s="512"/>
      <c r="C5" s="512"/>
      <c r="D5" s="512"/>
      <c r="E5" s="512"/>
      <c r="F5" s="512"/>
      <c r="G5" s="512"/>
      <c r="H5" s="512"/>
      <c r="K5" s="426"/>
    </row>
    <row r="6" spans="1:11" ht="2.25" customHeight="1" thickBot="1" x14ac:dyDescent="0.3"/>
    <row r="7" spans="1:11" ht="51.75" customHeight="1" thickBot="1" x14ac:dyDescent="0.3">
      <c r="A7" s="513" t="s">
        <v>979</v>
      </c>
      <c r="B7" s="514" t="s">
        <v>980</v>
      </c>
      <c r="C7" s="515" t="s">
        <v>981</v>
      </c>
      <c r="D7" s="515" t="s">
        <v>982</v>
      </c>
      <c r="E7" s="515" t="s">
        <v>983</v>
      </c>
      <c r="F7" s="515" t="s">
        <v>984</v>
      </c>
      <c r="G7" s="515" t="s">
        <v>985</v>
      </c>
      <c r="H7" s="516" t="s">
        <v>986</v>
      </c>
    </row>
    <row r="8" spans="1:11" ht="26.1" customHeight="1" x14ac:dyDescent="0.25">
      <c r="A8" s="517"/>
      <c r="B8" s="518"/>
      <c r="C8" s="519"/>
      <c r="D8" s="520"/>
      <c r="E8" s="521"/>
      <c r="F8" s="521"/>
      <c r="G8" s="521"/>
      <c r="H8" s="522"/>
    </row>
    <row r="9" spans="1:11" ht="26.1" customHeight="1" x14ac:dyDescent="0.25">
      <c r="A9" s="517"/>
      <c r="B9" s="518"/>
      <c r="C9" s="519"/>
      <c r="D9" s="520"/>
      <c r="E9" s="521"/>
      <c r="F9" s="521"/>
      <c r="G9" s="521"/>
      <c r="H9" s="522"/>
    </row>
    <row r="10" spans="1:11" ht="26.1" customHeight="1" x14ac:dyDescent="0.25">
      <c r="A10" s="517"/>
      <c r="B10" s="518"/>
      <c r="C10" s="519"/>
      <c r="D10" s="520"/>
      <c r="E10" s="521"/>
      <c r="F10" s="521"/>
      <c r="G10" s="521"/>
      <c r="H10" s="522"/>
    </row>
    <row r="11" spans="1:11" ht="26.1" customHeight="1" x14ac:dyDescent="0.25">
      <c r="A11" s="517"/>
      <c r="B11" s="518"/>
      <c r="C11" s="519"/>
      <c r="D11" s="520"/>
      <c r="E11" s="521"/>
      <c r="F11" s="521"/>
      <c r="G11" s="521"/>
      <c r="H11" s="522"/>
    </row>
    <row r="12" spans="1:11" ht="26.1" customHeight="1" x14ac:dyDescent="0.25">
      <c r="A12" s="517"/>
      <c r="B12" s="518"/>
      <c r="C12" s="519"/>
      <c r="D12" s="520"/>
      <c r="E12" s="521"/>
      <c r="F12" s="521"/>
      <c r="G12" s="521"/>
      <c r="H12" s="522"/>
    </row>
    <row r="13" spans="1:11" ht="26.1" customHeight="1" x14ac:dyDescent="0.25">
      <c r="A13" s="517"/>
      <c r="B13" s="518"/>
      <c r="C13" s="519"/>
      <c r="D13" s="520"/>
      <c r="E13" s="521"/>
      <c r="F13" s="521"/>
      <c r="G13" s="521"/>
      <c r="H13" s="522"/>
    </row>
    <row r="14" spans="1:11" ht="26.1" customHeight="1" x14ac:dyDescent="0.25">
      <c r="A14" s="517"/>
      <c r="B14" s="518"/>
      <c r="C14" s="519"/>
      <c r="D14" s="520"/>
      <c r="E14" s="521"/>
      <c r="F14" s="521"/>
      <c r="G14" s="521"/>
      <c r="H14" s="522"/>
    </row>
    <row r="15" spans="1:11" ht="26.1" customHeight="1" x14ac:dyDescent="0.25">
      <c r="A15" s="517"/>
      <c r="B15" s="518"/>
      <c r="C15" s="519"/>
      <c r="D15" s="520"/>
      <c r="E15" s="521"/>
      <c r="F15" s="521"/>
      <c r="G15" s="521"/>
      <c r="H15" s="522"/>
    </row>
    <row r="16" spans="1:11" ht="26.1" customHeight="1" x14ac:dyDescent="0.25">
      <c r="A16" s="517"/>
      <c r="B16" s="518"/>
      <c r="C16" s="519"/>
      <c r="D16" s="520"/>
      <c r="E16" s="521"/>
      <c r="F16" s="521"/>
      <c r="G16" s="521"/>
      <c r="H16" s="522"/>
    </row>
    <row r="17" spans="1:8" ht="26.1" customHeight="1" x14ac:dyDescent="0.25">
      <c r="A17" s="517"/>
      <c r="B17" s="518"/>
      <c r="C17" s="519"/>
      <c r="D17" s="520"/>
      <c r="E17" s="521"/>
      <c r="F17" s="521"/>
      <c r="G17" s="521"/>
      <c r="H17" s="522"/>
    </row>
    <row r="18" spans="1:8" ht="26.1" customHeight="1" x14ac:dyDescent="0.25">
      <c r="A18" s="517"/>
      <c r="B18" s="518"/>
      <c r="C18" s="519"/>
      <c r="D18" s="520"/>
      <c r="E18" s="521"/>
      <c r="F18" s="521"/>
      <c r="G18" s="521"/>
      <c r="H18" s="522"/>
    </row>
    <row r="19" spans="1:8" ht="26.1" customHeight="1" x14ac:dyDescent="0.25">
      <c r="A19" s="517"/>
      <c r="B19" s="518"/>
      <c r="C19" s="519"/>
      <c r="D19" s="520"/>
      <c r="E19" s="521"/>
      <c r="F19" s="521"/>
      <c r="G19" s="521"/>
      <c r="H19" s="522"/>
    </row>
    <row r="20" spans="1:8" ht="26.1" customHeight="1" x14ac:dyDescent="0.25">
      <c r="A20" s="517"/>
      <c r="B20" s="518"/>
      <c r="C20" s="519"/>
      <c r="D20" s="520"/>
      <c r="E20" s="521"/>
      <c r="F20" s="521"/>
      <c r="G20" s="521"/>
      <c r="H20" s="522"/>
    </row>
    <row r="21" spans="1:8" ht="26.1" customHeight="1" x14ac:dyDescent="0.25">
      <c r="A21" s="517"/>
      <c r="B21" s="518"/>
      <c r="C21" s="519"/>
      <c r="D21" s="520"/>
      <c r="E21" s="521"/>
      <c r="F21" s="521"/>
      <c r="G21" s="521"/>
      <c r="H21" s="522"/>
    </row>
    <row r="22" spans="1:8" ht="26.1" customHeight="1" x14ac:dyDescent="0.25">
      <c r="A22" s="517"/>
      <c r="B22" s="518"/>
      <c r="C22" s="519"/>
      <c r="D22" s="520"/>
      <c r="E22" s="521"/>
      <c r="F22" s="521"/>
      <c r="G22" s="521"/>
      <c r="H22" s="522"/>
    </row>
    <row r="23" spans="1:8" ht="26.1" customHeight="1" thickBot="1" x14ac:dyDescent="0.3">
      <c r="A23" s="523"/>
      <c r="B23" s="524"/>
      <c r="C23" s="525"/>
      <c r="D23" s="526"/>
      <c r="E23" s="527"/>
      <c r="F23" s="527"/>
      <c r="G23" s="527"/>
      <c r="H23" s="528"/>
    </row>
    <row r="24" spans="1:8" ht="15.75" thickBot="1" x14ac:dyDescent="0.3">
      <c r="D24" s="546" t="s">
        <v>998</v>
      </c>
      <c r="E24" s="547">
        <f>SUM(E8:E23)</f>
        <v>0</v>
      </c>
      <c r="F24" s="547">
        <f t="shared" ref="F24:G24" si="0">SUM(F8:F23)</f>
        <v>0</v>
      </c>
      <c r="G24" s="547">
        <f t="shared" si="0"/>
        <v>0</v>
      </c>
    </row>
  </sheetData>
  <sheetProtection algorithmName="SHA-512" hashValue="FA307Nk0PGRZXwhuLyHe5v2oESM18CQIeonQnS7tJus/Do5/CYnBdU2IJpHSEkCJXN8tDyXeW+xNfr/UMK5uFw==" saltValue="2cnZH4LOXKc2xrFlLTSfYw==" spinCount="100000" sheet="1" objects="1" selectLockedCells="1"/>
  <mergeCells count="1">
    <mergeCell ref="A4:H4"/>
  </mergeCells>
  <phoneticPr fontId="126" type="noConversion"/>
  <conditionalFormatting sqref="A8:H23">
    <cfRule type="expression" dxfId="132" priority="6" stopIfTrue="1">
      <formula>LEN(TRIM(A8))=0</formula>
    </cfRule>
  </conditionalFormatting>
  <conditionalFormatting sqref="E8:E23">
    <cfRule type="cellIs" dxfId="131" priority="9" operator="lessThan">
      <formula>30</formula>
    </cfRule>
  </conditionalFormatting>
  <conditionalFormatting sqref="F8:F23">
    <cfRule type="cellIs" dxfId="130" priority="7" operator="lessThan">
      <formula>10</formula>
    </cfRule>
  </conditionalFormatting>
  <conditionalFormatting sqref="G8:G23">
    <cfRule type="cellIs" dxfId="129" priority="8" operator="lessThan">
      <formula>50</formula>
    </cfRule>
  </conditionalFormatting>
  <conditionalFormatting sqref="H8:H23">
    <cfRule type="expression" dxfId="128" priority="1">
      <formula>AND($B8="Designated examiner",$H8&lt;&gt;"")</formula>
    </cfRule>
    <cfRule type="expression" dxfId="127" priority="2">
      <formula>AND($B8="Designated examiner",$E8&gt;=30,$F8&gt;=10,$G8&gt;=50)</formula>
    </cfRule>
    <cfRule type="expression" dxfId="126" priority="3">
      <formula>AND($B8="Designated examiner",$E8&lt;30,$F8&lt;10,$G8&lt;50)</formula>
    </cfRule>
    <cfRule type="expression" dxfId="125" priority="4">
      <formula>AND($B8="Non-designated examiner",$H8&lt;&gt;"")</formula>
    </cfRule>
    <cfRule type="expression" dxfId="124" priority="5">
      <formula>AND($B8="Non-designated examiner",$E8&lt;&gt;"",$F8&lt;&gt;"",$G8&lt;&gt;"")</formula>
    </cfRule>
  </conditionalFormatting>
  <dataValidations count="8">
    <dataValidation type="textLength" showInputMessage="1" showErrorMessage="1" errorTitle="Character length" error="Only text input up to 200 characters possible." sqref="A8:A23 C8:C23" xr:uid="{AFFE0B95-1C5D-4FAF-9910-E1E8203BB999}">
      <formula1>2</formula1>
      <formula2>200</formula2>
    </dataValidation>
    <dataValidation type="whole" allowBlank="1" showInputMessage="1" showErrorMessage="1" errorTitle="Input data error" error="Whole number between 0 and 5000._x000a_" sqref="E23:F23" xr:uid="{6AA2C4AA-72DC-4740-8175-DF01F85C80BB}">
      <formula1>0</formula1>
      <formula2>5000</formula2>
    </dataValidation>
    <dataValidation type="whole" showInputMessage="1" showErrorMessage="1" errorTitle="Input data error" error="Whole number between 0 and 5000._x000a_" sqref="G8:G23" xr:uid="{C129C489-D570-44D6-8991-7CC8DB241A50}">
      <formula1>0</formula1>
      <formula2>5000</formula2>
    </dataValidation>
    <dataValidation type="whole" allowBlank="1" showInputMessage="1" showErrorMessage="1" errorTitle="Input data error" error="Whole number between 0 and 5000." sqref="E8:F22" xr:uid="{C9FA6146-C7A1-4665-B954-B37DAE2AF588}">
      <formula1>0</formula1>
      <formula2>5000</formula2>
    </dataValidation>
    <dataValidation type="textLength" showInputMessage="1" showErrorMessage="1" errorTitle="Character length" error="Only text input up to 500 characters possible._x000a_" sqref="H23" xr:uid="{F67D0CAB-74D7-4AC7-B8C8-C509710FC2F7}">
      <formula1>2</formula1>
      <formula2>500</formula2>
    </dataValidation>
    <dataValidation type="textLength" showInputMessage="1" showErrorMessage="1" errorTitle="Character length" error="Only text input up to 500 characters possible." sqref="H8:H22" xr:uid="{C826E32F-EFDA-485D-B9C7-EFFA917AD1C8}">
      <formula1>2</formula1>
      <formula2>500</formula2>
    </dataValidation>
    <dataValidation type="list" showInputMessage="1" showErrorMessage="1" errorTitle="Input data error" error="Only values from the dropdown list are allowed." sqref="B8:B23" xr:uid="{35F204A5-5FFB-4F1A-8ADC-E3A77AE661E8}">
      <formula1>$K$3:$K$4</formula1>
    </dataValidation>
    <dataValidation type="textLength" showInputMessage="1" showErrorMessage="1" errorTitle="Note" error="Please enter the period from ... to the key figure year._x000a_" sqref="D8:D23" xr:uid="{32EE54ED-9504-4C96-A8DB-2170074D2DFD}">
      <formula1>2</formula1>
      <formula2>200</formula2>
    </dataValidation>
  </dataValidations>
  <pageMargins left="0.7" right="0.7" top="0.75" bottom="0.75" header="0.3" footer="0.3"/>
  <pageSetup scale="59" orientation="landscape" r:id="rId1"/>
  <headerFooter>
    <oddFooter>&amp;L&amp;"Arial,Regular"&amp;7&amp;F&amp;C&amp;"Arial,Regular"&amp;7© DKG  All rights reserved&amp;R&amp;"Arial,Regular"&amp;7&amp;P</oddFooter>
  </headerFooter>
  <colBreaks count="1" manualBreakCount="1">
    <brk id="8"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8007-D5EA-4AF1-ADFB-6DEE64B32832}">
  <sheetPr>
    <pageSetUpPr fitToPage="1"/>
  </sheetPr>
  <dimension ref="A1:L23"/>
  <sheetViews>
    <sheetView showGridLines="0" zoomScaleNormal="100" workbookViewId="0">
      <pane ySplit="6" topLeftCell="A7" activePane="bottomLeft" state="frozen"/>
      <selection pane="bottomLeft" activeCell="A7" sqref="A7"/>
    </sheetView>
  </sheetViews>
  <sheetFormatPr defaultColWidth="9.140625" defaultRowHeight="15" x14ac:dyDescent="0.25"/>
  <cols>
    <col min="1" max="1" width="32.5703125" customWidth="1"/>
    <col min="2" max="2" width="17.7109375" style="75" customWidth="1"/>
    <col min="3" max="3" width="20.7109375" customWidth="1"/>
    <col min="4" max="4" width="49.7109375" customWidth="1"/>
    <col min="5" max="6" width="13.7109375" customWidth="1"/>
    <col min="7" max="7" width="50.140625" customWidth="1"/>
    <col min="9" max="12" width="9.140625" hidden="1" customWidth="1"/>
  </cols>
  <sheetData>
    <row r="1" spans="1:12" ht="3.75" customHeight="1" x14ac:dyDescent="0.25"/>
    <row r="2" spans="1:12" x14ac:dyDescent="0.25">
      <c r="A2" s="493" t="str">
        <f>'Basic data'!B2</f>
        <v>Annex CR Version P1.1 (Audit year 2026 / Indicator year 2025)</v>
      </c>
      <c r="B2" s="446"/>
      <c r="C2" s="493"/>
      <c r="I2" t="s">
        <v>987</v>
      </c>
      <c r="L2" t="s">
        <v>988</v>
      </c>
    </row>
    <row r="3" spans="1:12" ht="15.75" x14ac:dyDescent="0.25">
      <c r="A3" s="494" t="s">
        <v>989</v>
      </c>
      <c r="B3" s="511"/>
      <c r="C3" s="494"/>
      <c r="I3" t="s">
        <v>990</v>
      </c>
      <c r="L3" t="s">
        <v>991</v>
      </c>
    </row>
    <row r="4" spans="1:12" ht="15.95" customHeight="1" x14ac:dyDescent="0.25">
      <c r="A4" s="529" t="s">
        <v>992</v>
      </c>
      <c r="B4" s="530"/>
    </row>
    <row r="5" spans="1:12" ht="6.75" customHeight="1" thickBot="1" x14ac:dyDescent="0.3"/>
    <row r="6" spans="1:12" ht="51.75" customHeight="1" thickBot="1" x14ac:dyDescent="0.3">
      <c r="A6" s="513" t="s">
        <v>979</v>
      </c>
      <c r="B6" s="514" t="s">
        <v>993</v>
      </c>
      <c r="C6" s="514" t="s">
        <v>994</v>
      </c>
      <c r="D6" s="515" t="s">
        <v>995</v>
      </c>
      <c r="E6" s="515" t="s">
        <v>982</v>
      </c>
      <c r="F6" s="515" t="s">
        <v>996</v>
      </c>
      <c r="G6" s="516" t="s">
        <v>986</v>
      </c>
    </row>
    <row r="7" spans="1:12" ht="26.1" customHeight="1" x14ac:dyDescent="0.25">
      <c r="A7" s="531"/>
      <c r="B7" s="532"/>
      <c r="C7" s="533"/>
      <c r="D7" s="534"/>
      <c r="E7" s="535"/>
      <c r="F7" s="536"/>
      <c r="G7" s="537"/>
    </row>
    <row r="8" spans="1:12" ht="26.1" customHeight="1" x14ac:dyDescent="0.25">
      <c r="A8" s="531"/>
      <c r="B8" s="532"/>
      <c r="C8" s="533"/>
      <c r="D8" s="534"/>
      <c r="E8" s="535"/>
      <c r="F8" s="536"/>
      <c r="G8" s="537"/>
    </row>
    <row r="9" spans="1:12" ht="26.1" customHeight="1" x14ac:dyDescent="0.25">
      <c r="A9" s="531"/>
      <c r="B9" s="532"/>
      <c r="C9" s="533"/>
      <c r="D9" s="534"/>
      <c r="E9" s="535"/>
      <c r="F9" s="536"/>
      <c r="G9" s="537"/>
    </row>
    <row r="10" spans="1:12" ht="26.1" customHeight="1" x14ac:dyDescent="0.25">
      <c r="A10" s="531"/>
      <c r="B10" s="532"/>
      <c r="C10" s="533"/>
      <c r="D10" s="534"/>
      <c r="E10" s="535"/>
      <c r="F10" s="536"/>
      <c r="G10" s="537"/>
    </row>
    <row r="11" spans="1:12" ht="26.1" customHeight="1" x14ac:dyDescent="0.25">
      <c r="A11" s="531"/>
      <c r="B11" s="532"/>
      <c r="C11" s="533"/>
      <c r="D11" s="534"/>
      <c r="E11" s="535"/>
      <c r="F11" s="536"/>
      <c r="G11" s="537"/>
    </row>
    <row r="12" spans="1:12" ht="26.1" customHeight="1" x14ac:dyDescent="0.25">
      <c r="A12" s="531"/>
      <c r="B12" s="532"/>
      <c r="C12" s="533"/>
      <c r="D12" s="534"/>
      <c r="E12" s="535"/>
      <c r="F12" s="536"/>
      <c r="G12" s="537"/>
    </row>
    <row r="13" spans="1:12" ht="26.1" customHeight="1" x14ac:dyDescent="0.25">
      <c r="A13" s="531"/>
      <c r="B13" s="532"/>
      <c r="C13" s="533"/>
      <c r="D13" s="534"/>
      <c r="E13" s="535"/>
      <c r="F13" s="536"/>
      <c r="G13" s="537"/>
    </row>
    <row r="14" spans="1:12" ht="26.1" customHeight="1" x14ac:dyDescent="0.25">
      <c r="A14" s="531"/>
      <c r="B14" s="532"/>
      <c r="C14" s="533"/>
      <c r="D14" s="534"/>
      <c r="E14" s="535"/>
      <c r="F14" s="536"/>
      <c r="G14" s="537"/>
    </row>
    <row r="15" spans="1:12" ht="26.1" customHeight="1" x14ac:dyDescent="0.25">
      <c r="A15" s="531"/>
      <c r="B15" s="532"/>
      <c r="C15" s="533"/>
      <c r="D15" s="534"/>
      <c r="E15" s="535"/>
      <c r="F15" s="536"/>
      <c r="G15" s="537"/>
    </row>
    <row r="16" spans="1:12" ht="26.1" customHeight="1" x14ac:dyDescent="0.25">
      <c r="A16" s="531"/>
      <c r="B16" s="532"/>
      <c r="C16" s="533"/>
      <c r="D16" s="534"/>
      <c r="E16" s="535"/>
      <c r="F16" s="536"/>
      <c r="G16" s="537"/>
    </row>
    <row r="17" spans="1:7" ht="26.1" customHeight="1" x14ac:dyDescent="0.25">
      <c r="A17" s="531"/>
      <c r="B17" s="532"/>
      <c r="C17" s="533"/>
      <c r="D17" s="534"/>
      <c r="E17" s="535"/>
      <c r="F17" s="536"/>
      <c r="G17" s="537"/>
    </row>
    <row r="18" spans="1:7" ht="26.1" customHeight="1" x14ac:dyDescent="0.25">
      <c r="A18" s="531"/>
      <c r="B18" s="532"/>
      <c r="C18" s="533"/>
      <c r="D18" s="534"/>
      <c r="E18" s="535"/>
      <c r="F18" s="536"/>
      <c r="G18" s="537"/>
    </row>
    <row r="19" spans="1:7" ht="26.1" customHeight="1" x14ac:dyDescent="0.25">
      <c r="A19" s="531"/>
      <c r="B19" s="532"/>
      <c r="C19" s="533"/>
      <c r="D19" s="534"/>
      <c r="E19" s="535"/>
      <c r="F19" s="536"/>
      <c r="G19" s="537"/>
    </row>
    <row r="20" spans="1:7" ht="26.1" customHeight="1" x14ac:dyDescent="0.25">
      <c r="A20" s="531"/>
      <c r="B20" s="532"/>
      <c r="C20" s="533"/>
      <c r="D20" s="534"/>
      <c r="E20" s="535"/>
      <c r="F20" s="536"/>
      <c r="G20" s="537"/>
    </row>
    <row r="21" spans="1:7" ht="26.1" customHeight="1" x14ac:dyDescent="0.25">
      <c r="A21" s="531"/>
      <c r="B21" s="532"/>
      <c r="C21" s="533"/>
      <c r="D21" s="534"/>
      <c r="E21" s="535"/>
      <c r="F21" s="536"/>
      <c r="G21" s="537"/>
    </row>
    <row r="22" spans="1:7" ht="26.1" customHeight="1" thickBot="1" x14ac:dyDescent="0.3">
      <c r="A22" s="531"/>
      <c r="B22" s="538"/>
      <c r="C22" s="539"/>
      <c r="D22" s="540"/>
      <c r="E22" s="541"/>
      <c r="F22" s="542"/>
      <c r="G22" s="543"/>
    </row>
    <row r="23" spans="1:7" ht="26.1" customHeight="1" thickBot="1" x14ac:dyDescent="0.3">
      <c r="E23" s="544" t="s">
        <v>997</v>
      </c>
      <c r="F23" s="545">
        <f>SUM(F7:F22)</f>
        <v>0</v>
      </c>
    </row>
  </sheetData>
  <sheetProtection algorithmName="SHA-512" hashValue="vZCfRPwzF+khU0srPakw1K+xPL+FpeRAxUHneqnJJpUUjr1KbLS0HrNZRQCFHfiqXM3t8gyzLAnvE639cVeIHA==" saltValue="CFrTWV2vKZLh46egs6yLvw==" spinCount="100000" sheet="1" objects="1" scenarios="1" selectLockedCells="1"/>
  <phoneticPr fontId="126" type="noConversion"/>
  <conditionalFormatting sqref="A7:G22">
    <cfRule type="expression" dxfId="123" priority="2" stopIfTrue="1">
      <formula>LEN(TRIM(A7))=0</formula>
    </cfRule>
  </conditionalFormatting>
  <conditionalFormatting sqref="F7:F22">
    <cfRule type="cellIs" dxfId="122" priority="3" operator="lessThan">
      <formula>10</formula>
    </cfRule>
  </conditionalFormatting>
  <conditionalFormatting sqref="G7:G22">
    <cfRule type="expression" dxfId="121" priority="1">
      <formula>AND($C7="Designated surgeon",$F7&gt;=10)</formula>
    </cfRule>
  </conditionalFormatting>
  <dataValidations count="6">
    <dataValidation type="list" showInputMessage="1" showErrorMessage="1" errorTitle="Input data error" error="Only values from the dropdown list are allowed." sqref="B7:B22" xr:uid="{AF07E0D8-6BFD-45D8-B275-3F84ADFEBC91}">
      <formula1>$L$2:$L$3</formula1>
    </dataValidation>
    <dataValidation type="list" showInputMessage="1" showErrorMessage="1" errorTitle="Input data error" error="Only values from the dropdown list are allowed." sqref="C7:C22" xr:uid="{6586EC2B-2BD3-46C9-969E-43E3BEE28036}">
      <formula1>$I$2:$I$3</formula1>
    </dataValidation>
    <dataValidation type="textLength" showInputMessage="1" showErrorMessage="1" errorTitle="Character length" error="Only text input up to 200 characters possible." sqref="A7:A22 D7:D22" xr:uid="{80B2581F-7D95-4021-8291-848B6E8A45CF}">
      <formula1>2</formula1>
      <formula2>200</formula2>
    </dataValidation>
    <dataValidation type="textLength" showInputMessage="1" showErrorMessage="1" errorTitle="Character length" error="Only text input up to 500 characters possible." sqref="G7:G22" xr:uid="{2B10BA45-01FC-41C4-AD4D-213A855AC77E}">
      <formula1>2</formula1>
      <formula2>500</formula2>
    </dataValidation>
    <dataValidation type="whole" showInputMessage="1" showErrorMessage="1" errorTitle="Input data error" error="Whole number between 0 and 5000." sqref="F7:F22" xr:uid="{B3B63E54-885A-4893-BD1D-5383260ABF13}">
      <formula1>0</formula1>
      <formula2>5000</formula2>
    </dataValidation>
    <dataValidation type="textLength" showInputMessage="1" showErrorMessage="1" errorTitle="Note" error="Please enter the period from ... to the key figure year." sqref="E7:E22" xr:uid="{1F2A52C4-D5FC-40F3-82CB-E618CA3EC845}">
      <formula1>2</formula1>
      <formula2>200</formula2>
    </dataValidation>
  </dataValidations>
  <pageMargins left="0.7" right="0.7" top="0.75" bottom="0.75" header="0.3" footer="0.3"/>
  <pageSetup scale="61" orientation="landscape" r:id="rId1"/>
  <headerFooter>
    <oddFooter>&amp;L&amp;"Arial,Regular"&amp;7&amp;F&amp;C&amp;"Arial,Regular"&amp;7© DKG  All rights reserved&amp;R&amp;"Arial,Regular"&amp;7&amp;P</oddFooter>
  </headerFooter>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dimension ref="A1:V100"/>
  <sheetViews>
    <sheetView showGridLines="0" zoomScaleNormal="100" zoomScaleSheetLayoutView="87" workbookViewId="0">
      <selection activeCell="T9" sqref="T9:T11"/>
    </sheetView>
  </sheetViews>
  <sheetFormatPr defaultColWidth="11.42578125" defaultRowHeight="14.25" x14ac:dyDescent="0.2"/>
  <cols>
    <col min="1" max="1" width="0.42578125" style="2" customWidth="1"/>
    <col min="2" max="2" width="4.5703125" style="2" customWidth="1"/>
    <col min="3" max="3" width="6.42578125" style="9" customWidth="1"/>
    <col min="4" max="4" width="3.85546875" style="2" customWidth="1"/>
    <col min="5" max="6" width="16.28515625" style="2" customWidth="1"/>
    <col min="7" max="7" width="13.85546875" style="2" customWidth="1"/>
    <col min="8" max="8" width="9.5703125" style="2" customWidth="1"/>
    <col min="9" max="9" width="3.28515625" style="2" customWidth="1"/>
    <col min="10" max="10" width="11.28515625" style="2" customWidth="1"/>
    <col min="11" max="11" width="12.28515625" style="2" customWidth="1"/>
    <col min="12" max="12" width="10.5703125" style="2" customWidth="1"/>
    <col min="13" max="13" width="5.85546875" style="8" customWidth="1"/>
    <col min="14" max="14" width="4.140625" style="8" customWidth="1"/>
    <col min="15" max="15" width="4.5703125" style="8" customWidth="1"/>
    <col min="16" max="16" width="6.140625" style="8" customWidth="1"/>
    <col min="17" max="17" width="10.42578125" style="2" customWidth="1"/>
    <col min="18" max="18" width="7.85546875" style="43" customWidth="1"/>
    <col min="19" max="19" width="8.42578125" style="2" customWidth="1"/>
    <col min="20" max="21" width="71.140625" style="2" customWidth="1"/>
    <col min="22" max="22" width="9.140625" style="2" hidden="1" customWidth="1"/>
    <col min="23" max="16384" width="11.42578125" style="2"/>
  </cols>
  <sheetData>
    <row r="1" spans="1:21" ht="9.9499999999999993" customHeight="1" x14ac:dyDescent="0.25">
      <c r="A1" s="5"/>
      <c r="R1" s="2"/>
    </row>
    <row r="2" spans="1:21" ht="12.95" customHeight="1" x14ac:dyDescent="0.2">
      <c r="A2" s="441"/>
      <c r="B2" s="441" t="str">
        <f>'Basic data'!B2</f>
        <v>Annex CR Version P1.1 (Audit year 2026 / Indicator year 2025)</v>
      </c>
      <c r="R2" s="2"/>
    </row>
    <row r="3" spans="1:21" ht="16.5" x14ac:dyDescent="0.25">
      <c r="A3" s="34"/>
      <c r="B3" s="34" t="s">
        <v>838</v>
      </c>
      <c r="Q3" s="20"/>
      <c r="R3" s="2"/>
    </row>
    <row r="4" spans="1:21" ht="4.5" customHeight="1" x14ac:dyDescent="0.25">
      <c r="A4" s="34"/>
      <c r="Q4" s="20"/>
      <c r="R4" s="2"/>
    </row>
    <row r="5" spans="1:21" s="22" customFormat="1" ht="15" customHeight="1" x14ac:dyDescent="0.25">
      <c r="B5" s="25" t="s">
        <v>913</v>
      </c>
      <c r="C5" s="37"/>
      <c r="D5" s="749" t="str">
        <f>IF('Basic data'!C6=0,"",'Basic data'!C6)</f>
        <v>Not listed</v>
      </c>
      <c r="E5" s="750"/>
      <c r="F5" s="37" t="s">
        <v>941</v>
      </c>
      <c r="G5" s="751" t="str">
        <f>IF('Basic data'!C8=0,"",'Basic data'!C8)</f>
        <v/>
      </c>
      <c r="H5" s="752"/>
      <c r="I5" s="753"/>
      <c r="J5" s="753"/>
      <c r="K5" s="753"/>
      <c r="L5" s="753"/>
      <c r="M5" s="753"/>
      <c r="N5" s="753"/>
      <c r="O5" s="753"/>
      <c r="P5" s="754"/>
      <c r="Q5" s="20"/>
      <c r="R5" s="20"/>
      <c r="S5" s="18"/>
      <c r="T5" s="20"/>
      <c r="U5" s="20"/>
    </row>
    <row r="6" spans="1:21" ht="8.25" customHeight="1" thickBot="1" x14ac:dyDescent="0.25">
      <c r="F6" s="8"/>
      <c r="G6" s="8"/>
      <c r="H6" s="8"/>
      <c r="I6" s="8"/>
      <c r="J6" s="8"/>
      <c r="K6" s="8"/>
      <c r="L6" s="8"/>
      <c r="Q6" s="20"/>
      <c r="R6" s="2"/>
    </row>
    <row r="7" spans="1:21" s="7" customFormat="1" ht="19.5" customHeight="1" thickBot="1" x14ac:dyDescent="0.3">
      <c r="B7" s="858" t="s">
        <v>839</v>
      </c>
      <c r="C7" s="867"/>
      <c r="D7" s="848" t="s">
        <v>886</v>
      </c>
      <c r="E7" s="871" t="s">
        <v>840</v>
      </c>
      <c r="F7" s="871" t="s">
        <v>841</v>
      </c>
      <c r="G7" s="872"/>
      <c r="H7" s="858" t="s">
        <v>842</v>
      </c>
      <c r="I7" s="866"/>
      <c r="J7" s="867"/>
      <c r="K7" s="871" t="s">
        <v>843</v>
      </c>
      <c r="L7" s="872"/>
      <c r="M7" s="788" t="s">
        <v>885</v>
      </c>
      <c r="N7" s="856" t="s">
        <v>844</v>
      </c>
      <c r="O7" s="857"/>
      <c r="P7" s="788" t="s">
        <v>885</v>
      </c>
      <c r="Q7" s="858" t="s">
        <v>845</v>
      </c>
      <c r="R7" s="859"/>
      <c r="S7" s="848" t="s">
        <v>846</v>
      </c>
      <c r="T7" s="850" t="s">
        <v>847</v>
      </c>
      <c r="U7" s="851"/>
    </row>
    <row r="8" spans="1:21" s="7" customFormat="1" ht="23.25" customHeight="1" thickBot="1" x14ac:dyDescent="0.3">
      <c r="B8" s="868"/>
      <c r="C8" s="870"/>
      <c r="D8" s="874"/>
      <c r="E8" s="873"/>
      <c r="F8" s="873"/>
      <c r="G8" s="872"/>
      <c r="H8" s="868"/>
      <c r="I8" s="869"/>
      <c r="J8" s="870"/>
      <c r="K8" s="873"/>
      <c r="L8" s="872"/>
      <c r="M8" s="789"/>
      <c r="N8" s="856"/>
      <c r="O8" s="857"/>
      <c r="P8" s="789"/>
      <c r="Q8" s="860"/>
      <c r="R8" s="861"/>
      <c r="S8" s="849"/>
      <c r="T8" s="478" t="s">
        <v>848</v>
      </c>
      <c r="U8" s="442" t="s">
        <v>849</v>
      </c>
    </row>
    <row r="9" spans="1:21" s="44" customFormat="1" ht="28.5" customHeight="1" thickBot="1" x14ac:dyDescent="0.25">
      <c r="B9" s="824" t="s">
        <v>887</v>
      </c>
      <c r="C9" s="755"/>
      <c r="D9" s="844" t="s">
        <v>440</v>
      </c>
      <c r="E9" s="841" t="s">
        <v>850</v>
      </c>
      <c r="F9" s="718" t="s">
        <v>851</v>
      </c>
      <c r="G9" s="720"/>
      <c r="H9" s="718" t="s">
        <v>852</v>
      </c>
      <c r="I9" s="719"/>
      <c r="J9" s="720"/>
      <c r="K9" s="847" t="s">
        <v>853</v>
      </c>
      <c r="L9" s="720"/>
      <c r="M9" s="801"/>
      <c r="N9" s="743" t="s">
        <v>165</v>
      </c>
      <c r="O9" s="744"/>
      <c r="P9" s="801"/>
      <c r="Q9" s="853" t="s">
        <v>865</v>
      </c>
      <c r="R9" s="852">
        <f>IF('Basic data'!$J$37="",0,'Basic data'!$J$37)</f>
        <v>0</v>
      </c>
      <c r="S9" s="862" t="str">
        <f>IF('Indicator sheet'!R9=0,Berechnung1!$F$4,IF('Indicator sheet'!R9=Berechnung1!D33,Berechnung1!$F$4,IF(OR('Indicator sheet'!R9&lt; Berechnung1!E33,'Indicator sheet'!R9&gt; Berechnung1!F33),Berechnung1!$G$4,IF(OR(ROUND('Indicator sheet'!R9,4)&lt;Berechnung1!J33,ROUND('Indicator sheet'!R9,4)&gt;Berechnung1!K33),Berechnung1!$D$4,IF(OR(ROUND('Indicator sheet'!R9,4)&lt;Berechnung1!G33,ROUND('Indicator sheet'!R9,4)&gt;Berechnung1!H33),Berechnung1!$E$4,Berechnung1!$C$4)))))</f>
        <v>Incomplete</v>
      </c>
      <c r="T9" s="728"/>
      <c r="U9" s="657"/>
    </row>
    <row r="10" spans="1:21" s="44" customFormat="1" ht="28.5" customHeight="1" thickBot="1" x14ac:dyDescent="0.25">
      <c r="B10" s="825"/>
      <c r="C10" s="756"/>
      <c r="D10" s="845"/>
      <c r="E10" s="842"/>
      <c r="F10" s="721"/>
      <c r="G10" s="723"/>
      <c r="H10" s="721"/>
      <c r="I10" s="722"/>
      <c r="J10" s="723"/>
      <c r="K10" s="721"/>
      <c r="L10" s="723"/>
      <c r="M10" s="741"/>
      <c r="N10" s="745"/>
      <c r="O10" s="746"/>
      <c r="P10" s="741"/>
      <c r="Q10" s="854"/>
      <c r="R10" s="852"/>
      <c r="S10" s="863"/>
      <c r="T10" s="729"/>
      <c r="U10" s="658"/>
    </row>
    <row r="11" spans="1:21" s="44" customFormat="1" ht="28.5" customHeight="1" thickBot="1" x14ac:dyDescent="0.25">
      <c r="B11" s="826"/>
      <c r="C11" s="757"/>
      <c r="D11" s="846"/>
      <c r="E11" s="843"/>
      <c r="F11" s="724"/>
      <c r="G11" s="726"/>
      <c r="H11" s="724"/>
      <c r="I11" s="725"/>
      <c r="J11" s="726"/>
      <c r="K11" s="724"/>
      <c r="L11" s="726"/>
      <c r="M11" s="742"/>
      <c r="N11" s="747"/>
      <c r="O11" s="748"/>
      <c r="P11" s="742"/>
      <c r="Q11" s="855"/>
      <c r="R11" s="852"/>
      <c r="S11" s="864"/>
      <c r="T11" s="730"/>
      <c r="U11" s="659"/>
    </row>
    <row r="12" spans="1:21" s="44" customFormat="1" ht="28.5" customHeight="1" x14ac:dyDescent="0.2">
      <c r="B12" s="824" t="s">
        <v>888</v>
      </c>
      <c r="C12" s="755"/>
      <c r="D12" s="844"/>
      <c r="E12" s="841" t="s">
        <v>889</v>
      </c>
      <c r="F12" s="847" t="s">
        <v>302</v>
      </c>
      <c r="G12" s="720"/>
      <c r="H12" s="718" t="s">
        <v>889</v>
      </c>
      <c r="I12" s="719"/>
      <c r="J12" s="720"/>
      <c r="K12" s="847" t="s">
        <v>302</v>
      </c>
      <c r="L12" s="720"/>
      <c r="M12" s="801"/>
      <c r="N12" s="743" t="s">
        <v>873</v>
      </c>
      <c r="O12" s="744"/>
      <c r="P12" s="801"/>
      <c r="Q12" s="853" t="s">
        <v>890</v>
      </c>
      <c r="R12" s="901"/>
      <c r="S12" s="904" t="str">
        <f>IF('Indicator sheet'!R12="",Berechnung1!$F$4,IF(R12=0,Berechnung1!H$4,IF('Indicator sheet'!R12=Berechnung1!D36,Berechnung1!$F$4,IF(OR('Indicator sheet'!R12&lt;Berechnung1!E36,'Indicator sheet'!R12&gt;Berechnung1!F36),Berechnung1!$G$4,IF(OR(ROUND('Indicator sheet'!R12,4)&lt;Berechnung1!J36,ROUND('Indicator sheet'!R12,4)&gt;Berechnung1!K36),Berechnung1!$D$4,IF(OR(ROUND('Indicator sheet'!R12,4)&lt;Berechnung1!G36,ROUND('Indicator sheet'!R12,4)&gt;Berechnung1!H36),Berechnung1!$E$4,Berechnung1!$C$4))))))</f>
        <v>Incomplete</v>
      </c>
      <c r="T12" s="728"/>
      <c r="U12" s="657"/>
    </row>
    <row r="13" spans="1:21" s="44" customFormat="1" ht="28.5" customHeight="1" x14ac:dyDescent="0.2">
      <c r="B13" s="825"/>
      <c r="C13" s="756"/>
      <c r="D13" s="845"/>
      <c r="E13" s="842"/>
      <c r="F13" s="721"/>
      <c r="G13" s="723"/>
      <c r="H13" s="721"/>
      <c r="I13" s="722"/>
      <c r="J13" s="723"/>
      <c r="K13" s="721"/>
      <c r="L13" s="723"/>
      <c r="M13" s="741"/>
      <c r="N13" s="745"/>
      <c r="O13" s="746"/>
      <c r="P13" s="741"/>
      <c r="Q13" s="854"/>
      <c r="R13" s="902"/>
      <c r="S13" s="863"/>
      <c r="T13" s="729"/>
      <c r="U13" s="658"/>
    </row>
    <row r="14" spans="1:21" s="44" customFormat="1" ht="28.5" customHeight="1" thickBot="1" x14ac:dyDescent="0.25">
      <c r="B14" s="825"/>
      <c r="C14" s="756"/>
      <c r="D14" s="846"/>
      <c r="E14" s="843"/>
      <c r="F14" s="724"/>
      <c r="G14" s="726"/>
      <c r="H14" s="724"/>
      <c r="I14" s="725"/>
      <c r="J14" s="726"/>
      <c r="K14" s="724"/>
      <c r="L14" s="726"/>
      <c r="M14" s="742"/>
      <c r="N14" s="747"/>
      <c r="O14" s="748"/>
      <c r="P14" s="742"/>
      <c r="Q14" s="855"/>
      <c r="R14" s="903"/>
      <c r="S14" s="864"/>
      <c r="T14" s="730"/>
      <c r="U14" s="659"/>
    </row>
    <row r="15" spans="1:21" ht="28.5" customHeight="1" thickBot="1" x14ac:dyDescent="0.25">
      <c r="B15" s="660" t="s">
        <v>129</v>
      </c>
      <c r="C15" s="663" t="s">
        <v>163</v>
      </c>
      <c r="D15" s="692"/>
      <c r="E15" s="669" t="s">
        <v>891</v>
      </c>
      <c r="F15" s="718" t="s">
        <v>892</v>
      </c>
      <c r="G15" s="720"/>
      <c r="H15" s="714" t="s">
        <v>893</v>
      </c>
      <c r="I15" s="715"/>
      <c r="J15" s="793"/>
      <c r="K15" s="718" t="s">
        <v>880</v>
      </c>
      <c r="L15" s="720"/>
      <c r="M15" s="801"/>
      <c r="N15" s="743" t="s">
        <v>166</v>
      </c>
      <c r="O15" s="744"/>
      <c r="P15" s="801"/>
      <c r="Q15" s="443" t="s">
        <v>866</v>
      </c>
      <c r="R15" s="56"/>
      <c r="S15" s="731" t="str">
        <f>IF('Indicator sheet'!R17=Berechnung1!D39,Berechnung1!$F$4,IF(OR('Indicator sheet'!R17&lt; Berechnung1!E39,'Indicator sheet'!R17&gt; Berechnung1!F39),Berechnung1!$G$4,IF(OR(ROUND('Indicator sheet'!R17,4)&lt;Berechnung1!J39,ROUND('Indicator sheet'!R17,4)&gt;Berechnung1!K39),Berechnung1!$D$4,IF(OR(ROUND('Indicator sheet'!R17,4)&lt;Berechnung1!G39,ROUND('Indicator sheet'!R17,4)&gt;Berechnung1!H39),Berechnung1!$E$4,Berechnung1!$C$4))))</f>
        <v>Incomplete</v>
      </c>
      <c r="T15" s="728"/>
      <c r="U15" s="657"/>
    </row>
    <row r="16" spans="1:21" ht="28.5" customHeight="1" thickBot="1" x14ac:dyDescent="0.25">
      <c r="B16" s="661"/>
      <c r="C16" s="664"/>
      <c r="D16" s="693"/>
      <c r="E16" s="670"/>
      <c r="F16" s="721"/>
      <c r="G16" s="723"/>
      <c r="H16" s="716"/>
      <c r="I16" s="717"/>
      <c r="J16" s="794"/>
      <c r="K16" s="721"/>
      <c r="L16" s="723"/>
      <c r="M16" s="741"/>
      <c r="N16" s="745"/>
      <c r="O16" s="746"/>
      <c r="P16" s="741"/>
      <c r="Q16" s="443" t="s">
        <v>867</v>
      </c>
      <c r="R16" s="151">
        <f>IF('Basic data'!$J$37="",0,'Basic data'!$J$37)</f>
        <v>0</v>
      </c>
      <c r="S16" s="732"/>
      <c r="T16" s="729"/>
      <c r="U16" s="658"/>
    </row>
    <row r="17" spans="2:21" ht="28.5" customHeight="1" thickBot="1" x14ac:dyDescent="0.25">
      <c r="B17" s="661"/>
      <c r="C17" s="665"/>
      <c r="D17" s="694"/>
      <c r="E17" s="670"/>
      <c r="F17" s="724"/>
      <c r="G17" s="726"/>
      <c r="H17" s="795"/>
      <c r="I17" s="865"/>
      <c r="J17" s="796"/>
      <c r="K17" s="724"/>
      <c r="L17" s="726"/>
      <c r="M17" s="742"/>
      <c r="N17" s="747"/>
      <c r="O17" s="748"/>
      <c r="P17" s="742"/>
      <c r="Q17" s="443" t="s">
        <v>868</v>
      </c>
      <c r="R17" s="377" t="str">
        <f>IF(R15="","n.d.",IF(R16="","n.d.",IF(R16=0,"",R15/R16)))</f>
        <v>n.d.</v>
      </c>
      <c r="S17" s="733"/>
      <c r="T17" s="730"/>
      <c r="U17" s="659"/>
    </row>
    <row r="18" spans="2:21" ht="28.5" customHeight="1" thickBot="1" x14ac:dyDescent="0.25">
      <c r="B18" s="661"/>
      <c r="C18" s="666" t="s">
        <v>1371</v>
      </c>
      <c r="D18" s="692"/>
      <c r="E18" s="670"/>
      <c r="F18" s="695" t="s">
        <v>1372</v>
      </c>
      <c r="G18" s="696"/>
      <c r="H18" s="695" t="s">
        <v>1373</v>
      </c>
      <c r="I18" s="701"/>
      <c r="J18" s="696"/>
      <c r="K18" s="695" t="s">
        <v>1374</v>
      </c>
      <c r="L18" s="696"/>
      <c r="M18" s="727"/>
      <c r="N18" s="644" t="s">
        <v>166</v>
      </c>
      <c r="O18" s="645"/>
      <c r="P18" s="727"/>
      <c r="Q18" s="551" t="s">
        <v>921</v>
      </c>
      <c r="R18" s="552"/>
      <c r="S18" s="651" t="str">
        <f>IF(AND(R18&lt;&gt;"",R19&lt;&gt;"",R18=0,R19=0),Berechnung1!$H$17,IF('Indicator sheet'!R20=Berechnung1!D42,Berechnung1!$F$17,IF(OR('Indicator sheet'!R20&lt;Berechnung1!E42,'Indicator sheet'!R20&gt;Berechnung1!F42),Berechnung1!$G$17,IF(OR(ROUND('Indicator sheet'!R20,4)&lt;Berechnung1!J42,ROUND('Indicator sheet'!R20,4)&gt;Berechnung1!K42),Berechnung1!$D$17,IF(OR(ROUND('Indicator sheet'!R20,4)&lt;Berechnung1!G42,ROUND('Indicator sheet'!R20,4)&gt;Berechnung1!H42),Berechnung1!$E$17,Berechnung1!$C$17)))))</f>
        <v>optional - Incomplete</v>
      </c>
      <c r="T18" s="728"/>
      <c r="U18" s="657"/>
    </row>
    <row r="19" spans="2:21" ht="28.5" customHeight="1" thickBot="1" x14ac:dyDescent="0.25">
      <c r="B19" s="661"/>
      <c r="C19" s="667"/>
      <c r="D19" s="693"/>
      <c r="E19" s="670"/>
      <c r="F19" s="697"/>
      <c r="G19" s="698"/>
      <c r="H19" s="697"/>
      <c r="I19" s="702"/>
      <c r="J19" s="698"/>
      <c r="K19" s="697"/>
      <c r="L19" s="698"/>
      <c r="M19" s="642"/>
      <c r="N19" s="646"/>
      <c r="O19" s="647"/>
      <c r="P19" s="642"/>
      <c r="Q19" s="551" t="s">
        <v>922</v>
      </c>
      <c r="R19" s="553">
        <f>R12</f>
        <v>0</v>
      </c>
      <c r="S19" s="652"/>
      <c r="T19" s="729"/>
      <c r="U19" s="658"/>
    </row>
    <row r="20" spans="2:21" ht="28.5" customHeight="1" thickBot="1" x14ac:dyDescent="0.25">
      <c r="B20" s="662"/>
      <c r="C20" s="668"/>
      <c r="D20" s="694"/>
      <c r="E20" s="671"/>
      <c r="F20" s="699"/>
      <c r="G20" s="700"/>
      <c r="H20" s="699"/>
      <c r="I20" s="703"/>
      <c r="J20" s="700"/>
      <c r="K20" s="699"/>
      <c r="L20" s="700"/>
      <c r="M20" s="643"/>
      <c r="N20" s="648"/>
      <c r="O20" s="649"/>
      <c r="P20" s="643"/>
      <c r="Q20" s="551" t="s">
        <v>923</v>
      </c>
      <c r="R20" s="554" t="str">
        <f>IF(R18="","n.d.",IF(R19="","n.d.",IF(R19=0,"",R18/R19)))</f>
        <v>n.d.</v>
      </c>
      <c r="S20" s="653"/>
      <c r="T20" s="730"/>
      <c r="U20" s="659"/>
    </row>
    <row r="21" spans="2:21" s="44" customFormat="1" ht="28.5" customHeight="1" thickBot="1" x14ac:dyDescent="0.25">
      <c r="B21" s="825" t="s">
        <v>130</v>
      </c>
      <c r="C21" s="756"/>
      <c r="D21" s="844"/>
      <c r="E21" s="841" t="s">
        <v>894</v>
      </c>
      <c r="F21" s="718" t="s">
        <v>895</v>
      </c>
      <c r="G21" s="720"/>
      <c r="H21" s="718" t="s">
        <v>896</v>
      </c>
      <c r="I21" s="719"/>
      <c r="J21" s="720"/>
      <c r="K21" s="718" t="s">
        <v>1007</v>
      </c>
      <c r="L21" s="720"/>
      <c r="M21" s="801"/>
      <c r="N21" s="743" t="s">
        <v>166</v>
      </c>
      <c r="O21" s="744"/>
      <c r="P21" s="801"/>
      <c r="Q21" s="444" t="s">
        <v>866</v>
      </c>
      <c r="R21" s="56"/>
      <c r="S21" s="731" t="str">
        <f>IF('Indicator sheet'!R23=Berechnung1!D45,Berechnung1!$F$4,IF(OR('Indicator sheet'!R23&lt; Berechnung1!E45,'Indicator sheet'!R23&gt; Berechnung1!F45),Berechnung1!$G$4,IF(OR(ROUND('Indicator sheet'!R23,4)&lt;Berechnung1!J45,ROUND('Indicator sheet'!R23,4)&gt;Berechnung1!K45),Berechnung1!$D$4,IF(OR(ROUND('Indicator sheet'!R23,4)&lt;Berechnung1!G45,ROUND('Indicator sheet'!R23,4)&gt;Berechnung1!H45),Berechnung1!$E$4,Berechnung1!$C$4))))</f>
        <v>Incomplete</v>
      </c>
      <c r="T21" s="728"/>
      <c r="U21" s="657"/>
    </row>
    <row r="22" spans="2:21" s="44" customFormat="1" ht="28.5" customHeight="1" thickBot="1" x14ac:dyDescent="0.25">
      <c r="B22" s="825"/>
      <c r="C22" s="756"/>
      <c r="D22" s="845"/>
      <c r="E22" s="842"/>
      <c r="F22" s="721"/>
      <c r="G22" s="723"/>
      <c r="H22" s="721"/>
      <c r="I22" s="722"/>
      <c r="J22" s="723"/>
      <c r="K22" s="721"/>
      <c r="L22" s="723"/>
      <c r="M22" s="741"/>
      <c r="N22" s="745"/>
      <c r="O22" s="746"/>
      <c r="P22" s="741"/>
      <c r="Q22" s="444" t="s">
        <v>867</v>
      </c>
      <c r="R22" s="151">
        <f>IF('Basic data'!$J$38="",0,'Basic data'!$J$38)</f>
        <v>0</v>
      </c>
      <c r="S22" s="732"/>
      <c r="T22" s="729"/>
      <c r="U22" s="658"/>
    </row>
    <row r="23" spans="2:21" s="44" customFormat="1" ht="28.5" customHeight="1" thickBot="1" x14ac:dyDescent="0.25">
      <c r="B23" s="826"/>
      <c r="C23" s="757"/>
      <c r="D23" s="846"/>
      <c r="E23" s="843"/>
      <c r="F23" s="724"/>
      <c r="G23" s="726"/>
      <c r="H23" s="724"/>
      <c r="I23" s="725"/>
      <c r="J23" s="726"/>
      <c r="K23" s="724"/>
      <c r="L23" s="726"/>
      <c r="M23" s="742"/>
      <c r="N23" s="747"/>
      <c r="O23" s="748"/>
      <c r="P23" s="742"/>
      <c r="Q23" s="444" t="s">
        <v>868</v>
      </c>
      <c r="R23" s="377" t="str">
        <f>IF(R21="","n.d.",IF(R22="","n.d.",IF(R22=0,"",R21/R22)))</f>
        <v>n.d.</v>
      </c>
      <c r="S23" s="733"/>
      <c r="T23" s="730"/>
      <c r="U23" s="659"/>
    </row>
    <row r="24" spans="2:21" ht="28.5" customHeight="1" thickBot="1" x14ac:dyDescent="0.25">
      <c r="B24" s="836" t="s">
        <v>999</v>
      </c>
      <c r="C24" s="758"/>
      <c r="D24" s="776"/>
      <c r="E24" s="812" t="s">
        <v>942</v>
      </c>
      <c r="F24" s="714" t="s">
        <v>943</v>
      </c>
      <c r="G24" s="793"/>
      <c r="H24" s="714" t="s">
        <v>944</v>
      </c>
      <c r="I24" s="715"/>
      <c r="J24" s="793"/>
      <c r="K24" s="714" t="s">
        <v>1004</v>
      </c>
      <c r="L24" s="793"/>
      <c r="M24" s="790"/>
      <c r="N24" s="779" t="s">
        <v>945</v>
      </c>
      <c r="O24" s="780"/>
      <c r="P24" s="790"/>
      <c r="Q24" s="548" t="s">
        <v>921</v>
      </c>
      <c r="R24" s="122"/>
      <c r="S24" s="731" t="str">
        <f>IF('Indicator sheet'!R26=Berechnung1!D48,Berechnung1!$F$4,IF(OR('Indicator sheet'!R26&lt; Berechnung1!E48,'Indicator sheet'!R26&gt; Berechnung1!F48),Berechnung1!$G$4,IF(OR(ROUND('Indicator sheet'!R26,4)&lt;Berechnung1!J48,ROUND('Indicator sheet'!R26,4)&gt;Berechnung1!K48),Berechnung1!$D$4,IF(OR(ROUND('Indicator sheet'!R26,4)&lt;Berechnung1!G48,ROUND('Indicator sheet'!R26,4)&gt;Berechnung1!H48),Berechnung1!$E$4,Berechnung1!$C$4))))</f>
        <v>Incomplete</v>
      </c>
      <c r="T24" s="833"/>
      <c r="U24" s="657"/>
    </row>
    <row r="25" spans="2:21" ht="28.5" customHeight="1" thickBot="1" x14ac:dyDescent="0.25">
      <c r="B25" s="837"/>
      <c r="C25" s="759"/>
      <c r="D25" s="777"/>
      <c r="E25" s="813"/>
      <c r="F25" s="716"/>
      <c r="G25" s="794"/>
      <c r="H25" s="716"/>
      <c r="I25" s="717"/>
      <c r="J25" s="794"/>
      <c r="K25" s="716"/>
      <c r="L25" s="794"/>
      <c r="M25" s="735"/>
      <c r="N25" s="781"/>
      <c r="O25" s="782"/>
      <c r="P25" s="735"/>
      <c r="Q25" s="548" t="s">
        <v>922</v>
      </c>
      <c r="R25" s="549">
        <f>R9+R12</f>
        <v>0</v>
      </c>
      <c r="S25" s="732"/>
      <c r="T25" s="834"/>
      <c r="U25" s="658"/>
    </row>
    <row r="26" spans="2:21" ht="28.5" customHeight="1" thickBot="1" x14ac:dyDescent="0.25">
      <c r="B26" s="838"/>
      <c r="C26" s="760"/>
      <c r="D26" s="778"/>
      <c r="E26" s="814"/>
      <c r="F26" s="795"/>
      <c r="G26" s="796"/>
      <c r="H26" s="795"/>
      <c r="I26" s="865"/>
      <c r="J26" s="796"/>
      <c r="K26" s="795"/>
      <c r="L26" s="796"/>
      <c r="M26" s="736"/>
      <c r="N26" s="783"/>
      <c r="O26" s="784"/>
      <c r="P26" s="736"/>
      <c r="Q26" s="548" t="s">
        <v>923</v>
      </c>
      <c r="R26" s="378" t="str">
        <f>IF(R24="","n.d.",IF(R25="","n.d.",IF(R25=0,"",R24/R25)))</f>
        <v>n.d.</v>
      </c>
      <c r="S26" s="733"/>
      <c r="T26" s="835"/>
      <c r="U26" s="659"/>
    </row>
    <row r="27" spans="2:21" s="44" customFormat="1" ht="28.5" customHeight="1" thickBot="1" x14ac:dyDescent="0.25">
      <c r="B27" s="824" t="s">
        <v>132</v>
      </c>
      <c r="C27" s="755"/>
      <c r="D27" s="844"/>
      <c r="E27" s="841" t="s">
        <v>946</v>
      </c>
      <c r="F27" s="718" t="s">
        <v>937</v>
      </c>
      <c r="G27" s="720"/>
      <c r="H27" s="718" t="s">
        <v>897</v>
      </c>
      <c r="I27" s="719"/>
      <c r="J27" s="720"/>
      <c r="K27" s="714" t="s">
        <v>1004</v>
      </c>
      <c r="L27" s="793"/>
      <c r="M27" s="801" t="s">
        <v>333</v>
      </c>
      <c r="N27" s="743" t="s">
        <v>873</v>
      </c>
      <c r="O27" s="744"/>
      <c r="P27" s="740"/>
      <c r="Q27" s="444" t="s">
        <v>866</v>
      </c>
      <c r="R27" s="56"/>
      <c r="S27" s="731" t="str">
        <f>IF('Indicator sheet'!R29=Berechnung1!D51,Berechnung1!$F$4,IF(OR('Indicator sheet'!R29&lt; Berechnung1!E51,'Indicator sheet'!R29&gt; Berechnung1!F51),Berechnung1!$G$4,IF(OR(ROUND('Indicator sheet'!R29,4)&lt;Berechnung1!J51,ROUND('Indicator sheet'!R29,4)&gt;Berechnung1!K51),Berechnung1!$D$4,IF(OR(ROUND('Indicator sheet'!R29,4)&lt;Berechnung1!G51,ROUND('Indicator sheet'!R29,4)&gt;Berechnung1!H51),Berechnung1!$E$4,Berechnung1!$C$4))))</f>
        <v>Incomplete</v>
      </c>
      <c r="T27" s="728"/>
      <c r="U27" s="657"/>
    </row>
    <row r="28" spans="2:21" s="44" customFormat="1" ht="28.5" customHeight="1" thickBot="1" x14ac:dyDescent="0.25">
      <c r="B28" s="825"/>
      <c r="C28" s="756"/>
      <c r="D28" s="845"/>
      <c r="E28" s="842"/>
      <c r="F28" s="721"/>
      <c r="G28" s="723"/>
      <c r="H28" s="721"/>
      <c r="I28" s="722"/>
      <c r="J28" s="723"/>
      <c r="K28" s="716"/>
      <c r="L28" s="794"/>
      <c r="M28" s="741"/>
      <c r="N28" s="745"/>
      <c r="O28" s="746"/>
      <c r="P28" s="741"/>
      <c r="Q28" s="444" t="s">
        <v>867</v>
      </c>
      <c r="R28" s="151">
        <f>R25</f>
        <v>0</v>
      </c>
      <c r="S28" s="732"/>
      <c r="T28" s="729"/>
      <c r="U28" s="658"/>
    </row>
    <row r="29" spans="2:21" s="44" customFormat="1" ht="28.5" customHeight="1" thickBot="1" x14ac:dyDescent="0.25">
      <c r="B29" s="826"/>
      <c r="C29" s="757"/>
      <c r="D29" s="846"/>
      <c r="E29" s="843"/>
      <c r="F29" s="724"/>
      <c r="G29" s="726"/>
      <c r="H29" s="724"/>
      <c r="I29" s="725"/>
      <c r="J29" s="726"/>
      <c r="K29" s="795"/>
      <c r="L29" s="796"/>
      <c r="M29" s="742"/>
      <c r="N29" s="747"/>
      <c r="O29" s="748"/>
      <c r="P29" s="742"/>
      <c r="Q29" s="444" t="s">
        <v>868</v>
      </c>
      <c r="R29" s="377" t="str">
        <f>IF(R27="","n.d.",IF(R28="","n.d.",IF(R28=0,"",R27/R28)))</f>
        <v>n.d.</v>
      </c>
      <c r="S29" s="733"/>
      <c r="T29" s="730"/>
      <c r="U29" s="659"/>
    </row>
    <row r="30" spans="2:21" ht="28.5" customHeight="1" thickBot="1" x14ac:dyDescent="0.25">
      <c r="B30" s="824" t="s">
        <v>133</v>
      </c>
      <c r="C30" s="755"/>
      <c r="D30" s="844" t="s">
        <v>441</v>
      </c>
      <c r="E30" s="841" t="s">
        <v>949</v>
      </c>
      <c r="F30" s="718" t="s">
        <v>854</v>
      </c>
      <c r="G30" s="720"/>
      <c r="H30" s="718" t="s">
        <v>938</v>
      </c>
      <c r="I30" s="719"/>
      <c r="J30" s="720"/>
      <c r="K30" s="718" t="s">
        <v>880</v>
      </c>
      <c r="L30" s="720"/>
      <c r="M30" s="801"/>
      <c r="N30" s="743" t="s">
        <v>422</v>
      </c>
      <c r="O30" s="744"/>
      <c r="P30" s="801"/>
      <c r="Q30" s="444" t="s">
        <v>866</v>
      </c>
      <c r="R30" s="118">
        <f>Studies!E5</f>
        <v>0</v>
      </c>
      <c r="S30" s="731" t="str">
        <f>IF('Indicator sheet'!R32=Berechnung1!D54,Berechnung1!$F$4,IF(OR('Indicator sheet'!R32&lt; Berechnung1!E54,'Indicator sheet'!R32&gt; Berechnung1!F54),Berechnung1!$G$4,IF(OR(ROUND('Indicator sheet'!R32,4)&lt;Berechnung1!J54,ROUND('Indicator sheet'!R32,4)&gt;Berechnung1!K54),Berechnung1!$D$4,IF(OR(ROUND('Indicator sheet'!R32,4)&lt;Berechnung1!G54,ROUND('Indicator sheet'!R32,4)&gt;Berechnung1!H54),Berechnung1!$E$4,Berechnung1!$C$4))))</f>
        <v>Incomplete</v>
      </c>
      <c r="T30" s="728"/>
      <c r="U30" s="657"/>
    </row>
    <row r="31" spans="2:21" ht="28.5" customHeight="1" thickBot="1" x14ac:dyDescent="0.25">
      <c r="B31" s="825"/>
      <c r="C31" s="756"/>
      <c r="D31" s="845"/>
      <c r="E31" s="842"/>
      <c r="F31" s="721"/>
      <c r="G31" s="723"/>
      <c r="H31" s="721"/>
      <c r="I31" s="722"/>
      <c r="J31" s="723"/>
      <c r="K31" s="721"/>
      <c r="L31" s="723"/>
      <c r="M31" s="741"/>
      <c r="N31" s="745"/>
      <c r="O31" s="746"/>
      <c r="P31" s="741"/>
      <c r="Q31" s="444" t="s">
        <v>867</v>
      </c>
      <c r="R31" s="118">
        <f>IF('Basic data'!J37="",0,'Basic data'!J37)</f>
        <v>0</v>
      </c>
      <c r="S31" s="732"/>
      <c r="T31" s="729"/>
      <c r="U31" s="658"/>
    </row>
    <row r="32" spans="2:21" ht="28.5" customHeight="1" thickBot="1" x14ac:dyDescent="0.25">
      <c r="B32" s="826"/>
      <c r="C32" s="757"/>
      <c r="D32" s="846"/>
      <c r="E32" s="843"/>
      <c r="F32" s="724"/>
      <c r="G32" s="726"/>
      <c r="H32" s="724"/>
      <c r="I32" s="725"/>
      <c r="J32" s="726"/>
      <c r="K32" s="724"/>
      <c r="L32" s="726"/>
      <c r="M32" s="742"/>
      <c r="N32" s="747"/>
      <c r="O32" s="748"/>
      <c r="P32" s="742"/>
      <c r="Q32" s="444" t="s">
        <v>868</v>
      </c>
      <c r="R32" s="377" t="str">
        <f>IF(R30="","n.d.",IF(R31="","n.d.",IF(R31=0,"n.d.",R30/R31)))</f>
        <v>n.d.</v>
      </c>
      <c r="S32" s="733"/>
      <c r="T32" s="730"/>
      <c r="U32" s="659"/>
    </row>
    <row r="33" spans="2:21" ht="28.5" customHeight="1" thickBot="1" x14ac:dyDescent="0.25">
      <c r="B33" s="839" t="s">
        <v>134</v>
      </c>
      <c r="C33" s="875" t="s">
        <v>163</v>
      </c>
      <c r="D33" s="844" t="s">
        <v>442</v>
      </c>
      <c r="E33" s="841" t="s">
        <v>855</v>
      </c>
      <c r="F33" s="718" t="s">
        <v>898</v>
      </c>
      <c r="G33" s="720"/>
      <c r="H33" s="714" t="s">
        <v>856</v>
      </c>
      <c r="I33" s="715"/>
      <c r="J33" s="797" t="s">
        <v>857</v>
      </c>
      <c r="K33" s="802" t="s">
        <v>858</v>
      </c>
      <c r="L33" s="803"/>
      <c r="M33" s="830" t="s">
        <v>308</v>
      </c>
      <c r="N33" s="791" t="s">
        <v>171</v>
      </c>
      <c r="O33" s="792"/>
      <c r="P33" s="829"/>
      <c r="Q33" s="444" t="s">
        <v>866</v>
      </c>
      <c r="R33" s="56"/>
      <c r="S33" s="731" t="str">
        <f>IF('Indicator sheet'!R35=Berechnung1!D57,Berechnung1!$F$4,IF(OR('Indicator sheet'!R35&lt; Berechnung1!E57,'Indicator sheet'!R35&gt; Berechnung1!F57),Berechnung1!$G$4,IF(OR('Indicator sheet'!R35&lt;Berechnung1!J57,'Indicator sheet'!R35&gt;Berechnung1!K57),Berechnung1!$D$4,IF(OR(ROUND('Indicator sheet'!R35,4)&lt;Berechnung1!G57,ROUND('Indicator sheet'!R35,4)&gt;Berechnung1!H57),Berechnung1!$E$4,Berechnung1!$C$4))))</f>
        <v>Incomplete</v>
      </c>
      <c r="T33" s="728"/>
      <c r="U33" s="657"/>
    </row>
    <row r="34" spans="2:21" ht="28.5" customHeight="1" thickBot="1" x14ac:dyDescent="0.25">
      <c r="B34" s="840"/>
      <c r="C34" s="876"/>
      <c r="D34" s="845"/>
      <c r="E34" s="842"/>
      <c r="F34" s="721"/>
      <c r="G34" s="723"/>
      <c r="H34" s="716"/>
      <c r="I34" s="717"/>
      <c r="J34" s="798"/>
      <c r="K34" s="804"/>
      <c r="L34" s="805"/>
      <c r="M34" s="831"/>
      <c r="N34" s="791"/>
      <c r="O34" s="792"/>
      <c r="P34" s="738"/>
      <c r="Q34" s="444" t="s">
        <v>867</v>
      </c>
      <c r="R34" s="56"/>
      <c r="S34" s="732"/>
      <c r="T34" s="729"/>
      <c r="U34" s="658"/>
    </row>
    <row r="35" spans="2:21" ht="28.5" customHeight="1" thickBot="1" x14ac:dyDescent="0.25">
      <c r="B35" s="840"/>
      <c r="C35" s="877"/>
      <c r="D35" s="845"/>
      <c r="E35" s="842"/>
      <c r="F35" s="721"/>
      <c r="G35" s="723"/>
      <c r="H35" s="716"/>
      <c r="I35" s="717"/>
      <c r="J35" s="799"/>
      <c r="K35" s="804"/>
      <c r="L35" s="805"/>
      <c r="M35" s="831"/>
      <c r="N35" s="791"/>
      <c r="O35" s="792"/>
      <c r="P35" s="739"/>
      <c r="Q35" s="444" t="s">
        <v>868</v>
      </c>
      <c r="R35" s="377" t="str">
        <f>IF(R33="","n.d.",IF(R34="","n.d.",IF(R34=0,"",R33/R34)))</f>
        <v>n.d.</v>
      </c>
      <c r="S35" s="733"/>
      <c r="T35" s="730"/>
      <c r="U35" s="659"/>
    </row>
    <row r="36" spans="2:21" ht="28.5" customHeight="1" thickBot="1" x14ac:dyDescent="0.25">
      <c r="B36" s="840"/>
      <c r="C36" s="878" t="s">
        <v>164</v>
      </c>
      <c r="D36" s="845"/>
      <c r="E36" s="842"/>
      <c r="F36" s="721"/>
      <c r="G36" s="723"/>
      <c r="H36" s="716"/>
      <c r="I36" s="717"/>
      <c r="J36" s="800" t="s">
        <v>859</v>
      </c>
      <c r="K36" s="804"/>
      <c r="L36" s="805"/>
      <c r="M36" s="830" t="s">
        <v>308</v>
      </c>
      <c r="N36" s="791" t="s">
        <v>169</v>
      </c>
      <c r="O36" s="792"/>
      <c r="P36" s="829"/>
      <c r="Q36" s="444" t="s">
        <v>866</v>
      </c>
      <c r="R36" s="56"/>
      <c r="S36" s="731" t="str">
        <f>IF('Indicator sheet'!R38=Berechnung1!D60,Berechnung1!$F$4,IF(OR('Indicator sheet'!R38&lt; Berechnung1!E60,'Indicator sheet'!R38&gt; Berechnung1!F60),Berechnung1!$G$4,IF(OR('Indicator sheet'!R38&lt;Berechnung1!J60,'Indicator sheet'!R38&gt;Berechnung1!K60),Berechnung1!$D$4,IF(OR(ROUND('Indicator sheet'!R38,4)&lt;Berechnung1!G60,ROUND('Indicator sheet'!R38,4)&gt;Berechnung1!H60),Berechnung1!$E$4,Berechnung1!$C$4))))</f>
        <v>Incomplete</v>
      </c>
      <c r="T36" s="728"/>
      <c r="U36" s="657"/>
    </row>
    <row r="37" spans="2:21" ht="28.5" customHeight="1" thickBot="1" x14ac:dyDescent="0.25">
      <c r="B37" s="840"/>
      <c r="C37" s="876"/>
      <c r="D37" s="845"/>
      <c r="E37" s="842"/>
      <c r="F37" s="721"/>
      <c r="G37" s="723"/>
      <c r="H37" s="716"/>
      <c r="I37" s="717"/>
      <c r="J37" s="798"/>
      <c r="K37" s="804"/>
      <c r="L37" s="805"/>
      <c r="M37" s="831"/>
      <c r="N37" s="791"/>
      <c r="O37" s="792"/>
      <c r="P37" s="738"/>
      <c r="Q37" s="444" t="s">
        <v>867</v>
      </c>
      <c r="R37" s="118">
        <f>R34</f>
        <v>0</v>
      </c>
      <c r="S37" s="732"/>
      <c r="T37" s="729"/>
      <c r="U37" s="658"/>
    </row>
    <row r="38" spans="2:21" ht="28.5" customHeight="1" thickBot="1" x14ac:dyDescent="0.25">
      <c r="B38" s="840"/>
      <c r="C38" s="877"/>
      <c r="D38" s="845"/>
      <c r="E38" s="842"/>
      <c r="F38" s="724"/>
      <c r="G38" s="726"/>
      <c r="H38" s="716"/>
      <c r="I38" s="717"/>
      <c r="J38" s="798"/>
      <c r="K38" s="804"/>
      <c r="L38" s="805"/>
      <c r="M38" s="832"/>
      <c r="N38" s="791"/>
      <c r="O38" s="792"/>
      <c r="P38" s="739"/>
      <c r="Q38" s="444" t="s">
        <v>868</v>
      </c>
      <c r="R38" s="377" t="str">
        <f>IF(R36="","n.d.",IF(R37="","n.d.",IF(R37=0,"",R36/R37)))</f>
        <v>n.d.</v>
      </c>
      <c r="S38" s="733"/>
      <c r="T38" s="730"/>
      <c r="U38" s="659"/>
    </row>
    <row r="39" spans="2:21" s="44" customFormat="1" ht="28.5" customHeight="1" thickBot="1" x14ac:dyDescent="0.25">
      <c r="B39" s="824" t="s">
        <v>135</v>
      </c>
      <c r="C39" s="755"/>
      <c r="D39" s="844" t="s">
        <v>443</v>
      </c>
      <c r="E39" s="841" t="s">
        <v>1015</v>
      </c>
      <c r="F39" s="718" t="s">
        <v>851</v>
      </c>
      <c r="G39" s="720"/>
      <c r="H39" s="718" t="s">
        <v>860</v>
      </c>
      <c r="I39" s="719"/>
      <c r="J39" s="720"/>
      <c r="K39" s="880" t="s">
        <v>853</v>
      </c>
      <c r="L39" s="822"/>
      <c r="M39" s="801"/>
      <c r="N39" s="743" t="s">
        <v>167</v>
      </c>
      <c r="O39" s="744"/>
      <c r="P39" s="801"/>
      <c r="Q39" s="817" t="s">
        <v>870</v>
      </c>
      <c r="R39" s="820">
        <f>IF('Basic data'!$J$38="",0,'Basic data'!$J$38)</f>
        <v>0</v>
      </c>
      <c r="S39" s="731" t="str">
        <f>IF('Indicator sheet'!R39=0,Berechnung1!$F$4,IF('Indicator sheet'!R39=Berechnung1!D63,Berechnung1!$F$4,IF(OR('Indicator sheet'!R39&lt; Berechnung1!E63,'Indicator sheet'!R39&gt; Berechnung1!F63),Berechnung1!$G$4,IF(OR(ROUND('Indicator sheet'!R39,4)&lt;Berechnung1!J63,ROUND('Indicator sheet'!R39,4)&gt;Berechnung1!K63),Berechnung1!$D$4,IF(OR(ROUND('Indicator sheet'!R39,4)&lt;Berechnung1!G63,ROUND('Indicator sheet'!R39,4)&gt;Berechnung1!H63),Berechnung1!$E$4,Berechnung1!$C$4)))))</f>
        <v>Incomplete</v>
      </c>
      <c r="T39" s="728"/>
      <c r="U39" s="657"/>
    </row>
    <row r="40" spans="2:21" s="44" customFormat="1" ht="28.5" customHeight="1" thickBot="1" x14ac:dyDescent="0.25">
      <c r="B40" s="825"/>
      <c r="C40" s="756"/>
      <c r="D40" s="845"/>
      <c r="E40" s="842"/>
      <c r="F40" s="721"/>
      <c r="G40" s="723"/>
      <c r="H40" s="721"/>
      <c r="I40" s="722"/>
      <c r="J40" s="723"/>
      <c r="K40" s="822"/>
      <c r="L40" s="822"/>
      <c r="M40" s="741"/>
      <c r="N40" s="745"/>
      <c r="O40" s="746"/>
      <c r="P40" s="741"/>
      <c r="Q40" s="818"/>
      <c r="R40" s="821"/>
      <c r="S40" s="732"/>
      <c r="T40" s="729"/>
      <c r="U40" s="658"/>
    </row>
    <row r="41" spans="2:21" s="44" customFormat="1" ht="28.5" customHeight="1" thickBot="1" x14ac:dyDescent="0.25">
      <c r="B41" s="826"/>
      <c r="C41" s="757"/>
      <c r="D41" s="846"/>
      <c r="E41" s="843"/>
      <c r="F41" s="724"/>
      <c r="G41" s="726"/>
      <c r="H41" s="724"/>
      <c r="I41" s="725"/>
      <c r="J41" s="726"/>
      <c r="K41" s="822"/>
      <c r="L41" s="822"/>
      <c r="M41" s="742"/>
      <c r="N41" s="747"/>
      <c r="O41" s="748"/>
      <c r="P41" s="742"/>
      <c r="Q41" s="819"/>
      <c r="R41" s="821"/>
      <c r="S41" s="733"/>
      <c r="T41" s="730"/>
      <c r="U41" s="659"/>
    </row>
    <row r="42" spans="2:21" ht="28.5" customHeight="1" thickBot="1" x14ac:dyDescent="0.25">
      <c r="B42" s="825" t="s">
        <v>136</v>
      </c>
      <c r="C42" s="756"/>
      <c r="D42" s="845" t="s">
        <v>443</v>
      </c>
      <c r="E42" s="842" t="s">
        <v>861</v>
      </c>
      <c r="F42" s="718" t="s">
        <v>851</v>
      </c>
      <c r="G42" s="720"/>
      <c r="H42" s="718" t="s">
        <v>1014</v>
      </c>
      <c r="I42" s="719"/>
      <c r="J42" s="720"/>
      <c r="K42" s="881" t="s">
        <v>853</v>
      </c>
      <c r="L42" s="843"/>
      <c r="M42" s="801"/>
      <c r="N42" s="743" t="s">
        <v>168</v>
      </c>
      <c r="O42" s="744"/>
      <c r="P42" s="801"/>
      <c r="Q42" s="817" t="s">
        <v>870</v>
      </c>
      <c r="R42" s="820">
        <f>IF('Basic data'!$J$40="",0,'Basic data'!$J$40)</f>
        <v>0</v>
      </c>
      <c r="S42" s="731" t="str">
        <f>IF('Indicator sheet'!R42=0,Berechnung1!$F$4,IF('Indicator sheet'!R42=Berechnung1!D66,Berechnung1!$F$4,IF(OR('Indicator sheet'!R42&lt; Berechnung1!E66,'Indicator sheet'!R42&gt; Berechnung1!F66),Berechnung1!$G$4,IF(OR(ROUND('Indicator sheet'!R42,4)&lt;Berechnung1!J66,ROUND('Indicator sheet'!R42,4)&gt;Berechnung1!K66),Berechnung1!$D$4,IF(OR(ROUND('Indicator sheet'!R42,4)&lt;Berechnung1!G66,ROUND('Indicator sheet'!R42,4)&gt;Berechnung1!H66),Berechnung1!$E$4,Berechnung1!$C$4)))))</f>
        <v>Incomplete</v>
      </c>
      <c r="T42" s="728"/>
      <c r="U42" s="657"/>
    </row>
    <row r="43" spans="2:21" ht="28.5" customHeight="1" thickBot="1" x14ac:dyDescent="0.25">
      <c r="B43" s="825"/>
      <c r="C43" s="756"/>
      <c r="D43" s="845"/>
      <c r="E43" s="842"/>
      <c r="F43" s="721"/>
      <c r="G43" s="723"/>
      <c r="H43" s="721"/>
      <c r="I43" s="722"/>
      <c r="J43" s="723"/>
      <c r="K43" s="822"/>
      <c r="L43" s="822"/>
      <c r="M43" s="741"/>
      <c r="N43" s="745"/>
      <c r="O43" s="746"/>
      <c r="P43" s="741"/>
      <c r="Q43" s="818"/>
      <c r="R43" s="821"/>
      <c r="S43" s="732"/>
      <c r="T43" s="729"/>
      <c r="U43" s="658"/>
    </row>
    <row r="44" spans="2:21" ht="28.5" customHeight="1" thickBot="1" x14ac:dyDescent="0.25">
      <c r="B44" s="826"/>
      <c r="C44" s="757"/>
      <c r="D44" s="846"/>
      <c r="E44" s="843"/>
      <c r="F44" s="724"/>
      <c r="G44" s="726"/>
      <c r="H44" s="724"/>
      <c r="I44" s="725"/>
      <c r="J44" s="726"/>
      <c r="K44" s="822"/>
      <c r="L44" s="822"/>
      <c r="M44" s="742"/>
      <c r="N44" s="747"/>
      <c r="O44" s="748"/>
      <c r="P44" s="742"/>
      <c r="Q44" s="819"/>
      <c r="R44" s="821"/>
      <c r="S44" s="733"/>
      <c r="T44" s="730"/>
      <c r="U44" s="659"/>
    </row>
    <row r="45" spans="2:21" s="45" customFormat="1" ht="28.5" customHeight="1" thickBot="1" x14ac:dyDescent="0.25">
      <c r="B45" s="824" t="s">
        <v>137</v>
      </c>
      <c r="C45" s="755"/>
      <c r="D45" s="844"/>
      <c r="E45" s="822" t="s">
        <v>862</v>
      </c>
      <c r="F45" s="822" t="s">
        <v>899</v>
      </c>
      <c r="G45" s="823"/>
      <c r="H45" s="718" t="s">
        <v>1013</v>
      </c>
      <c r="I45" s="719"/>
      <c r="J45" s="720"/>
      <c r="K45" s="880" t="s">
        <v>881</v>
      </c>
      <c r="L45" s="823"/>
      <c r="M45" s="737" t="s">
        <v>308</v>
      </c>
      <c r="N45" s="791" t="s">
        <v>170</v>
      </c>
      <c r="O45" s="792"/>
      <c r="P45" s="829"/>
      <c r="Q45" s="445" t="s">
        <v>871</v>
      </c>
      <c r="R45" s="56"/>
      <c r="S45" s="731" t="str">
        <f>IF('Indicator sheet'!R47=Berechnung1!D69,Berechnung1!$F$4,IF(OR('Indicator sheet'!R47&lt; Berechnung1!E69,'Indicator sheet'!R47&gt; Berechnung1!F69),Berechnung1!$G$4,IF(OR('Indicator sheet'!R47&lt;Berechnung1!J69,'Indicator sheet'!R47&gt;Berechnung1!K69),Berechnung1!$D$4,IF(OR(ROUND('Indicator sheet'!R47,4)&lt;Berechnung1!G69,ROUND('Indicator sheet'!R47,4)&gt;Berechnung1!H69),Berechnung1!$E$4,Berechnung1!$C$4))))</f>
        <v>Incomplete</v>
      </c>
      <c r="T45" s="728"/>
      <c r="U45" s="657"/>
    </row>
    <row r="46" spans="2:21" s="44" customFormat="1" ht="28.5" customHeight="1" thickBot="1" x14ac:dyDescent="0.25">
      <c r="B46" s="825"/>
      <c r="C46" s="756"/>
      <c r="D46" s="845"/>
      <c r="E46" s="822"/>
      <c r="F46" s="822"/>
      <c r="G46" s="823"/>
      <c r="H46" s="721"/>
      <c r="I46" s="722"/>
      <c r="J46" s="723"/>
      <c r="K46" s="822"/>
      <c r="L46" s="823"/>
      <c r="M46" s="738"/>
      <c r="N46" s="791"/>
      <c r="O46" s="792"/>
      <c r="P46" s="738"/>
      <c r="Q46" s="445" t="s">
        <v>869</v>
      </c>
      <c r="R46" s="151">
        <f>IF('Basic data'!$J$40="",0,'Basic data'!$J$40)</f>
        <v>0</v>
      </c>
      <c r="S46" s="732"/>
      <c r="T46" s="729"/>
      <c r="U46" s="658"/>
    </row>
    <row r="47" spans="2:21" s="44" customFormat="1" ht="28.5" customHeight="1" thickBot="1" x14ac:dyDescent="0.25">
      <c r="B47" s="826"/>
      <c r="C47" s="757"/>
      <c r="D47" s="846"/>
      <c r="E47" s="822"/>
      <c r="F47" s="822"/>
      <c r="G47" s="823"/>
      <c r="H47" s="724"/>
      <c r="I47" s="725"/>
      <c r="J47" s="726"/>
      <c r="K47" s="822"/>
      <c r="L47" s="823"/>
      <c r="M47" s="739"/>
      <c r="N47" s="791"/>
      <c r="O47" s="792"/>
      <c r="P47" s="739"/>
      <c r="Q47" s="445" t="s">
        <v>872</v>
      </c>
      <c r="R47" s="377" t="str">
        <f>IF(R45="","n.d.",IF(R46="","n.d.",IF(R46=0,"",R45/R46)))</f>
        <v>n.d.</v>
      </c>
      <c r="S47" s="733"/>
      <c r="T47" s="730"/>
      <c r="U47" s="659"/>
    </row>
    <row r="48" spans="2:21" s="44" customFormat="1" ht="28.5" customHeight="1" thickBot="1" x14ac:dyDescent="0.25">
      <c r="B48" s="761" t="s">
        <v>84</v>
      </c>
      <c r="C48" s="755" t="s">
        <v>163</v>
      </c>
      <c r="D48" s="844"/>
      <c r="E48" s="822" t="s">
        <v>1382</v>
      </c>
      <c r="F48" s="822" t="s">
        <v>900</v>
      </c>
      <c r="G48" s="823"/>
      <c r="H48" s="718" t="s">
        <v>1384</v>
      </c>
      <c r="I48" s="719"/>
      <c r="J48" s="720"/>
      <c r="K48" s="822" t="s">
        <v>1386</v>
      </c>
      <c r="L48" s="823"/>
      <c r="M48" s="737" t="s">
        <v>308</v>
      </c>
      <c r="N48" s="791" t="s">
        <v>169</v>
      </c>
      <c r="O48" s="792"/>
      <c r="P48" s="829"/>
      <c r="Q48" s="445" t="s">
        <v>871</v>
      </c>
      <c r="R48" s="122"/>
      <c r="S48" s="731" t="str">
        <f>IF('Indicator sheet'!R50=Berechnung1!D72,Berechnung1!$F$4,IF(OR('Indicator sheet'!R50&lt; Berechnung1!E72,'Indicator sheet'!R50&gt; Berechnung1!F72),Berechnung1!$G$4,IF(OR('Indicator sheet'!R50&lt;Berechnung1!J72,'Indicator sheet'!R50&gt;Berechnung1!K72),Berechnung1!$D$4,IF(OR(ROUND('Indicator sheet'!R50,4)&lt;Berechnung1!G72,ROUND('Indicator sheet'!R50,4)&gt;Berechnung1!H72),Berechnung1!$E$4,Berechnung1!$C$4))))</f>
        <v>Incomplete</v>
      </c>
      <c r="T48" s="728"/>
      <c r="U48" s="657"/>
    </row>
    <row r="49" spans="2:22" s="44" customFormat="1" ht="28.5" customHeight="1" thickBot="1" x14ac:dyDescent="0.25">
      <c r="B49" s="762"/>
      <c r="C49" s="756"/>
      <c r="D49" s="845"/>
      <c r="E49" s="822"/>
      <c r="F49" s="822"/>
      <c r="G49" s="823"/>
      <c r="H49" s="721"/>
      <c r="I49" s="722"/>
      <c r="J49" s="723"/>
      <c r="K49" s="822"/>
      <c r="L49" s="823"/>
      <c r="M49" s="738"/>
      <c r="N49" s="791"/>
      <c r="O49" s="792"/>
      <c r="P49" s="738"/>
      <c r="Q49" s="445" t="s">
        <v>869</v>
      </c>
      <c r="R49" s="122"/>
      <c r="S49" s="732"/>
      <c r="T49" s="729"/>
      <c r="U49" s="658"/>
    </row>
    <row r="50" spans="2:22" s="44" customFormat="1" ht="28.5" customHeight="1" thickBot="1" x14ac:dyDescent="0.25">
      <c r="B50" s="762"/>
      <c r="C50" s="757"/>
      <c r="D50" s="846"/>
      <c r="E50" s="822"/>
      <c r="F50" s="822"/>
      <c r="G50" s="823"/>
      <c r="H50" s="724"/>
      <c r="I50" s="725"/>
      <c r="J50" s="726"/>
      <c r="K50" s="822"/>
      <c r="L50" s="823"/>
      <c r="M50" s="739"/>
      <c r="N50" s="791"/>
      <c r="O50" s="792"/>
      <c r="P50" s="739"/>
      <c r="Q50" s="445" t="s">
        <v>872</v>
      </c>
      <c r="R50" s="378" t="str">
        <f>IF(R48="","n.d.",IF(R49="","n.d.",IF(R49=0,"",R48/R49)))</f>
        <v>n.d.</v>
      </c>
      <c r="S50" s="733"/>
      <c r="T50" s="730"/>
      <c r="U50" s="659"/>
    </row>
    <row r="51" spans="2:22" s="44" customFormat="1" ht="28.5" customHeight="1" thickBot="1" x14ac:dyDescent="0.25">
      <c r="B51" s="762"/>
      <c r="C51" s="758" t="s">
        <v>1000</v>
      </c>
      <c r="D51" s="776"/>
      <c r="E51" s="764" t="s">
        <v>1383</v>
      </c>
      <c r="F51" s="767" t="s">
        <v>900</v>
      </c>
      <c r="G51" s="768"/>
      <c r="H51" s="767" t="s">
        <v>1385</v>
      </c>
      <c r="I51" s="773"/>
      <c r="J51" s="768"/>
      <c r="K51" s="767" t="s">
        <v>1387</v>
      </c>
      <c r="L51" s="768"/>
      <c r="M51" s="785"/>
      <c r="N51" s="779" t="s">
        <v>873</v>
      </c>
      <c r="O51" s="780"/>
      <c r="P51" s="785"/>
      <c r="Q51" s="445" t="s">
        <v>921</v>
      </c>
      <c r="R51" s="122"/>
      <c r="S51" s="731" t="str">
        <f>IF('Indicator sheet'!R53=Berechnung1!D75,Berechnung1!$F$4,IF(OR('Indicator sheet'!R53&lt; Berechnung1!E75,'Indicator sheet'!R53&gt; Berechnung1!F75),Berechnung1!$G$4,IF(OR('Indicator sheet'!R53&lt;Berechnung1!J75,'Indicator sheet'!R53&gt;Berechnung1!K75),Berechnung1!$D$4,IF(OR(ROUND('Indicator sheet'!R53,4)&lt;Berechnung1!G75,ROUND('Indicator sheet'!R53,4)&gt;Berechnung1!H75),Berechnung1!$E$4,Berechnung1!$C$4))))</f>
        <v>Incomplete</v>
      </c>
      <c r="T51" s="728"/>
      <c r="U51" s="657"/>
    </row>
    <row r="52" spans="2:22" s="44" customFormat="1" ht="28.5" customHeight="1" thickBot="1" x14ac:dyDescent="0.25">
      <c r="B52" s="762"/>
      <c r="C52" s="759"/>
      <c r="D52" s="777"/>
      <c r="E52" s="765"/>
      <c r="F52" s="769"/>
      <c r="G52" s="770"/>
      <c r="H52" s="769"/>
      <c r="I52" s="774"/>
      <c r="J52" s="770"/>
      <c r="K52" s="769"/>
      <c r="L52" s="770"/>
      <c r="M52" s="786"/>
      <c r="N52" s="781"/>
      <c r="O52" s="782"/>
      <c r="P52" s="786"/>
      <c r="Q52" s="445" t="s">
        <v>922</v>
      </c>
      <c r="R52" s="122"/>
      <c r="S52" s="732"/>
      <c r="T52" s="729"/>
      <c r="U52" s="658"/>
    </row>
    <row r="53" spans="2:22" s="44" customFormat="1" ht="28.5" customHeight="1" thickBot="1" x14ac:dyDescent="0.25">
      <c r="B53" s="763"/>
      <c r="C53" s="760"/>
      <c r="D53" s="778"/>
      <c r="E53" s="766"/>
      <c r="F53" s="771"/>
      <c r="G53" s="772"/>
      <c r="H53" s="771"/>
      <c r="I53" s="775"/>
      <c r="J53" s="772"/>
      <c r="K53" s="771"/>
      <c r="L53" s="772"/>
      <c r="M53" s="787"/>
      <c r="N53" s="783"/>
      <c r="O53" s="784"/>
      <c r="P53" s="787"/>
      <c r="Q53" s="445" t="s">
        <v>923</v>
      </c>
      <c r="R53" s="378" t="str">
        <f>IF(R51="","n.d.",IF(R52="","n.d.",IF(R52=0,"",R51/R52)))</f>
        <v>n.d.</v>
      </c>
      <c r="S53" s="733"/>
      <c r="T53" s="730"/>
      <c r="U53" s="659"/>
    </row>
    <row r="54" spans="2:22" ht="28.5" customHeight="1" thickBot="1" x14ac:dyDescent="0.25">
      <c r="B54" s="824" t="s">
        <v>85</v>
      </c>
      <c r="C54" s="755"/>
      <c r="D54" s="776" t="s">
        <v>901</v>
      </c>
      <c r="E54" s="812" t="s">
        <v>905</v>
      </c>
      <c r="F54" s="822" t="s">
        <v>902</v>
      </c>
      <c r="G54" s="823"/>
      <c r="H54" s="718" t="s">
        <v>863</v>
      </c>
      <c r="I54" s="719"/>
      <c r="J54" s="720"/>
      <c r="K54" s="822" t="s">
        <v>1005</v>
      </c>
      <c r="L54" s="823"/>
      <c r="M54" s="737"/>
      <c r="N54" s="743" t="s">
        <v>947</v>
      </c>
      <c r="O54" s="744"/>
      <c r="P54" s="740"/>
      <c r="Q54" s="445" t="s">
        <v>871</v>
      </c>
      <c r="R54" s="122"/>
      <c r="S54" s="731" t="str">
        <f>IF('Indicator sheet'!R56=Berechnung1!D78,Berechnung1!$F$4,IF(OR('Indicator sheet'!R56&lt; Berechnung1!E78,'Indicator sheet'!R56&gt; Berechnung1!F78),Berechnung1!$G$4,IF(OR(ROUND('Indicator sheet'!R56,4)&lt;Berechnung1!J78,ROUND('Indicator sheet'!R56,4)&gt;Berechnung1!K78),Berechnung1!$D$4,IF(OR(ROUND('Indicator sheet'!R56,4)&lt;Berechnung1!G78,ROUND('Indicator sheet'!R56,4)&gt;Berechnung1!H78),Berechnung1!$E$4,Berechnung1!$C$4))))</f>
        <v>Incomplete</v>
      </c>
      <c r="T54" s="728"/>
      <c r="U54" s="657"/>
    </row>
    <row r="55" spans="2:22" ht="28.5" customHeight="1" thickBot="1" x14ac:dyDescent="0.25">
      <c r="B55" s="825"/>
      <c r="C55" s="756"/>
      <c r="D55" s="777"/>
      <c r="E55" s="813"/>
      <c r="F55" s="822"/>
      <c r="G55" s="823"/>
      <c r="H55" s="721"/>
      <c r="I55" s="722"/>
      <c r="J55" s="723"/>
      <c r="K55" s="822"/>
      <c r="L55" s="823"/>
      <c r="M55" s="738"/>
      <c r="N55" s="745"/>
      <c r="O55" s="746"/>
      <c r="P55" s="741"/>
      <c r="Q55" s="445" t="s">
        <v>869</v>
      </c>
      <c r="R55" s="90">
        <f>IF('Basic data'!$J$38="",0,'Basic data'!$J$38)</f>
        <v>0</v>
      </c>
      <c r="S55" s="732"/>
      <c r="T55" s="729"/>
      <c r="U55" s="658"/>
    </row>
    <row r="56" spans="2:22" ht="28.5" customHeight="1" thickBot="1" x14ac:dyDescent="0.25">
      <c r="B56" s="826"/>
      <c r="C56" s="757"/>
      <c r="D56" s="778"/>
      <c r="E56" s="814"/>
      <c r="F56" s="822"/>
      <c r="G56" s="823"/>
      <c r="H56" s="724"/>
      <c r="I56" s="725"/>
      <c r="J56" s="726"/>
      <c r="K56" s="822"/>
      <c r="L56" s="823"/>
      <c r="M56" s="739"/>
      <c r="N56" s="747"/>
      <c r="O56" s="748"/>
      <c r="P56" s="742"/>
      <c r="Q56" s="445" t="s">
        <v>872</v>
      </c>
      <c r="R56" s="378" t="str">
        <f>IF(R54="","n.d.",IF(R55="","n.d.",IF(R55=0,"",R54/R55)))</f>
        <v>n.d.</v>
      </c>
      <c r="S56" s="733"/>
      <c r="T56" s="730"/>
      <c r="U56" s="659"/>
    </row>
    <row r="57" spans="2:22" ht="28.5" customHeight="1" thickBot="1" x14ac:dyDescent="0.25">
      <c r="B57" s="889">
        <v>13</v>
      </c>
      <c r="C57" s="755"/>
      <c r="D57" s="776" t="s">
        <v>901</v>
      </c>
      <c r="E57" s="713" t="s">
        <v>903</v>
      </c>
      <c r="F57" s="713" t="s">
        <v>864</v>
      </c>
      <c r="G57" s="879"/>
      <c r="H57" s="714" t="s">
        <v>1012</v>
      </c>
      <c r="I57" s="715"/>
      <c r="J57" s="793"/>
      <c r="K57" s="713" t="s">
        <v>1008</v>
      </c>
      <c r="L57" s="879"/>
      <c r="M57" s="734"/>
      <c r="N57" s="827" t="s">
        <v>948</v>
      </c>
      <c r="O57" s="828"/>
      <c r="P57" s="790"/>
      <c r="Q57" s="445" t="s">
        <v>871</v>
      </c>
      <c r="R57" s="122"/>
      <c r="S57" s="731" t="str">
        <f>IF('Indicator sheet'!R59=Berechnung1!D81,Berechnung1!$F$4,IF(OR('Indicator sheet'!R59&lt; Berechnung1!E81,'Indicator sheet'!R59&gt; Berechnung1!F81),Berechnung1!$G$4,IF(OR(ROUND('Indicator sheet'!R59,4)&lt;Berechnung1!J81,ROUND('Indicator sheet'!R59,4)&gt;Berechnung1!K81),Berechnung1!$D$4,IF(OR(ROUND('Indicator sheet'!R59,4)&lt;Berechnung1!G81,ROUND('Indicator sheet'!R59,4)&gt;Berechnung1!H81),Berechnung1!$E$4,Berechnung1!$C$4))))</f>
        <v>Incomplete</v>
      </c>
      <c r="T57" s="728"/>
      <c r="U57" s="657"/>
    </row>
    <row r="58" spans="2:22" ht="28.5" customHeight="1" thickBot="1" x14ac:dyDescent="0.25">
      <c r="B58" s="825"/>
      <c r="C58" s="756"/>
      <c r="D58" s="777"/>
      <c r="E58" s="713"/>
      <c r="F58" s="713"/>
      <c r="G58" s="879"/>
      <c r="H58" s="716"/>
      <c r="I58" s="717"/>
      <c r="J58" s="794"/>
      <c r="K58" s="713"/>
      <c r="L58" s="879"/>
      <c r="M58" s="735"/>
      <c r="N58" s="828"/>
      <c r="O58" s="828"/>
      <c r="P58" s="735"/>
      <c r="Q58" s="445" t="s">
        <v>869</v>
      </c>
      <c r="R58" s="164"/>
      <c r="S58" s="732"/>
      <c r="T58" s="729"/>
      <c r="U58" s="658"/>
      <c r="V58" s="423" t="str">
        <f>'Basic data'!J32</f>
        <v/>
      </c>
    </row>
    <row r="59" spans="2:22" ht="28.5" customHeight="1" thickBot="1" x14ac:dyDescent="0.25">
      <c r="B59" s="826"/>
      <c r="C59" s="757"/>
      <c r="D59" s="778"/>
      <c r="E59" s="713"/>
      <c r="F59" s="713"/>
      <c r="G59" s="879"/>
      <c r="H59" s="795"/>
      <c r="I59" s="865"/>
      <c r="J59" s="796"/>
      <c r="K59" s="713"/>
      <c r="L59" s="879"/>
      <c r="M59" s="736"/>
      <c r="N59" s="828"/>
      <c r="O59" s="828"/>
      <c r="P59" s="736"/>
      <c r="Q59" s="445" t="s">
        <v>872</v>
      </c>
      <c r="R59" s="378" t="str">
        <f>IF(R57="","n.d.",IF(R58="","n.d.",IF(R58=0,"",R57/R58)))</f>
        <v>n.d.</v>
      </c>
      <c r="S59" s="733"/>
      <c r="T59" s="730"/>
      <c r="U59" s="659"/>
    </row>
    <row r="60" spans="2:22" ht="28.5" customHeight="1" thickBot="1" x14ac:dyDescent="0.25">
      <c r="B60" s="806">
        <v>14</v>
      </c>
      <c r="C60" s="807"/>
      <c r="D60" s="776" t="s">
        <v>901</v>
      </c>
      <c r="E60" s="713" t="s">
        <v>931</v>
      </c>
      <c r="F60" s="704" t="s">
        <v>904</v>
      </c>
      <c r="G60" s="705"/>
      <c r="H60" s="704" t="s">
        <v>914</v>
      </c>
      <c r="I60" s="710"/>
      <c r="J60" s="705"/>
      <c r="K60" s="704" t="s">
        <v>1009</v>
      </c>
      <c r="L60" s="705"/>
      <c r="M60" s="737"/>
      <c r="N60" s="897" t="s">
        <v>1388</v>
      </c>
      <c r="O60" s="744"/>
      <c r="P60" s="740"/>
      <c r="Q60" s="445" t="s">
        <v>871</v>
      </c>
      <c r="R60" s="122"/>
      <c r="S60" s="731" t="str">
        <f>IF('Indicator sheet'!R62=Berechnung1!D84,Berechnung1!$F$4,IF(OR('Indicator sheet'!R62&lt; Berechnung1!E84,'Indicator sheet'!R62&gt; Berechnung1!F84),Berechnung1!$G$4,IF(OR(ROUND('Indicator sheet'!R62,4)&lt;Berechnung1!J84,ROUND('Indicator sheet'!R62,4)&gt;Berechnung1!K84),Berechnung1!$D$4,IF(OR(ROUND('Indicator sheet'!R62,4)&lt;Berechnung1!G84,ROUND('Indicator sheet'!R62,4)&gt;Berechnung1!H84),Berechnung1!$E$4,Berechnung1!$C$4))))</f>
        <v>Incomplete</v>
      </c>
      <c r="T60" s="728"/>
      <c r="U60" s="657"/>
    </row>
    <row r="61" spans="2:22" ht="28.5" customHeight="1" thickBot="1" x14ac:dyDescent="0.25">
      <c r="B61" s="808"/>
      <c r="C61" s="809"/>
      <c r="D61" s="777"/>
      <c r="E61" s="713"/>
      <c r="F61" s="706"/>
      <c r="G61" s="707"/>
      <c r="H61" s="706"/>
      <c r="I61" s="711"/>
      <c r="J61" s="707"/>
      <c r="K61" s="706"/>
      <c r="L61" s="707"/>
      <c r="M61" s="738"/>
      <c r="N61" s="745"/>
      <c r="O61" s="746"/>
      <c r="P61" s="741"/>
      <c r="Q61" s="445" t="s">
        <v>869</v>
      </c>
      <c r="R61" s="90">
        <f>IF('Basic data'!$J$32="",0,'Basic data'!$J$32)</f>
        <v>0</v>
      </c>
      <c r="S61" s="732"/>
      <c r="T61" s="729"/>
      <c r="U61" s="658"/>
      <c r="V61" s="423" t="str">
        <f>'Basic data'!J38</f>
        <v/>
      </c>
    </row>
    <row r="62" spans="2:22" ht="28.5" customHeight="1" thickBot="1" x14ac:dyDescent="0.25">
      <c r="B62" s="810"/>
      <c r="C62" s="811"/>
      <c r="D62" s="778"/>
      <c r="E62" s="713"/>
      <c r="F62" s="708"/>
      <c r="G62" s="709"/>
      <c r="H62" s="708"/>
      <c r="I62" s="712"/>
      <c r="J62" s="709"/>
      <c r="K62" s="708"/>
      <c r="L62" s="709"/>
      <c r="M62" s="739"/>
      <c r="N62" s="747"/>
      <c r="O62" s="748"/>
      <c r="P62" s="742"/>
      <c r="Q62" s="445" t="s">
        <v>872</v>
      </c>
      <c r="R62" s="386" t="str">
        <f>IF(R60="","n.d.",IF(R61="","n.d.",IF(R61=0,"",R60/R61)))</f>
        <v>n.d.</v>
      </c>
      <c r="S62" s="733"/>
      <c r="T62" s="730"/>
      <c r="U62" s="659"/>
    </row>
    <row r="63" spans="2:22" ht="28.5" customHeight="1" thickBot="1" x14ac:dyDescent="0.25">
      <c r="B63" s="806">
        <v>15</v>
      </c>
      <c r="C63" s="807"/>
      <c r="D63" s="776" t="s">
        <v>901</v>
      </c>
      <c r="E63" s="812" t="s">
        <v>906</v>
      </c>
      <c r="F63" s="704" t="s">
        <v>915</v>
      </c>
      <c r="G63" s="705"/>
      <c r="H63" s="704" t="s">
        <v>916</v>
      </c>
      <c r="I63" s="710"/>
      <c r="J63" s="705"/>
      <c r="K63" s="704" t="s">
        <v>1010</v>
      </c>
      <c r="L63" s="705"/>
      <c r="M63" s="898"/>
      <c r="N63" s="891" t="s">
        <v>399</v>
      </c>
      <c r="O63" s="892"/>
      <c r="P63" s="898"/>
      <c r="Q63" s="445" t="s">
        <v>871</v>
      </c>
      <c r="R63" s="122"/>
      <c r="S63" s="731" t="str">
        <f>IF('Indicator sheet'!R65=Berechnung1!D87,Berechnung1!$F$4,IF(OR('Indicator sheet'!R65&lt; Berechnung1!E87,'Indicator sheet'!R65&gt; Berechnung1!F87),Berechnung1!$G$4,IF(OR(ROUND('Indicator sheet'!R65,4)&lt;Berechnung1!J87,ROUND('Indicator sheet'!R65,4)&gt;Berechnung1!K87),Berechnung1!$D$4,IF(OR(ROUND('Indicator sheet'!R65,4)&lt;Berechnung1!G87,ROUND('Indicator sheet'!R65,4)&gt;Berechnung1!H87),Berechnung1!$E$4,Berechnung1!$C$4))))</f>
        <v>Incomplete</v>
      </c>
      <c r="T63" s="728"/>
      <c r="U63" s="657"/>
    </row>
    <row r="64" spans="2:22" ht="28.5" customHeight="1" thickBot="1" x14ac:dyDescent="0.25">
      <c r="B64" s="808"/>
      <c r="C64" s="809"/>
      <c r="D64" s="777"/>
      <c r="E64" s="813"/>
      <c r="F64" s="706"/>
      <c r="G64" s="707"/>
      <c r="H64" s="706"/>
      <c r="I64" s="711"/>
      <c r="J64" s="707"/>
      <c r="K64" s="706"/>
      <c r="L64" s="707"/>
      <c r="M64" s="899"/>
      <c r="N64" s="893"/>
      <c r="O64" s="894"/>
      <c r="P64" s="899"/>
      <c r="Q64" s="445" t="s">
        <v>869</v>
      </c>
      <c r="R64" s="122"/>
      <c r="S64" s="732"/>
      <c r="T64" s="729"/>
      <c r="U64" s="658"/>
    </row>
    <row r="65" spans="2:21" ht="28.5" customHeight="1" thickBot="1" x14ac:dyDescent="0.25">
      <c r="B65" s="810"/>
      <c r="C65" s="811"/>
      <c r="D65" s="778"/>
      <c r="E65" s="814"/>
      <c r="F65" s="708"/>
      <c r="G65" s="709"/>
      <c r="H65" s="708"/>
      <c r="I65" s="712"/>
      <c r="J65" s="709"/>
      <c r="K65" s="708"/>
      <c r="L65" s="709"/>
      <c r="M65" s="900"/>
      <c r="N65" s="895"/>
      <c r="O65" s="896"/>
      <c r="P65" s="900"/>
      <c r="Q65" s="445" t="s">
        <v>872</v>
      </c>
      <c r="R65" s="386" t="str">
        <f>IF(R63="","n.d.",IF(R64="","n.d.",IF(R64=0,"",R63/R64)))</f>
        <v>n.d.</v>
      </c>
      <c r="S65" s="733"/>
      <c r="T65" s="730"/>
      <c r="U65" s="659"/>
    </row>
    <row r="66" spans="2:21" ht="35.1" customHeight="1" thickBot="1" x14ac:dyDescent="0.25">
      <c r="B66" s="806">
        <v>16</v>
      </c>
      <c r="C66" s="807"/>
      <c r="D66" s="776" t="s">
        <v>901</v>
      </c>
      <c r="E66" s="713" t="s">
        <v>907</v>
      </c>
      <c r="F66" s="704" t="s">
        <v>939</v>
      </c>
      <c r="G66" s="705"/>
      <c r="H66" s="704" t="s">
        <v>917</v>
      </c>
      <c r="I66" s="710"/>
      <c r="J66" s="705"/>
      <c r="K66" s="704" t="s">
        <v>1011</v>
      </c>
      <c r="L66" s="705"/>
      <c r="M66" s="737"/>
      <c r="N66" s="897" t="s">
        <v>399</v>
      </c>
      <c r="O66" s="744"/>
      <c r="P66" s="740"/>
      <c r="Q66" s="445" t="s">
        <v>871</v>
      </c>
      <c r="R66" s="122"/>
      <c r="S66" s="731" t="str">
        <f>IF('Indicator sheet'!R68=Berechnung1!D90,Berechnung1!$F$4,IF(OR('Indicator sheet'!R68&lt; Berechnung1!E90,'Indicator sheet'!R68&gt; Berechnung1!F90),Berechnung1!$G$4,IF(OR(ROUND('Indicator sheet'!R68,4)&lt;Berechnung1!J90,ROUND('Indicator sheet'!R68,4)&gt;Berechnung1!K90),Berechnung1!$D$4,IF(OR(ROUND('Indicator sheet'!R68,4)&lt;Berechnung1!G90,ROUND('Indicator sheet'!R68,4)&gt;Berechnung1!H90),Berechnung1!$E$4,Berechnung1!$C$4))))</f>
        <v>Incomplete</v>
      </c>
      <c r="T66" s="728"/>
      <c r="U66" s="657"/>
    </row>
    <row r="67" spans="2:21" ht="35.1" customHeight="1" thickBot="1" x14ac:dyDescent="0.25">
      <c r="B67" s="808"/>
      <c r="C67" s="809"/>
      <c r="D67" s="777"/>
      <c r="E67" s="713"/>
      <c r="F67" s="706"/>
      <c r="G67" s="707"/>
      <c r="H67" s="706"/>
      <c r="I67" s="711"/>
      <c r="J67" s="707"/>
      <c r="K67" s="706"/>
      <c r="L67" s="707"/>
      <c r="M67" s="738"/>
      <c r="N67" s="745"/>
      <c r="O67" s="746"/>
      <c r="P67" s="741"/>
      <c r="Q67" s="445" t="s">
        <v>869</v>
      </c>
      <c r="R67" s="122"/>
      <c r="S67" s="732"/>
      <c r="T67" s="729"/>
      <c r="U67" s="658"/>
    </row>
    <row r="68" spans="2:21" ht="35.1" customHeight="1" thickBot="1" x14ac:dyDescent="0.25">
      <c r="B68" s="810"/>
      <c r="C68" s="811"/>
      <c r="D68" s="778"/>
      <c r="E68" s="713"/>
      <c r="F68" s="708"/>
      <c r="G68" s="709"/>
      <c r="H68" s="708"/>
      <c r="I68" s="712"/>
      <c r="J68" s="709"/>
      <c r="K68" s="708"/>
      <c r="L68" s="709"/>
      <c r="M68" s="739"/>
      <c r="N68" s="747"/>
      <c r="O68" s="748"/>
      <c r="P68" s="742"/>
      <c r="Q68" s="445" t="s">
        <v>872</v>
      </c>
      <c r="R68" s="386" t="str">
        <f>IF(R66="","n.d.",IF(R67="","n.d.",IF(R67=0,"",R66/R67)))</f>
        <v>n.d.</v>
      </c>
      <c r="S68" s="733"/>
      <c r="T68" s="730"/>
      <c r="U68" s="659"/>
    </row>
    <row r="69" spans="2:21" s="477" customFormat="1" ht="35.1" customHeight="1" thickBot="1" x14ac:dyDescent="0.25">
      <c r="B69" s="806">
        <v>17</v>
      </c>
      <c r="C69" s="807"/>
      <c r="D69" s="776" t="s">
        <v>901</v>
      </c>
      <c r="E69" s="812" t="s">
        <v>918</v>
      </c>
      <c r="F69" s="704" t="s">
        <v>919</v>
      </c>
      <c r="G69" s="705"/>
      <c r="H69" s="704" t="s">
        <v>920</v>
      </c>
      <c r="I69" s="710"/>
      <c r="J69" s="705"/>
      <c r="K69" s="704" t="s">
        <v>1006</v>
      </c>
      <c r="L69" s="705"/>
      <c r="M69" s="482"/>
      <c r="N69" s="779" t="s">
        <v>873</v>
      </c>
      <c r="O69" s="780"/>
      <c r="P69" s="734" t="s">
        <v>457</v>
      </c>
      <c r="Q69" s="445" t="s">
        <v>921</v>
      </c>
      <c r="R69" s="122"/>
      <c r="S69" s="731" t="str">
        <f>IF(AND(R69&lt;&gt;"",R70&lt;&gt;"",R69=0,R70=0),Berechnung1!$H$4,IF('Indicator sheet'!R71=Berechnung1!D93,Berechnung1!$F$4,IF(OR('Indicator sheet'!R71&lt;Berechnung1!E93,'Indicator sheet'!R71&gt;Berechnung1!F93),Berechnung1!$G$4,IF(OR(ROUND('Indicator sheet'!R71,4)&lt;Berechnung1!J93,ROUND('Indicator sheet'!R71,4)&gt;Berechnung1!K93),Berechnung1!$D$4,IF(OR(ROUND('Indicator sheet'!R71,4)&lt;Berechnung1!G93,ROUND('Indicator sheet'!R71,4)&gt;Berechnung1!H93),Berechnung1!$E$4,Berechnung1!$C$4)))))</f>
        <v>Incomplete</v>
      </c>
      <c r="T69" s="728"/>
      <c r="U69" s="657"/>
    </row>
    <row r="70" spans="2:21" s="477" customFormat="1" ht="35.1" customHeight="1" thickBot="1" x14ac:dyDescent="0.25">
      <c r="B70" s="808"/>
      <c r="C70" s="809"/>
      <c r="D70" s="777"/>
      <c r="E70" s="813"/>
      <c r="F70" s="706"/>
      <c r="G70" s="707"/>
      <c r="H70" s="706"/>
      <c r="I70" s="711"/>
      <c r="J70" s="707"/>
      <c r="K70" s="706"/>
      <c r="L70" s="707"/>
      <c r="M70" s="482"/>
      <c r="N70" s="781"/>
      <c r="O70" s="782"/>
      <c r="P70" s="735"/>
      <c r="Q70" s="445" t="s">
        <v>922</v>
      </c>
      <c r="R70" s="90">
        <f>IF('Basic data'!$I$31="",0,'Basic data'!$I$31)</f>
        <v>0</v>
      </c>
      <c r="S70" s="732"/>
      <c r="T70" s="729"/>
      <c r="U70" s="658"/>
    </row>
    <row r="71" spans="2:21" s="477" customFormat="1" ht="35.1" customHeight="1" thickBot="1" x14ac:dyDescent="0.25">
      <c r="B71" s="810"/>
      <c r="C71" s="811"/>
      <c r="D71" s="778"/>
      <c r="E71" s="814"/>
      <c r="F71" s="708"/>
      <c r="G71" s="709"/>
      <c r="H71" s="708"/>
      <c r="I71" s="712"/>
      <c r="J71" s="709"/>
      <c r="K71" s="708"/>
      <c r="L71" s="709"/>
      <c r="M71" s="482"/>
      <c r="N71" s="783"/>
      <c r="O71" s="784"/>
      <c r="P71" s="736"/>
      <c r="Q71" s="445" t="s">
        <v>923</v>
      </c>
      <c r="R71" s="386" t="str">
        <f>IF(R69="","n.d.",IF(R70="","n.d.",IF(R70=0,"",R69/R70)))</f>
        <v>n.d.</v>
      </c>
      <c r="S71" s="733"/>
      <c r="T71" s="730"/>
      <c r="U71" s="659"/>
    </row>
    <row r="72" spans="2:21" s="477" customFormat="1" ht="35.1" customHeight="1" thickBot="1" x14ac:dyDescent="0.25">
      <c r="B72" s="806">
        <v>18</v>
      </c>
      <c r="C72" s="807"/>
      <c r="D72" s="776" t="s">
        <v>901</v>
      </c>
      <c r="E72" s="713" t="s">
        <v>924</v>
      </c>
      <c r="F72" s="704" t="s">
        <v>925</v>
      </c>
      <c r="G72" s="705"/>
      <c r="H72" s="704" t="s">
        <v>926</v>
      </c>
      <c r="I72" s="710"/>
      <c r="J72" s="705"/>
      <c r="K72" s="704" t="s">
        <v>927</v>
      </c>
      <c r="L72" s="705"/>
      <c r="M72" s="734" t="s">
        <v>332</v>
      </c>
      <c r="N72" s="779" t="s">
        <v>873</v>
      </c>
      <c r="O72" s="780"/>
      <c r="P72" s="923"/>
      <c r="Q72" s="445" t="s">
        <v>921</v>
      </c>
      <c r="R72" s="122"/>
      <c r="S72" s="731" t="str">
        <f>IF(AND(R72&lt;&gt;"",R73&lt;&gt;"",R72=0,R73=0),Berechnung1!$H$4,IF('Indicator sheet'!R74=Berechnung1!D96,Berechnung1!$F$4,IF(OR('Indicator sheet'!R74&lt;Berechnung1!E96,'Indicator sheet'!R74&gt;Berechnung1!F96),Berechnung1!$G$4,IF(OR(ROUND('Indicator sheet'!R74,4)&lt;Berechnung1!J96,ROUND('Indicator sheet'!R74,4)&gt;Berechnung1!K96),Berechnung1!$D$4,IF(OR(ROUND('Indicator sheet'!R74,4)&lt;Berechnung1!G96,ROUND('Indicator sheet'!R74,4)&gt;Berechnung1!H96),Berechnung1!$E$4,Berechnung1!$C$4)))))</f>
        <v>Incomplete</v>
      </c>
      <c r="T72" s="728"/>
      <c r="U72" s="657"/>
    </row>
    <row r="73" spans="2:21" s="477" customFormat="1" ht="35.1" customHeight="1" thickBot="1" x14ac:dyDescent="0.25">
      <c r="B73" s="808"/>
      <c r="C73" s="809"/>
      <c r="D73" s="777"/>
      <c r="E73" s="713"/>
      <c r="F73" s="706"/>
      <c r="G73" s="707"/>
      <c r="H73" s="706"/>
      <c r="I73" s="711"/>
      <c r="J73" s="707"/>
      <c r="K73" s="706"/>
      <c r="L73" s="707"/>
      <c r="M73" s="735"/>
      <c r="N73" s="781"/>
      <c r="O73" s="782"/>
      <c r="P73" s="735"/>
      <c r="Q73" s="445" t="s">
        <v>922</v>
      </c>
      <c r="R73" s="122"/>
      <c r="S73" s="732"/>
      <c r="T73" s="729"/>
      <c r="U73" s="658"/>
    </row>
    <row r="74" spans="2:21" s="477" customFormat="1" ht="35.1" customHeight="1" thickBot="1" x14ac:dyDescent="0.25">
      <c r="B74" s="810"/>
      <c r="C74" s="811"/>
      <c r="D74" s="778"/>
      <c r="E74" s="713"/>
      <c r="F74" s="708"/>
      <c r="G74" s="709"/>
      <c r="H74" s="708"/>
      <c r="I74" s="712"/>
      <c r="J74" s="709"/>
      <c r="K74" s="708"/>
      <c r="L74" s="709"/>
      <c r="M74" s="736"/>
      <c r="N74" s="783"/>
      <c r="O74" s="784"/>
      <c r="P74" s="736"/>
      <c r="Q74" s="445" t="s">
        <v>923</v>
      </c>
      <c r="R74" s="386" t="str">
        <f>IF(R72="","n.d.",IF(R73="","n.d.",IF(R73=0,"",R72/R73)))</f>
        <v>n.d.</v>
      </c>
      <c r="S74" s="733"/>
      <c r="T74" s="730"/>
      <c r="U74" s="659"/>
    </row>
    <row r="75" spans="2:21" s="477" customFormat="1" ht="35.1" customHeight="1" thickBot="1" x14ac:dyDescent="0.25">
      <c r="B75" s="672" t="s">
        <v>1389</v>
      </c>
      <c r="C75" s="673"/>
      <c r="D75" s="678"/>
      <c r="E75" s="681" t="s">
        <v>1391</v>
      </c>
      <c r="F75" s="682" t="s">
        <v>1392</v>
      </c>
      <c r="G75" s="683"/>
      <c r="H75" s="682" t="s">
        <v>1393</v>
      </c>
      <c r="I75" s="688"/>
      <c r="J75" s="683"/>
      <c r="K75" s="682" t="s">
        <v>1394</v>
      </c>
      <c r="L75" s="683"/>
      <c r="M75" s="641"/>
      <c r="N75" s="644" t="s">
        <v>873</v>
      </c>
      <c r="O75" s="645"/>
      <c r="P75" s="691" t="s">
        <v>1395</v>
      </c>
      <c r="Q75" s="551" t="s">
        <v>921</v>
      </c>
      <c r="R75" s="552"/>
      <c r="S75" s="651" t="str">
        <f>IF(AND(R75&lt;&gt;"",R76&lt;&gt;"",R75=0,R76=0),Berechnung1!$H$17,IF('Indicator sheet'!R77=Berechnung1!D99,Berechnung1!$F$17,IF(OR('Indicator sheet'!R77&lt;Berechnung1!E99,'Indicator sheet'!R77&gt;Berechnung1!F99),Berechnung1!$G$17,IF(OR(ROUND('Indicator sheet'!R77,4)&lt;Berechnung1!J99,ROUND('Indicator sheet'!R77,4)&gt;Berechnung1!K99),Berechnung1!$D$17,IF(OR(ROUND('Indicator sheet'!R77,4)&lt;Berechnung1!G99,ROUND('Indicator sheet'!R77,4)&gt;Berechnung1!H99),Berechnung1!$E$17,Berechnung1!$C$17)))))</f>
        <v>optional - Incomplete</v>
      </c>
      <c r="T75" s="654"/>
      <c r="U75" s="657"/>
    </row>
    <row r="76" spans="2:21" s="477" customFormat="1" ht="35.1" customHeight="1" thickBot="1" x14ac:dyDescent="0.25">
      <c r="B76" s="674"/>
      <c r="C76" s="675"/>
      <c r="D76" s="679"/>
      <c r="E76" s="681"/>
      <c r="F76" s="684"/>
      <c r="G76" s="685"/>
      <c r="H76" s="684"/>
      <c r="I76" s="689"/>
      <c r="J76" s="685"/>
      <c r="K76" s="684"/>
      <c r="L76" s="685"/>
      <c r="M76" s="642"/>
      <c r="N76" s="646"/>
      <c r="O76" s="647"/>
      <c r="P76" s="642"/>
      <c r="Q76" s="551" t="s">
        <v>922</v>
      </c>
      <c r="R76" s="557">
        <f>R49</f>
        <v>0</v>
      </c>
      <c r="S76" s="652"/>
      <c r="T76" s="655"/>
      <c r="U76" s="658"/>
    </row>
    <row r="77" spans="2:21" s="477" customFormat="1" ht="35.1" customHeight="1" thickBot="1" x14ac:dyDescent="0.25">
      <c r="B77" s="676"/>
      <c r="C77" s="677"/>
      <c r="D77" s="680"/>
      <c r="E77" s="681"/>
      <c r="F77" s="686"/>
      <c r="G77" s="687"/>
      <c r="H77" s="686"/>
      <c r="I77" s="690"/>
      <c r="J77" s="687"/>
      <c r="K77" s="686"/>
      <c r="L77" s="687"/>
      <c r="M77" s="643"/>
      <c r="N77" s="648"/>
      <c r="O77" s="649"/>
      <c r="P77" s="643"/>
      <c r="Q77" s="551" t="s">
        <v>923</v>
      </c>
      <c r="R77" s="556" t="str">
        <f>IF(R75="","n.d.",IF(R76="","n.d.",IF(R76=0,"",R75/R76)))</f>
        <v>n.d.</v>
      </c>
      <c r="S77" s="653"/>
      <c r="T77" s="656"/>
      <c r="U77" s="659"/>
    </row>
    <row r="78" spans="2:21" s="477" customFormat="1" ht="35.1" customHeight="1" thickBot="1" x14ac:dyDescent="0.25">
      <c r="B78" s="672" t="s">
        <v>1390</v>
      </c>
      <c r="C78" s="673"/>
      <c r="D78" s="678"/>
      <c r="E78" s="681" t="s">
        <v>1396</v>
      </c>
      <c r="F78" s="682" t="s">
        <v>1397</v>
      </c>
      <c r="G78" s="683"/>
      <c r="H78" s="682" t="s">
        <v>1398</v>
      </c>
      <c r="I78" s="688"/>
      <c r="J78" s="683"/>
      <c r="K78" s="682" t="s">
        <v>1399</v>
      </c>
      <c r="L78" s="683"/>
      <c r="M78" s="641"/>
      <c r="N78" s="644" t="s">
        <v>399</v>
      </c>
      <c r="O78" s="645"/>
      <c r="P78" s="650"/>
      <c r="Q78" s="551" t="s">
        <v>921</v>
      </c>
      <c r="R78" s="552"/>
      <c r="S78" s="651" t="str">
        <f>IF(AND(R78&lt;&gt;"",R79&lt;&gt;"",R78=0,R79=0),Berechnung1!$H$17,IF('Indicator sheet'!R80=Berechnung1!D102,Berechnung1!$F$17,IF(OR('Indicator sheet'!R80&lt;Berechnung1!E102,'Indicator sheet'!R80&gt;Berechnung1!F102),Berechnung1!$G$17,IF(OR(ROUND('Indicator sheet'!R80,4)&lt;Berechnung1!J102,ROUND('Indicator sheet'!R80,4)&gt;Berechnung1!K102),Berechnung1!$D$17,IF(OR(ROUND('Indicator sheet'!R80,4)&lt;Berechnung1!G102,ROUND('Indicator sheet'!R80,4)&gt;Berechnung1!H102),Berechnung1!$E$17,Berechnung1!$C$17)))))</f>
        <v>optional - Incomplete</v>
      </c>
      <c r="T78" s="654"/>
      <c r="U78" s="657"/>
    </row>
    <row r="79" spans="2:21" s="477" customFormat="1" ht="35.1" customHeight="1" thickBot="1" x14ac:dyDescent="0.25">
      <c r="B79" s="674"/>
      <c r="C79" s="675"/>
      <c r="D79" s="679"/>
      <c r="E79" s="681"/>
      <c r="F79" s="684"/>
      <c r="G79" s="685"/>
      <c r="H79" s="684"/>
      <c r="I79" s="689"/>
      <c r="J79" s="685"/>
      <c r="K79" s="684"/>
      <c r="L79" s="685"/>
      <c r="M79" s="642"/>
      <c r="N79" s="646"/>
      <c r="O79" s="647"/>
      <c r="P79" s="642"/>
      <c r="Q79" s="551" t="s">
        <v>922</v>
      </c>
      <c r="R79" s="557">
        <f>R9+R12</f>
        <v>0</v>
      </c>
      <c r="S79" s="652"/>
      <c r="T79" s="655"/>
      <c r="U79" s="658"/>
    </row>
    <row r="80" spans="2:21" s="477" customFormat="1" ht="35.1" customHeight="1" thickBot="1" x14ac:dyDescent="0.25">
      <c r="B80" s="676"/>
      <c r="C80" s="677"/>
      <c r="D80" s="680"/>
      <c r="E80" s="681"/>
      <c r="F80" s="686"/>
      <c r="G80" s="687"/>
      <c r="H80" s="686"/>
      <c r="I80" s="690"/>
      <c r="J80" s="687"/>
      <c r="K80" s="686"/>
      <c r="L80" s="687"/>
      <c r="M80" s="643"/>
      <c r="N80" s="648"/>
      <c r="O80" s="649"/>
      <c r="P80" s="643"/>
      <c r="Q80" s="551" t="s">
        <v>923</v>
      </c>
      <c r="R80" s="556" t="str">
        <f>IF(R78="","n.d.",IF(R79="","n.d.",IF(R79=0,"",R78/R79)))</f>
        <v>n.d.</v>
      </c>
      <c r="S80" s="653"/>
      <c r="T80" s="656"/>
      <c r="U80" s="659"/>
    </row>
    <row r="81" spans="2:21" ht="7.9" customHeight="1" x14ac:dyDescent="0.2">
      <c r="B81" s="457"/>
      <c r="C81" s="457"/>
      <c r="D81" s="458"/>
      <c r="E81" s="459"/>
      <c r="F81" s="460"/>
      <c r="G81" s="460"/>
      <c r="H81" s="460"/>
      <c r="I81" s="460"/>
      <c r="J81" s="460"/>
      <c r="K81" s="460"/>
      <c r="L81" s="460"/>
      <c r="M81" s="461"/>
      <c r="N81" s="462"/>
      <c r="O81" s="462"/>
      <c r="P81" s="462"/>
      <c r="Q81" s="463"/>
      <c r="R81" s="464"/>
      <c r="S81" s="465"/>
      <c r="T81" s="466"/>
      <c r="U81" s="467"/>
    </row>
    <row r="82" spans="2:21" ht="14.45" customHeight="1" thickBot="1" x14ac:dyDescent="0.25">
      <c r="B82" s="69" t="s">
        <v>928</v>
      </c>
      <c r="C82" s="73"/>
      <c r="D82" s="6"/>
      <c r="E82" s="6"/>
      <c r="F82" s="6"/>
      <c r="G82" s="6"/>
      <c r="H82" s="6"/>
      <c r="I82" s="6"/>
      <c r="J82" s="6"/>
      <c r="K82" s="460"/>
      <c r="L82" s="460"/>
      <c r="M82" s="461"/>
      <c r="N82" s="462"/>
      <c r="O82" s="462"/>
      <c r="P82" s="462"/>
      <c r="Q82" s="463"/>
      <c r="R82" s="464"/>
      <c r="S82" s="465"/>
      <c r="T82" s="353"/>
      <c r="U82" s="460"/>
    </row>
    <row r="83" spans="2:21" ht="14.45" customHeight="1" thickBot="1" x14ac:dyDescent="0.25">
      <c r="B83" s="6"/>
      <c r="C83" s="73"/>
      <c r="D83" s="906" t="s">
        <v>933</v>
      </c>
      <c r="E83" s="907"/>
      <c r="F83" s="468" t="s">
        <v>912</v>
      </c>
      <c r="G83" s="469" t="str">
        <f>CONCATENATE(TEXT(Berechnung1!C8,"0,00%"),"  (",Berechnung1!C5, ")")</f>
        <v>0,00%  (0)</v>
      </c>
      <c r="H83" s="905" t="str">
        <f>CONCATENATE(TEXT(Berechnung1!D9,"0,00%"),"  (",Berechnung1!D6, ")")</f>
        <v>0,00%  (0)</v>
      </c>
      <c r="I83" s="910" t="s">
        <v>837</v>
      </c>
      <c r="J83" s="911"/>
      <c r="K83" s="460"/>
      <c r="L83" s="460"/>
      <c r="M83" s="461"/>
      <c r="N83" s="462"/>
      <c r="O83" s="462"/>
      <c r="P83" s="462"/>
      <c r="Q83" s="463"/>
      <c r="R83" s="464"/>
      <c r="S83" s="465"/>
      <c r="T83" s="353"/>
      <c r="U83" s="460"/>
    </row>
    <row r="84" spans="2:21" ht="14.45" customHeight="1" thickBot="1" x14ac:dyDescent="0.25">
      <c r="B84" s="6"/>
      <c r="C84" s="73"/>
      <c r="D84" s="908"/>
      <c r="E84" s="909"/>
      <c r="F84" s="470" t="s">
        <v>934</v>
      </c>
      <c r="G84" s="471" t="str">
        <f>CONCATENATE(TEXT(Berechnung1!K8,"0,00%"),"  (",Berechnung1!K5, ")")</f>
        <v>0,00%  (0)</v>
      </c>
      <c r="H84" s="905"/>
      <c r="I84" s="912"/>
      <c r="J84" s="913"/>
      <c r="K84" s="460"/>
      <c r="L84" s="460"/>
      <c r="M84" s="461"/>
      <c r="N84" s="462"/>
      <c r="O84" s="462"/>
      <c r="P84" s="462"/>
      <c r="Q84" s="463"/>
      <c r="R84" s="464"/>
      <c r="S84" s="465"/>
      <c r="T84" s="353"/>
      <c r="U84" s="460"/>
    </row>
    <row r="85" spans="2:21" ht="14.45" customHeight="1" thickBot="1" x14ac:dyDescent="0.25">
      <c r="B85" s="6"/>
      <c r="C85" s="73"/>
      <c r="D85" s="914" t="s">
        <v>932</v>
      </c>
      <c r="E85" s="915"/>
      <c r="F85" s="915"/>
      <c r="G85" s="916"/>
      <c r="H85" s="476" t="str">
        <f>CONCATENATE(TEXT(Berechnung1!E9,"0,00%"),"  (",Berechnung1!E6, ")")</f>
        <v>0,00%  (0)</v>
      </c>
      <c r="I85" s="917" t="str">
        <f>CONCATENATE(TEXT(Berechnung1!E10,"0,00%"),"  (",Berechnung1!E7, ")")</f>
        <v>0,00%  (0)</v>
      </c>
      <c r="J85" s="918"/>
      <c r="K85" s="460"/>
      <c r="L85" s="460"/>
      <c r="M85" s="461"/>
      <c r="N85" s="462"/>
      <c r="O85" s="462"/>
      <c r="P85" s="462"/>
      <c r="Q85" s="463"/>
      <c r="R85" s="464"/>
      <c r="S85" s="465"/>
      <c r="T85" s="353"/>
      <c r="U85" s="460"/>
    </row>
    <row r="86" spans="2:21" ht="14.45" customHeight="1" thickBot="1" x14ac:dyDescent="0.25">
      <c r="B86" s="6"/>
      <c r="C86" s="73"/>
      <c r="D86" s="919" t="s">
        <v>929</v>
      </c>
      <c r="E86" s="920"/>
      <c r="F86" s="472" t="s">
        <v>835</v>
      </c>
      <c r="G86" s="473" t="str">
        <f>CONCATENATE(TEXT(Berechnung1!G8,"0,00%"),"  (",Berechnung1!G5, ")")</f>
        <v>0,00%  (0)</v>
      </c>
      <c r="H86" s="905" t="str">
        <f>CONCATENATE(TEXT(Berechnung1!G9,"0,00%"),"  (",Berechnung1!G7, ")")</f>
        <v>100,00%  (21)</v>
      </c>
      <c r="I86" s="905"/>
      <c r="J86" s="905"/>
      <c r="K86" s="460"/>
      <c r="L86" s="460"/>
      <c r="M86" s="461"/>
      <c r="N86" s="462"/>
      <c r="O86" s="462"/>
      <c r="P86" s="462"/>
      <c r="Q86" s="463"/>
      <c r="R86" s="464"/>
      <c r="S86" s="465"/>
      <c r="T86" s="353"/>
      <c r="U86" s="460"/>
    </row>
    <row r="87" spans="2:21" ht="14.45" customHeight="1" thickBot="1" x14ac:dyDescent="0.25">
      <c r="B87" s="6"/>
      <c r="C87" s="73"/>
      <c r="D87" s="921"/>
      <c r="E87" s="922"/>
      <c r="F87" s="474" t="s">
        <v>836</v>
      </c>
      <c r="G87" s="475" t="str">
        <f>CONCATENATE(TEXT(Berechnung1!F8,"0,00%"),"  (",Berechnung1!F5, ")")</f>
        <v>100,00%  (21)</v>
      </c>
      <c r="H87" s="905"/>
      <c r="I87" s="905"/>
      <c r="J87" s="905"/>
      <c r="K87" s="460"/>
      <c r="L87" s="460"/>
      <c r="M87" s="461"/>
      <c r="N87" s="462"/>
      <c r="O87" s="462"/>
      <c r="P87" s="462"/>
      <c r="Q87" s="463"/>
      <c r="R87" s="464"/>
      <c r="S87" s="465"/>
      <c r="T87" s="353"/>
      <c r="U87" s="460"/>
    </row>
    <row r="88" spans="2:21" ht="12" customHeight="1" x14ac:dyDescent="0.2">
      <c r="B88" s="6"/>
      <c r="C88" s="73"/>
      <c r="D88" s="6"/>
      <c r="E88" s="6"/>
      <c r="F88" s="6"/>
      <c r="G88" s="6"/>
      <c r="H88" s="6"/>
      <c r="I88" s="6"/>
      <c r="J88" s="6"/>
      <c r="K88" s="6"/>
      <c r="L88" s="6"/>
      <c r="M88" s="231"/>
      <c r="N88" s="231"/>
      <c r="O88" s="231"/>
      <c r="P88" s="231"/>
      <c r="Q88" s="6"/>
      <c r="R88" s="6"/>
    </row>
    <row r="89" spans="2:21" ht="27" customHeight="1" x14ac:dyDescent="0.2">
      <c r="B89" s="890" t="s">
        <v>935</v>
      </c>
      <c r="C89" s="890"/>
      <c r="D89" s="890"/>
      <c r="E89" s="890"/>
      <c r="F89" s="890"/>
      <c r="G89" s="890"/>
      <c r="H89" s="890"/>
      <c r="I89" s="890"/>
      <c r="J89" s="890"/>
      <c r="K89" s="890"/>
      <c r="L89" s="890"/>
      <c r="M89" s="890"/>
      <c r="N89" s="890"/>
      <c r="O89" s="890"/>
      <c r="P89" s="890"/>
      <c r="Q89" s="890"/>
      <c r="R89" s="890"/>
      <c r="S89" s="890"/>
    </row>
    <row r="90" spans="2:21" ht="105" customHeight="1" x14ac:dyDescent="0.2">
      <c r="B90" s="815" t="s">
        <v>874</v>
      </c>
      <c r="C90" s="816"/>
      <c r="D90" s="816"/>
      <c r="E90" s="816"/>
      <c r="F90" s="816"/>
      <c r="G90" s="816"/>
      <c r="H90" s="816"/>
      <c r="I90" s="816"/>
      <c r="J90" s="816"/>
      <c r="K90" s="816"/>
      <c r="L90" s="816"/>
      <c r="M90" s="816"/>
      <c r="N90" s="816"/>
      <c r="O90" s="816"/>
      <c r="P90" s="816"/>
      <c r="Q90" s="816"/>
      <c r="R90" s="816"/>
      <c r="S90" s="816"/>
    </row>
    <row r="91" spans="2:21" x14ac:dyDescent="0.2">
      <c r="B91" s="456" t="s">
        <v>910</v>
      </c>
    </row>
    <row r="92" spans="2:21" x14ac:dyDescent="0.2">
      <c r="B92" s="393" t="s">
        <v>911</v>
      </c>
    </row>
    <row r="93" spans="2:21" ht="15" hidden="1" x14ac:dyDescent="0.25">
      <c r="D93" s="885" t="str">
        <f>'Basic data'!B27</f>
        <v>Primary cases 
Pancreatic cancer 
Definition in accordance with CR 1.2.0</v>
      </c>
      <c r="E93" s="886"/>
      <c r="F93" s="886"/>
      <c r="G93" s="886"/>
      <c r="H93" s="886"/>
      <c r="I93" s="886"/>
      <c r="J93" s="886"/>
      <c r="K93" s="887"/>
      <c r="L93" s="379" t="str">
        <f>'Basic data'!D27</f>
        <v>IA</v>
      </c>
      <c r="M93" s="379" t="str">
        <f>'Basic data'!E27</f>
        <v>IB</v>
      </c>
      <c r="N93" s="379" t="str">
        <f>'Basic data'!F27</f>
        <v>IIA</v>
      </c>
      <c r="O93" s="379" t="str">
        <f>'Basic data'!G27</f>
        <v>IIB</v>
      </c>
      <c r="P93" s="379" t="str">
        <f>'Basic data'!H27</f>
        <v>III</v>
      </c>
      <c r="Q93" s="380" t="str">
        <f>'Basic data'!I27</f>
        <v>IV</v>
      </c>
      <c r="R93" s="379" t="str">
        <f>'Basic data'!J27</f>
        <v>Total</v>
      </c>
    </row>
    <row r="94" spans="2:21" hidden="1" x14ac:dyDescent="0.2">
      <c r="D94" s="888" t="str">
        <f>'Basic data'!B31</f>
        <v xml:space="preserve">Primary cases pancreatic cancer 
= exocrine pancreatic cancer </v>
      </c>
      <c r="E94" s="888"/>
      <c r="F94" s="888"/>
      <c r="G94" s="888"/>
      <c r="H94" s="888"/>
      <c r="I94" s="888"/>
      <c r="J94" s="888"/>
      <c r="K94" s="888"/>
      <c r="L94" s="191">
        <f>'Basic data'!D31</f>
        <v>0</v>
      </c>
      <c r="M94" s="191">
        <f>'Basic data'!E31</f>
        <v>0</v>
      </c>
      <c r="N94" s="191">
        <f>'Basic data'!F31</f>
        <v>0</v>
      </c>
      <c r="O94" s="191">
        <f>'Basic data'!G31</f>
        <v>0</v>
      </c>
      <c r="P94" s="191">
        <f>'Basic data'!H31</f>
        <v>0</v>
      </c>
      <c r="Q94" s="191">
        <f>'Basic data'!I31</f>
        <v>0</v>
      </c>
      <c r="R94" s="191" t="str">
        <f>'Basic data'!J31</f>
        <v/>
      </c>
    </row>
    <row r="95" spans="2:21" hidden="1" x14ac:dyDescent="0.2">
      <c r="D95" s="888" t="str">
        <f>'Basic data'!B32</f>
        <v xml:space="preserve">    of which surgical primary cases of 
    pancreatic cancer
     (Only ICD-10 C25 in combination with OPS 
     (German procedure classification) 
     5-524*, 5-525*)</v>
      </c>
      <c r="E95" s="888"/>
      <c r="F95" s="888"/>
      <c r="G95" s="888"/>
      <c r="H95" s="888"/>
      <c r="I95" s="888"/>
      <c r="J95" s="888"/>
      <c r="K95" s="888"/>
      <c r="L95" s="191">
        <f>'Basic data'!D32</f>
        <v>0</v>
      </c>
      <c r="M95" s="191">
        <f>'Basic data'!E32</f>
        <v>0</v>
      </c>
      <c r="N95" s="191">
        <f>'Basic data'!F32</f>
        <v>0</v>
      </c>
      <c r="O95" s="191">
        <f>'Basic data'!G32</f>
        <v>0</v>
      </c>
      <c r="P95" s="191">
        <f>'Basic data'!H32</f>
        <v>0</v>
      </c>
      <c r="Q95" s="191">
        <f>'Basic data'!I32</f>
        <v>0</v>
      </c>
      <c r="R95" s="191" t="str">
        <f>'Basic data'!J32</f>
        <v/>
      </c>
    </row>
    <row r="96" spans="2:21" hidden="1" x14ac:dyDescent="0.2">
      <c r="D96" s="888" t="str">
        <f>'Basic data'!B34</f>
        <v>Primary cases of neuroendocrine tumours (NETs) and neuroendocrine carcinomas (NECs)</v>
      </c>
      <c r="E96" s="888"/>
      <c r="F96" s="888"/>
      <c r="G96" s="888"/>
      <c r="H96" s="888"/>
      <c r="I96" s="888"/>
      <c r="J96" s="888"/>
      <c r="K96" s="888"/>
      <c r="L96" s="888"/>
      <c r="M96" s="888"/>
      <c r="N96" s="888"/>
      <c r="O96" s="888"/>
      <c r="P96" s="888"/>
      <c r="Q96" s="888"/>
      <c r="R96" s="191">
        <f>'Basic data'!J34</f>
        <v>0</v>
      </c>
    </row>
    <row r="97" spans="4:18" hidden="1" x14ac:dyDescent="0.2">
      <c r="D97" s="888" t="str">
        <f>'Basic data'!B35</f>
        <v xml:space="preserve">     of which surgical primary cases NET and NEC
     (Only ICD-10 C25 in combination with OPS: 5-524*, 5-525*)</v>
      </c>
      <c r="E97" s="888"/>
      <c r="F97" s="888"/>
      <c r="G97" s="888"/>
      <c r="H97" s="888"/>
      <c r="I97" s="888"/>
      <c r="J97" s="888"/>
      <c r="K97" s="888"/>
      <c r="L97" s="888"/>
      <c r="M97" s="888"/>
      <c r="N97" s="888"/>
      <c r="O97" s="888"/>
      <c r="P97" s="888"/>
      <c r="Q97" s="888"/>
      <c r="R97" s="191">
        <f>'Basic data'!J35</f>
        <v>0</v>
      </c>
    </row>
    <row r="98" spans="4:18" hidden="1" x14ac:dyDescent="0.2">
      <c r="D98" s="888" t="str">
        <f>'Basic data'!B37</f>
        <v>Primary cases total</v>
      </c>
      <c r="E98" s="888"/>
      <c r="F98" s="888"/>
      <c r="G98" s="888"/>
      <c r="H98" s="888"/>
      <c r="I98" s="888"/>
      <c r="J98" s="888"/>
      <c r="K98" s="888"/>
      <c r="L98" s="888"/>
      <c r="M98" s="888"/>
      <c r="N98" s="888"/>
      <c r="O98" s="888"/>
      <c r="P98" s="888"/>
      <c r="Q98" s="888"/>
      <c r="R98" s="191" t="str">
        <f>'Basic data'!J37</f>
        <v/>
      </c>
    </row>
    <row r="99" spans="4:18" hidden="1" x14ac:dyDescent="0.2">
      <c r="D99" s="888" t="str">
        <f>'Basic data'!B38</f>
        <v>Surgical primary cases total</v>
      </c>
      <c r="E99" s="888"/>
      <c r="F99" s="888"/>
      <c r="G99" s="888"/>
      <c r="H99" s="888"/>
      <c r="I99" s="888"/>
      <c r="J99" s="888"/>
      <c r="K99" s="888"/>
      <c r="L99" s="888"/>
      <c r="M99" s="888"/>
      <c r="N99" s="888"/>
      <c r="O99" s="888"/>
      <c r="P99" s="888"/>
      <c r="Q99" s="888"/>
      <c r="R99" s="191" t="str">
        <f>'Basic data'!J38</f>
        <v/>
      </c>
    </row>
    <row r="100" spans="4:18" hidden="1" x14ac:dyDescent="0.2">
      <c r="D100" s="882" t="str">
        <f>'Basic data'!B40</f>
        <v>Surgical expertise - Number of pancreatic resections 
(OPS: 5-524* and 5-525*, with and without ICD-10 C25)</v>
      </c>
      <c r="E100" s="883"/>
      <c r="F100" s="883"/>
      <c r="G100" s="883"/>
      <c r="H100" s="883"/>
      <c r="I100" s="883"/>
      <c r="J100" s="883"/>
      <c r="K100" s="883"/>
      <c r="L100" s="883"/>
      <c r="M100" s="883"/>
      <c r="N100" s="883"/>
      <c r="O100" s="883"/>
      <c r="P100" s="883"/>
      <c r="Q100" s="884"/>
      <c r="R100" s="424">
        <f>'Basic data'!J40</f>
        <v>0</v>
      </c>
    </row>
  </sheetData>
  <sheetProtection algorithmName="SHA-512" hashValue="dJkoXASyhVQil6/DcrNZBlzoPJOQiLiXdLbGtnUcdzRwLcl9gxv+GnrGHs47be3J6BnIhyOnG9nV+h4QK8JEAg==" saltValue="71aG8pqXMwgHZ3hJ/BK24w==" spinCount="100000"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25">
    <mergeCell ref="H83:H84"/>
    <mergeCell ref="D83:E84"/>
    <mergeCell ref="I83:J84"/>
    <mergeCell ref="D85:G85"/>
    <mergeCell ref="I85:J85"/>
    <mergeCell ref="D86:E87"/>
    <mergeCell ref="H86:J87"/>
    <mergeCell ref="U69:U71"/>
    <mergeCell ref="B72:C74"/>
    <mergeCell ref="D72:D74"/>
    <mergeCell ref="E72:E74"/>
    <mergeCell ref="F72:G74"/>
    <mergeCell ref="H72:J74"/>
    <mergeCell ref="K72:L74"/>
    <mergeCell ref="M72:M74"/>
    <mergeCell ref="N72:O74"/>
    <mergeCell ref="P72:P74"/>
    <mergeCell ref="S72:S74"/>
    <mergeCell ref="T72:T74"/>
    <mergeCell ref="U72:U74"/>
    <mergeCell ref="E69:E71"/>
    <mergeCell ref="F69:G71"/>
    <mergeCell ref="H69:J71"/>
    <mergeCell ref="K69:L71"/>
    <mergeCell ref="N69:O71"/>
    <mergeCell ref="S69:S71"/>
    <mergeCell ref="T69:T71"/>
    <mergeCell ref="Q12:Q14"/>
    <mergeCell ref="R12:R14"/>
    <mergeCell ref="S12:S14"/>
    <mergeCell ref="T12:T14"/>
    <mergeCell ref="U12:U14"/>
    <mergeCell ref="B12:C14"/>
    <mergeCell ref="D12:D14"/>
    <mergeCell ref="E12:E14"/>
    <mergeCell ref="F12:G14"/>
    <mergeCell ref="H12:J14"/>
    <mergeCell ref="K12:L14"/>
    <mergeCell ref="M12:M14"/>
    <mergeCell ref="N12:O14"/>
    <mergeCell ref="P12:P14"/>
    <mergeCell ref="B39:C41"/>
    <mergeCell ref="B45:C47"/>
    <mergeCell ref="B42:C44"/>
    <mergeCell ref="E42:E44"/>
    <mergeCell ref="F39:G41"/>
    <mergeCell ref="F48:G50"/>
    <mergeCell ref="E39:E41"/>
    <mergeCell ref="D100:Q100"/>
    <mergeCell ref="D93:K93"/>
    <mergeCell ref="D94:K94"/>
    <mergeCell ref="D95:K95"/>
    <mergeCell ref="D96:Q96"/>
    <mergeCell ref="D97:Q97"/>
    <mergeCell ref="D99:Q99"/>
    <mergeCell ref="D98:Q98"/>
    <mergeCell ref="B57:C59"/>
    <mergeCell ref="D57:D59"/>
    <mergeCell ref="E57:E59"/>
    <mergeCell ref="F57:G59"/>
    <mergeCell ref="B89:S89"/>
    <mergeCell ref="N63:O65"/>
    <mergeCell ref="N60:O62"/>
    <mergeCell ref="K66:L68"/>
    <mergeCell ref="M66:M68"/>
    <mergeCell ref="N66:O68"/>
    <mergeCell ref="P66:P68"/>
    <mergeCell ref="K63:L65"/>
    <mergeCell ref="M63:M65"/>
    <mergeCell ref="P63:P65"/>
    <mergeCell ref="B69:C71"/>
    <mergeCell ref="D69:D71"/>
    <mergeCell ref="B7:C8"/>
    <mergeCell ref="D7:D8"/>
    <mergeCell ref="E7:E8"/>
    <mergeCell ref="F7:G8"/>
    <mergeCell ref="C33:C35"/>
    <mergeCell ref="C36:C38"/>
    <mergeCell ref="S57:S59"/>
    <mergeCell ref="K57:L59"/>
    <mergeCell ref="K39:L41"/>
    <mergeCell ref="F42:G44"/>
    <mergeCell ref="S42:S44"/>
    <mergeCell ref="D39:D41"/>
    <mergeCell ref="D42:D44"/>
    <mergeCell ref="K54:L56"/>
    <mergeCell ref="K45:L47"/>
    <mergeCell ref="H42:J44"/>
    <mergeCell ref="H45:J47"/>
    <mergeCell ref="K42:L44"/>
    <mergeCell ref="E48:E50"/>
    <mergeCell ref="D48:D50"/>
    <mergeCell ref="Q39:Q41"/>
    <mergeCell ref="R39:R41"/>
    <mergeCell ref="K48:L50"/>
    <mergeCell ref="S39:S41"/>
    <mergeCell ref="H7:J8"/>
    <mergeCell ref="H9:J11"/>
    <mergeCell ref="H15:J17"/>
    <mergeCell ref="H21:J23"/>
    <mergeCell ref="H24:J26"/>
    <mergeCell ref="K7:L8"/>
    <mergeCell ref="D45:D47"/>
    <mergeCell ref="D24:D26"/>
    <mergeCell ref="E45:E47"/>
    <mergeCell ref="E21:E23"/>
    <mergeCell ref="S9:S11"/>
    <mergeCell ref="S27:S29"/>
    <mergeCell ref="U21:U23"/>
    <mergeCell ref="H57:J59"/>
    <mergeCell ref="E54:E56"/>
    <mergeCell ref="F24:G26"/>
    <mergeCell ref="F27:G29"/>
    <mergeCell ref="F30:G32"/>
    <mergeCell ref="K27:L29"/>
    <mergeCell ref="K30:L32"/>
    <mergeCell ref="T21:T23"/>
    <mergeCell ref="P15:P17"/>
    <mergeCell ref="P21:P23"/>
    <mergeCell ref="S15:S17"/>
    <mergeCell ref="S24:S26"/>
    <mergeCell ref="N33:O35"/>
    <mergeCell ref="T33:T35"/>
    <mergeCell ref="U33:U35"/>
    <mergeCell ref="S33:S35"/>
    <mergeCell ref="U30:U32"/>
    <mergeCell ref="P33:P35"/>
    <mergeCell ref="U15:U17"/>
    <mergeCell ref="T15:T17"/>
    <mergeCell ref="N15:O17"/>
    <mergeCell ref="S21:S23"/>
    <mergeCell ref="F9:G11"/>
    <mergeCell ref="K9:L11"/>
    <mergeCell ref="S7:S8"/>
    <mergeCell ref="T7:U7"/>
    <mergeCell ref="D15:D17"/>
    <mergeCell ref="D21:D23"/>
    <mergeCell ref="F21:G23"/>
    <mergeCell ref="T9:T11"/>
    <mergeCell ref="K15:L17"/>
    <mergeCell ref="F15:G17"/>
    <mergeCell ref="E9:E11"/>
    <mergeCell ref="D9:D11"/>
    <mergeCell ref="R9:R11"/>
    <mergeCell ref="K21:L23"/>
    <mergeCell ref="N21:O23"/>
    <mergeCell ref="Q9:Q11"/>
    <mergeCell ref="N7:O8"/>
    <mergeCell ref="Q7:R8"/>
    <mergeCell ref="M7:M8"/>
    <mergeCell ref="U9:U11"/>
    <mergeCell ref="M9:M11"/>
    <mergeCell ref="M15:M17"/>
    <mergeCell ref="M21:M23"/>
    <mergeCell ref="B21:C23"/>
    <mergeCell ref="B24:C26"/>
    <mergeCell ref="B33:B38"/>
    <mergeCell ref="E30:E32"/>
    <mergeCell ref="F33:G38"/>
    <mergeCell ref="D33:D38"/>
    <mergeCell ref="B27:C29"/>
    <mergeCell ref="B30:C32"/>
    <mergeCell ref="E27:E29"/>
    <mergeCell ref="E24:E26"/>
    <mergeCell ref="E33:E38"/>
    <mergeCell ref="D27:D29"/>
    <mergeCell ref="D30:D32"/>
    <mergeCell ref="B9:C11"/>
    <mergeCell ref="U45:U47"/>
    <mergeCell ref="P27:P29"/>
    <mergeCell ref="P30:P32"/>
    <mergeCell ref="M30:M32"/>
    <mergeCell ref="M24:M26"/>
    <mergeCell ref="M27:M29"/>
    <mergeCell ref="M33:M35"/>
    <mergeCell ref="M36:M38"/>
    <mergeCell ref="P39:P41"/>
    <mergeCell ref="P42:P44"/>
    <mergeCell ref="M42:M44"/>
    <mergeCell ref="M39:M41"/>
    <mergeCell ref="N36:O38"/>
    <mergeCell ref="N24:O26"/>
    <mergeCell ref="P36:P38"/>
    <mergeCell ref="U24:U26"/>
    <mergeCell ref="T24:T26"/>
    <mergeCell ref="U36:U38"/>
    <mergeCell ref="N39:O41"/>
    <mergeCell ref="S36:S38"/>
    <mergeCell ref="T36:T38"/>
    <mergeCell ref="T27:T29"/>
    <mergeCell ref="U27:U29"/>
    <mergeCell ref="T39:T41"/>
    <mergeCell ref="N57:O59"/>
    <mergeCell ref="P48:P50"/>
    <mergeCell ref="S54:S56"/>
    <mergeCell ref="T48:T50"/>
    <mergeCell ref="T54:T56"/>
    <mergeCell ref="P57:P59"/>
    <mergeCell ref="M57:M59"/>
    <mergeCell ref="P54:P56"/>
    <mergeCell ref="P45:P47"/>
    <mergeCell ref="M48:M50"/>
    <mergeCell ref="M45:M47"/>
    <mergeCell ref="B90:S90"/>
    <mergeCell ref="U39:U41"/>
    <mergeCell ref="T42:T44"/>
    <mergeCell ref="U42:U44"/>
    <mergeCell ref="N30:O32"/>
    <mergeCell ref="N27:O29"/>
    <mergeCell ref="S30:S32"/>
    <mergeCell ref="T30:T32"/>
    <mergeCell ref="N42:O44"/>
    <mergeCell ref="Q42:Q44"/>
    <mergeCell ref="R42:R44"/>
    <mergeCell ref="F45:G47"/>
    <mergeCell ref="F54:G56"/>
    <mergeCell ref="H48:J50"/>
    <mergeCell ref="H54:J56"/>
    <mergeCell ref="N45:O47"/>
    <mergeCell ref="B54:C56"/>
    <mergeCell ref="D54:D56"/>
    <mergeCell ref="D66:D68"/>
    <mergeCell ref="T57:T59"/>
    <mergeCell ref="U57:U59"/>
    <mergeCell ref="T45:T47"/>
    <mergeCell ref="U54:U56"/>
    <mergeCell ref="U48:U50"/>
    <mergeCell ref="B60:C62"/>
    <mergeCell ref="B63:C65"/>
    <mergeCell ref="B66:C68"/>
    <mergeCell ref="H60:J62"/>
    <mergeCell ref="D60:D62"/>
    <mergeCell ref="E60:E62"/>
    <mergeCell ref="F60:G62"/>
    <mergeCell ref="D63:D65"/>
    <mergeCell ref="E63:E65"/>
    <mergeCell ref="D5:E5"/>
    <mergeCell ref="G5:P5"/>
    <mergeCell ref="C48:C50"/>
    <mergeCell ref="C51:C53"/>
    <mergeCell ref="B48:B53"/>
    <mergeCell ref="E51:E53"/>
    <mergeCell ref="F51:G53"/>
    <mergeCell ref="H51:J53"/>
    <mergeCell ref="D51:D53"/>
    <mergeCell ref="K51:L53"/>
    <mergeCell ref="N51:O53"/>
    <mergeCell ref="M51:M53"/>
    <mergeCell ref="P51:P53"/>
    <mergeCell ref="P7:P8"/>
    <mergeCell ref="P24:P26"/>
    <mergeCell ref="N48:O50"/>
    <mergeCell ref="K24:L26"/>
    <mergeCell ref="J33:J35"/>
    <mergeCell ref="N9:O11"/>
    <mergeCell ref="J36:J38"/>
    <mergeCell ref="H39:J41"/>
    <mergeCell ref="P9:P11"/>
    <mergeCell ref="K33:L38"/>
    <mergeCell ref="H30:J32"/>
    <mergeCell ref="M18:M20"/>
    <mergeCell ref="N18:O20"/>
    <mergeCell ref="P18:P20"/>
    <mergeCell ref="S18:S20"/>
    <mergeCell ref="T18:T20"/>
    <mergeCell ref="T51:T53"/>
    <mergeCell ref="S51:S53"/>
    <mergeCell ref="P69:P71"/>
    <mergeCell ref="U51:U53"/>
    <mergeCell ref="U66:U68"/>
    <mergeCell ref="T63:T65"/>
    <mergeCell ref="T66:T68"/>
    <mergeCell ref="S60:S62"/>
    <mergeCell ref="S63:S65"/>
    <mergeCell ref="S66:S68"/>
    <mergeCell ref="U63:U65"/>
    <mergeCell ref="U60:U62"/>
    <mergeCell ref="M60:M62"/>
    <mergeCell ref="T60:T62"/>
    <mergeCell ref="P60:P62"/>
    <mergeCell ref="M54:M56"/>
    <mergeCell ref="S45:S47"/>
    <mergeCell ref="N54:O56"/>
    <mergeCell ref="S48:S50"/>
    <mergeCell ref="D78:D80"/>
    <mergeCell ref="E78:E80"/>
    <mergeCell ref="F78:G80"/>
    <mergeCell ref="H78:J80"/>
    <mergeCell ref="K78:L80"/>
    <mergeCell ref="D18:D20"/>
    <mergeCell ref="F18:G20"/>
    <mergeCell ref="H18:J20"/>
    <mergeCell ref="K18:L20"/>
    <mergeCell ref="K60:L62"/>
    <mergeCell ref="F63:G65"/>
    <mergeCell ref="H63:J65"/>
    <mergeCell ref="E66:E68"/>
    <mergeCell ref="F66:G68"/>
    <mergeCell ref="H66:J68"/>
    <mergeCell ref="H33:I38"/>
    <mergeCell ref="H27:J29"/>
    <mergeCell ref="M78:M80"/>
    <mergeCell ref="N78:O80"/>
    <mergeCell ref="P78:P80"/>
    <mergeCell ref="S78:S80"/>
    <mergeCell ref="T78:T80"/>
    <mergeCell ref="U78:U80"/>
    <mergeCell ref="U18:U20"/>
    <mergeCell ref="B15:B20"/>
    <mergeCell ref="C15:C17"/>
    <mergeCell ref="C18:C20"/>
    <mergeCell ref="E15:E20"/>
    <mergeCell ref="B75:C77"/>
    <mergeCell ref="B78:C80"/>
    <mergeCell ref="D75:D77"/>
    <mergeCell ref="E75:E77"/>
    <mergeCell ref="F75:G77"/>
    <mergeCell ref="H75:J77"/>
    <mergeCell ref="K75:L77"/>
    <mergeCell ref="M75:M77"/>
    <mergeCell ref="N75:O77"/>
    <mergeCell ref="P75:P77"/>
    <mergeCell ref="S75:S77"/>
    <mergeCell ref="T75:T77"/>
    <mergeCell ref="U75:U77"/>
  </mergeCells>
  <phoneticPr fontId="42" type="noConversion"/>
  <conditionalFormatting sqref="R12">
    <cfRule type="containsBlanks" dxfId="71" priority="103">
      <formula>LEN(TRIM(R12))=0</formula>
    </cfRule>
  </conditionalFormatting>
  <conditionalFormatting sqref="R15 R21 R24 R27 R33:R34 R36 R45 R48:R49 R54 R57:R58">
    <cfRule type="containsBlanks" dxfId="70" priority="829">
      <formula>LEN(TRIM(R15))=0</formula>
    </cfRule>
  </conditionalFormatting>
  <conditionalFormatting sqref="R18">
    <cfRule type="containsBlanks" dxfId="69" priority="19">
      <formula>LEN(TRIM(R18))=0</formula>
    </cfRule>
  </conditionalFormatting>
  <conditionalFormatting sqref="R51:R52">
    <cfRule type="containsBlanks" dxfId="68" priority="59">
      <formula>LEN(TRIM(R51))=0</formula>
    </cfRule>
  </conditionalFormatting>
  <conditionalFormatting sqref="R60">
    <cfRule type="containsBlanks" dxfId="67" priority="126">
      <formula>LEN(TRIM(R60))=0</formula>
    </cfRule>
  </conditionalFormatting>
  <conditionalFormatting sqref="R63:R64">
    <cfRule type="containsBlanks" dxfId="66" priority="125">
      <formula>LEN(TRIM(R63))=0</formula>
    </cfRule>
  </conditionalFormatting>
  <conditionalFormatting sqref="R66:R67">
    <cfRule type="containsBlanks" dxfId="65" priority="124">
      <formula>LEN(TRIM(R66))=0</formula>
    </cfRule>
  </conditionalFormatting>
  <conditionalFormatting sqref="R69">
    <cfRule type="containsBlanks" dxfId="64" priority="82">
      <formula>LEN(TRIM(R69))=0</formula>
    </cfRule>
  </conditionalFormatting>
  <conditionalFormatting sqref="R72:R73">
    <cfRule type="containsBlanks" dxfId="63" priority="81">
      <formula>LEN(TRIM(R72))=0</formula>
    </cfRule>
  </conditionalFormatting>
  <conditionalFormatting sqref="R75">
    <cfRule type="containsBlanks" dxfId="62" priority="17">
      <formula>LEN(TRIM(R75))=0</formula>
    </cfRule>
  </conditionalFormatting>
  <conditionalFormatting sqref="R78">
    <cfRule type="containsBlanks" dxfId="61" priority="16">
      <formula>LEN(TRIM(R78))=0</formula>
    </cfRule>
  </conditionalFormatting>
  <conditionalFormatting sqref="S9:S53">
    <cfRule type="cellIs" dxfId="60" priority="30" stopIfTrue="1" operator="equal">
      <formula>"optional - Exception (Plausibility unclear)"</formula>
    </cfRule>
  </conditionalFormatting>
  <conditionalFormatting sqref="S9:S80">
    <cfRule type="cellIs" dxfId="59" priority="3397" stopIfTrue="1" operator="equal">
      <formula>"optional - OK (Plausibility unclear)"</formula>
    </cfRule>
    <cfRule type="cellIs" dxfId="58" priority="3396" stopIfTrue="1" operator="equal">
      <formula>"optional - Target value not met"</formula>
    </cfRule>
    <cfRule type="expression" dxfId="57" priority="3395" stopIfTrue="1">
      <formula>OR(S9=$F$86,S9=$F$87)</formula>
    </cfRule>
    <cfRule type="cellIs" dxfId="56" priority="11" stopIfTrue="1" operator="equal">
      <formula>"Target value not met"</formula>
    </cfRule>
    <cfRule type="cellIs" dxfId="55" priority="3398" stopIfTrue="1" operator="equal">
      <formula>"optional - OK"</formula>
    </cfRule>
  </conditionalFormatting>
  <conditionalFormatting sqref="S12:S14">
    <cfRule type="cellIs" dxfId="54" priority="101" operator="equal">
      <formula>"Exception (Plausibility unclear)"</formula>
    </cfRule>
  </conditionalFormatting>
  <conditionalFormatting sqref="S18 S75:S80">
    <cfRule type="containsText" dxfId="0" priority="13" stopIfTrue="1" operator="containsText" text="optional - Incomplete">
      <formula>NOT(ISERROR(SEARCH("optional - Incomplete",S18)))</formula>
    </cfRule>
  </conditionalFormatting>
  <conditionalFormatting sqref="S21:S32">
    <cfRule type="cellIs" dxfId="53" priority="169" stopIfTrue="1" operator="equal">
      <formula>"OK (Plausibility unclear)"</formula>
    </cfRule>
    <cfRule type="expression" dxfId="52" priority="167" stopIfTrue="1">
      <formula>OR(S21=#REF!,S21=#REF!)</formula>
    </cfRule>
    <cfRule type="cellIs" dxfId="51" priority="168" stopIfTrue="1" operator="equal">
      <formula>#REF!</formula>
    </cfRule>
    <cfRule type="cellIs" dxfId="50" priority="293" stopIfTrue="1" operator="equal">
      <formula>"I.O. (Plausibilität unklar)"</formula>
    </cfRule>
    <cfRule type="cellIs" dxfId="49" priority="319" stopIfTrue="1" operator="equal">
      <formula>"I.O."</formula>
    </cfRule>
    <cfRule type="cellIs" dxfId="48" priority="170" stopIfTrue="1" operator="equal">
      <formula>"OK"</formula>
    </cfRule>
  </conditionalFormatting>
  <conditionalFormatting sqref="S21:S35">
    <cfRule type="cellIs" dxfId="47" priority="269" stopIfTrue="1" operator="equal">
      <formula>#REF!</formula>
    </cfRule>
  </conditionalFormatting>
  <conditionalFormatting sqref="S21:S38">
    <cfRule type="expression" dxfId="46" priority="196" stopIfTrue="1">
      <formula>OR(S21=#REF!,S21=#REF!)</formula>
    </cfRule>
  </conditionalFormatting>
  <conditionalFormatting sqref="S24:S26">
    <cfRule type="cellIs" dxfId="45" priority="27" stopIfTrue="1" operator="equal">
      <formula>"optional - Ok"</formula>
    </cfRule>
    <cfRule type="cellIs" dxfId="44" priority="28" stopIfTrue="1" operator="equal">
      <formula>"optional - Target value not met"</formula>
    </cfRule>
    <cfRule type="expression" dxfId="43" priority="29" stopIfTrue="1">
      <formula>OR(S24=$D$101,S24=$D$100)</formula>
    </cfRule>
    <cfRule type="cellIs" dxfId="42" priority="31" stopIfTrue="1" operator="equal">
      <formula>"Ok (Plausibility unclear)"</formula>
    </cfRule>
    <cfRule type="cellIs" dxfId="41" priority="32" stopIfTrue="1" operator="equal">
      <formula>"Target value not met"</formula>
    </cfRule>
    <cfRule type="cellIs" dxfId="40" priority="33" stopIfTrue="1" operator="equal">
      <formula>Ok</formula>
    </cfRule>
  </conditionalFormatting>
  <conditionalFormatting sqref="S33:S35">
    <cfRule type="cellIs" dxfId="39" priority="336" stopIfTrue="1" operator="equal">
      <formula>"I.O. (Plausibilität unklar)"</formula>
    </cfRule>
    <cfRule type="expression" dxfId="38" priority="335" stopIfTrue="1">
      <formula>OR(S33=#REF!,S33=#REF!)</formula>
    </cfRule>
    <cfRule type="cellIs" dxfId="37" priority="337" stopIfTrue="1" operator="equal">
      <formula>"I.O."</formula>
    </cfRule>
  </conditionalFormatting>
  <conditionalFormatting sqref="S33:S44">
    <cfRule type="cellIs" dxfId="36" priority="197" stopIfTrue="1" operator="equal">
      <formula>"OK (Plausibility unclear)"</formula>
    </cfRule>
    <cfRule type="cellIs" dxfId="35" priority="198" stopIfTrue="1" operator="equal">
      <formula>"I.O."</formula>
    </cfRule>
  </conditionalFormatting>
  <conditionalFormatting sqref="S33:S56">
    <cfRule type="cellIs" dxfId="34" priority="195" stopIfTrue="1" operator="equal">
      <formula>#REF!</formula>
    </cfRule>
  </conditionalFormatting>
  <conditionalFormatting sqref="S36:S38">
    <cfRule type="cellIs" dxfId="33" priority="193" stopIfTrue="1" operator="equal">
      <formula>"I.O. (Plausibilität unklar)"</formula>
    </cfRule>
    <cfRule type="cellIs" dxfId="32" priority="194" stopIfTrue="1" operator="equal">
      <formula>"I.O."</formula>
    </cfRule>
  </conditionalFormatting>
  <conditionalFormatting sqref="S36:S44">
    <cfRule type="cellIs" dxfId="31" priority="164" stopIfTrue="1" operator="equal">
      <formula>#REF!</formula>
    </cfRule>
  </conditionalFormatting>
  <conditionalFormatting sqref="S36:S56">
    <cfRule type="expression" dxfId="30" priority="192" stopIfTrue="1">
      <formula>OR(S36=#REF!,S36=#REF!)</formula>
    </cfRule>
  </conditionalFormatting>
  <conditionalFormatting sqref="S39:S44">
    <cfRule type="expression" dxfId="29" priority="163" stopIfTrue="1">
      <formula>OR(S39=#REF!,S39=#REF!)</formula>
    </cfRule>
    <cfRule type="cellIs" dxfId="28" priority="165" stopIfTrue="1" operator="equal">
      <formula>"OK (Plausibility unclear)"</formula>
    </cfRule>
    <cfRule type="cellIs" dxfId="27" priority="166" stopIfTrue="1" operator="equal">
      <formula>"OK"</formula>
    </cfRule>
  </conditionalFormatting>
  <conditionalFormatting sqref="S42:S56">
    <cfRule type="cellIs" dxfId="26" priority="149" stopIfTrue="1" operator="equal">
      <formula>"OK (Plausibility unclear)"</formula>
    </cfRule>
    <cfRule type="cellIs" dxfId="25" priority="150" stopIfTrue="1" operator="equal">
      <formula>"OK"</formula>
    </cfRule>
    <cfRule type="expression" dxfId="24" priority="147" stopIfTrue="1">
      <formula>OR(S42=#REF!,S42=#REF!)</formula>
    </cfRule>
    <cfRule type="cellIs" dxfId="23" priority="148" stopIfTrue="1" operator="equal">
      <formula>#REF!</formula>
    </cfRule>
  </conditionalFormatting>
  <conditionalFormatting sqref="S45:S56">
    <cfRule type="cellIs" dxfId="22" priority="313" stopIfTrue="1" operator="equal">
      <formula>"I.O."</formula>
    </cfRule>
    <cfRule type="cellIs" dxfId="21" priority="287" stopIfTrue="1" operator="equal">
      <formula>"I.O. (Plausibilität unklar)"</formula>
    </cfRule>
  </conditionalFormatting>
  <conditionalFormatting sqref="S54:S80">
    <cfRule type="cellIs" dxfId="20" priority="23" stopIfTrue="1" operator="equal">
      <formula>"Exception (Plausibility unclear)"</formula>
    </cfRule>
  </conditionalFormatting>
  <conditionalFormatting sqref="S69:S74">
    <cfRule type="expression" dxfId="19" priority="7" stopIfTrue="1">
      <formula>OR(S69=#REF!,S69=#REF!)</formula>
    </cfRule>
    <cfRule type="cellIs" dxfId="18" priority="8" stopIfTrue="1" operator="equal">
      <formula>#REF!</formula>
    </cfRule>
    <cfRule type="cellIs" dxfId="17" priority="9" stopIfTrue="1" operator="equal">
      <formula>"I.O. (Plausibilität unklar)"</formula>
    </cfRule>
    <cfRule type="cellIs" dxfId="16" priority="6" stopIfTrue="1" operator="equal">
      <formula>"OK"</formula>
    </cfRule>
    <cfRule type="cellIs" dxfId="15" priority="10" stopIfTrue="1" operator="equal">
      <formula>"I.O."</formula>
    </cfRule>
    <cfRule type="cellIs" dxfId="14" priority="5" stopIfTrue="1" operator="equal">
      <formula>"OK (Plausibility unclear)"</formula>
    </cfRule>
    <cfRule type="cellIs" dxfId="13" priority="4" stopIfTrue="1" operator="equal">
      <formula>#REF!</formula>
    </cfRule>
    <cfRule type="expression" dxfId="12" priority="3" stopIfTrue="1">
      <formula>OR(S69=#REF!,S69=#REF!)</formula>
    </cfRule>
    <cfRule type="cellIs" dxfId="11" priority="2" stopIfTrue="1" operator="equal">
      <formula>"optional - Exception (Plausibility unclear)"</formula>
    </cfRule>
  </conditionalFormatting>
  <conditionalFormatting sqref="T9:T10 T15:T23 T27:T80">
    <cfRule type="expression" dxfId="10" priority="3392" stopIfTrue="1">
      <formula>OR($S9="Target value not met",$S9="OK (Plausibility unclear)",$S9="Exception (Plausibility unclear)",$S9=$F$87)</formula>
    </cfRule>
  </conditionalFormatting>
  <conditionalFormatting sqref="T12:T13">
    <cfRule type="expression" dxfId="9" priority="3408" stopIfTrue="1">
      <formula>OR($S12="Target value not met",$S12="OK (Plausibility unclear)",$S12="Exception (Plausibility unclear)",$S12=$F$87)</formula>
    </cfRule>
    <cfRule type="notContainsBlanks" dxfId="8" priority="3407" stopIfTrue="1">
      <formula>LEN(TRIM(T12))&gt;0</formula>
    </cfRule>
  </conditionalFormatting>
  <conditionalFormatting sqref="T15:T87 T9:T10">
    <cfRule type="notContainsBlanks" dxfId="7" priority="69" stopIfTrue="1">
      <formula>LEN(TRIM(T9))&gt;0</formula>
    </cfRule>
  </conditionalFormatting>
  <conditionalFormatting sqref="T18 T75:T80">
    <cfRule type="notContainsBlanks" dxfId="6" priority="1" stopIfTrue="1">
      <formula>LEN(TRIM(T18))&gt;0</formula>
    </cfRule>
  </conditionalFormatting>
  <conditionalFormatting sqref="T18">
    <cfRule type="expression" dxfId="5" priority="14" stopIfTrue="1">
      <formula>OR($S18="optional - Incomplete",$S18="optional - Target value not met",$S18="optional - OK (Plausibility unclear)",$S18="optional - Exception (Plausibility unclear)")</formula>
    </cfRule>
  </conditionalFormatting>
  <conditionalFormatting sqref="T24:T26 T51:T53">
    <cfRule type="expression" dxfId="4" priority="55" stopIfTrue="1">
      <formula>OR($S24="Sollvorgabe nicht erfüllt",$S24="I.O. (Plausibilität unklar)",$S24=$F$83)</formula>
    </cfRule>
  </conditionalFormatting>
  <conditionalFormatting sqref="T75">
    <cfRule type="expression" dxfId="3" priority="15" stopIfTrue="1">
      <formula>OR($S75="optional - Incomplete",$S75="optional - Target value not met",$S75="optional - OK (Plausibility unclear)",$S75="optional - Exception (Plausibility unclear)")</formula>
    </cfRule>
  </conditionalFormatting>
  <conditionalFormatting sqref="T78">
    <cfRule type="expression" dxfId="2" priority="12" stopIfTrue="1">
      <formula>OR($S78="optional - Incomplete",$S78="optional - Target value not met",$S78="optional - OK (Plausibility unclear)",$S78="optional - Exception (Plausibility unclear)")</formula>
    </cfRule>
  </conditionalFormatting>
  <conditionalFormatting sqref="T81:T87">
    <cfRule type="expression" dxfId="1" priority="3391" stopIfTrue="1">
      <formula>OR($S81=#REF!,$S81="Incomplete",$S81=#REF!,$S81="OK (Plausibility unclear)",$S81=#REF!,$S81="Exception (Plausibility unclear)",$S81="Target value not met",$S81=#REF!)</formula>
    </cfRule>
  </conditionalFormatting>
  <dataValidations xWindow="1109" yWindow="471" count="35">
    <dataValidation operator="equal" showInputMessage="1" showErrorMessage="1" sqref="R31 R22" xr:uid="{00000000-0002-0000-0400-000000000000}"/>
    <dataValidation errorStyle="information" allowBlank="1" showInputMessage="1" showErrorMessage="1" errorTitle="Kennzahl" promptTitle="Kennzahl" sqref="D7 B7" xr:uid="{00000000-0002-0000-0400-000001000000}"/>
    <dataValidation type="whole" showInputMessage="1" showErrorMessage="1" errorTitle="Input data error" error="1. Sheet „Basic data“ has to be filled out completely._x000a_2. Numerator has to be a positive whole number._x000a_3. Numerator cannot be greater than denominator.     " sqref="R30" xr:uid="{00000000-0002-0000-0400-000002000000}">
      <formula1>0</formula1>
      <formula2>5000</formula2>
    </dataValidation>
    <dataValidation type="whole" showInputMessage="1" showErrorMessage="1" errorTitle="Input data error" error="1. Numerator has to be a positive whole number._x000a_2. Numerator cannot be greater than denominator.               " sqref="R60 R66" xr:uid="{00000000-0002-0000-0400-000003000000}">
      <formula1>0</formula1>
      <formula2>IF(R61="",5000,R61)</formula2>
    </dataValidation>
    <dataValidation showInputMessage="1" showErrorMessage="1" sqref="R16 R39:R44" xr:uid="{00000000-0002-0000-0400-000004000000}"/>
    <dataValidation type="textLength" allowBlank="1" showInputMessage="1" showErrorMessage="1" errorTitle="Characters" error="Minimum 30 characters and maximum 500 characters." sqref="T12:T35 U9:U87" xr:uid="{00000000-0002-0000-0400-000005000000}">
      <formula1>30</formula1>
      <formula2>500</formula2>
    </dataValidation>
    <dataValidation operator="equal" showInputMessage="1" showErrorMessage="1" error="_x000a_" sqref="R46" xr:uid="{00000000-0002-0000-0400-000006000000}"/>
    <dataValidation type="custom" operator="equal" showErrorMessage="1" errorTitle="Input data error" error="1. Denominator has to be a positive whole number._x000a_2. Denominator cannot be smaller than numerator.    " sqref="R34" xr:uid="{00000000-0002-0000-0400-000007000000}">
      <formula1>IF(ISNUMBER(R34),IF(R34&gt;0,IF(AND(R34&gt;=R33,R34&lt;5001),R34),FALSE),FALSE)</formula1>
    </dataValidation>
    <dataValidation type="custom" showInputMessage="1" showErrorMessage="1" errorTitle="Input data error" error="1. Denominator has to be a positive whole number._x000a_2. Denominator cannot be smaller than numerator._x000a_3. Denominator cannot be greater than Surgical primary cases (without NET nad NEC). " sqref="R58" xr:uid="{00000000-0002-0000-0400-000008000000}">
      <formula1>IF(ISNUMBER(R58),IF(R58&gt;0,IF(AND(R58&gt;=R57,R58&lt;=V58),R58,FALSE),FALSE),FALSE)</formula1>
    </dataValidation>
    <dataValidation showInputMessage="1" showErrorMessage="1" errorTitle="Input data error" error="1. Denominator has to be a positive whole number._x000a_2. Denominator cannot be smaller than numerator._x000a_3. Denominator cannot be greater than Surgical primary cases.               " sqref="R61" xr:uid="{00000000-0002-0000-0400-000009000000}"/>
    <dataValidation type="custom" showInputMessage="1" showErrorMessage="1" errorTitle="Input data error" error="1. Denominator has to be a positive whole number._x000a_2. Denominator cannot be smaller than numerator._x000a_3. Denominator cannot be greater than Surgical primary cases UICC Stad. I-III." sqref="R64" xr:uid="{00000000-0002-0000-0400-00000A000000}">
      <formula1>IF(ISNUMBER(R64),IF(R64&gt;0,IF(AND(R64&gt;=R63,R64&lt;=SUM(L95:P95),R64&lt;5001),R64,FALSE),FALSE),FALSE)</formula1>
    </dataValidation>
    <dataValidation type="custom" showInputMessage="1" showErrorMessage="1" errorTitle="Input data error" error="1. Denominator has to be a positive whole number._x000a_2. Denominator cannot be smaller than numerator._x000a_" sqref="R67" xr:uid="{00000000-0002-0000-0400-00000B000000}">
      <formula1>IF(ISNUMBER(R67),IF(R67&gt;0,IF(AND(R67&gt;=R66,R67&lt;5001),R67,FALSE),FALSE),FALSE)</formula1>
    </dataValidation>
    <dataValidation operator="equal" showErrorMessage="1" sqref="R37" xr:uid="{00000000-0002-0000-0400-00000C000000}"/>
    <dataValidation type="textLength" allowBlank="1" showInputMessage="1" showErrorMessage="1" errorTitle="Characters" error="Minimum 30 characters and maximum 500 characters." promptTitle="Remark" prompt="If the value in the data quality box is not “Ok”, the Indicator must be justified.                                 " sqref="T9:T11" xr:uid="{00000000-0002-0000-0400-00000D000000}">
      <formula1>30</formula1>
      <formula2>500</formula2>
    </dataValidation>
    <dataValidation showInputMessage="1" showErrorMessage="1" errorTitle="Input data error" error="1. Denominator has to be a positive whole number._x000a_2. Denominator cannot be smaller than numerator._x000a_3. Denominator cannot be smaller than the number of primary cases.                " sqref="R25" xr:uid="{00000000-0002-0000-0400-00000E000000}"/>
    <dataValidation operator="equal" showInputMessage="1" showErrorMessage="1" errorTitle="Eingabefehler" error="1. Nenner muss eine positive ganze Zahl sein. _x000a_2. Nenner kann nicht kleiner als Zähler sein." sqref="R28" xr:uid="{00000000-0002-0000-0400-00000F000000}"/>
    <dataValidation type="whole" showInputMessage="1" showErrorMessage="1" errorTitle="Input data error" error="1. Sheet „Basic data“ has to be filled out completely._x000a_2. Numerator has to be a positive whole number._x000a_3. Numerator cannot be greater than denominator.               " sqref="R45" xr:uid="{00000000-0002-0000-0400-000010000000}">
      <formula1>0</formula1>
      <formula2>IF(R46="",5000,R46)</formula2>
    </dataValidation>
    <dataValidation type="whole" allowBlank="1" showInputMessage="1" showErrorMessage="1" errorTitle="Input data error" error="1. Sheet „Basic data“ has to be filled out completely._x000a_2. Numerator has to be a positive whole number._x000a_3. Numerator cannot be greater than denominator.               " sqref="R54 R48" xr:uid="{00000000-0002-0000-0400-000011000000}">
      <formula1>0</formula1>
      <formula2>IF(R49="",5000,R49)</formula2>
    </dataValidation>
    <dataValidation type="textLength" allowBlank="1" showInputMessage="1" showErrorMessage="1" errorTitle="Characters" error="Minimum 30 characters and maximum 500 characters.      " sqref="T66:T87" xr:uid="{00000000-0002-0000-0400-000012000000}">
      <formula1>30</formula1>
      <formula2>500</formula2>
    </dataValidation>
    <dataValidation type="textLength" allowBlank="1" showInputMessage="1" showErrorMessage="1" errorTitle="Characters" error="Minimum 30 characters and maximum 500 characters.  " sqref="T54:T62 T36:T51" xr:uid="{00000000-0002-0000-0400-000013000000}">
      <formula1>30</formula1>
      <formula2>500</formula2>
    </dataValidation>
    <dataValidation type="textLength" allowBlank="1" showInputMessage="1" showErrorMessage="1" errorTitle="Characters" error="Minimum 30 characters and maximum 500 characters.    " sqref="T63:T65" xr:uid="{00000000-0002-0000-0400-000014000000}">
      <formula1>30</formula1>
      <formula2>500</formula2>
    </dataValidation>
    <dataValidation type="whole" showInputMessage="1" showErrorMessage="1" errorTitle="Input data error" error="1. Numerator has to be a positive whole number._x000a_2. Numerator cannot be greater than denominator.                 " sqref="R63" xr:uid="{00000000-0002-0000-0400-000015000000}">
      <formula1>0</formula1>
      <formula2>IF(R64="",5000,R64)</formula2>
    </dataValidation>
    <dataValidation type="whole" showInputMessage="1" showErrorMessage="1" errorTitle="Input data error" error="1. Sheet „Basic data“ has to be filled out completely._x000a_2. Numerator has to be a positive whole number._x000a_3. Numerator cannot be greater than denominator.    " sqref="R21" xr:uid="{00000000-0002-0000-0400-000016000000}">
      <formula1>0</formula1>
      <formula2>IF(R22="",5000,R22)</formula2>
    </dataValidation>
    <dataValidation type="whole" showInputMessage="1" showErrorMessage="1" errorTitle="Input data error" error="1. Sheet „Basic data“ has to be filled out completely._x000a_2. Numerator has to be a positive whole number._x000a_3. Numerator cannot be greater than denominator.   " sqref="R24 R36 R27" xr:uid="{00000000-0002-0000-0400-000017000000}">
      <formula1>0</formula1>
      <formula2>IF(R25="",5000,R25)</formula2>
    </dataValidation>
    <dataValidation type="whole" showInputMessage="1" showErrorMessage="1" errorTitle="Input data error" error="1. Numerator has to be a positive whole number._x000a_2. Numerator cannot be greater than denominator.      " sqref="R33" xr:uid="{00000000-0002-0000-0400-000018000000}">
      <formula1>0</formula1>
      <formula2>IF(R34="",5000,R34)</formula2>
    </dataValidation>
    <dataValidation type="whole" showInputMessage="1" showErrorMessage="1" errorTitle="Input data error" error="1. Numerator has to be a positive whole number._x000a_2. Numerator cannot be greater than denominator.               _x000a_" sqref="R57" xr:uid="{00000000-0002-0000-0400-000019000000}">
      <formula1>0</formula1>
      <formula2>IF(R58="",5000,R58)</formula2>
    </dataValidation>
    <dataValidation type="whole" allowBlank="1" showInputMessage="1" showErrorMessage="1" errorTitle="Input data error" error="Whole number between 0 and 5000." sqref="R12:R14" xr:uid="{00000000-0002-0000-0400-00001A000000}">
      <formula1>0</formula1>
      <formula2>5000</formula2>
    </dataValidation>
    <dataValidation type="whole" showInputMessage="1" showErrorMessage="1" errorTitle="Input data error" error="1. Numerator has to be a positive whole number._x000a_2. Numerator cannot be greater than denominator.    " sqref="R72 R69" xr:uid="{00000000-0002-0000-0400-00001B000000}">
      <formula1>0</formula1>
      <formula2>IF(R70="",5000,R70)</formula2>
    </dataValidation>
    <dataValidation showInputMessage="1" showErrorMessage="1" errorTitle="Eingabefehler" error="1. Nenner muss eine positive ganze Zahl sein. _x000a_2. Nenner kann nicht kleiner als Zähler sein._x000a_3. Nenner kann nicht größer sein als Primärfälle mit Pankreaskarzinom UICC Stad. III-IV." sqref="R70" xr:uid="{00000000-0002-0000-0400-00001C000000}"/>
    <dataValidation type="whole" showInputMessage="1" showErrorMessage="1" errorTitle="Input data error" error="1. Denominator has to be a positive whole number._x000a_2. Denominator cannot be smaller than numerator." sqref="R73" xr:uid="{00000000-0002-0000-0400-00001D000000}">
      <formula1>R72</formula1>
      <formula2>5000</formula2>
    </dataValidation>
    <dataValidation type="whole" allowBlank="1" showInputMessage="1" showErrorMessage="1" error="1. Sheet „Basic data“ has to be filled out completely._x000a_2. Numerator has to be a positive whole number._x000a_3. Numerator cannot be greater than denominator.   " sqref="R51" xr:uid="{926F7902-F2B0-48D5-892F-60B83EC3EBB7}">
      <formula1>0</formula1>
      <formula2>IF(R52="",5000,R52)</formula2>
    </dataValidation>
    <dataValidation type="whole" allowBlank="1" showInputMessage="1" showErrorMessage="1" errorTitle="Input data error" error="1. Numerator has to be a positive whole number._x000a_2. Numerator cannot be greater than denominator.    _x000a_" sqref="R75 R18" xr:uid="{A6E07560-0A08-45CC-9999-831A27F5567C}">
      <formula1>0</formula1>
      <formula2>IF(R19="",5000,R19)</formula2>
    </dataValidation>
    <dataValidation type="whole" allowBlank="1" showInputMessage="1" showErrorMessage="1" errorTitle="Input data error" error="1. Denominator has to be a positive whole number._x000a_2. Denominator cannot be smaller than numerator._x000a_" sqref="R49 R52" xr:uid="{1A37CD4F-330F-43B3-955C-1BAE745737C3}">
      <formula1>R48</formula1>
      <formula2>5000</formula2>
    </dataValidation>
    <dataValidation type="whole" allowBlank="1" showInputMessage="1" showErrorMessage="1" errorTitle="Input data error" error="1. Numerator has to be a positive whole number._x000a_2. Numerator cannot be greater than denominator.  " sqref="R78" xr:uid="{37025765-DF23-41FE-8B4C-452AF3C8B135}">
      <formula1>0</formula1>
      <formula2>IF(R79="",5000,R79)</formula2>
    </dataValidation>
    <dataValidation type="whole" allowBlank="1" showInputMessage="1" showErrorMessage="1" errorTitle="Input data error" error="1. Sheet „Basic data“ has to be filled out completely._x000a_2. Numerator has to be a positive whole number._x000a_3. Numerator cannot be greater than denominator.    " sqref="R15" xr:uid="{98CC499F-CC7E-44AC-8430-67334A4F71D3}">
      <formula1>0</formula1>
      <formula2>IF(R16="",5000,R16)</formula2>
    </dataValidation>
  </dataValidations>
  <pageMargins left="0.39370078740157483" right="3.937007874015748E-2" top="0.59055118110236227" bottom="0.39370078740157483" header="0.11811023622047245" footer="0.11811023622047245"/>
  <pageSetup paperSize="9" scale="90" orientation="landscape" r:id="rId2"/>
  <headerFooter>
    <oddFooter xml:space="preserve">&amp;L&amp;"Arial,Regular"&amp;7&amp;F&amp;C&amp;"Arial,Regular"&amp;7© DKG  All rights reserved&amp;R&amp;"Arial,Regular"&amp;7&amp;P                                           </oddFooter>
    <firstHeader>&amp;C&amp;F&amp;RUnabhängiges Zertifizierungsinstitut
der Deutschen Krebsgesellschaft
Gartenstraße 24, D-89231 Neu-Ulm
Tel. +49  (0)7 31 / 70 51 16 - 0
Fax  +49  (0)7 31 / 70 51 16 - 16
www.onkozert.de, info@onkozert.d</firstHeader>
  </headerFooter>
  <rowBreaks count="5" manualBreakCount="5">
    <brk id="20" max="18" man="1"/>
    <brk id="32" max="18" man="1"/>
    <brk id="47" max="18" man="1"/>
    <brk id="62" max="18" man="1"/>
    <brk id="77" max="18" man="1"/>
  </rowBreaks>
  <ignoredErrors>
    <ignoredError sqref="D9:D11 D30:D44" twoDigitTextYear="1"/>
    <ignoredError sqref="B21:C23 B55:C56 B58:C59 C57 B10:C11 C9 B25:C38 C24 B39:C47 B15 C54" numberStoredAsText="1"/>
    <ignoredError sqref="R61" unlockedFormula="1"/>
  </ignoredErrors>
  <drawing r:id="rId3"/>
  <legacyDrawing r:id="rId4"/>
  <legacyDrawingHF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Basic data</vt:lpstr>
      <vt:lpstr>Datenquelle</vt:lpstr>
      <vt:lpstr>HilfstabelleSD</vt:lpstr>
      <vt:lpstr>HilfstabelleB</vt:lpstr>
      <vt:lpstr>Studies</vt:lpstr>
      <vt:lpstr>HilfstabelleStudien</vt:lpstr>
      <vt:lpstr>Examiner</vt:lpstr>
      <vt:lpstr>Surgeons</vt:lpstr>
      <vt:lpstr>Indicator sheet</vt:lpstr>
      <vt:lpstr>Berechnung1</vt:lpstr>
      <vt:lpstr>HilfstabelleKB</vt:lpstr>
      <vt:lpstr>Hilfstabelle Datendef KB</vt:lpstr>
      <vt:lpstr>Datendefizite_KB</vt:lpstr>
      <vt:lpstr>Matrix</vt:lpstr>
      <vt:lpstr>HilfstabelleM</vt:lpstr>
      <vt:lpstr>Berechnung2</vt:lpstr>
      <vt:lpstr>Berechnung3</vt:lpstr>
      <vt:lpstr>Datendefizite_Matrix</vt:lpstr>
      <vt:lpstr>HilfstabelleDM</vt:lpstr>
      <vt:lpstr>AngabeKKR</vt:lpstr>
      <vt:lpstr>KlinischesKrebsregister</vt:lpstr>
      <vt:lpstr>myCategory</vt:lpstr>
      <vt:lpstr>'Basic data'!Print_Area</vt:lpstr>
      <vt:lpstr>Examiner!Print_Area</vt:lpstr>
      <vt:lpstr>'Indicator sheet'!Print_Area</vt:lpstr>
      <vt:lpstr>Matrix!Print_Area</vt:lpstr>
      <vt:lpstr>Studies!Print_Area</vt:lpstr>
      <vt:lpstr>Surgeons!Print_Area</vt:lpstr>
      <vt:lpstr>Datendefizite_KB!Print_Titles</vt:lpstr>
      <vt:lpstr>Datendefizite_Matrix!Print_Titles</vt:lpstr>
      <vt:lpstr>'Indicator sheet'!Print_Titles</vt:lpstr>
      <vt:lpstr>RedZyk</vt:lpstr>
      <vt:lpstr>Tumordokumentation</vt:lpstr>
      <vt:lpstr>Universitätsstatus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Roxana Rentea</cp:lastModifiedBy>
  <cp:lastPrinted>2025-12-05T10:30:52Z</cp:lastPrinted>
  <dcterms:created xsi:type="dcterms:W3CDTF">2012-04-12T09:13:43Z</dcterms:created>
  <dcterms:modified xsi:type="dcterms:W3CDTF">2025-12-08T06:53:56Z</dcterms:modified>
</cp:coreProperties>
</file>