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updateLinks="never" codeName="ThisWorkbook"/>
  <mc:AlternateContent xmlns:mc="http://schemas.openxmlformats.org/markup-compatibility/2006">
    <mc:Choice Requires="x15">
      <x15ac:absPath xmlns:x15ac="http://schemas.microsoft.com/office/spreadsheetml/2010/11/ac" url="L:\06_daten\09_excel-kennzahlenbögen\15_excel-kb auditjahr 2026\organe\uro\prostata\"/>
    </mc:Choice>
  </mc:AlternateContent>
  <xr:revisionPtr revIDLastSave="0" documentId="13_ncr:1_{2C1CC4C8-EE4B-447C-9AE2-86E55ABD7305}" xr6:coauthVersionLast="47" xr6:coauthVersionMax="47" xr10:uidLastSave="{00000000-0000-0000-0000-000000000000}"/>
  <workbookProtection workbookAlgorithmName="SHA-512" workbookHashValue="xOEmuVvKuz4BzltwDtTBnN1odPNyUMY6TL+2xTs3fBtKJxxduDzGiy6+8EhTVuroG3wGNOagkx3Ktfn+0efDeQ==" workbookSaltValue="Y4V0f1UKYej0HEHjH0d8mQ==" workbookSpinCount="100000" lockStructure="1"/>
  <bookViews>
    <workbookView xWindow="-120" yWindow="-120" windowWidth="29040" windowHeight="15840" tabRatio="744" xr2:uid="{00000000-000D-0000-FFFF-FFFF00000000}"/>
  </bookViews>
  <sheets>
    <sheet name="Basic data" sheetId="1" r:id="rId1"/>
    <sheet name="HilfstabelleB" sheetId="24" state="hidden" r:id="rId2"/>
    <sheet name="HilfstabelleSD" sheetId="8" state="hidden" r:id="rId3"/>
    <sheet name="Datenquelle" sheetId="16" state="hidden" r:id="rId4"/>
    <sheet name="Studies" sheetId="32" r:id="rId5"/>
    <sheet name="HilfstabelleStudien" sheetId="33" state="hidden" r:id="rId6"/>
    <sheet name="Operateure" sheetId="35" r:id="rId7"/>
    <sheet name="Indicator sheet" sheetId="18" r:id="rId8"/>
    <sheet name="HilfstabelleKB" sheetId="7" state="hidden" r:id="rId9"/>
    <sheet name="Berechnung1" sheetId="11" state="hidden" r:id="rId10"/>
    <sheet name="Datendefizite_KB" sheetId="3" state="hidden" r:id="rId11"/>
    <sheet name="Hilfstabelle Datendef KB" sheetId="31" state="hidden" r:id="rId12"/>
    <sheet name="Matrix" sheetId="4" state="hidden" r:id="rId13"/>
    <sheet name="Berechnung2" sheetId="12" state="hidden" r:id="rId14"/>
    <sheet name="HilfstabelleM" sheetId="9" state="hidden" r:id="rId15"/>
    <sheet name="Berechnung3" sheetId="27" state="hidden" r:id="rId16"/>
    <sheet name="HilfstabelleDM" sheetId="28" state="hidden" r:id="rId17"/>
    <sheet name="Datendefizite_Matrix" sheetId="5" state="hidden" r:id="rId18"/>
  </sheets>
  <externalReferences>
    <externalReference r:id="rId19"/>
    <externalReference r:id="rId20"/>
  </externalReferences>
  <definedNames>
    <definedName name="_xlnm._FilterDatabase" localSheetId="13" hidden="1">Berechnung2!#REF!</definedName>
    <definedName name="_xlnm._FilterDatabase" localSheetId="3" hidden="1">Datenquelle!$A$68:$AA$70</definedName>
    <definedName name="AngabeKKR">Datenquelle!$B$57:$B$61</definedName>
    <definedName name="hilfstabellestudien">OFFSET(myItemList,0,0,COUNTA(myItemList),1)</definedName>
    <definedName name="Keine_Zusammenarbeit">Datenquelle!$B$58</definedName>
    <definedName name="myCategory" localSheetId="6">[1]Datenquelle!#REF!</definedName>
    <definedName name="myCategory">Datenquelle!$A$29:$S$29</definedName>
    <definedName name="myItem" localSheetId="5">OFFSET(HilfstabelleStudien!myItemList,0,0,COUNTA(HilfstabelleStudien!myItemList),1)</definedName>
    <definedName name="myItem" localSheetId="6">OFFSET(Operateure!myItemList,0,0,COUNTA(Operateure!myItemList),1)</definedName>
    <definedName name="myItem" localSheetId="4">OFFSET(Studies!myItemList,0,0,COUNTA(Studies!myItemList),1)</definedName>
    <definedName name="myItem">OFFSET(myItemList,0,0,COUNTA(myItemList),1)</definedName>
    <definedName name="myItemList" localSheetId="5">INDEX(#REF!,0,MATCH(#REF!,#REF!,0))</definedName>
    <definedName name="myItemList" localSheetId="6">INDEX([1]Datenquelle!#REF!,0,MATCH([1]Datenquelle!$F$43,[1]Datenquelle!#REF!,0))</definedName>
    <definedName name="myItemList" localSheetId="4">INDEX([2]Datenquelle!$A$28:$S$48,0,MATCH([2]Datenquelle!$F$68,[2]Datenquelle!$A$27:$S$27,0))</definedName>
    <definedName name="myItemList">INDEX(Datenquelle!$A$30:$S$50,0,MATCH(Datenquelle!$F$66,Datenquelle!$A$29:$S$29,0))</definedName>
    <definedName name="_xlnm.Print_Area" localSheetId="0">'Basic data'!$A$1:$Q$67</definedName>
    <definedName name="_xlnm.Print_Area" localSheetId="10">OFFSET(Datendefizite_KB!$B$1,0,0,SUMPRODUCT((Datendefizite_KB!$B$14:$B$40&lt;&gt;"")+0)+13,11)</definedName>
    <definedName name="_xlnm.Print_Area" localSheetId="7">'Indicator sheet'!$A$1:$R$103</definedName>
    <definedName name="_xlnm.Print_Area" localSheetId="12">Matrix!$A$1:$U$51</definedName>
    <definedName name="_xlnm.Print_Area" localSheetId="6">Operateure!$A$1:$K$26</definedName>
    <definedName name="_xlnm.Print_Area" localSheetId="4">Studies!$A$1:$E$60</definedName>
    <definedName name="_xlnm.Print_Titles" localSheetId="10">Datendefizite_KB!$12:$13</definedName>
    <definedName name="_xlnm.Print_Titles" localSheetId="17">Datendefizite_Matrix!$14:$15</definedName>
    <definedName name="_xlnm.Print_Titles" localSheetId="7">'Indicator sheet'!$6:$7</definedName>
    <definedName name="_xlnm.Print_Titles">'Indicator sheet'!$A$1:$Q$5</definedName>
    <definedName name="Tumordokumentation" localSheetId="5">#REF!</definedName>
    <definedName name="Tumordokumentation" localSheetId="4">[2]Datenquelle!$B$2:$B$23</definedName>
    <definedName name="Tumordokumentation">Datenquelle!$B$2:$B$26</definedName>
    <definedName name="Universitätsstatus">Datenquelle!$B$53:$B$54</definedName>
    <definedName name="Z_AD479C9E_06F7_4C03_8179_295428B49475_.wvu.PrintArea" localSheetId="0" hidden="1">'Basic data'!$A$1:$Q$67</definedName>
    <definedName name="Z_AD479C9E_06F7_4C03_8179_295428B49475_.wvu.PrintTitles" localSheetId="10" hidden="1">Datendefizite_KB!$12:$13</definedName>
    <definedName name="Z_AD479C9E_06F7_4C03_8179_295428B49475_.wvu.PrintTitles" localSheetId="17" hidden="1">Datendefizite_Matrix!$14:$15</definedName>
    <definedName name="Z_AD479C9E_06F7_4C03_8179_295428B49475_.wvu.PrintTitles" localSheetId="7" hidden="1">'Indicator sheet'!$6:$7</definedName>
    <definedName name="Z_DAA0C1F4_4D8F_4BD8_91F9_40281B589772_.wvu.PrintArea" localSheetId="0" hidden="1">'Basic data'!$A$1:$Q$67</definedName>
    <definedName name="Z_DAA0C1F4_4D8F_4BD8_91F9_40281B589772_.wvu.PrintTitles" localSheetId="10" hidden="1">Datendefizite_KB!$12:$13</definedName>
    <definedName name="Z_DAA0C1F4_4D8F_4BD8_91F9_40281B589772_.wvu.PrintTitles" localSheetId="17" hidden="1">Datendefizite_Matrix!$14:$15</definedName>
    <definedName name="Z_DAA0C1F4_4D8F_4BD8_91F9_40281B589772_.wvu.PrintTitles" localSheetId="7" hidden="1">'Indicator sheet'!$6:$7</definedName>
    <definedName name="Z_DAA0C1F4_4D8F_4BD8_91F9_40281B589772_.wvu.Rows" localSheetId="9" hidden="1">Berechnung1!#REF!</definedName>
    <definedName name="ZentrumRegNr" localSheetId="5">#REF!</definedName>
    <definedName name="ZentrumRegNr" localSheetId="6">[1]Datenquelle!$A$46:$A$234</definedName>
    <definedName name="ZentrumRegNr" localSheetId="4">[2]Datenquelle!$A$71:$A$244</definedName>
    <definedName name="ZentrumRegNr">Datenquelle!$A$70:$A$70</definedName>
  </definedNames>
  <calcPr calcId="191029"/>
  <customWorkbookViews>
    <customWorkbookView name="New Name - Persönliche Ansicht" guid="{AD479C9E-06F7-4C03-8179-295428B49475}" mergeInterval="0" personalView="1" maximized="1" windowWidth="1280" windowHeight="798" activeSheetId="8"/>
    <customWorkbookView name="OnkoZert - Persönliche Ansicht" guid="{DAA0C1F4-4D8F-4BD8-91F9-40281B589772}" mergeInterval="0" personalView="1" maximized="1" windowWidth="1280" windowHeight="778"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9" i="18" l="1"/>
  <c r="Q89" i="18"/>
  <c r="Q90" i="18"/>
  <c r="J8" i="35"/>
  <c r="J9" i="35"/>
  <c r="J10" i="35"/>
  <c r="J11" i="35"/>
  <c r="J12" i="35"/>
  <c r="J13" i="35"/>
  <c r="J14" i="35"/>
  <c r="J15" i="35"/>
  <c r="J16" i="35"/>
  <c r="J17" i="35"/>
  <c r="J18" i="35"/>
  <c r="J19" i="35"/>
  <c r="Q87" i="18" l="1"/>
  <c r="Q86" i="18"/>
  <c r="Q42" i="18"/>
  <c r="O9" i="35"/>
  <c r="O10" i="35"/>
  <c r="O11" i="35"/>
  <c r="O12" i="35"/>
  <c r="O13" i="35"/>
  <c r="O14" i="35"/>
  <c r="O15" i="35"/>
  <c r="O16" i="35"/>
  <c r="O17" i="35"/>
  <c r="O18" i="35"/>
  <c r="O19" i="35"/>
  <c r="O20" i="35"/>
  <c r="O21" i="35"/>
  <c r="O22" i="35"/>
  <c r="O23" i="35"/>
  <c r="O24" i="35"/>
  <c r="O8" i="35"/>
  <c r="A2" i="35"/>
  <c r="J24" i="35"/>
  <c r="J23" i="35"/>
  <c r="J22" i="35"/>
  <c r="J21" i="35"/>
  <c r="J20" i="35"/>
  <c r="P55" i="1"/>
  <c r="K40" i="1"/>
  <c r="K51" i="1" s="1"/>
  <c r="G40" i="1"/>
  <c r="G51" i="1" l="1"/>
  <c r="P53" i="1"/>
  <c r="E25" i="35"/>
  <c r="F6" i="8" l="1"/>
  <c r="E6" i="8"/>
  <c r="I12" i="32"/>
  <c r="J12" i="32"/>
  <c r="I13" i="32"/>
  <c r="J13" i="32"/>
  <c r="I14" i="32"/>
  <c r="J14" i="32"/>
  <c r="I15" i="32"/>
  <c r="K15" i="32" s="1"/>
  <c r="D6" i="33" s="1"/>
  <c r="J15" i="32"/>
  <c r="I16" i="32"/>
  <c r="J16" i="32"/>
  <c r="I17" i="32"/>
  <c r="K17" i="32" s="1"/>
  <c r="B8" i="33" s="1"/>
  <c r="J17" i="32"/>
  <c r="I18" i="32"/>
  <c r="J18" i="32"/>
  <c r="I19" i="32"/>
  <c r="K19" i="32" s="1"/>
  <c r="D10" i="33" s="1"/>
  <c r="J19" i="32"/>
  <c r="I20" i="32"/>
  <c r="J20" i="32"/>
  <c r="I21" i="32"/>
  <c r="J21" i="32"/>
  <c r="I22" i="32"/>
  <c r="K22" i="32" s="1"/>
  <c r="C13" i="33" s="1"/>
  <c r="J22" i="32"/>
  <c r="I23" i="32"/>
  <c r="J23" i="32"/>
  <c r="I24" i="32"/>
  <c r="K24" i="32" s="1"/>
  <c r="E15" i="33" s="1"/>
  <c r="J24" i="32"/>
  <c r="I25" i="32"/>
  <c r="J25" i="32"/>
  <c r="I26" i="32"/>
  <c r="K26" i="32" s="1"/>
  <c r="C17" i="33" s="1"/>
  <c r="J26" i="32"/>
  <c r="I27" i="32"/>
  <c r="J27" i="32"/>
  <c r="K27" i="32"/>
  <c r="D18" i="33" s="1"/>
  <c r="I28" i="32"/>
  <c r="K28" i="32" s="1"/>
  <c r="E19" i="33" s="1"/>
  <c r="J28" i="32"/>
  <c r="I29" i="32"/>
  <c r="K29" i="32" s="1"/>
  <c r="B20" i="33" s="1"/>
  <c r="J29" i="32"/>
  <c r="I30" i="32"/>
  <c r="J30" i="32"/>
  <c r="I31" i="32"/>
  <c r="K31" i="32" s="1"/>
  <c r="D22" i="33" s="1"/>
  <c r="J31" i="32"/>
  <c r="I32" i="32"/>
  <c r="J32" i="32"/>
  <c r="I33" i="32"/>
  <c r="K33" i="32" s="1"/>
  <c r="B24" i="33" s="1"/>
  <c r="J33" i="32"/>
  <c r="I34" i="32"/>
  <c r="J34" i="32"/>
  <c r="I35" i="32"/>
  <c r="K35" i="32" s="1"/>
  <c r="D26" i="33" s="1"/>
  <c r="J35" i="32"/>
  <c r="I36" i="32"/>
  <c r="J36" i="32"/>
  <c r="K36" i="32" s="1"/>
  <c r="E27" i="33" s="1"/>
  <c r="I37" i="32"/>
  <c r="J37" i="32"/>
  <c r="I38" i="32"/>
  <c r="J38" i="32"/>
  <c r="I39" i="32"/>
  <c r="J39" i="32"/>
  <c r="I40" i="32"/>
  <c r="J40" i="32"/>
  <c r="I41" i="32"/>
  <c r="J41" i="32"/>
  <c r="I42" i="32"/>
  <c r="J42" i="32"/>
  <c r="I43" i="32"/>
  <c r="K43" i="32" s="1"/>
  <c r="D34" i="33" s="1"/>
  <c r="J43" i="32"/>
  <c r="I44" i="32"/>
  <c r="K44" i="32" s="1"/>
  <c r="E35" i="33" s="1"/>
  <c r="J44" i="32"/>
  <c r="I45" i="32"/>
  <c r="J45" i="32"/>
  <c r="I46" i="32"/>
  <c r="J46" i="32"/>
  <c r="I47" i="32"/>
  <c r="J47" i="32"/>
  <c r="I48" i="32"/>
  <c r="J48" i="32"/>
  <c r="I49" i="32"/>
  <c r="J49" i="32"/>
  <c r="I50" i="32"/>
  <c r="J50" i="32"/>
  <c r="I51" i="32"/>
  <c r="J51" i="32"/>
  <c r="K51" i="32" s="1"/>
  <c r="D42" i="33" s="1"/>
  <c r="I52" i="32"/>
  <c r="J52" i="32"/>
  <c r="K52" i="32" s="1"/>
  <c r="E43" i="33" s="1"/>
  <c r="I53" i="32"/>
  <c r="J53" i="32"/>
  <c r="I54" i="32"/>
  <c r="J54" i="32"/>
  <c r="I55" i="32"/>
  <c r="J55" i="32"/>
  <c r="I56" i="32"/>
  <c r="J56" i="32"/>
  <c r="I57" i="32"/>
  <c r="J57" i="32"/>
  <c r="I58" i="32"/>
  <c r="J58" i="32"/>
  <c r="I59" i="32"/>
  <c r="K59" i="32" s="1"/>
  <c r="D50" i="33" s="1"/>
  <c r="J59" i="32"/>
  <c r="I60" i="32"/>
  <c r="J60" i="32"/>
  <c r="K60" i="32" s="1"/>
  <c r="E51" i="33" s="1"/>
  <c r="K45" i="32" l="1"/>
  <c r="B36" i="33" s="1"/>
  <c r="K42" i="32"/>
  <c r="C33" i="33" s="1"/>
  <c r="K40" i="32"/>
  <c r="E31" i="33" s="1"/>
  <c r="K38" i="32"/>
  <c r="C29" i="33" s="1"/>
  <c r="K49" i="32"/>
  <c r="B40" i="33" s="1"/>
  <c r="K47" i="32"/>
  <c r="D38" i="33" s="1"/>
  <c r="K58" i="32"/>
  <c r="C49" i="33" s="1"/>
  <c r="K56" i="32"/>
  <c r="E47" i="33" s="1"/>
  <c r="K54" i="32"/>
  <c r="C45" i="33" s="1"/>
  <c r="K20" i="32"/>
  <c r="E11" i="33" s="1"/>
  <c r="K57" i="32"/>
  <c r="B48" i="33" s="1"/>
  <c r="K55" i="32"/>
  <c r="D46" i="33" s="1"/>
  <c r="K53" i="32"/>
  <c r="B44" i="33" s="1"/>
  <c r="K50" i="32"/>
  <c r="C41" i="33" s="1"/>
  <c r="K46" i="32"/>
  <c r="C37" i="33" s="1"/>
  <c r="K41" i="32"/>
  <c r="B32" i="33" s="1"/>
  <c r="K37" i="32"/>
  <c r="B28" i="33" s="1"/>
  <c r="K18" i="32"/>
  <c r="C9" i="33" s="1"/>
  <c r="K14" i="32"/>
  <c r="C5" i="33" s="1"/>
  <c r="K48" i="32"/>
  <c r="E39" i="33" s="1"/>
  <c r="K39" i="32"/>
  <c r="D30" i="33" s="1"/>
  <c r="K34" i="32"/>
  <c r="C25" i="33" s="1"/>
  <c r="K32" i="32"/>
  <c r="E23" i="33" s="1"/>
  <c r="K30" i="32"/>
  <c r="C21" i="33" s="1"/>
  <c r="K25" i="32"/>
  <c r="B16" i="33" s="1"/>
  <c r="K23" i="32"/>
  <c r="D14" i="33" s="1"/>
  <c r="K21" i="32"/>
  <c r="B12" i="33" s="1"/>
  <c r="K13" i="32"/>
  <c r="B4" i="33" s="1"/>
  <c r="K12" i="32"/>
  <c r="E3" i="33" s="1"/>
  <c r="B18" i="33"/>
  <c r="D12" i="33"/>
  <c r="B50" i="33"/>
  <c r="E34" i="33"/>
  <c r="K16" i="32"/>
  <c r="E7" i="33" s="1"/>
  <c r="C48" i="33"/>
  <c r="A34" i="33"/>
  <c r="B34" i="33"/>
  <c r="D33" i="33"/>
  <c r="E50" i="33"/>
  <c r="A42" i="33"/>
  <c r="A33" i="33"/>
  <c r="A22" i="33"/>
  <c r="A10" i="33"/>
  <c r="B47" i="33"/>
  <c r="B15" i="33"/>
  <c r="C36" i="33"/>
  <c r="C24" i="33"/>
  <c r="C15" i="33"/>
  <c r="D20" i="33"/>
  <c r="E33" i="33"/>
  <c r="E22" i="33"/>
  <c r="E10" i="33"/>
  <c r="A50" i="33"/>
  <c r="A18" i="33"/>
  <c r="B42" i="33"/>
  <c r="B26" i="33"/>
  <c r="B10" i="33"/>
  <c r="C12" i="33"/>
  <c r="D49" i="33"/>
  <c r="D17" i="33"/>
  <c r="D5" i="33"/>
  <c r="E42" i="33"/>
  <c r="E18" i="33"/>
  <c r="A38" i="33"/>
  <c r="A26" i="33"/>
  <c r="A17" i="33"/>
  <c r="A6" i="33"/>
  <c r="B23" i="33"/>
  <c r="C40" i="33"/>
  <c r="C20" i="33"/>
  <c r="C8" i="33"/>
  <c r="D45" i="33"/>
  <c r="D36" i="33"/>
  <c r="D13" i="33"/>
  <c r="E38" i="33"/>
  <c r="E26" i="33"/>
  <c r="E17" i="33"/>
  <c r="E6" i="33"/>
  <c r="B35" i="33"/>
  <c r="B19" i="33"/>
  <c r="C35" i="33"/>
  <c r="C27" i="33"/>
  <c r="D40" i="33"/>
  <c r="D8" i="33"/>
  <c r="E5" i="33"/>
  <c r="B43" i="33"/>
  <c r="B11" i="33"/>
  <c r="E45" i="33"/>
  <c r="E37" i="33"/>
  <c r="E13" i="33"/>
  <c r="A44" i="33"/>
  <c r="A40" i="33"/>
  <c r="A36" i="33"/>
  <c r="A28" i="33"/>
  <c r="A24" i="33"/>
  <c r="A20" i="33"/>
  <c r="A8" i="33"/>
  <c r="B49" i="33"/>
  <c r="B45" i="33"/>
  <c r="B33" i="33"/>
  <c r="B17" i="33"/>
  <c r="B13" i="33"/>
  <c r="C50" i="33"/>
  <c r="C42" i="33"/>
  <c r="C38" i="33"/>
  <c r="C34" i="33"/>
  <c r="C26" i="33"/>
  <c r="C22" i="33"/>
  <c r="C18" i="33"/>
  <c r="C10" i="33"/>
  <c r="C6" i="33"/>
  <c r="D51" i="33"/>
  <c r="D43" i="33"/>
  <c r="D35" i="33"/>
  <c r="D31" i="33"/>
  <c r="D27" i="33"/>
  <c r="D19" i="33"/>
  <c r="D15" i="33"/>
  <c r="D11" i="33"/>
  <c r="E40" i="33"/>
  <c r="E36" i="33"/>
  <c r="E24" i="33"/>
  <c r="E20" i="33"/>
  <c r="E8" i="33"/>
  <c r="B51" i="33"/>
  <c r="B27" i="33"/>
  <c r="A45" i="33"/>
  <c r="A13" i="33"/>
  <c r="A5" i="33"/>
  <c r="B38" i="33"/>
  <c r="B22" i="33"/>
  <c r="B6" i="33"/>
  <c r="C51" i="33"/>
  <c r="C43" i="33"/>
  <c r="C19" i="33"/>
  <c r="C11" i="33"/>
  <c r="D24" i="33"/>
  <c r="A51" i="33"/>
  <c r="A43" i="33"/>
  <c r="A35" i="33"/>
  <c r="A31" i="33"/>
  <c r="A27" i="33"/>
  <c r="A23" i="33"/>
  <c r="A19" i="33"/>
  <c r="A15" i="33"/>
  <c r="A11" i="33"/>
  <c r="A2" i="32"/>
  <c r="J11" i="32"/>
  <c r="I11" i="32"/>
  <c r="A47" i="33" l="1"/>
  <c r="E12" i="33"/>
  <c r="B5" i="33"/>
  <c r="B37" i="33"/>
  <c r="A12" i="33"/>
  <c r="A32" i="33"/>
  <c r="A48" i="33"/>
  <c r="D48" i="33"/>
  <c r="E49" i="33"/>
  <c r="A49" i="33"/>
  <c r="E48" i="33"/>
  <c r="D23" i="33"/>
  <c r="A37" i="33"/>
  <c r="C31" i="33"/>
  <c r="D37" i="33"/>
  <c r="B31" i="33"/>
  <c r="C46" i="33"/>
  <c r="B46" i="33"/>
  <c r="E29" i="33"/>
  <c r="D29" i="33"/>
  <c r="C47" i="33"/>
  <c r="B29" i="33"/>
  <c r="E32" i="33"/>
  <c r="D47" i="33"/>
  <c r="A29" i="33"/>
  <c r="B39" i="33"/>
  <c r="C23" i="33"/>
  <c r="E28" i="33"/>
  <c r="E44" i="33"/>
  <c r="C14" i="33"/>
  <c r="C30" i="33"/>
  <c r="E9" i="33"/>
  <c r="A9" i="33"/>
  <c r="E14" i="33"/>
  <c r="B14" i="33"/>
  <c r="E41" i="33"/>
  <c r="A14" i="33"/>
  <c r="B25" i="33"/>
  <c r="B41" i="33"/>
  <c r="B3" i="33"/>
  <c r="C3" i="33"/>
  <c r="D25" i="33"/>
  <c r="A41" i="33"/>
  <c r="D41" i="33"/>
  <c r="E25" i="33"/>
  <c r="A3" i="33"/>
  <c r="A39" i="33"/>
  <c r="D3" i="33"/>
  <c r="B9" i="33"/>
  <c r="D32" i="33"/>
  <c r="D9" i="33"/>
  <c r="C4" i="33"/>
  <c r="A25" i="33"/>
  <c r="B30" i="33"/>
  <c r="D4" i="33"/>
  <c r="C44" i="33"/>
  <c r="E46" i="33"/>
  <c r="C16" i="33"/>
  <c r="C28" i="33"/>
  <c r="A46" i="33"/>
  <c r="E16" i="33"/>
  <c r="A16" i="33"/>
  <c r="E30" i="33"/>
  <c r="D28" i="33"/>
  <c r="A30" i="33"/>
  <c r="E4" i="33"/>
  <c r="D39" i="33"/>
  <c r="B21" i="33"/>
  <c r="A4" i="33"/>
  <c r="D16" i="33"/>
  <c r="E21" i="33"/>
  <c r="A21" i="33"/>
  <c r="C32" i="33"/>
  <c r="D21" i="33"/>
  <c r="C39" i="33"/>
  <c r="D44" i="33"/>
  <c r="A7" i="33"/>
  <c r="B7" i="33"/>
  <c r="D7" i="33"/>
  <c r="C7" i="33"/>
  <c r="K11" i="32"/>
  <c r="C2" i="33" s="1"/>
  <c r="E2" i="33" l="1"/>
  <c r="D2" i="33"/>
  <c r="E5" i="32"/>
  <c r="Q50" i="18" s="1"/>
  <c r="A2" i="33"/>
  <c r="B2" i="33"/>
  <c r="G39" i="7" l="1"/>
  <c r="G38" i="7"/>
  <c r="F39" i="7"/>
  <c r="F38" i="7"/>
  <c r="Q28" i="18"/>
  <c r="O107" i="11" l="1"/>
  <c r="H38" i="7" s="1"/>
  <c r="O110" i="11"/>
  <c r="H39" i="7" s="1"/>
  <c r="B39" i="7"/>
  <c r="B38" i="7"/>
  <c r="G16" i="7" l="1"/>
  <c r="F16" i="7"/>
  <c r="O41" i="11"/>
  <c r="H16" i="7" s="1"/>
  <c r="A29" i="31" l="1"/>
  <c r="A30" i="31"/>
  <c r="A31" i="31"/>
  <c r="A32" i="31"/>
  <c r="A33" i="31"/>
  <c r="A34" i="31"/>
  <c r="A35" i="31"/>
  <c r="A36" i="31"/>
  <c r="A37" i="31"/>
  <c r="A38" i="31"/>
  <c r="A39" i="31"/>
  <c r="A40" i="31"/>
  <c r="A41" i="31"/>
  <c r="A42" i="31"/>
  <c r="A43" i="31"/>
  <c r="A44" i="31"/>
  <c r="A45" i="31"/>
  <c r="Q64" i="18" l="1"/>
  <c r="B6" i="27" l="1"/>
  <c r="B5" i="27"/>
  <c r="B4" i="27"/>
  <c r="B3" i="27"/>
  <c r="B2" i="27"/>
  <c r="Q38" i="1" l="1"/>
  <c r="G34" i="7" l="1"/>
  <c r="F34" i="7"/>
  <c r="C34" i="7"/>
  <c r="C33" i="7"/>
  <c r="B34" i="7"/>
  <c r="B33" i="7"/>
  <c r="O104" i="11" l="1"/>
  <c r="Q79" i="18" l="1"/>
  <c r="A27" i="31" l="1"/>
  <c r="R77" i="18"/>
  <c r="A28" i="31"/>
  <c r="G37" i="7"/>
  <c r="F37" i="7"/>
  <c r="H27" i="31" l="1"/>
  <c r="D27" i="31"/>
  <c r="J27" i="31"/>
  <c r="M27" i="31"/>
  <c r="K27" i="31"/>
  <c r="C27" i="31"/>
  <c r="G27" i="31"/>
  <c r="F27" i="31"/>
  <c r="I27" i="31"/>
  <c r="L27" i="31"/>
  <c r="E27" i="31"/>
  <c r="A24" i="31"/>
  <c r="I28" i="31"/>
  <c r="C28" i="31"/>
  <c r="J28" i="31"/>
  <c r="E28" i="31"/>
  <c r="M28" i="31"/>
  <c r="D28" i="31"/>
  <c r="F28" i="31"/>
  <c r="H28" i="31"/>
  <c r="G28" i="31"/>
  <c r="K28" i="31"/>
  <c r="L28" i="31"/>
  <c r="C37" i="7"/>
  <c r="B37" i="7"/>
  <c r="E24" i="31" l="1"/>
  <c r="D24" i="31"/>
  <c r="L24" i="31"/>
  <c r="J24" i="31"/>
  <c r="I24" i="31"/>
  <c r="H24" i="31"/>
  <c r="K24" i="31"/>
  <c r="M24" i="31"/>
  <c r="C24" i="31"/>
  <c r="G24" i="31"/>
  <c r="F24" i="31"/>
  <c r="D40" i="1"/>
  <c r="D51" i="1" s="1"/>
  <c r="H37" i="7" l="1"/>
  <c r="Q85" i="18" l="1"/>
  <c r="R83" i="18" l="1"/>
  <c r="D37" i="7"/>
  <c r="L104" i="11"/>
  <c r="Q31" i="18"/>
  <c r="Q34" i="18"/>
  <c r="R32" i="18" l="1"/>
  <c r="R29" i="18"/>
  <c r="M104" i="11"/>
  <c r="N104" i="11" s="1"/>
  <c r="E37" i="7" s="1"/>
  <c r="A26" i="31"/>
  <c r="A9" i="31" l="1"/>
  <c r="M53" i="11"/>
  <c r="A8" i="31"/>
  <c r="D26" i="31"/>
  <c r="F26" i="31"/>
  <c r="K26" i="31"/>
  <c r="E26" i="31"/>
  <c r="J26" i="31"/>
  <c r="H26" i="31"/>
  <c r="L26" i="31"/>
  <c r="C26" i="31"/>
  <c r="I26" i="31"/>
  <c r="M26" i="31"/>
  <c r="G26" i="31"/>
  <c r="M98" i="11"/>
  <c r="O101" i="11"/>
  <c r="O98" i="11"/>
  <c r="G21" i="7"/>
  <c r="F21" i="7"/>
  <c r="B21" i="7"/>
  <c r="G20" i="7"/>
  <c r="F20" i="7"/>
  <c r="B20" i="7"/>
  <c r="O56" i="11"/>
  <c r="O53" i="11"/>
  <c r="H20" i="7" s="1"/>
  <c r="F9" i="31" l="1"/>
  <c r="L9" i="31"/>
  <c r="C9" i="31"/>
  <c r="M9" i="31"/>
  <c r="K9" i="31"/>
  <c r="G9" i="31"/>
  <c r="I9" i="31"/>
  <c r="J9" i="31"/>
  <c r="E9" i="31"/>
  <c r="D9" i="31"/>
  <c r="H9" i="31"/>
  <c r="I8" i="31"/>
  <c r="D8" i="31"/>
  <c r="G8" i="31"/>
  <c r="H8" i="31"/>
  <c r="J8" i="31"/>
  <c r="M8" i="31"/>
  <c r="F8" i="31"/>
  <c r="L8" i="31"/>
  <c r="C8" i="31"/>
  <c r="K8" i="31"/>
  <c r="E8" i="31"/>
  <c r="L51" i="4"/>
  <c r="L50" i="4"/>
  <c r="L49" i="4"/>
  <c r="L48" i="4"/>
  <c r="L47" i="4"/>
  <c r="L46" i="4" l="1"/>
  <c r="L45" i="4"/>
  <c r="L44" i="4"/>
  <c r="L43" i="4"/>
  <c r="D1" i="9" l="1"/>
  <c r="Q82" i="18" l="1"/>
  <c r="Q76" i="18"/>
  <c r="Q73" i="18"/>
  <c r="Q70" i="18"/>
  <c r="Q25" i="18"/>
  <c r="R80" i="18" l="1"/>
  <c r="R71" i="18"/>
  <c r="D32" i="7"/>
  <c r="R23" i="18"/>
  <c r="R68" i="18"/>
  <c r="R74" i="18"/>
  <c r="D34" i="7"/>
  <c r="N98" i="11"/>
  <c r="D33" i="7"/>
  <c r="D35" i="7"/>
  <c r="D36" i="7"/>
  <c r="D17" i="7"/>
  <c r="G36" i="7"/>
  <c r="F36" i="7"/>
  <c r="C36" i="7"/>
  <c r="B36" i="7"/>
  <c r="G35" i="7"/>
  <c r="F35" i="7"/>
  <c r="C35" i="7"/>
  <c r="B35" i="7"/>
  <c r="A25" i="31" l="1"/>
  <c r="A22" i="31"/>
  <c r="F22" i="31" s="1"/>
  <c r="M92" i="11"/>
  <c r="A21" i="31"/>
  <c r="G21" i="31" s="1"/>
  <c r="A6" i="31"/>
  <c r="M95" i="11"/>
  <c r="A23" i="31"/>
  <c r="M89" i="11"/>
  <c r="M101" i="11"/>
  <c r="N101" i="11" s="1"/>
  <c r="C18" i="7"/>
  <c r="B18" i="7"/>
  <c r="H22" i="31" l="1"/>
  <c r="M22" i="31"/>
  <c r="G22" i="31"/>
  <c r="K22" i="31"/>
  <c r="L22" i="31"/>
  <c r="J22" i="31"/>
  <c r="D22" i="31"/>
  <c r="I22" i="31"/>
  <c r="E22" i="31"/>
  <c r="H21" i="31"/>
  <c r="K21" i="31"/>
  <c r="D21" i="31"/>
  <c r="K25" i="31"/>
  <c r="D25" i="31"/>
  <c r="C25" i="31"/>
  <c r="I25" i="31"/>
  <c r="F25" i="31"/>
  <c r="H25" i="31"/>
  <c r="M25" i="31"/>
  <c r="E25" i="31"/>
  <c r="G25" i="31"/>
  <c r="J25" i="31"/>
  <c r="L25" i="31"/>
  <c r="C22" i="31"/>
  <c r="F21" i="31"/>
  <c r="L21" i="31"/>
  <c r="J21" i="31"/>
  <c r="M21" i="31"/>
  <c r="I21" i="31"/>
  <c r="E21" i="31"/>
  <c r="C21" i="31"/>
  <c r="J6" i="31"/>
  <c r="L6" i="31"/>
  <c r="E6" i="31"/>
  <c r="F6" i="31"/>
  <c r="H6" i="31"/>
  <c r="G6" i="31"/>
  <c r="D6" i="31"/>
  <c r="K6" i="31"/>
  <c r="C6" i="31"/>
  <c r="I6" i="31"/>
  <c r="M6" i="31"/>
  <c r="M23" i="31"/>
  <c r="G23" i="31"/>
  <c r="L23" i="31"/>
  <c r="I23" i="31"/>
  <c r="F23" i="31"/>
  <c r="K23" i="31"/>
  <c r="C23" i="31"/>
  <c r="E23" i="31"/>
  <c r="J23" i="31"/>
  <c r="D23" i="31"/>
  <c r="H23" i="31"/>
  <c r="C6" i="8"/>
  <c r="C14" i="24" l="1"/>
  <c r="D14" i="24"/>
  <c r="E14" i="24"/>
  <c r="F14" i="24"/>
  <c r="G14" i="24"/>
  <c r="H14" i="24"/>
  <c r="I14" i="24"/>
  <c r="J14" i="24"/>
  <c r="K14" i="24"/>
  <c r="L14" i="24"/>
  <c r="B14" i="24"/>
  <c r="C11" i="24"/>
  <c r="D11" i="24"/>
  <c r="E11" i="24"/>
  <c r="F11" i="24"/>
  <c r="G11" i="24"/>
  <c r="H11" i="24"/>
  <c r="I11" i="24"/>
  <c r="J11" i="24"/>
  <c r="K11" i="24"/>
  <c r="L11" i="24"/>
  <c r="C12" i="24"/>
  <c r="D12" i="24"/>
  <c r="E12" i="24"/>
  <c r="F12" i="24"/>
  <c r="G12" i="24"/>
  <c r="H12" i="24"/>
  <c r="I12" i="24"/>
  <c r="J12" i="24"/>
  <c r="K12" i="24"/>
  <c r="L12" i="24"/>
  <c r="C13" i="24"/>
  <c r="D13" i="24"/>
  <c r="E13" i="24"/>
  <c r="F13" i="24"/>
  <c r="G13" i="24"/>
  <c r="H13" i="24"/>
  <c r="I13" i="24"/>
  <c r="J13" i="24"/>
  <c r="K13" i="24"/>
  <c r="L13" i="24"/>
  <c r="B12" i="24"/>
  <c r="B13" i="24"/>
  <c r="B11" i="24"/>
  <c r="C3" i="24"/>
  <c r="D3" i="24"/>
  <c r="E3" i="24"/>
  <c r="F3" i="24"/>
  <c r="G3" i="24"/>
  <c r="H3" i="24"/>
  <c r="I3" i="24"/>
  <c r="J3" i="24"/>
  <c r="K3" i="24"/>
  <c r="L3" i="24"/>
  <c r="C4" i="24"/>
  <c r="D4" i="24"/>
  <c r="E4" i="24"/>
  <c r="F4" i="24"/>
  <c r="G4" i="24"/>
  <c r="H4" i="24"/>
  <c r="I4" i="24"/>
  <c r="J4" i="24"/>
  <c r="K4" i="24"/>
  <c r="L4" i="24"/>
  <c r="C5" i="24"/>
  <c r="D5" i="24"/>
  <c r="E5" i="24"/>
  <c r="F5" i="24"/>
  <c r="G5" i="24"/>
  <c r="H5" i="24"/>
  <c r="I5" i="24"/>
  <c r="J5" i="24"/>
  <c r="K5" i="24"/>
  <c r="L5" i="24"/>
  <c r="C6" i="24"/>
  <c r="D6" i="24"/>
  <c r="E6" i="24"/>
  <c r="F6" i="24"/>
  <c r="G6" i="24"/>
  <c r="H6" i="24"/>
  <c r="I6" i="24"/>
  <c r="J6" i="24"/>
  <c r="K6" i="24"/>
  <c r="L6" i="24"/>
  <c r="C7" i="24"/>
  <c r="D7" i="24"/>
  <c r="E7" i="24"/>
  <c r="F7" i="24"/>
  <c r="G7" i="24"/>
  <c r="H7" i="24"/>
  <c r="I7" i="24"/>
  <c r="J7" i="24"/>
  <c r="K7" i="24"/>
  <c r="L7" i="24"/>
  <c r="C8" i="24"/>
  <c r="D8" i="24"/>
  <c r="E8" i="24"/>
  <c r="F8" i="24"/>
  <c r="G8" i="24"/>
  <c r="H8" i="24"/>
  <c r="I8" i="24"/>
  <c r="J8" i="24"/>
  <c r="K8" i="24"/>
  <c r="L8" i="24"/>
  <c r="D10" i="24"/>
  <c r="E10" i="24"/>
  <c r="F10" i="24"/>
  <c r="G10" i="24"/>
  <c r="H10" i="24"/>
  <c r="I10" i="24"/>
  <c r="J10" i="24"/>
  <c r="K10" i="24"/>
  <c r="L10" i="24"/>
  <c r="B3" i="24"/>
  <c r="B4" i="24"/>
  <c r="B5" i="24"/>
  <c r="B6" i="24"/>
  <c r="B7" i="24"/>
  <c r="B8" i="24"/>
  <c r="C2" i="24"/>
  <c r="D2" i="24"/>
  <c r="E2" i="24"/>
  <c r="F2" i="24"/>
  <c r="G2" i="24"/>
  <c r="H2" i="24"/>
  <c r="I2" i="24"/>
  <c r="J2" i="24"/>
  <c r="K2" i="24"/>
  <c r="L2" i="24"/>
  <c r="B2" i="24"/>
  <c r="H36" i="7" l="1"/>
  <c r="Q43" i="18"/>
  <c r="Q38" i="18"/>
  <c r="Q33" i="1"/>
  <c r="Q40" i="18" l="1"/>
  <c r="R41" i="18"/>
  <c r="M2" i="24"/>
  <c r="Q11" i="18"/>
  <c r="Q49" i="1"/>
  <c r="Q47" i="1"/>
  <c r="U35" i="18" s="1"/>
  <c r="Q45" i="1"/>
  <c r="Q46" i="1"/>
  <c r="M12" i="24" s="1"/>
  <c r="Q42" i="1"/>
  <c r="M10" i="24" s="1"/>
  <c r="P40" i="1"/>
  <c r="Q39" i="1"/>
  <c r="C20" i="7"/>
  <c r="Q37" i="1"/>
  <c r="M6" i="24" s="1"/>
  <c r="Q36" i="1"/>
  <c r="M5" i="24" s="1"/>
  <c r="Q35" i="1"/>
  <c r="Q34" i="1"/>
  <c r="E40" i="1"/>
  <c r="F40" i="1"/>
  <c r="H40" i="1"/>
  <c r="P54" i="1" s="1"/>
  <c r="Q53" i="1" s="1"/>
  <c r="I40" i="1"/>
  <c r="J40" i="1"/>
  <c r="Q59" i="18" s="1"/>
  <c r="L40" i="1"/>
  <c r="M40" i="1"/>
  <c r="N40" i="1"/>
  <c r="O40" i="1"/>
  <c r="Q65" i="18" l="1"/>
  <c r="U63" i="18"/>
  <c r="Q91" i="18"/>
  <c r="L110" i="11" s="1"/>
  <c r="C39" i="7"/>
  <c r="C38" i="7"/>
  <c r="R11" i="18"/>
  <c r="Q20" i="18"/>
  <c r="U21" i="18"/>
  <c r="Q36" i="18"/>
  <c r="M62" i="11"/>
  <c r="A12" i="31"/>
  <c r="M8" i="24"/>
  <c r="U34" i="18"/>
  <c r="U57" i="18"/>
  <c r="U30" i="18"/>
  <c r="U33" i="18"/>
  <c r="U24" i="18"/>
  <c r="M7" i="24"/>
  <c r="M11" i="24"/>
  <c r="M14" i="24"/>
  <c r="M13" i="24"/>
  <c r="I9" i="24"/>
  <c r="M51" i="1"/>
  <c r="I15" i="24" s="1"/>
  <c r="H9" i="24"/>
  <c r="L51" i="1"/>
  <c r="H15" i="24" s="1"/>
  <c r="L9" i="24"/>
  <c r="P51" i="1"/>
  <c r="L15" i="24" s="1"/>
  <c r="Q14" i="18"/>
  <c r="M3" i="24"/>
  <c r="K9" i="24"/>
  <c r="O51" i="1"/>
  <c r="K15" i="24" s="1"/>
  <c r="B15" i="24"/>
  <c r="B9" i="24"/>
  <c r="J9" i="24"/>
  <c r="N51" i="1"/>
  <c r="J15" i="24" s="1"/>
  <c r="G9" i="24"/>
  <c r="J51" i="1"/>
  <c r="G15" i="24" s="1"/>
  <c r="L18" i="24"/>
  <c r="F9" i="24"/>
  <c r="I51" i="1"/>
  <c r="F15" i="24" s="1"/>
  <c r="E9" i="24"/>
  <c r="H51" i="1"/>
  <c r="E15" i="24" s="1"/>
  <c r="D9" i="24"/>
  <c r="F51" i="1"/>
  <c r="D15" i="24" s="1"/>
  <c r="C9" i="24"/>
  <c r="E51" i="1"/>
  <c r="C15" i="24" s="1"/>
  <c r="Q17" i="18"/>
  <c r="M4" i="24"/>
  <c r="B31" i="7"/>
  <c r="R62" i="18"/>
  <c r="B29" i="7"/>
  <c r="L17" i="24"/>
  <c r="Q40" i="1"/>
  <c r="Q58" i="18"/>
  <c r="H35" i="7"/>
  <c r="O92" i="11"/>
  <c r="H33" i="7" s="1"/>
  <c r="O95" i="11"/>
  <c r="H34" i="7" s="1"/>
  <c r="O89" i="11"/>
  <c r="H32" i="7" s="1"/>
  <c r="O62" i="11"/>
  <c r="H23" i="7" s="1"/>
  <c r="G33" i="7"/>
  <c r="G32" i="7"/>
  <c r="F33" i="7"/>
  <c r="F32" i="7"/>
  <c r="B32" i="7"/>
  <c r="G23" i="7"/>
  <c r="F23" i="7"/>
  <c r="C23" i="7"/>
  <c r="B23" i="7"/>
  <c r="B24" i="7"/>
  <c r="F24" i="7"/>
  <c r="G24" i="7"/>
  <c r="B2" i="8"/>
  <c r="B1" i="8"/>
  <c r="M24" i="4"/>
  <c r="I6" i="9" s="1"/>
  <c r="C3" i="9"/>
  <c r="D3" i="9"/>
  <c r="F3" i="9"/>
  <c r="H3" i="9"/>
  <c r="C4" i="9"/>
  <c r="D4" i="9"/>
  <c r="F4" i="9"/>
  <c r="H4" i="9"/>
  <c r="C5" i="9"/>
  <c r="D5" i="9"/>
  <c r="F5" i="9"/>
  <c r="H5" i="9"/>
  <c r="C6" i="9"/>
  <c r="D6" i="9"/>
  <c r="F6" i="9"/>
  <c r="H6" i="9"/>
  <c r="H2" i="9"/>
  <c r="F2" i="9"/>
  <c r="D2" i="9"/>
  <c r="C2" i="9"/>
  <c r="I1" i="9"/>
  <c r="H1" i="9"/>
  <c r="G1" i="9"/>
  <c r="F1" i="9"/>
  <c r="E1" i="9"/>
  <c r="C1" i="9"/>
  <c r="B1" i="9"/>
  <c r="A1" i="9"/>
  <c r="O38" i="11"/>
  <c r="H15" i="7" s="1"/>
  <c r="O77" i="11"/>
  <c r="H28" i="7" s="1"/>
  <c r="O80" i="11"/>
  <c r="H29" i="7" s="1"/>
  <c r="O83" i="11"/>
  <c r="H30" i="7" s="1"/>
  <c r="O86" i="11"/>
  <c r="H31" i="7" s="1"/>
  <c r="O74" i="11"/>
  <c r="H27" i="7" s="1"/>
  <c r="O47" i="11"/>
  <c r="H18" i="7" s="1"/>
  <c r="O50" i="11"/>
  <c r="H19" i="7" s="1"/>
  <c r="H21" i="7"/>
  <c r="O59" i="11"/>
  <c r="H22" i="7" s="1"/>
  <c r="O65" i="11"/>
  <c r="H24" i="7" s="1"/>
  <c r="O68" i="11"/>
  <c r="H25" i="7" s="1"/>
  <c r="O71" i="11"/>
  <c r="H26" i="7" s="1"/>
  <c r="O44" i="11"/>
  <c r="H17" i="7" s="1"/>
  <c r="I86" i="4"/>
  <c r="G20" i="4"/>
  <c r="E2" i="9" s="1"/>
  <c r="I90" i="4"/>
  <c r="I89" i="4"/>
  <c r="I87" i="4"/>
  <c r="I83" i="4"/>
  <c r="I82" i="4"/>
  <c r="I81" i="4"/>
  <c r="I80" i="4"/>
  <c r="I79" i="4"/>
  <c r="F90" i="4"/>
  <c r="F89" i="4"/>
  <c r="F88" i="4"/>
  <c r="F87" i="4"/>
  <c r="F86" i="4"/>
  <c r="F83" i="4"/>
  <c r="F82" i="4"/>
  <c r="F81" i="4"/>
  <c r="F80" i="4"/>
  <c r="F79" i="4"/>
  <c r="E4" i="18"/>
  <c r="D8" i="3"/>
  <c r="K8" i="3"/>
  <c r="C8" i="4"/>
  <c r="K8" i="4"/>
  <c r="J20" i="4"/>
  <c r="G2" i="9" s="1"/>
  <c r="M20" i="4"/>
  <c r="I2" i="9" s="1"/>
  <c r="G21" i="4"/>
  <c r="E3" i="9" s="1"/>
  <c r="J21" i="4"/>
  <c r="G3" i="9" s="1"/>
  <c r="M21" i="4"/>
  <c r="I3" i="9" s="1"/>
  <c r="G22" i="4"/>
  <c r="E4" i="9" s="1"/>
  <c r="J22" i="4"/>
  <c r="G4" i="9" s="1"/>
  <c r="M22" i="4"/>
  <c r="I4" i="9" s="1"/>
  <c r="G23" i="4"/>
  <c r="E5" i="9" s="1"/>
  <c r="J23" i="4"/>
  <c r="G5" i="9" s="1"/>
  <c r="M23" i="4"/>
  <c r="I5" i="9" s="1"/>
  <c r="G24" i="4"/>
  <c r="E6" i="9" s="1"/>
  <c r="J24" i="4"/>
  <c r="G6" i="9" s="1"/>
  <c r="B67" i="4"/>
  <c r="C67" i="4"/>
  <c r="D67" i="4"/>
  <c r="E67" i="4"/>
  <c r="F67" i="4"/>
  <c r="G67" i="4"/>
  <c r="H67" i="4"/>
  <c r="I67" i="4"/>
  <c r="J67" i="4"/>
  <c r="K67" i="4"/>
  <c r="L67" i="4"/>
  <c r="M67" i="4"/>
  <c r="N67" i="4"/>
  <c r="O67" i="4"/>
  <c r="P67" i="4"/>
  <c r="B68" i="4"/>
  <c r="C68" i="4"/>
  <c r="D68" i="4"/>
  <c r="E68" i="4"/>
  <c r="F68" i="4"/>
  <c r="G68" i="4"/>
  <c r="H68" i="4"/>
  <c r="I68" i="4"/>
  <c r="J68" i="4"/>
  <c r="K68" i="4"/>
  <c r="L68" i="4"/>
  <c r="M68" i="4"/>
  <c r="N68" i="4"/>
  <c r="O68" i="4"/>
  <c r="P68" i="4"/>
  <c r="B69" i="4"/>
  <c r="C69" i="4"/>
  <c r="D69" i="4"/>
  <c r="E69" i="4"/>
  <c r="F69" i="4"/>
  <c r="G69" i="4"/>
  <c r="H69" i="4"/>
  <c r="I69" i="4"/>
  <c r="J69" i="4"/>
  <c r="K69" i="4"/>
  <c r="L69" i="4"/>
  <c r="M69" i="4"/>
  <c r="N69" i="4"/>
  <c r="O69" i="4"/>
  <c r="P69" i="4"/>
  <c r="B70" i="4"/>
  <c r="C70" i="4"/>
  <c r="D70" i="4"/>
  <c r="E70" i="4"/>
  <c r="F70" i="4"/>
  <c r="G70" i="4"/>
  <c r="H70" i="4"/>
  <c r="I70" i="4"/>
  <c r="J70" i="4"/>
  <c r="K70" i="4"/>
  <c r="L70" i="4"/>
  <c r="M70" i="4"/>
  <c r="N70" i="4"/>
  <c r="O70" i="4"/>
  <c r="P70" i="4"/>
  <c r="B71" i="4"/>
  <c r="C71" i="4"/>
  <c r="D71" i="4"/>
  <c r="E71" i="4"/>
  <c r="F71" i="4"/>
  <c r="G71" i="4"/>
  <c r="H71" i="4"/>
  <c r="J71" i="4"/>
  <c r="K71" i="4"/>
  <c r="L71" i="4"/>
  <c r="M71" i="4"/>
  <c r="N71" i="4"/>
  <c r="O71" i="4"/>
  <c r="P71" i="4"/>
  <c r="B72" i="4"/>
  <c r="C72" i="4"/>
  <c r="D72" i="4"/>
  <c r="E72" i="4"/>
  <c r="F72" i="4"/>
  <c r="G72" i="4"/>
  <c r="H72" i="4"/>
  <c r="J72" i="4"/>
  <c r="K72" i="4"/>
  <c r="L72" i="4"/>
  <c r="M72" i="4"/>
  <c r="N72" i="4"/>
  <c r="O72" i="4"/>
  <c r="P72" i="4"/>
  <c r="B73" i="4"/>
  <c r="C73" i="4"/>
  <c r="D73" i="4"/>
  <c r="E73" i="4"/>
  <c r="F73" i="4"/>
  <c r="G73" i="4"/>
  <c r="H73" i="4"/>
  <c r="I73" i="4"/>
  <c r="J73" i="4"/>
  <c r="K73" i="4"/>
  <c r="L73" i="4"/>
  <c r="M73" i="4"/>
  <c r="N73" i="4"/>
  <c r="O73" i="4"/>
  <c r="P73" i="4"/>
  <c r="B74" i="4"/>
  <c r="C74" i="4"/>
  <c r="D74" i="4"/>
  <c r="E74" i="4"/>
  <c r="F74" i="4"/>
  <c r="G74" i="4"/>
  <c r="H74" i="4"/>
  <c r="I74" i="4"/>
  <c r="J74" i="4"/>
  <c r="K74" i="4"/>
  <c r="L74" i="4"/>
  <c r="M74" i="4"/>
  <c r="N74" i="4"/>
  <c r="O74" i="4"/>
  <c r="P74" i="4"/>
  <c r="B75" i="4"/>
  <c r="C75" i="4"/>
  <c r="D75" i="4"/>
  <c r="E75" i="4"/>
  <c r="F75" i="4"/>
  <c r="G75" i="4"/>
  <c r="H75" i="4"/>
  <c r="I75" i="4"/>
  <c r="J75" i="4"/>
  <c r="K75" i="4"/>
  <c r="L75" i="4"/>
  <c r="M75" i="4"/>
  <c r="N75" i="4"/>
  <c r="O75" i="4"/>
  <c r="P75" i="4"/>
  <c r="B76" i="4"/>
  <c r="C76" i="4"/>
  <c r="D76" i="4"/>
  <c r="E76" i="4"/>
  <c r="F76" i="4"/>
  <c r="G76" i="4"/>
  <c r="H76" i="4"/>
  <c r="I76" i="4"/>
  <c r="J76" i="4"/>
  <c r="K76" i="4"/>
  <c r="L76" i="4"/>
  <c r="M76" i="4"/>
  <c r="N76" i="4"/>
  <c r="O76" i="4"/>
  <c r="P76" i="4"/>
  <c r="B77" i="4"/>
  <c r="C77" i="4"/>
  <c r="D77" i="4"/>
  <c r="E77" i="4"/>
  <c r="F77" i="4"/>
  <c r="G77" i="4"/>
  <c r="H77" i="4"/>
  <c r="I77" i="4"/>
  <c r="J77" i="4"/>
  <c r="K77" i="4"/>
  <c r="L77" i="4"/>
  <c r="M77" i="4"/>
  <c r="N77" i="4"/>
  <c r="O77" i="4"/>
  <c r="P77" i="4"/>
  <c r="B78" i="4"/>
  <c r="C78" i="4"/>
  <c r="D78" i="4"/>
  <c r="E78" i="4"/>
  <c r="F78" i="4"/>
  <c r="G78" i="4"/>
  <c r="H78" i="4"/>
  <c r="I78" i="4"/>
  <c r="J78" i="4"/>
  <c r="K78" i="4"/>
  <c r="L78" i="4"/>
  <c r="M78" i="4"/>
  <c r="N78" i="4"/>
  <c r="O78" i="4"/>
  <c r="P78" i="4"/>
  <c r="B79" i="4"/>
  <c r="C79" i="4"/>
  <c r="D79" i="4"/>
  <c r="E79" i="4"/>
  <c r="G79" i="4"/>
  <c r="H79" i="4"/>
  <c r="J79" i="4"/>
  <c r="K79" i="4"/>
  <c r="L79" i="4"/>
  <c r="M79" i="4"/>
  <c r="N79" i="4"/>
  <c r="O79" i="4"/>
  <c r="P79" i="4"/>
  <c r="B80" i="4"/>
  <c r="C80" i="4"/>
  <c r="D80" i="4"/>
  <c r="E80" i="4"/>
  <c r="G80" i="4"/>
  <c r="H80" i="4"/>
  <c r="J80" i="4"/>
  <c r="K80" i="4"/>
  <c r="L80" i="4"/>
  <c r="M80" i="4"/>
  <c r="N80" i="4"/>
  <c r="O80" i="4"/>
  <c r="P80" i="4"/>
  <c r="B81" i="4"/>
  <c r="C81" i="4"/>
  <c r="D81" i="4"/>
  <c r="E81" i="4"/>
  <c r="G81" i="4"/>
  <c r="H81" i="4"/>
  <c r="J81" i="4"/>
  <c r="K81" i="4"/>
  <c r="L81" i="4"/>
  <c r="M81" i="4"/>
  <c r="N81" i="4"/>
  <c r="O81" i="4"/>
  <c r="P81" i="4"/>
  <c r="B82" i="4"/>
  <c r="C82" i="4"/>
  <c r="D82" i="4"/>
  <c r="E82" i="4"/>
  <c r="G82" i="4"/>
  <c r="H82" i="4"/>
  <c r="J82" i="4"/>
  <c r="K82" i="4"/>
  <c r="L82" i="4"/>
  <c r="M82" i="4"/>
  <c r="N82" i="4"/>
  <c r="O82" i="4"/>
  <c r="P82" i="4"/>
  <c r="B83" i="4"/>
  <c r="C83" i="4"/>
  <c r="D83" i="4"/>
  <c r="E83" i="4"/>
  <c r="G83" i="4"/>
  <c r="H83" i="4"/>
  <c r="J83" i="4"/>
  <c r="K83" i="4"/>
  <c r="L83" i="4"/>
  <c r="M83" i="4"/>
  <c r="N83" i="4"/>
  <c r="O83" i="4"/>
  <c r="P83" i="4"/>
  <c r="B84" i="4"/>
  <c r="C84" i="4"/>
  <c r="D84" i="4"/>
  <c r="E84" i="4"/>
  <c r="F84" i="4"/>
  <c r="G84" i="4"/>
  <c r="H84" i="4"/>
  <c r="I84" i="4"/>
  <c r="J84" i="4"/>
  <c r="K84" i="4"/>
  <c r="L84" i="4"/>
  <c r="M84" i="4"/>
  <c r="N84" i="4"/>
  <c r="O84" i="4"/>
  <c r="P84" i="4"/>
  <c r="B85" i="4"/>
  <c r="C85" i="4"/>
  <c r="D85" i="4"/>
  <c r="E85" i="4"/>
  <c r="F85" i="4"/>
  <c r="G85" i="4"/>
  <c r="H85" i="4"/>
  <c r="I85" i="4"/>
  <c r="J85" i="4"/>
  <c r="K85" i="4"/>
  <c r="L85" i="4"/>
  <c r="M85" i="4"/>
  <c r="N85" i="4"/>
  <c r="O85" i="4"/>
  <c r="P85" i="4"/>
  <c r="B86" i="4"/>
  <c r="C86" i="4"/>
  <c r="D86" i="4"/>
  <c r="E86" i="4"/>
  <c r="G86" i="4"/>
  <c r="H86" i="4"/>
  <c r="J86" i="4"/>
  <c r="K86" i="4"/>
  <c r="L86" i="4"/>
  <c r="M86" i="4"/>
  <c r="N86" i="4"/>
  <c r="O86" i="4"/>
  <c r="P86" i="4"/>
  <c r="B87" i="4"/>
  <c r="C87" i="4"/>
  <c r="D87" i="4"/>
  <c r="E87" i="4"/>
  <c r="G87" i="4"/>
  <c r="H87" i="4"/>
  <c r="J87" i="4"/>
  <c r="K87" i="4"/>
  <c r="L87" i="4"/>
  <c r="M87" i="4"/>
  <c r="N87" i="4"/>
  <c r="O87" i="4"/>
  <c r="P87" i="4"/>
  <c r="B88" i="4"/>
  <c r="C88" i="4"/>
  <c r="D88" i="4"/>
  <c r="E88" i="4"/>
  <c r="G88" i="4"/>
  <c r="H88" i="4"/>
  <c r="J88" i="4"/>
  <c r="K88" i="4"/>
  <c r="L88" i="4"/>
  <c r="M88" i="4"/>
  <c r="N88" i="4"/>
  <c r="O88" i="4"/>
  <c r="P88" i="4"/>
  <c r="B89" i="4"/>
  <c r="C89" i="4"/>
  <c r="D89" i="4"/>
  <c r="E89" i="4"/>
  <c r="G89" i="4"/>
  <c r="H89" i="4"/>
  <c r="J89" i="4"/>
  <c r="K89" i="4"/>
  <c r="L89" i="4"/>
  <c r="M89" i="4"/>
  <c r="N89" i="4"/>
  <c r="O89" i="4"/>
  <c r="P89" i="4"/>
  <c r="B90" i="4"/>
  <c r="C90" i="4"/>
  <c r="D90" i="4"/>
  <c r="E90" i="4"/>
  <c r="G90" i="4"/>
  <c r="H90" i="4"/>
  <c r="J90" i="4"/>
  <c r="K90" i="4"/>
  <c r="L90" i="4"/>
  <c r="M90" i="4"/>
  <c r="O90" i="4"/>
  <c r="P90" i="4"/>
  <c r="C8" i="5"/>
  <c r="G8" i="5"/>
  <c r="A66" i="16"/>
  <c r="O29" i="11"/>
  <c r="H12" i="7" s="1"/>
  <c r="O32" i="11"/>
  <c r="H13" i="7" s="1"/>
  <c r="M33" i="11"/>
  <c r="M34" i="11"/>
  <c r="O35" i="11"/>
  <c r="H14" i="7" s="1"/>
  <c r="M36" i="11"/>
  <c r="M37" i="11"/>
  <c r="M81" i="11"/>
  <c r="M82" i="11"/>
  <c r="I71" i="4"/>
  <c r="I72" i="4"/>
  <c r="I88" i="4"/>
  <c r="B6" i="8"/>
  <c r="D6" i="8"/>
  <c r="B2" i="7"/>
  <c r="B3" i="7"/>
  <c r="F12" i="7"/>
  <c r="G12" i="7"/>
  <c r="F13" i="7"/>
  <c r="G13" i="7"/>
  <c r="F14" i="7"/>
  <c r="G14" i="7"/>
  <c r="F15" i="7"/>
  <c r="G15" i="7"/>
  <c r="B17" i="7"/>
  <c r="C17" i="7"/>
  <c r="F17" i="7"/>
  <c r="G17" i="7"/>
  <c r="F18" i="7"/>
  <c r="G18" i="7"/>
  <c r="B19" i="7"/>
  <c r="C19" i="7"/>
  <c r="G19" i="7"/>
  <c r="F22" i="7"/>
  <c r="G22" i="7"/>
  <c r="B25" i="7"/>
  <c r="F25" i="7"/>
  <c r="G25" i="7"/>
  <c r="B26" i="7"/>
  <c r="F26" i="7"/>
  <c r="G26" i="7"/>
  <c r="F27" i="7"/>
  <c r="G27" i="7"/>
  <c r="B28" i="7"/>
  <c r="C28" i="7"/>
  <c r="F28" i="7"/>
  <c r="G28" i="7"/>
  <c r="F29" i="7"/>
  <c r="G29" i="7"/>
  <c r="B30" i="7"/>
  <c r="F30" i="7"/>
  <c r="G30" i="7"/>
  <c r="F31" i="7"/>
  <c r="G31" i="7"/>
  <c r="B2" i="9"/>
  <c r="B3" i="9"/>
  <c r="B4" i="9"/>
  <c r="B5" i="9"/>
  <c r="B6" i="9"/>
  <c r="F19" i="7"/>
  <c r="E20" i="12"/>
  <c r="D20" i="12"/>
  <c r="B20" i="12"/>
  <c r="C20" i="12" s="1"/>
  <c r="Q8" i="18" l="1"/>
  <c r="Q45" i="18" s="1"/>
  <c r="B66" i="16"/>
  <c r="C8" i="1" s="1"/>
  <c r="H4" i="18" s="1"/>
  <c r="E66" i="16"/>
  <c r="C66" i="16"/>
  <c r="C10" i="1" s="1"/>
  <c r="G66" i="16"/>
  <c r="O14" i="1" s="1"/>
  <c r="A31" i="12" s="1"/>
  <c r="F66" i="16"/>
  <c r="R89" i="18"/>
  <c r="D39" i="7"/>
  <c r="Q88" i="18"/>
  <c r="Q37" i="18"/>
  <c r="A19" i="31"/>
  <c r="E19" i="31" s="1"/>
  <c r="R56" i="18"/>
  <c r="R26" i="18"/>
  <c r="B16" i="7"/>
  <c r="A3" i="31"/>
  <c r="R14" i="18"/>
  <c r="R17" i="18"/>
  <c r="R20" i="18"/>
  <c r="L41" i="11"/>
  <c r="H12" i="31"/>
  <c r="I12" i="31"/>
  <c r="G12" i="31"/>
  <c r="D12" i="31"/>
  <c r="L12" i="31"/>
  <c r="C12" i="31"/>
  <c r="M12" i="31"/>
  <c r="J12" i="31"/>
  <c r="F12" i="31"/>
  <c r="K12" i="31"/>
  <c r="E12" i="31"/>
  <c r="M83" i="11"/>
  <c r="M50" i="11"/>
  <c r="D20" i="7"/>
  <c r="D18" i="7"/>
  <c r="C21" i="7"/>
  <c r="L53" i="11"/>
  <c r="L101" i="11"/>
  <c r="L98" i="11"/>
  <c r="E36" i="7"/>
  <c r="D19" i="7"/>
  <c r="E35" i="7"/>
  <c r="L62" i="11"/>
  <c r="L16" i="24"/>
  <c r="M9" i="24"/>
  <c r="C30" i="7"/>
  <c r="L92" i="11"/>
  <c r="Q51" i="1"/>
  <c r="M15" i="24" s="1"/>
  <c r="L95" i="11"/>
  <c r="D23" i="7"/>
  <c r="B22" i="7"/>
  <c r="B14" i="7"/>
  <c r="L35" i="11"/>
  <c r="B13" i="7"/>
  <c r="L32" i="11"/>
  <c r="L50" i="11"/>
  <c r="L44" i="11"/>
  <c r="R38" i="18"/>
  <c r="C22" i="7"/>
  <c r="D28" i="7"/>
  <c r="L77" i="11"/>
  <c r="L47" i="11"/>
  <c r="C6" i="4" l="1"/>
  <c r="M110" i="11"/>
  <c r="N110" i="11" s="1"/>
  <c r="E39" i="7" s="1"/>
  <c r="M77" i="11"/>
  <c r="N77" i="11" s="1"/>
  <c r="E28" i="7" s="1"/>
  <c r="M47" i="11"/>
  <c r="N47" i="11" s="1"/>
  <c r="R35" i="18"/>
  <c r="M35" i="11"/>
  <c r="N35" i="11" s="1"/>
  <c r="E14" i="7" s="1"/>
  <c r="D38" i="7"/>
  <c r="D19" i="31"/>
  <c r="H19" i="31"/>
  <c r="R86" i="18"/>
  <c r="L107" i="11"/>
  <c r="L56" i="11"/>
  <c r="D21" i="7"/>
  <c r="F19" i="31"/>
  <c r="J19" i="31"/>
  <c r="G19" i="31"/>
  <c r="K19" i="31"/>
  <c r="C19" i="31"/>
  <c r="L19" i="31"/>
  <c r="M19" i="31"/>
  <c r="I19" i="31"/>
  <c r="A17" i="31"/>
  <c r="A7" i="31"/>
  <c r="A4" i="31"/>
  <c r="A11" i="31"/>
  <c r="F11" i="31" s="1"/>
  <c r="A5" i="31"/>
  <c r="L3" i="31"/>
  <c r="H3" i="31"/>
  <c r="D3" i="31"/>
  <c r="F3" i="31"/>
  <c r="J3" i="31"/>
  <c r="E3" i="31"/>
  <c r="C3" i="31"/>
  <c r="K3" i="31"/>
  <c r="M3" i="31"/>
  <c r="G3" i="31"/>
  <c r="I3" i="31"/>
  <c r="M41" i="11"/>
  <c r="N41" i="11" s="1"/>
  <c r="A6" i="8"/>
  <c r="B3" i="8"/>
  <c r="B31" i="12"/>
  <c r="A2" i="27" s="1"/>
  <c r="N50" i="11"/>
  <c r="N53" i="11"/>
  <c r="L83" i="11"/>
  <c r="Q66" i="18"/>
  <c r="Q67" i="18" s="1"/>
  <c r="R8" i="18"/>
  <c r="N95" i="11"/>
  <c r="E34" i="7" s="1"/>
  <c r="C32" i="7"/>
  <c r="Q51" i="18"/>
  <c r="Q52" i="18" s="1"/>
  <c r="Q46" i="18"/>
  <c r="R44" i="18" s="1"/>
  <c r="M65" i="11" s="1"/>
  <c r="Q60" i="18"/>
  <c r="Q53" i="18"/>
  <c r="M19" i="24"/>
  <c r="N92" i="11"/>
  <c r="E33" i="7" s="1"/>
  <c r="D30" i="7"/>
  <c r="M32" i="11"/>
  <c r="N32" i="11" s="1"/>
  <c r="E13" i="7" s="1"/>
  <c r="N62" i="11"/>
  <c r="E23" i="7" s="1"/>
  <c r="D6" i="3"/>
  <c r="C6" i="5"/>
  <c r="B15" i="7"/>
  <c r="L38" i="11"/>
  <c r="L59" i="11"/>
  <c r="D22" i="7"/>
  <c r="M56" i="11" l="1"/>
  <c r="N56" i="11" s="1"/>
  <c r="E21" i="7" s="1"/>
  <c r="A10" i="31"/>
  <c r="M10" i="31" s="1"/>
  <c r="C11" i="31"/>
  <c r="G11" i="31"/>
  <c r="M107" i="11"/>
  <c r="N107" i="11" s="1"/>
  <c r="E38" i="7" s="1"/>
  <c r="I11" i="31"/>
  <c r="M11" i="31"/>
  <c r="E11" i="31"/>
  <c r="K11" i="31"/>
  <c r="H11" i="31"/>
  <c r="J11" i="31"/>
  <c r="D11" i="31"/>
  <c r="L11" i="31"/>
  <c r="E18" i="7"/>
  <c r="E19" i="7"/>
  <c r="E20" i="7"/>
  <c r="E16" i="7"/>
  <c r="M17" i="31"/>
  <c r="K17" i="31"/>
  <c r="H17" i="31"/>
  <c r="G17" i="31"/>
  <c r="C17" i="31"/>
  <c r="I17" i="31"/>
  <c r="D17" i="31"/>
  <c r="L17" i="31"/>
  <c r="E17" i="31"/>
  <c r="F17" i="31"/>
  <c r="J17" i="31"/>
  <c r="E7" i="31"/>
  <c r="C7" i="31"/>
  <c r="H7" i="31"/>
  <c r="F7" i="31"/>
  <c r="M7" i="31"/>
  <c r="K7" i="31"/>
  <c r="G7" i="31"/>
  <c r="I7" i="31"/>
  <c r="D7" i="31"/>
  <c r="J7" i="31"/>
  <c r="L7" i="31"/>
  <c r="A2" i="31"/>
  <c r="E2" i="31" s="1"/>
  <c r="H5" i="31"/>
  <c r="J5" i="31"/>
  <c r="K5" i="31"/>
  <c r="G5" i="31"/>
  <c r="D5" i="31"/>
  <c r="E5" i="31"/>
  <c r="L5" i="31"/>
  <c r="M5" i="31"/>
  <c r="I5" i="31"/>
  <c r="F5" i="31"/>
  <c r="C5" i="31"/>
  <c r="M4" i="31"/>
  <c r="G4" i="31"/>
  <c r="E4" i="31"/>
  <c r="F4" i="31"/>
  <c r="J4" i="31"/>
  <c r="C4" i="31"/>
  <c r="I4" i="31"/>
  <c r="L4" i="31"/>
  <c r="H4" i="31"/>
  <c r="D4" i="31"/>
  <c r="K4" i="31"/>
  <c r="H34" i="27"/>
  <c r="E34" i="27" s="1"/>
  <c r="H39" i="27"/>
  <c r="E39" i="27" s="1"/>
  <c r="L65" i="11"/>
  <c r="D24" i="7"/>
  <c r="B27" i="7"/>
  <c r="R53" i="18"/>
  <c r="D31" i="7"/>
  <c r="R65" i="18"/>
  <c r="R50" i="18"/>
  <c r="L71" i="11"/>
  <c r="D26" i="7"/>
  <c r="L86" i="11"/>
  <c r="N83" i="11"/>
  <c r="E30" i="7" s="1"/>
  <c r="L74" i="11"/>
  <c r="A6" i="27"/>
  <c r="H43" i="27" s="1"/>
  <c r="E43" i="27" s="1"/>
  <c r="B21" i="4"/>
  <c r="A3" i="9" s="1"/>
  <c r="B24" i="4"/>
  <c r="G26" i="4" s="1"/>
  <c r="B20" i="4"/>
  <c r="A2" i="9" s="1"/>
  <c r="A4" i="27"/>
  <c r="H41" i="27" s="1"/>
  <c r="E41" i="27" s="1"/>
  <c r="A3" i="27"/>
  <c r="B22" i="4"/>
  <c r="A4" i="9" s="1"/>
  <c r="A5" i="27"/>
  <c r="B23" i="4"/>
  <c r="A5" i="9" s="1"/>
  <c r="M38" i="11"/>
  <c r="N38" i="11" s="1"/>
  <c r="E15" i="7" s="1"/>
  <c r="M59" i="11"/>
  <c r="N59" i="11" s="1"/>
  <c r="E22" i="7" s="1"/>
  <c r="C26" i="7"/>
  <c r="B12" i="7"/>
  <c r="L29" i="11"/>
  <c r="C29" i="7"/>
  <c r="Q61" i="18"/>
  <c r="H17" i="27"/>
  <c r="E17" i="27" s="1"/>
  <c r="H12" i="27"/>
  <c r="E12" i="27" s="1"/>
  <c r="H2" i="27"/>
  <c r="E2" i="27" s="1"/>
  <c r="H7" i="27"/>
  <c r="E7" i="27" s="1"/>
  <c r="Q48" i="18"/>
  <c r="C24" i="7"/>
  <c r="C31" i="7"/>
  <c r="D10" i="31" l="1"/>
  <c r="J10" i="31"/>
  <c r="I10" i="31"/>
  <c r="E10" i="31"/>
  <c r="F10" i="31"/>
  <c r="H10" i="31"/>
  <c r="L10" i="31"/>
  <c r="C10" i="31"/>
  <c r="G10" i="31"/>
  <c r="K10" i="31"/>
  <c r="J2" i="31"/>
  <c r="K2" i="31"/>
  <c r="F2" i="31"/>
  <c r="G2" i="31"/>
  <c r="L2" i="31"/>
  <c r="C2" i="31"/>
  <c r="M2" i="31"/>
  <c r="H2" i="31"/>
  <c r="D2" i="31"/>
  <c r="I2" i="31"/>
  <c r="R59" i="18"/>
  <c r="A16" i="31"/>
  <c r="D16" i="31" s="1"/>
  <c r="A15" i="31"/>
  <c r="G15" i="31" s="1"/>
  <c r="A20" i="31"/>
  <c r="G20" i="31" s="1"/>
  <c r="N65" i="11"/>
  <c r="A13" i="31"/>
  <c r="I13" i="31" s="1"/>
  <c r="I43" i="27"/>
  <c r="H28" i="27"/>
  <c r="E28" i="27" s="1"/>
  <c r="H22" i="27"/>
  <c r="E22" i="27" s="1"/>
  <c r="H35" i="27"/>
  <c r="E35" i="27" s="1"/>
  <c r="H40" i="27"/>
  <c r="E40" i="27" s="1"/>
  <c r="H11" i="27"/>
  <c r="E11" i="27" s="1"/>
  <c r="H33" i="27"/>
  <c r="E33" i="27" s="1"/>
  <c r="H38" i="27"/>
  <c r="E38" i="27" s="1"/>
  <c r="H10" i="27"/>
  <c r="E10" i="27" s="1"/>
  <c r="H37" i="27"/>
  <c r="E37" i="27" s="1"/>
  <c r="H42" i="27"/>
  <c r="E42" i="27" s="1"/>
  <c r="H32" i="27"/>
  <c r="E32" i="27" s="1"/>
  <c r="H4" i="27"/>
  <c r="E4" i="27" s="1"/>
  <c r="H36" i="27"/>
  <c r="E36" i="27" s="1"/>
  <c r="H31" i="27"/>
  <c r="E31" i="27" s="1"/>
  <c r="M86" i="11"/>
  <c r="N86" i="11" s="1"/>
  <c r="E31" i="7" s="1"/>
  <c r="Q49" i="18"/>
  <c r="H16" i="27"/>
  <c r="E16" i="27" s="1"/>
  <c r="L89" i="11"/>
  <c r="M71" i="11"/>
  <c r="N71" i="11" s="1"/>
  <c r="E26" i="7" s="1"/>
  <c r="M74" i="11"/>
  <c r="N74" i="11" s="1"/>
  <c r="E27" i="7" s="1"/>
  <c r="H6" i="27"/>
  <c r="E6" i="27" s="1"/>
  <c r="H21" i="27"/>
  <c r="E21" i="27" s="1"/>
  <c r="N89" i="11"/>
  <c r="E32" i="7" s="1"/>
  <c r="A6" i="9"/>
  <c r="H3" i="27"/>
  <c r="E3" i="27" s="1"/>
  <c r="H8" i="27"/>
  <c r="E8" i="27" s="1"/>
  <c r="H20" i="27"/>
  <c r="E20" i="27" s="1"/>
  <c r="H5" i="27"/>
  <c r="E5" i="27" s="1"/>
  <c r="H13" i="27"/>
  <c r="E13" i="27" s="1"/>
  <c r="H18" i="27"/>
  <c r="E18" i="27" s="1"/>
  <c r="H9" i="27"/>
  <c r="E9" i="27" s="1"/>
  <c r="H14" i="27"/>
  <c r="E14" i="27" s="1"/>
  <c r="H19" i="27"/>
  <c r="E19" i="27" s="1"/>
  <c r="H15" i="27"/>
  <c r="E15" i="27" s="1"/>
  <c r="J17" i="27"/>
  <c r="I17" i="27"/>
  <c r="G17" i="27" s="1"/>
  <c r="F17" i="27"/>
  <c r="J34" i="27"/>
  <c r="F34" i="27"/>
  <c r="F12" i="27"/>
  <c r="J12" i="27"/>
  <c r="J39" i="27"/>
  <c r="F39" i="27"/>
  <c r="C25" i="7"/>
  <c r="F7" i="27"/>
  <c r="J7" i="27"/>
  <c r="I7" i="27"/>
  <c r="G7" i="27" s="1"/>
  <c r="J2" i="27"/>
  <c r="F2" i="27"/>
  <c r="M29" i="11"/>
  <c r="N29" i="11" s="1"/>
  <c r="E12" i="7" s="1"/>
  <c r="L80" i="11"/>
  <c r="D29" i="7"/>
  <c r="M16" i="31" l="1"/>
  <c r="C20" i="31"/>
  <c r="H16" i="31"/>
  <c r="J16" i="31"/>
  <c r="E16" i="31"/>
  <c r="D20" i="31"/>
  <c r="I16" i="31"/>
  <c r="K16" i="31"/>
  <c r="M20" i="31"/>
  <c r="L16" i="31"/>
  <c r="C16" i="31"/>
  <c r="G16" i="31"/>
  <c r="F16" i="31"/>
  <c r="I20" i="31"/>
  <c r="H20" i="31"/>
  <c r="E24" i="7"/>
  <c r="E20" i="31"/>
  <c r="F20" i="31"/>
  <c r="J20" i="31"/>
  <c r="L20" i="31"/>
  <c r="K20" i="31"/>
  <c r="E15" i="31"/>
  <c r="H15" i="31"/>
  <c r="J15" i="31"/>
  <c r="K15" i="31"/>
  <c r="L15" i="31"/>
  <c r="C15" i="31"/>
  <c r="I15" i="31"/>
  <c r="M15" i="31"/>
  <c r="F15" i="31"/>
  <c r="D15" i="31"/>
  <c r="A18" i="31"/>
  <c r="H13" i="31"/>
  <c r="E13" i="31"/>
  <c r="M13" i="31"/>
  <c r="D13" i="31"/>
  <c r="K13" i="31"/>
  <c r="J13" i="31"/>
  <c r="F13" i="31"/>
  <c r="G13" i="31"/>
  <c r="L13" i="31"/>
  <c r="C13" i="31"/>
  <c r="F10" i="27"/>
  <c r="J10" i="27"/>
  <c r="F40" i="27"/>
  <c r="J40" i="27"/>
  <c r="F4" i="27"/>
  <c r="F11" i="27"/>
  <c r="J11" i="27"/>
  <c r="J4" i="27"/>
  <c r="R47" i="18"/>
  <c r="D25" i="7"/>
  <c r="L68" i="11"/>
  <c r="J15" i="27"/>
  <c r="J31" i="27"/>
  <c r="F18" i="27"/>
  <c r="J37" i="27"/>
  <c r="I8" i="27"/>
  <c r="G8" i="27" s="1"/>
  <c r="F3" i="27"/>
  <c r="J43" i="27"/>
  <c r="J6" i="27"/>
  <c r="F38" i="27"/>
  <c r="F19" i="27"/>
  <c r="F14" i="27"/>
  <c r="J41" i="27"/>
  <c r="J13" i="27"/>
  <c r="F35" i="27"/>
  <c r="F21" i="27"/>
  <c r="F33" i="27"/>
  <c r="F16" i="27"/>
  <c r="J16" i="27"/>
  <c r="J33" i="27"/>
  <c r="F43" i="27"/>
  <c r="J21" i="27"/>
  <c r="J38" i="27"/>
  <c r="I21" i="27"/>
  <c r="G21" i="27" s="1"/>
  <c r="D25" i="12"/>
  <c r="B25" i="12"/>
  <c r="C25" i="12" s="1"/>
  <c r="E25" i="12"/>
  <c r="B15" i="12"/>
  <c r="C15" i="12" s="1"/>
  <c r="F6" i="27"/>
  <c r="J3" i="27"/>
  <c r="J8" i="27"/>
  <c r="J36" i="27"/>
  <c r="F8" i="27"/>
  <c r="E23" i="12"/>
  <c r="F32" i="27"/>
  <c r="J32" i="27"/>
  <c r="B16" i="12"/>
  <c r="C16" i="12" s="1"/>
  <c r="F37" i="27"/>
  <c r="D23" i="12"/>
  <c r="J35" i="27"/>
  <c r="F36" i="27"/>
  <c r="F42" i="27"/>
  <c r="D22" i="12"/>
  <c r="B22" i="12"/>
  <c r="C22" i="12" s="1"/>
  <c r="B23" i="12"/>
  <c r="C23" i="12" s="1"/>
  <c r="E22" i="12"/>
  <c r="F31" i="27"/>
  <c r="J42" i="27"/>
  <c r="J5" i="27"/>
  <c r="J18" i="27"/>
  <c r="D18" i="12"/>
  <c r="E15" i="12"/>
  <c r="F13" i="27"/>
  <c r="D15" i="12"/>
  <c r="E24" i="12"/>
  <c r="F5" i="27"/>
  <c r="D16" i="12"/>
  <c r="J14" i="27"/>
  <c r="J20" i="27"/>
  <c r="B18" i="12"/>
  <c r="C18" i="12" s="1"/>
  <c r="D17" i="12"/>
  <c r="I20" i="27"/>
  <c r="G20" i="27" s="1"/>
  <c r="E17" i="12"/>
  <c r="E16" i="12"/>
  <c r="F9" i="27"/>
  <c r="J9" i="27"/>
  <c r="F20" i="27"/>
  <c r="D24" i="12"/>
  <c r="F41" i="27"/>
  <c r="B17" i="12"/>
  <c r="C17" i="12" s="1"/>
  <c r="F15" i="27"/>
  <c r="B24" i="12"/>
  <c r="C24" i="12" s="1"/>
  <c r="E18" i="12"/>
  <c r="J19" i="27"/>
  <c r="M80" i="11"/>
  <c r="N80" i="11" s="1"/>
  <c r="E29" i="7" s="1"/>
  <c r="D19" i="12"/>
  <c r="C19" i="12" s="1"/>
  <c r="E19" i="12"/>
  <c r="F22" i="27"/>
  <c r="J22" i="27"/>
  <c r="J48" i="27" s="1"/>
  <c r="D6" i="12" s="1"/>
  <c r="D21" i="12"/>
  <c r="C21" i="12" s="1"/>
  <c r="E21" i="12"/>
  <c r="J28" i="27"/>
  <c r="F28" i="27"/>
  <c r="O17" i="27" a="1"/>
  <c r="O29" i="27" a="1"/>
  <c r="O26" i="27" a="1"/>
  <c r="O23" i="27" a="1"/>
  <c r="O15" i="27" a="1"/>
  <c r="O2" i="27" a="1"/>
  <c r="O4" i="27" a="1"/>
  <c r="O30" i="27" a="1"/>
  <c r="O37" i="27" a="1"/>
  <c r="O34" i="27" a="1"/>
  <c r="O8" i="27" a="1"/>
  <c r="O36" i="27" a="1"/>
  <c r="O20" i="27" a="1"/>
  <c r="O28" i="27" a="1"/>
  <c r="O9" i="27" a="1"/>
  <c r="O41" i="27" a="1"/>
  <c r="O18" i="27" a="1"/>
  <c r="M10" i="27" a="1"/>
  <c r="O13" i="27" a="1"/>
  <c r="O10" i="27" a="1"/>
  <c r="O27" i="27" a="1"/>
  <c r="O31" i="27" a="1"/>
  <c r="O22" i="27" a="1"/>
  <c r="O19" i="27" a="1"/>
  <c r="O7" i="27" a="1"/>
  <c r="O43" i="27" a="1"/>
  <c r="O35" i="27" a="1"/>
  <c r="O11" i="27" a="1"/>
  <c r="L12" i="27" a="1"/>
  <c r="O40" i="27" a="1"/>
  <c r="O33" i="27" a="1"/>
  <c r="O6" i="27" a="1"/>
  <c r="O38" i="27" a="1"/>
  <c r="O12" i="27" a="1"/>
  <c r="O14" i="27" a="1"/>
  <c r="O5" i="27" a="1"/>
  <c r="O39" i="27" a="1"/>
  <c r="O24" i="27" a="1"/>
  <c r="O21" i="27" a="1"/>
  <c r="O3" i="27" a="1"/>
  <c r="O25" i="27" a="1"/>
  <c r="O16" i="27" a="1"/>
  <c r="O42" i="27" a="1"/>
  <c r="O32" i="27" a="1"/>
  <c r="D5" i="11" l="1"/>
  <c r="C5" i="11"/>
  <c r="E5" i="11"/>
  <c r="H5" i="11"/>
  <c r="H8" i="11" s="1"/>
  <c r="F5" i="11"/>
  <c r="F8" i="11" s="1"/>
  <c r="G5" i="11"/>
  <c r="E18" i="31"/>
  <c r="F18" i="31"/>
  <c r="L18" i="31"/>
  <c r="M18" i="31"/>
  <c r="C18" i="31"/>
  <c r="G18" i="31"/>
  <c r="J18" i="31"/>
  <c r="I18" i="31"/>
  <c r="H18" i="31"/>
  <c r="D18" i="31"/>
  <c r="K18" i="31"/>
  <c r="A14" i="31"/>
  <c r="E14" i="31" s="1"/>
  <c r="J45" i="27"/>
  <c r="F6" i="12" s="1"/>
  <c r="G12" i="5" s="1"/>
  <c r="M68" i="11"/>
  <c r="N68" i="11" s="1"/>
  <c r="O23" i="27"/>
  <c r="C23" i="28" s="1"/>
  <c r="O22" i="27"/>
  <c r="C22" i="28" s="1"/>
  <c r="O41" i="27"/>
  <c r="C41" i="28" s="1"/>
  <c r="O16" i="27"/>
  <c r="C16" i="28" s="1"/>
  <c r="O20" i="27"/>
  <c r="C20" i="28" s="1"/>
  <c r="O34" i="27"/>
  <c r="C34" i="28" s="1"/>
  <c r="J47" i="27"/>
  <c r="C6" i="12" s="1"/>
  <c r="D12" i="5" s="1"/>
  <c r="J46" i="27"/>
  <c r="E6" i="12" s="1"/>
  <c r="I16" i="12" a="1"/>
  <c r="I16" i="12" s="1"/>
  <c r="J16" i="12" s="1"/>
  <c r="O25" i="27"/>
  <c r="C25" i="28" s="1"/>
  <c r="O5" i="27"/>
  <c r="C5" i="28" s="1"/>
  <c r="O38" i="27"/>
  <c r="C38" i="28" s="1"/>
  <c r="O13" i="27"/>
  <c r="C13" i="28" s="1"/>
  <c r="O43" i="27"/>
  <c r="C43" i="28" s="1"/>
  <c r="O2" i="27"/>
  <c r="C2" i="28" s="1"/>
  <c r="O8" i="27"/>
  <c r="C8" i="28" s="1"/>
  <c r="O35" i="27"/>
  <c r="C35" i="28" s="1"/>
  <c r="O40" i="27"/>
  <c r="C40" i="28" s="1"/>
  <c r="O29" i="27"/>
  <c r="C29" i="28" s="1"/>
  <c r="O14" i="27"/>
  <c r="C14" i="28" s="1"/>
  <c r="O17" i="27"/>
  <c r="C17" i="28" s="1"/>
  <c r="O26" i="27"/>
  <c r="C26" i="28" s="1"/>
  <c r="O7" i="27"/>
  <c r="C7" i="28" s="1"/>
  <c r="O12" i="27"/>
  <c r="C12" i="28" s="1"/>
  <c r="O10" i="27"/>
  <c r="C10" i="28" s="1"/>
  <c r="O11" i="27"/>
  <c r="C11" i="28" s="1"/>
  <c r="O24" i="27"/>
  <c r="C24" i="28" s="1"/>
  <c r="O39" i="27"/>
  <c r="C39" i="28" s="1"/>
  <c r="O36" i="27"/>
  <c r="C36" i="28" s="1"/>
  <c r="O30" i="27"/>
  <c r="C30" i="28" s="1"/>
  <c r="O21" i="27"/>
  <c r="C21" i="28" s="1"/>
  <c r="O27" i="27"/>
  <c r="C27" i="28" s="1"/>
  <c r="O18" i="27"/>
  <c r="C18" i="28" s="1"/>
  <c r="O31" i="27"/>
  <c r="C31" i="28" s="1"/>
  <c r="O33" i="27"/>
  <c r="C33" i="28" s="1"/>
  <c r="O42" i="27"/>
  <c r="C42" i="28" s="1"/>
  <c r="O6" i="27"/>
  <c r="C6" i="28" s="1"/>
  <c r="O4" i="27"/>
  <c r="C4" i="28" s="1"/>
  <c r="O28" i="27"/>
  <c r="C28" i="28" s="1"/>
  <c r="O32" i="27"/>
  <c r="C32" i="28" s="1"/>
  <c r="O15" i="27"/>
  <c r="C15" i="28" s="1"/>
  <c r="O9" i="27"/>
  <c r="C9" i="28" s="1"/>
  <c r="O19" i="27"/>
  <c r="C19" i="28" s="1"/>
  <c r="O37" i="27"/>
  <c r="C37" i="28" s="1"/>
  <c r="O3" i="27"/>
  <c r="C3" i="28" s="1"/>
  <c r="H17" i="12" a="1"/>
  <c r="H17" i="12" s="1"/>
  <c r="C18" i="5" s="1"/>
  <c r="I19" i="12" a="1"/>
  <c r="I19" i="12" s="1"/>
  <c r="J19" i="12" s="1"/>
  <c r="H20" i="12" a="1"/>
  <c r="H20" i="12" s="1"/>
  <c r="C21" i="5" s="1"/>
  <c r="I25" i="12" a="1"/>
  <c r="I25" i="12" s="1"/>
  <c r="J25" i="12" s="1"/>
  <c r="I22" i="12" a="1"/>
  <c r="I22" i="12" s="1"/>
  <c r="J22" i="12" s="1"/>
  <c r="H24" i="12" a="1"/>
  <c r="H24" i="12" s="1"/>
  <c r="H25" i="12" a="1"/>
  <c r="H25" i="12" s="1"/>
  <c r="I23" i="12" a="1"/>
  <c r="I23" i="12" s="1"/>
  <c r="J23" i="12" s="1"/>
  <c r="G23" i="12" a="1"/>
  <c r="G23" i="12" s="1"/>
  <c r="B24" i="5" s="1"/>
  <c r="L12" i="27"/>
  <c r="A12" i="28" s="1"/>
  <c r="M10" i="27"/>
  <c r="I17" i="12" a="1"/>
  <c r="I17" i="12" s="1"/>
  <c r="J17" i="12" s="1"/>
  <c r="H15" i="12" a="1"/>
  <c r="H15" i="12" s="1"/>
  <c r="C16" i="5" s="1"/>
  <c r="H19" i="12" a="1"/>
  <c r="H19" i="12" s="1"/>
  <c r="C20" i="5" s="1"/>
  <c r="G24" i="12" a="1"/>
  <c r="G24" i="12" s="1"/>
  <c r="G14" i="4"/>
  <c r="E12" i="5"/>
  <c r="H21" i="12" a="1"/>
  <c r="H21" i="12" s="1"/>
  <c r="C22" i="5" s="1"/>
  <c r="G20" i="12" a="1"/>
  <c r="G20" i="12" s="1"/>
  <c r="B21" i="5" s="1"/>
  <c r="I15" i="12" a="1"/>
  <c r="I15" i="12" s="1"/>
  <c r="I18" i="27" s="1"/>
  <c r="G18" i="27" s="1"/>
  <c r="H23" i="12" a="1"/>
  <c r="H23" i="12" s="1"/>
  <c r="C24" i="5" s="1"/>
  <c r="G16" i="12" a="1"/>
  <c r="G16" i="12" s="1"/>
  <c r="B17" i="5" s="1"/>
  <c r="H18" i="12" a="1"/>
  <c r="H18" i="12" s="1"/>
  <c r="C19" i="5" s="1"/>
  <c r="H22" i="12" a="1"/>
  <c r="H22" i="12" s="1"/>
  <c r="C23" i="5" s="1"/>
  <c r="I18" i="12" a="1"/>
  <c r="I18" i="12" s="1"/>
  <c r="J18" i="12" s="1"/>
  <c r="G17" i="12" a="1"/>
  <c r="G17" i="12" s="1"/>
  <c r="B18" i="5" s="1"/>
  <c r="G15" i="12" a="1"/>
  <c r="G15" i="12" s="1"/>
  <c r="B16" i="5" s="1"/>
  <c r="G22" i="12" a="1"/>
  <c r="G22" i="12" s="1"/>
  <c r="B23" i="5" s="1"/>
  <c r="G19" i="12" a="1"/>
  <c r="G19" i="12" s="1"/>
  <c r="B20" i="5" s="1"/>
  <c r="I24" i="12" a="1"/>
  <c r="I24" i="12" s="1"/>
  <c r="J24" i="12" s="1"/>
  <c r="H16" i="12" a="1"/>
  <c r="H16" i="12" s="1"/>
  <c r="C17" i="5" s="1"/>
  <c r="I20" i="12" a="1"/>
  <c r="I20" i="12" s="1"/>
  <c r="J20" i="12" s="1"/>
  <c r="G25" i="12" a="1"/>
  <c r="G25" i="12" s="1"/>
  <c r="I21" i="12" a="1"/>
  <c r="I21" i="12" s="1"/>
  <c r="J21" i="12" s="1"/>
  <c r="G18" i="12" a="1"/>
  <c r="G18" i="12" s="1"/>
  <c r="B19" i="5" s="1"/>
  <c r="G21" i="12" a="1"/>
  <c r="G21" i="12" s="1"/>
  <c r="B22" i="5" s="1"/>
  <c r="G98" i="18" l="1"/>
  <c r="E25" i="7"/>
  <c r="C14" i="31"/>
  <c r="L14" i="31"/>
  <c r="M14" i="31"/>
  <c r="F14" i="31"/>
  <c r="I14" i="31"/>
  <c r="K14" i="31"/>
  <c r="D14" i="31"/>
  <c r="H14" i="31"/>
  <c r="J14" i="31"/>
  <c r="G14" i="31"/>
  <c r="I5" i="11"/>
  <c r="G9" i="11"/>
  <c r="I16" i="27"/>
  <c r="G16" i="27" s="1"/>
  <c r="I39" i="27"/>
  <c r="G39" i="27" s="1"/>
  <c r="I14" i="27"/>
  <c r="G14" i="27" s="1"/>
  <c r="I13" i="27"/>
  <c r="G13" i="27" s="1"/>
  <c r="I37" i="27"/>
  <c r="G37" i="27" s="1"/>
  <c r="I15" i="27"/>
  <c r="G15" i="27" s="1"/>
  <c r="G43" i="27"/>
  <c r="I38" i="27"/>
  <c r="G38" i="27" s="1"/>
  <c r="I42" i="27"/>
  <c r="G42" i="27" s="1"/>
  <c r="I36" i="27"/>
  <c r="G36" i="27" s="1"/>
  <c r="I19" i="27"/>
  <c r="G19" i="27" s="1"/>
  <c r="I41" i="27"/>
  <c r="G41" i="27" s="1"/>
  <c r="I40" i="27"/>
  <c r="G40" i="27" s="1"/>
  <c r="I35" i="27"/>
  <c r="G35" i="27" s="1"/>
  <c r="I12" i="27"/>
  <c r="G12" i="27" s="1"/>
  <c r="I34" i="27"/>
  <c r="G34" i="27" s="1"/>
  <c r="I11" i="27"/>
  <c r="G11" i="27" s="1"/>
  <c r="I10" i="27"/>
  <c r="G10" i="27" s="1"/>
  <c r="I9" i="27"/>
  <c r="G9" i="27" s="1"/>
  <c r="I32" i="27"/>
  <c r="G32" i="27" s="1"/>
  <c r="I33" i="27"/>
  <c r="G33" i="27" s="1"/>
  <c r="I22" i="27"/>
  <c r="G22" i="27" s="1"/>
  <c r="I31" i="27"/>
  <c r="G31" i="27" s="1"/>
  <c r="D14" i="4"/>
  <c r="L14" i="4"/>
  <c r="B6" i="12"/>
  <c r="B14" i="4" s="1"/>
  <c r="B13" i="4" s="1"/>
  <c r="J14" i="4"/>
  <c r="F12" i="5"/>
  <c r="J15" i="12"/>
  <c r="I5" i="27" s="1"/>
  <c r="G5" i="27" s="1"/>
  <c r="I28" i="27" l="1"/>
  <c r="G28" i="27" s="1"/>
  <c r="I2" i="27"/>
  <c r="G2" i="27" s="1"/>
  <c r="I4" i="27"/>
  <c r="G4" i="27" s="1"/>
  <c r="C12" i="5"/>
  <c r="C11" i="5" s="1"/>
  <c r="I3" i="27"/>
  <c r="G3" i="27" s="1"/>
  <c r="I6" i="27"/>
  <c r="G6" i="27" l="1"/>
  <c r="M44" i="11" l="1"/>
  <c r="N44" i="11" s="1"/>
  <c r="E17" i="7" l="1"/>
  <c r="K5" i="11"/>
  <c r="D8" i="11"/>
  <c r="K8" i="11" s="1"/>
  <c r="G8" i="11"/>
  <c r="G6" i="11"/>
  <c r="G7" i="11" s="1"/>
  <c r="H6" i="11"/>
  <c r="G97" i="18" l="1"/>
  <c r="G95" i="18"/>
  <c r="H97" i="18"/>
  <c r="D9" i="11"/>
  <c r="D6" i="11"/>
  <c r="E10" i="11"/>
  <c r="E6" i="11"/>
  <c r="E8" i="11"/>
  <c r="G10" i="11"/>
  <c r="C8" i="11"/>
  <c r="E9" i="11"/>
  <c r="H9" i="11"/>
  <c r="H96" i="18" l="1"/>
  <c r="H94" i="18"/>
  <c r="G94" i="18"/>
  <c r="I8" i="11"/>
  <c r="I9" i="11"/>
  <c r="I10" i="11"/>
  <c r="I6" i="11"/>
  <c r="E7" i="11"/>
  <c r="I96" i="18" l="1"/>
  <c r="I7" i="11"/>
  <c r="O3" i="31" a="1"/>
  <c r="M8" i="27" a="1"/>
  <c r="V19" i="31" a="1"/>
  <c r="N9" i="27" a="1"/>
  <c r="L6" i="27" a="1"/>
  <c r="N35" i="27" a="1"/>
  <c r="M38" i="27" a="1"/>
  <c r="M36" i="27" a="1"/>
  <c r="L16" i="27" a="1"/>
  <c r="N22" i="27" a="1"/>
  <c r="M34" i="27" a="1"/>
  <c r="M26" i="27" a="1"/>
  <c r="L26" i="27" a="1"/>
  <c r="P16" i="31" a="1"/>
  <c r="O5" i="31" a="1"/>
  <c r="N24" i="27" a="1"/>
  <c r="X9" i="31" a="1"/>
  <c r="U2" i="31" a="1"/>
  <c r="P26" i="31" a="1"/>
  <c r="Q4" i="31" a="1"/>
  <c r="W22" i="31" a="1"/>
  <c r="L13" i="27" a="1"/>
  <c r="R21" i="31" a="1"/>
  <c r="M5" i="27" a="1"/>
  <c r="N31" i="27" a="1"/>
  <c r="N20" i="27" a="1"/>
  <c r="V24" i="31" a="1"/>
  <c r="M3" i="27" a="1"/>
  <c r="R25" i="31" a="1"/>
  <c r="L18" i="27" a="1"/>
  <c r="P10" i="27" a="1"/>
  <c r="O22" i="31" a="1"/>
  <c r="T2" i="31" a="1"/>
  <c r="T20" i="31" a="1"/>
  <c r="M19" i="27" a="1"/>
  <c r="U26" i="31" a="1"/>
  <c r="N26" i="27" a="1"/>
  <c r="S21" i="31" a="1"/>
  <c r="R4" i="31" a="1"/>
  <c r="V5" i="31" a="1"/>
  <c r="W9" i="31" a="1"/>
  <c r="L24" i="27" a="1"/>
  <c r="P30" i="27" a="1"/>
  <c r="O14" i="31" a="1"/>
  <c r="U21" i="31" a="1"/>
  <c r="R16" i="31" a="1"/>
  <c r="Q6" i="31" a="1"/>
  <c r="O2" i="31" a="1"/>
  <c r="R26" i="31" a="1"/>
  <c r="U28" i="31" a="1"/>
  <c r="Q11" i="31" a="1"/>
  <c r="S28" i="31" a="1"/>
  <c r="Q8" i="31" a="1"/>
  <c r="S12" i="31" a="1"/>
  <c r="S3" i="31" a="1"/>
  <c r="L8" i="27" a="1"/>
  <c r="L34" i="27" a="1"/>
  <c r="P23" i="31" a="1"/>
  <c r="X8" i="31" a="1"/>
  <c r="P28" i="31" a="1"/>
  <c r="Y17" i="31" a="1"/>
  <c r="N29" i="27" a="1"/>
  <c r="X27" i="31" a="1"/>
  <c r="Q9" i="31" a="1"/>
  <c r="M40" i="27" a="1"/>
  <c r="N4" i="27" a="1"/>
  <c r="Y25" i="31" a="1"/>
  <c r="V27" i="31" a="1"/>
  <c r="X5" i="31" a="1"/>
  <c r="T18" i="31" a="1"/>
  <c r="T3" i="31" a="1"/>
  <c r="U7" i="31" a="1"/>
  <c r="U12" i="31" a="1"/>
  <c r="U4" i="31" a="1"/>
  <c r="L10" i="27" a="1"/>
  <c r="N39" i="27" a="1"/>
  <c r="P34" i="27" a="1"/>
  <c r="P25" i="27" a="1"/>
  <c r="S10" i="31" a="1"/>
  <c r="P14" i="27" a="1"/>
  <c r="W11" i="31" a="1"/>
  <c r="P27" i="31" a="1"/>
  <c r="P26" i="27" a="1"/>
  <c r="P41" i="27" a="1"/>
  <c r="P43" i="27" a="1"/>
  <c r="N30" i="27" a="1"/>
  <c r="Y16" i="31" a="1"/>
  <c r="P12" i="27" a="1"/>
  <c r="M35" i="27" a="1"/>
  <c r="M24" i="27" a="1"/>
  <c r="T16" i="31" a="1"/>
  <c r="T22" i="31" a="1"/>
  <c r="S20" i="31" a="1"/>
  <c r="S8" i="31" a="1"/>
  <c r="R22" i="31" a="1"/>
  <c r="V11" i="31" a="1"/>
  <c r="X15" i="31" a="1"/>
  <c r="N42" i="27" a="1"/>
  <c r="V2" i="31" a="1"/>
  <c r="P31" i="27" a="1"/>
  <c r="U24" i="31" a="1"/>
  <c r="T12" i="31" a="1"/>
  <c r="L36" i="27" a="1"/>
  <c r="M6" i="27" a="1"/>
  <c r="M18" i="27" a="1"/>
  <c r="P39" i="27" a="1"/>
  <c r="O10" i="31" a="1"/>
  <c r="N2" i="27" a="1"/>
  <c r="W8" i="31" a="1"/>
  <c r="Q5" i="31" a="1"/>
  <c r="R10" i="31" a="1"/>
  <c r="V17" i="31" a="1"/>
  <c r="X22" i="31" a="1"/>
  <c r="N41" i="27" a="1"/>
  <c r="P9" i="27" a="1"/>
  <c r="M17" i="27" a="1"/>
  <c r="P18" i="27" a="1"/>
  <c r="N6" i="27" a="1"/>
  <c r="T19" i="31" a="1"/>
  <c r="L30" i="27" a="1"/>
  <c r="O19" i="31" a="1"/>
  <c r="V7" i="31" a="1"/>
  <c r="O13" i="31" a="1"/>
  <c r="N12" i="27" a="1"/>
  <c r="P4" i="27" a="1"/>
  <c r="M13" i="27" a="1"/>
  <c r="U27" i="31" a="1"/>
  <c r="V23" i="31" a="1"/>
  <c r="P23" i="27" a="1"/>
  <c r="R18" i="31" a="1"/>
  <c r="P17" i="31" a="1"/>
  <c r="P27" i="27" a="1"/>
  <c r="N18" i="27" a="1"/>
  <c r="N23" i="27" a="1"/>
  <c r="W25" i="31" a="1"/>
  <c r="O24" i="31" a="1"/>
  <c r="V3" i="31" a="1"/>
  <c r="P5" i="31" a="1"/>
  <c r="U19" i="31" a="1"/>
  <c r="L25" i="27" a="1"/>
  <c r="Y22" i="31" a="1"/>
  <c r="L39" i="27" a="1"/>
  <c r="N32" i="27" a="1"/>
  <c r="T25" i="31" a="1"/>
  <c r="O23" i="31" a="1"/>
  <c r="Q18" i="31" a="1"/>
  <c r="L31" i="27" a="1"/>
  <c r="V8" i="31" a="1"/>
  <c r="Y5" i="31" a="1"/>
  <c r="N40" i="27" a="1"/>
  <c r="U23" i="31" a="1"/>
  <c r="W15" i="31" a="1"/>
  <c r="S13" i="31" a="1"/>
  <c r="R19" i="31" a="1"/>
  <c r="P10" i="31" a="1"/>
  <c r="N7" i="27" a="1"/>
  <c r="S7" i="31" a="1"/>
  <c r="Y7" i="31" a="1"/>
  <c r="M14" i="27" a="1"/>
  <c r="M12" i="27" a="1"/>
  <c r="Y8" i="31" a="1"/>
  <c r="N11" i="27" a="1"/>
  <c r="R2" i="31" a="1"/>
  <c r="O28" i="31" a="1"/>
  <c r="M11" i="27" a="1"/>
  <c r="N16" i="27" a="1"/>
  <c r="Q3" i="31" a="1"/>
  <c r="S14" i="31" a="1"/>
  <c r="N13" i="27" a="1"/>
  <c r="O8" i="31" a="1"/>
  <c r="Y6" i="31" a="1"/>
  <c r="V13" i="31" a="1"/>
  <c r="S19" i="31" a="1"/>
  <c r="P42" i="27" a="1"/>
  <c r="V12" i="31" a="1"/>
  <c r="P13" i="27" a="1"/>
  <c r="P15" i="27" a="1"/>
  <c r="S24" i="31" a="1"/>
  <c r="S16" i="31" a="1"/>
  <c r="Q24" i="31" a="1"/>
  <c r="W16" i="31" a="1"/>
  <c r="W20" i="31" a="1"/>
  <c r="P24" i="27" a="1"/>
  <c r="Y19" i="31" a="1"/>
  <c r="Y11" i="31" a="1"/>
  <c r="X17" i="31" a="1"/>
  <c r="Y28" i="31" a="1"/>
  <c r="U10" i="31" a="1"/>
  <c r="U15" i="31" a="1"/>
  <c r="M4" i="27" a="1"/>
  <c r="W19" i="31" a="1"/>
  <c r="T26" i="31" a="1"/>
  <c r="X6" i="31" a="1"/>
  <c r="V21" i="31" a="1"/>
  <c r="P12" i="31" a="1"/>
  <c r="L43" i="27" a="1"/>
  <c r="X13" i="31" a="1"/>
  <c r="X16" i="31" a="1"/>
  <c r="S26" i="31" a="1"/>
  <c r="Q10" i="31" a="1"/>
  <c r="Y12" i="31" a="1"/>
  <c r="P6" i="31" a="1"/>
  <c r="W12" i="31" a="1"/>
  <c r="L11" i="27" a="1"/>
  <c r="U17" i="31" a="1"/>
  <c r="L42" i="27" a="1"/>
  <c r="R15" i="31" a="1"/>
  <c r="N28" i="27" a="1"/>
  <c r="M7" i="27" a="1"/>
  <c r="M37" i="27" a="1"/>
  <c r="P40" i="27" a="1"/>
  <c r="P37" i="27" a="1"/>
  <c r="L21" i="27" a="1"/>
  <c r="X2" i="31" a="1"/>
  <c r="W17" i="31" a="1"/>
  <c r="R14" i="31" a="1"/>
  <c r="T5" i="31" a="1"/>
  <c r="M33" i="27" a="1"/>
  <c r="W3" i="31" a="1"/>
  <c r="U20" i="31" a="1"/>
  <c r="W23" i="31" a="1"/>
  <c r="P21" i="31" a="1"/>
  <c r="P20" i="31" a="1"/>
  <c r="U5" i="31" a="1"/>
  <c r="Q15" i="31" a="1"/>
  <c r="X14" i="31" a="1"/>
  <c r="N15" i="27" a="1"/>
  <c r="N43" i="27" a="1"/>
  <c r="P18" i="31" a="1"/>
  <c r="T4" i="31" a="1"/>
  <c r="S25" i="31" a="1"/>
  <c r="Q28" i="31" a="1"/>
  <c r="L29" i="27" a="1"/>
  <c r="L14" i="27" a="1"/>
  <c r="O20" i="31" a="1"/>
  <c r="L9" i="27" a="1"/>
  <c r="P8" i="27" a="1"/>
  <c r="R12" i="31" a="1"/>
  <c r="V10" i="31" a="1"/>
  <c r="M30" i="27" a="1"/>
  <c r="V22" i="31" a="1"/>
  <c r="S6" i="31" a="1"/>
  <c r="N5" i="27" a="1"/>
  <c r="R23" i="31" a="1"/>
  <c r="L41" i="27" a="1"/>
  <c r="X18" i="31" a="1"/>
  <c r="Y21" i="31" a="1"/>
  <c r="R7" i="31" a="1"/>
  <c r="N36" i="27" a="1"/>
  <c r="O4" i="31" a="1"/>
  <c r="R27" i="31" a="1"/>
  <c r="O26" i="31" a="1"/>
  <c r="L19" i="27" a="1"/>
  <c r="O7" i="31" a="1"/>
  <c r="M42" i="27" a="1"/>
  <c r="N14" i="27" a="1"/>
  <c r="V26" i="31" a="1"/>
  <c r="T15" i="31" a="1"/>
  <c r="O15" i="31" a="1"/>
  <c r="U9" i="31" a="1"/>
  <c r="U18" i="31" a="1"/>
  <c r="Q27" i="31" a="1"/>
  <c r="T6" i="31" a="1"/>
  <c r="P16" i="27" a="1"/>
  <c r="L22" i="27" a="1"/>
  <c r="N27" i="27" a="1"/>
  <c r="N19" i="27" a="1"/>
  <c r="V18" i="31" a="1"/>
  <c r="S17" i="31" a="1"/>
  <c r="Q16" i="31" a="1"/>
  <c r="Y13" i="31" a="1"/>
  <c r="P6" i="27" a="1"/>
  <c r="P19" i="31" a="1"/>
  <c r="S9" i="31" a="1"/>
  <c r="T27" i="31" a="1"/>
  <c r="N17" i="27" a="1"/>
  <c r="M16" i="27" a="1"/>
  <c r="Q23" i="31" a="1"/>
  <c r="Y18" i="31" a="1"/>
  <c r="L38" i="27" a="1"/>
  <c r="S11" i="31" a="1"/>
  <c r="W6" i="31" a="1"/>
  <c r="S2" i="31" a="1"/>
  <c r="X4" i="31" a="1"/>
  <c r="P4" i="31" a="1"/>
  <c r="N8" i="27" a="1"/>
  <c r="L32" i="27" a="1"/>
  <c r="P15" i="31" a="1"/>
  <c r="S5" i="31" a="1"/>
  <c r="R13" i="31" a="1"/>
  <c r="O27" i="31" a="1"/>
  <c r="Q22" i="31" a="1"/>
  <c r="S4" i="31" a="1"/>
  <c r="P2" i="31" a="1"/>
  <c r="N10" i="27" a="1"/>
  <c r="Q7" i="31" a="1"/>
  <c r="P33" i="27" a="1"/>
  <c r="V14" i="31" a="1"/>
  <c r="V15" i="31" a="1"/>
  <c r="L20" i="27" a="1"/>
  <c r="X24" i="31" a="1"/>
  <c r="U22" i="31" a="1"/>
  <c r="W2" i="31" a="1"/>
  <c r="S22" i="31" a="1"/>
  <c r="P25" i="31" a="1"/>
  <c r="Y4" i="31" a="1"/>
  <c r="X28" i="31" a="1"/>
  <c r="P32" i="27" a="1"/>
  <c r="Y24" i="31" a="1"/>
  <c r="X21" i="31" a="1"/>
  <c r="Q14" i="31" a="1"/>
  <c r="U6" i="31" a="1"/>
  <c r="T21" i="31" a="1"/>
  <c r="Y27" i="31" a="1"/>
  <c r="L35" i="27" a="1"/>
  <c r="U14" i="31" a="1"/>
  <c r="V16" i="31" a="1"/>
  <c r="X23" i="31" a="1"/>
  <c r="R3" i="31" a="1"/>
  <c r="Q20" i="31" a="1"/>
  <c r="P3" i="27" a="1"/>
  <c r="T28" i="31" a="1"/>
  <c r="Y9" i="31" a="1"/>
  <c r="T8" i="31" a="1"/>
  <c r="Q25" i="31" a="1"/>
  <c r="L17" i="27" a="1"/>
  <c r="M25" i="27" a="1"/>
  <c r="T17" i="31" a="1"/>
  <c r="M27" i="27" a="1"/>
  <c r="R5" i="31" a="1"/>
  <c r="R11" i="31" a="1"/>
  <c r="P11" i="31" a="1"/>
  <c r="N3" i="27" a="1"/>
  <c r="L28" i="27" a="1"/>
  <c r="Y3" i="31" a="1"/>
  <c r="W14" i="31" a="1"/>
  <c r="X25" i="31" a="1"/>
  <c r="T23" i="31" a="1"/>
  <c r="N38" i="27" a="1"/>
  <c r="P19" i="27" a="1"/>
  <c r="P38" i="27" a="1"/>
  <c r="X20" i="31" a="1"/>
  <c r="M21" i="27" a="1"/>
  <c r="L3" i="27" a="1"/>
  <c r="X12" i="31" a="1"/>
  <c r="M41" i="27" a="1"/>
  <c r="X11" i="31" a="1"/>
  <c r="V25" i="31" a="1"/>
  <c r="N25" i="27" a="1"/>
  <c r="W5" i="31" a="1"/>
  <c r="P35" i="27" a="1"/>
  <c r="L2" i="27" a="1"/>
  <c r="P14" i="31" a="1"/>
  <c r="P3" i="31" a="1"/>
  <c r="P20" i="27" a="1"/>
  <c r="L7" i="27" a="1"/>
  <c r="R8" i="31" a="1"/>
  <c r="U13" i="31" a="1"/>
  <c r="W7" i="31" a="1"/>
  <c r="X10" i="31" a="1"/>
  <c r="W4" i="31" a="1"/>
  <c r="T9" i="31" a="1"/>
  <c r="M31" i="27" a="1"/>
  <c r="W21" i="31" a="1"/>
  <c r="L15" i="27" a="1"/>
  <c r="P22" i="27" a="1"/>
  <c r="Y20" i="31" a="1"/>
  <c r="V9" i="31" a="1"/>
  <c r="U11" i="31" a="1"/>
  <c r="L5" i="27" a="1"/>
  <c r="W28" i="31" a="1"/>
  <c r="O25" i="31" a="1"/>
  <c r="S18" i="31" a="1"/>
  <c r="N33" i="27" a="1"/>
  <c r="M15" i="27" a="1"/>
  <c r="V20" i="31" a="1"/>
  <c r="T11" i="31" a="1"/>
  <c r="R9" i="31" a="1"/>
  <c r="Q2" i="31" a="1"/>
  <c r="O12" i="31" a="1"/>
  <c r="Y23" i="31" a="1"/>
  <c r="P13" i="31" a="1"/>
  <c r="P7" i="27" a="1"/>
  <c r="T7" i="31" a="1"/>
  <c r="X26" i="31" a="1"/>
  <c r="P7" i="31" a="1"/>
  <c r="X7" i="31" a="1"/>
  <c r="L40" i="27" a="1"/>
  <c r="T14" i="31" a="1"/>
  <c r="M43" i="27" a="1"/>
  <c r="T10" i="31" a="1"/>
  <c r="T24" i="31" a="1"/>
  <c r="L37" i="27" a="1"/>
  <c r="W18" i="31" a="1"/>
  <c r="P22" i="31" a="1"/>
  <c r="Y26" i="31" a="1"/>
  <c r="P11" i="27" a="1"/>
  <c r="X3" i="31" a="1"/>
  <c r="P28" i="27" a="1"/>
  <c r="O16" i="31" a="1"/>
  <c r="W26" i="31" a="1"/>
  <c r="P17" i="27" a="1"/>
  <c r="P36" i="27" a="1"/>
  <c r="Y14" i="31" a="1"/>
  <c r="L23" i="27" a="1"/>
  <c r="X19" i="31" a="1"/>
  <c r="Y15" i="31" a="1"/>
  <c r="W13" i="31" a="1"/>
  <c r="P21" i="27" a="1"/>
  <c r="O9" i="31" a="1"/>
  <c r="M29" i="27" a="1"/>
  <c r="U8" i="31" a="1"/>
  <c r="M28" i="27" a="1"/>
  <c r="P24" i="31" a="1"/>
  <c r="Q19" i="31" a="1"/>
  <c r="P5" i="27" a="1"/>
  <c r="R20" i="31" a="1"/>
  <c r="L4" i="27" a="1"/>
  <c r="V4" i="31" a="1"/>
  <c r="L27" i="27" a="1"/>
  <c r="R6" i="31" a="1"/>
  <c r="O11" i="31" a="1"/>
  <c r="M22" i="27" a="1"/>
  <c r="L33" i="27" a="1"/>
  <c r="U3" i="31" a="1"/>
  <c r="W27" i="31" a="1"/>
  <c r="O6" i="31" a="1"/>
  <c r="P2" i="27" a="1"/>
  <c r="U16" i="31" a="1"/>
  <c r="P8" i="31" a="1"/>
  <c r="O21" i="31" a="1"/>
  <c r="Y10" i="31" a="1"/>
  <c r="S27" i="31" a="1"/>
  <c r="Q21" i="31" a="1"/>
  <c r="V28" i="31" a="1"/>
  <c r="Q12" i="31" a="1"/>
  <c r="W24" i="31" a="1"/>
  <c r="Y2" i="31" a="1"/>
  <c r="N37" i="27" a="1"/>
  <c r="Q17" i="31" a="1"/>
  <c r="P29" i="27" a="1"/>
  <c r="Q13" i="31" a="1"/>
  <c r="N34" i="27" a="1"/>
  <c r="R28" i="31" a="1"/>
  <c r="M23" i="27" a="1"/>
  <c r="R24" i="31" a="1"/>
  <c r="N21" i="27" a="1"/>
  <c r="Q26" i="31" a="1"/>
  <c r="O18" i="31" a="1"/>
  <c r="M32" i="27" a="1"/>
  <c r="M20" i="27" a="1"/>
  <c r="O17" i="31" a="1"/>
  <c r="S15" i="31" a="1"/>
  <c r="U25" i="31" a="1"/>
  <c r="M9" i="27" a="1"/>
  <c r="P9" i="31" a="1"/>
  <c r="R17" i="31" a="1"/>
  <c r="M2" i="27" a="1"/>
  <c r="T13" i="31" a="1"/>
  <c r="V6" i="31" a="1"/>
  <c r="S23" i="31" a="1"/>
  <c r="W10" i="31" a="1"/>
  <c r="M39" i="27" a="1"/>
  <c r="M39" i="27" l="1"/>
  <c r="W10" i="31"/>
  <c r="J22" i="3" s="1"/>
  <c r="S23" i="31"/>
  <c r="F35" i="3" s="1"/>
  <c r="V6" i="31"/>
  <c r="I18" i="3" s="1"/>
  <c r="T13" i="31"/>
  <c r="G25" i="3" s="1"/>
  <c r="M2" i="27"/>
  <c r="R17" i="31"/>
  <c r="E29" i="3" s="1"/>
  <c r="P9" i="31"/>
  <c r="C21" i="3" s="1"/>
  <c r="M9" i="27"/>
  <c r="U25" i="31"/>
  <c r="H37" i="3" s="1"/>
  <c r="S15" i="31"/>
  <c r="F27" i="3" s="1"/>
  <c r="O17" i="31"/>
  <c r="B29" i="3" s="1"/>
  <c r="M20" i="27"/>
  <c r="M32" i="27"/>
  <c r="O18" i="31"/>
  <c r="B30" i="3" s="1"/>
  <c r="Q26" i="31"/>
  <c r="D38" i="3" s="1"/>
  <c r="N21" i="27"/>
  <c r="B21" i="28" s="1"/>
  <c r="R24" i="31"/>
  <c r="E36" i="3" s="1"/>
  <c r="M23" i="27"/>
  <c r="R28" i="31"/>
  <c r="E40" i="3" s="1"/>
  <c r="N34" i="27"/>
  <c r="B34" i="28" s="1"/>
  <c r="Q13" i="31"/>
  <c r="D25" i="3" s="1"/>
  <c r="P29" i="27"/>
  <c r="D29" i="28" s="1"/>
  <c r="Q17" i="31"/>
  <c r="D29" i="3" s="1"/>
  <c r="N37" i="27"/>
  <c r="B37" i="28" s="1"/>
  <c r="Y2" i="31"/>
  <c r="L14" i="3" s="1"/>
  <c r="W24" i="31"/>
  <c r="J36" i="3" s="1"/>
  <c r="Q12" i="31"/>
  <c r="D24" i="3" s="1"/>
  <c r="V28" i="31"/>
  <c r="I40" i="3" s="1"/>
  <c r="Q21" i="31"/>
  <c r="D33" i="3" s="1"/>
  <c r="S27" i="31"/>
  <c r="F39" i="3" s="1"/>
  <c r="Y10" i="31"/>
  <c r="L22" i="3" s="1"/>
  <c r="O21" i="31"/>
  <c r="B33" i="3" s="1"/>
  <c r="P8" i="31"/>
  <c r="C20" i="3" s="1"/>
  <c r="U16" i="31"/>
  <c r="H28" i="3" s="1"/>
  <c r="P2" i="27"/>
  <c r="D2" i="28" s="1"/>
  <c r="O6" i="31"/>
  <c r="B18" i="3" s="1"/>
  <c r="W27" i="31"/>
  <c r="J39" i="3" s="1"/>
  <c r="U3" i="31"/>
  <c r="H15" i="3" s="1"/>
  <c r="L33" i="27"/>
  <c r="A33" i="28" s="1"/>
  <c r="M22" i="27"/>
  <c r="O11" i="31"/>
  <c r="B23" i="3" s="1"/>
  <c r="R6" i="31"/>
  <c r="E18" i="3" s="1"/>
  <c r="L27" i="27"/>
  <c r="A27" i="28" s="1"/>
  <c r="V4" i="31"/>
  <c r="I16" i="3" s="1"/>
  <c r="L4" i="27"/>
  <c r="A4" i="28" s="1"/>
  <c r="R20" i="31"/>
  <c r="E32" i="3" s="1"/>
  <c r="P5" i="27"/>
  <c r="D5" i="28" s="1"/>
  <c r="Q19" i="31"/>
  <c r="D31" i="3" s="1"/>
  <c r="P24" i="31"/>
  <c r="C36" i="3" s="1"/>
  <c r="M28" i="27"/>
  <c r="U8" i="31"/>
  <c r="H20" i="3" s="1"/>
  <c r="M29" i="27"/>
  <c r="O9" i="31"/>
  <c r="B21" i="3" s="1"/>
  <c r="P21" i="27"/>
  <c r="D21" i="28" s="1"/>
  <c r="W13" i="31"/>
  <c r="J25" i="3" s="1"/>
  <c r="Y15" i="31"/>
  <c r="L27" i="3" s="1"/>
  <c r="X19" i="31"/>
  <c r="K31" i="3" s="1"/>
  <c r="L23" i="27"/>
  <c r="A23" i="28" s="1"/>
  <c r="Y14" i="31"/>
  <c r="L26" i="3" s="1"/>
  <c r="P36" i="27"/>
  <c r="D36" i="28" s="1"/>
  <c r="P17" i="27"/>
  <c r="D17" i="28" s="1"/>
  <c r="W26" i="31"/>
  <c r="J38" i="3" s="1"/>
  <c r="O16" i="31"/>
  <c r="B28" i="3" s="1"/>
  <c r="P28" i="27"/>
  <c r="D28" i="28" s="1"/>
  <c r="X3" i="31"/>
  <c r="K15" i="3" s="1"/>
  <c r="P11" i="27"/>
  <c r="D11" i="28" s="1"/>
  <c r="Y26" i="31"/>
  <c r="L38" i="3" s="1"/>
  <c r="P22" i="31"/>
  <c r="C34" i="3" s="1"/>
  <c r="W18" i="31"/>
  <c r="J30" i="3" s="1"/>
  <c r="L37" i="27"/>
  <c r="A37" i="28" s="1"/>
  <c r="T24" i="31"/>
  <c r="G36" i="3" s="1"/>
  <c r="T10" i="31"/>
  <c r="G22" i="3" s="1"/>
  <c r="M43" i="27"/>
  <c r="T14" i="31"/>
  <c r="G26" i="3" s="1"/>
  <c r="L40" i="27"/>
  <c r="A40" i="28" s="1"/>
  <c r="X7" i="31"/>
  <c r="K19" i="3" s="1"/>
  <c r="P7" i="31"/>
  <c r="C19" i="3" s="1"/>
  <c r="X26" i="31"/>
  <c r="K38" i="3" s="1"/>
  <c r="T7" i="31"/>
  <c r="G19" i="3" s="1"/>
  <c r="P7" i="27"/>
  <c r="D7" i="28" s="1"/>
  <c r="P13" i="31"/>
  <c r="C25" i="3" s="1"/>
  <c r="Y23" i="31"/>
  <c r="L35" i="3" s="1"/>
  <c r="O12" i="31"/>
  <c r="B24" i="3" s="1"/>
  <c r="Q2" i="31"/>
  <c r="D14" i="3" s="1"/>
  <c r="R9" i="31"/>
  <c r="E21" i="3" s="1"/>
  <c r="T11" i="31"/>
  <c r="G23" i="3" s="1"/>
  <c r="V20" i="31"/>
  <c r="I32" i="3" s="1"/>
  <c r="M15" i="27"/>
  <c r="N33" i="27"/>
  <c r="B33" i="28" s="1"/>
  <c r="S18" i="31"/>
  <c r="F30" i="3" s="1"/>
  <c r="O25" i="31"/>
  <c r="B37" i="3" s="1"/>
  <c r="W28" i="31"/>
  <c r="J40" i="3" s="1"/>
  <c r="L5" i="27"/>
  <c r="A5" i="28" s="1"/>
  <c r="U11" i="31"/>
  <c r="H23" i="3" s="1"/>
  <c r="V9" i="31"/>
  <c r="I21" i="3" s="1"/>
  <c r="Y20" i="31"/>
  <c r="L32" i="3" s="1"/>
  <c r="P22" i="27"/>
  <c r="D22" i="28" s="1"/>
  <c r="L15" i="27"/>
  <c r="A15" i="28" s="1"/>
  <c r="W21" i="31"/>
  <c r="J33" i="3" s="1"/>
  <c r="M31" i="27"/>
  <c r="T9" i="31"/>
  <c r="G21" i="3" s="1"/>
  <c r="W4" i="31"/>
  <c r="J16" i="3" s="1"/>
  <c r="X10" i="31"/>
  <c r="K22" i="3" s="1"/>
  <c r="W7" i="31"/>
  <c r="J19" i="3" s="1"/>
  <c r="U13" i="31"/>
  <c r="H25" i="3" s="1"/>
  <c r="R8" i="31"/>
  <c r="E20" i="3" s="1"/>
  <c r="L7" i="27"/>
  <c r="A7" i="28" s="1"/>
  <c r="P20" i="27"/>
  <c r="D20" i="28" s="1"/>
  <c r="P3" i="31"/>
  <c r="C15" i="3" s="1"/>
  <c r="P14" i="31"/>
  <c r="C26" i="3" s="1"/>
  <c r="L2" i="27"/>
  <c r="A2" i="28" s="1"/>
  <c r="P35" i="27"/>
  <c r="D35" i="28" s="1"/>
  <c r="W5" i="31"/>
  <c r="J17" i="3" s="1"/>
  <c r="N25" i="27"/>
  <c r="B25" i="28" s="1"/>
  <c r="V25" i="31"/>
  <c r="I37" i="3" s="1"/>
  <c r="X11" i="31"/>
  <c r="K23" i="3" s="1"/>
  <c r="M41" i="27"/>
  <c r="X12" i="31"/>
  <c r="K24" i="3" s="1"/>
  <c r="L3" i="27"/>
  <c r="A3" i="28" s="1"/>
  <c r="M21" i="27"/>
  <c r="X20" i="31"/>
  <c r="K32" i="3" s="1"/>
  <c r="P38" i="27"/>
  <c r="D38" i="28" s="1"/>
  <c r="P19" i="27"/>
  <c r="D19" i="28" s="1"/>
  <c r="N38" i="27"/>
  <c r="B38" i="28" s="1"/>
  <c r="T23" i="31"/>
  <c r="G35" i="3" s="1"/>
  <c r="X25" i="31"/>
  <c r="K37" i="3" s="1"/>
  <c r="W14" i="31"/>
  <c r="J26" i="3" s="1"/>
  <c r="Y3" i="31"/>
  <c r="L15" i="3" s="1"/>
  <c r="L28" i="27"/>
  <c r="A28" i="28" s="1"/>
  <c r="N3" i="27"/>
  <c r="B3" i="28" s="1"/>
  <c r="P11" i="31"/>
  <c r="C23" i="3" s="1"/>
  <c r="R11" i="31"/>
  <c r="E23" i="3" s="1"/>
  <c r="R5" i="31"/>
  <c r="E17" i="3" s="1"/>
  <c r="M27" i="27"/>
  <c r="T17" i="31"/>
  <c r="G29" i="3" s="1"/>
  <c r="M25" i="27"/>
  <c r="L17" i="27"/>
  <c r="A17" i="28" s="1"/>
  <c r="Q25" i="31"/>
  <c r="D37" i="3" s="1"/>
  <c r="T8" i="31"/>
  <c r="G20" i="3" s="1"/>
  <c r="Y9" i="31"/>
  <c r="L21" i="3" s="1"/>
  <c r="T28" i="31"/>
  <c r="G40" i="3" s="1"/>
  <c r="P3" i="27"/>
  <c r="D3" i="28" s="1"/>
  <c r="Q20" i="31"/>
  <c r="D32" i="3" s="1"/>
  <c r="R3" i="31"/>
  <c r="E15" i="3" s="1"/>
  <c r="X23" i="31"/>
  <c r="K35" i="3" s="1"/>
  <c r="V16" i="31"/>
  <c r="I28" i="3" s="1"/>
  <c r="U14" i="31"/>
  <c r="H26" i="3" s="1"/>
  <c r="L35" i="27"/>
  <c r="A35" i="28" s="1"/>
  <c r="Y27" i="31"/>
  <c r="L39" i="3" s="1"/>
  <c r="T21" i="31"/>
  <c r="G33" i="3" s="1"/>
  <c r="U6" i="31"/>
  <c r="H18" i="3" s="1"/>
  <c r="Q14" i="31"/>
  <c r="D26" i="3" s="1"/>
  <c r="X21" i="31"/>
  <c r="K33" i="3" s="1"/>
  <c r="Y24" i="31"/>
  <c r="L36" i="3" s="1"/>
  <c r="P32" i="27"/>
  <c r="D32" i="28" s="1"/>
  <c r="X28" i="31"/>
  <c r="K40" i="3" s="1"/>
  <c r="Y4" i="31"/>
  <c r="L16" i="3" s="1"/>
  <c r="P25" i="31"/>
  <c r="C37" i="3" s="1"/>
  <c r="S22" i="31"/>
  <c r="F34" i="3" s="1"/>
  <c r="W2" i="31"/>
  <c r="J14" i="3" s="1"/>
  <c r="U22" i="31"/>
  <c r="H34" i="3" s="1"/>
  <c r="X24" i="31"/>
  <c r="K36" i="3" s="1"/>
  <c r="L20" i="27"/>
  <c r="A20" i="28" s="1"/>
  <c r="V15" i="31"/>
  <c r="I27" i="3" s="1"/>
  <c r="V14" i="31"/>
  <c r="I26" i="3" s="1"/>
  <c r="P33" i="27"/>
  <c r="D33" i="28" s="1"/>
  <c r="Q7" i="31"/>
  <c r="D19" i="3" s="1"/>
  <c r="N10" i="27"/>
  <c r="B10" i="28" s="1"/>
  <c r="P2" i="31"/>
  <c r="C14" i="3" s="1"/>
  <c r="S4" i="31"/>
  <c r="F16" i="3" s="1"/>
  <c r="Q22" i="31"/>
  <c r="D34" i="3" s="1"/>
  <c r="O27" i="31"/>
  <c r="B39" i="3" s="1"/>
  <c r="R13" i="31"/>
  <c r="E25" i="3" s="1"/>
  <c r="S5" i="31"/>
  <c r="F17" i="3" s="1"/>
  <c r="P15" i="31"/>
  <c r="C27" i="3" s="1"/>
  <c r="L32" i="27"/>
  <c r="A32" i="28" s="1"/>
  <c r="N8" i="27"/>
  <c r="B8" i="28" s="1"/>
  <c r="P4" i="31"/>
  <c r="C16" i="3" s="1"/>
  <c r="X4" i="31"/>
  <c r="K16" i="3" s="1"/>
  <c r="S2" i="31"/>
  <c r="F14" i="3" s="1"/>
  <c r="W6" i="31"/>
  <c r="J18" i="3" s="1"/>
  <c r="S11" i="31"/>
  <c r="F23" i="3" s="1"/>
  <c r="L38" i="27"/>
  <c r="A38" i="28" s="1"/>
  <c r="Y18" i="31"/>
  <c r="L30" i="3" s="1"/>
  <c r="Q23" i="31"/>
  <c r="D35" i="3" s="1"/>
  <c r="M16" i="27"/>
  <c r="N17" i="27"/>
  <c r="B17" i="28" s="1"/>
  <c r="T27" i="31"/>
  <c r="G39" i="3" s="1"/>
  <c r="S9" i="31"/>
  <c r="F21" i="3" s="1"/>
  <c r="P19" i="31"/>
  <c r="C31" i="3" s="1"/>
  <c r="P6" i="27"/>
  <c r="D6" i="28" s="1"/>
  <c r="Y13" i="31"/>
  <c r="L25" i="3" s="1"/>
  <c r="Q16" i="31"/>
  <c r="D28" i="3" s="1"/>
  <c r="S17" i="31"/>
  <c r="F29" i="3" s="1"/>
  <c r="V18" i="31"/>
  <c r="I30" i="3" s="1"/>
  <c r="N19" i="27"/>
  <c r="B19" i="28" s="1"/>
  <c r="N27" i="27"/>
  <c r="B27" i="28" s="1"/>
  <c r="L22" i="27"/>
  <c r="A22" i="28" s="1"/>
  <c r="P16" i="27"/>
  <c r="D16" i="28" s="1"/>
  <c r="T6" i="31"/>
  <c r="G18" i="3" s="1"/>
  <c r="Q27" i="31"/>
  <c r="D39" i="3" s="1"/>
  <c r="U18" i="31"/>
  <c r="H30" i="3" s="1"/>
  <c r="U9" i="31"/>
  <c r="H21" i="3" s="1"/>
  <c r="O15" i="31"/>
  <c r="B27" i="3" s="1"/>
  <c r="T15" i="31"/>
  <c r="G27" i="3" s="1"/>
  <c r="V26" i="31"/>
  <c r="I38" i="3" s="1"/>
  <c r="N14" i="27"/>
  <c r="B14" i="28" s="1"/>
  <c r="M42" i="27"/>
  <c r="O7" i="31"/>
  <c r="B19" i="3" s="1"/>
  <c r="L19" i="27"/>
  <c r="A19" i="28" s="1"/>
  <c r="O26" i="31"/>
  <c r="B38" i="3" s="1"/>
  <c r="R27" i="31"/>
  <c r="E39" i="3" s="1"/>
  <c r="O4" i="31"/>
  <c r="B16" i="3" s="1"/>
  <c r="N36" i="27"/>
  <c r="B36" i="28" s="1"/>
  <c r="R7" i="31"/>
  <c r="E19" i="3" s="1"/>
  <c r="Y21" i="31"/>
  <c r="L33" i="3" s="1"/>
  <c r="X18" i="31"/>
  <c r="K30" i="3" s="1"/>
  <c r="L41" i="27"/>
  <c r="A41" i="28" s="1"/>
  <c r="R23" i="31"/>
  <c r="E35" i="3" s="1"/>
  <c r="N5" i="27"/>
  <c r="B5" i="28" s="1"/>
  <c r="S6" i="31"/>
  <c r="F18" i="3" s="1"/>
  <c r="V22" i="31"/>
  <c r="I34" i="3" s="1"/>
  <c r="M30" i="27"/>
  <c r="V10" i="31"/>
  <c r="I22" i="3" s="1"/>
  <c r="R12" i="31"/>
  <c r="E24" i="3" s="1"/>
  <c r="P8" i="27"/>
  <c r="D8" i="28" s="1"/>
  <c r="L9" i="27"/>
  <c r="A9" i="28" s="1"/>
  <c r="O20" i="31"/>
  <c r="B32" i="3" s="1"/>
  <c r="L14" i="27"/>
  <c r="A14" i="28" s="1"/>
  <c r="L29" i="27"/>
  <c r="A29" i="28" s="1"/>
  <c r="Q28" i="31"/>
  <c r="D40" i="3" s="1"/>
  <c r="S25" i="31"/>
  <c r="F37" i="3" s="1"/>
  <c r="T4" i="31"/>
  <c r="G16" i="3" s="1"/>
  <c r="P18" i="31"/>
  <c r="C30" i="3" s="1"/>
  <c r="N43" i="27"/>
  <c r="B43" i="28" s="1"/>
  <c r="N15" i="27"/>
  <c r="B15" i="28" s="1"/>
  <c r="X14" i="31"/>
  <c r="K26" i="3" s="1"/>
  <c r="Q15" i="31"/>
  <c r="D27" i="3" s="1"/>
  <c r="U5" i="31"/>
  <c r="H17" i="3" s="1"/>
  <c r="P20" i="31"/>
  <c r="C32" i="3" s="1"/>
  <c r="P21" i="31"/>
  <c r="C33" i="3" s="1"/>
  <c r="W23" i="31"/>
  <c r="J35" i="3" s="1"/>
  <c r="U20" i="31"/>
  <c r="H32" i="3" s="1"/>
  <c r="W3" i="31"/>
  <c r="J15" i="3" s="1"/>
  <c r="M33" i="27"/>
  <c r="T5" i="31"/>
  <c r="G17" i="3" s="1"/>
  <c r="R14" i="31"/>
  <c r="E26" i="3" s="1"/>
  <c r="W17" i="31"/>
  <c r="J29" i="3" s="1"/>
  <c r="X2" i="31"/>
  <c r="K14" i="3" s="1"/>
  <c r="L21" i="27"/>
  <c r="A21" i="28" s="1"/>
  <c r="P37" i="27"/>
  <c r="D37" i="28" s="1"/>
  <c r="P40" i="27"/>
  <c r="D40" i="28" s="1"/>
  <c r="M37" i="27"/>
  <c r="M7" i="27"/>
  <c r="N28" i="27"/>
  <c r="B28" i="28" s="1"/>
  <c r="R15" i="31"/>
  <c r="E27" i="3" s="1"/>
  <c r="L42" i="27"/>
  <c r="A42" i="28" s="1"/>
  <c r="U17" i="31"/>
  <c r="H29" i="3" s="1"/>
  <c r="L11" i="27"/>
  <c r="A11" i="28" s="1"/>
  <c r="W12" i="31"/>
  <c r="J24" i="3" s="1"/>
  <c r="P6" i="31"/>
  <c r="C18" i="3" s="1"/>
  <c r="Y12" i="31"/>
  <c r="L24" i="3" s="1"/>
  <c r="Q10" i="31"/>
  <c r="D22" i="3" s="1"/>
  <c r="S26" i="31"/>
  <c r="F38" i="3" s="1"/>
  <c r="X16" i="31"/>
  <c r="K28" i="3" s="1"/>
  <c r="X13" i="31"/>
  <c r="K25" i="3" s="1"/>
  <c r="L43" i="27"/>
  <c r="A43" i="28" s="1"/>
  <c r="P12" i="31"/>
  <c r="C24" i="3" s="1"/>
  <c r="V21" i="31"/>
  <c r="I33" i="3" s="1"/>
  <c r="X6" i="31"/>
  <c r="K18" i="3" s="1"/>
  <c r="T26" i="31"/>
  <c r="G38" i="3" s="1"/>
  <c r="W19" i="31"/>
  <c r="J31" i="3" s="1"/>
  <c r="M4" i="27"/>
  <c r="U15" i="31"/>
  <c r="H27" i="3" s="1"/>
  <c r="U10" i="31"/>
  <c r="H22" i="3" s="1"/>
  <c r="Y28" i="31"/>
  <c r="L40" i="3" s="1"/>
  <c r="X17" i="31"/>
  <c r="K29" i="3" s="1"/>
  <c r="Y11" i="31"/>
  <c r="L23" i="3" s="1"/>
  <c r="Y19" i="31"/>
  <c r="L31" i="3" s="1"/>
  <c r="P24" i="27"/>
  <c r="D24" i="28" s="1"/>
  <c r="W20" i="31"/>
  <c r="J32" i="3" s="1"/>
  <c r="W16" i="31"/>
  <c r="J28" i="3" s="1"/>
  <c r="Q24" i="31"/>
  <c r="D36" i="3" s="1"/>
  <c r="S16" i="31"/>
  <c r="F28" i="3" s="1"/>
  <c r="S24" i="31"/>
  <c r="F36" i="3" s="1"/>
  <c r="P15" i="27"/>
  <c r="D15" i="28" s="1"/>
  <c r="P13" i="27"/>
  <c r="D13" i="28" s="1"/>
  <c r="V12" i="31"/>
  <c r="I24" i="3" s="1"/>
  <c r="P42" i="27"/>
  <c r="D42" i="28" s="1"/>
  <c r="S19" i="31"/>
  <c r="F31" i="3" s="1"/>
  <c r="V13" i="31"/>
  <c r="I25" i="3" s="1"/>
  <c r="Y6" i="31"/>
  <c r="L18" i="3" s="1"/>
  <c r="O8" i="31"/>
  <c r="B20" i="3" s="1"/>
  <c r="N13" i="27"/>
  <c r="B13" i="28" s="1"/>
  <c r="S14" i="31"/>
  <c r="F26" i="3" s="1"/>
  <c r="Q3" i="31"/>
  <c r="D15" i="3" s="1"/>
  <c r="N16" i="27"/>
  <c r="B16" i="28" s="1"/>
  <c r="M11" i="27"/>
  <c r="O28" i="31"/>
  <c r="B40" i="3" s="1"/>
  <c r="R2" i="31"/>
  <c r="E14" i="3" s="1"/>
  <c r="N11" i="27"/>
  <c r="B11" i="28" s="1"/>
  <c r="Y8" i="31"/>
  <c r="L20" i="3" s="1"/>
  <c r="M12" i="27"/>
  <c r="M14" i="27"/>
  <c r="Y7" i="31"/>
  <c r="L19" i="3" s="1"/>
  <c r="S7" i="31"/>
  <c r="F19" i="3" s="1"/>
  <c r="N7" i="27"/>
  <c r="B7" i="28" s="1"/>
  <c r="P10" i="31"/>
  <c r="C22" i="3" s="1"/>
  <c r="R19" i="31"/>
  <c r="E31" i="3" s="1"/>
  <c r="S13" i="31"/>
  <c r="F25" i="3" s="1"/>
  <c r="W15" i="31"/>
  <c r="J27" i="3" s="1"/>
  <c r="U23" i="31"/>
  <c r="H35" i="3" s="1"/>
  <c r="N40" i="27"/>
  <c r="B40" i="28" s="1"/>
  <c r="Y5" i="31"/>
  <c r="L17" i="3" s="1"/>
  <c r="V8" i="31"/>
  <c r="I20" i="3" s="1"/>
  <c r="L31" i="27"/>
  <c r="A31" i="28" s="1"/>
  <c r="Q18" i="31"/>
  <c r="D30" i="3" s="1"/>
  <c r="O23" i="31"/>
  <c r="B35" i="3" s="1"/>
  <c r="T25" i="31"/>
  <c r="G37" i="3" s="1"/>
  <c r="N32" i="27"/>
  <c r="B32" i="28" s="1"/>
  <c r="L39" i="27"/>
  <c r="A39" i="28" s="1"/>
  <c r="Y22" i="31"/>
  <c r="L34" i="3" s="1"/>
  <c r="L25" i="27"/>
  <c r="A25" i="28" s="1"/>
  <c r="U19" i="31"/>
  <c r="H31" i="3" s="1"/>
  <c r="P5" i="31"/>
  <c r="C17" i="3" s="1"/>
  <c r="V3" i="31"/>
  <c r="I15" i="3" s="1"/>
  <c r="O24" i="31"/>
  <c r="B36" i="3" s="1"/>
  <c r="W25" i="31"/>
  <c r="J37" i="3" s="1"/>
  <c r="N23" i="27"/>
  <c r="B23" i="28" s="1"/>
  <c r="N18" i="27"/>
  <c r="B18" i="28" s="1"/>
  <c r="P27" i="27"/>
  <c r="D27" i="28" s="1"/>
  <c r="P17" i="31"/>
  <c r="C29" i="3" s="1"/>
  <c r="R18" i="31"/>
  <c r="E30" i="3" s="1"/>
  <c r="P23" i="27"/>
  <c r="D23" i="28" s="1"/>
  <c r="V23" i="31"/>
  <c r="I35" i="3" s="1"/>
  <c r="U27" i="31"/>
  <c r="H39" i="3" s="1"/>
  <c r="M13" i="27"/>
  <c r="P4" i="27"/>
  <c r="D4" i="28" s="1"/>
  <c r="N12" i="27"/>
  <c r="B12" i="28" s="1"/>
  <c r="O13" i="31"/>
  <c r="B25" i="3" s="1"/>
  <c r="V7" i="31"/>
  <c r="I19" i="3" s="1"/>
  <c r="O19" i="31"/>
  <c r="B31" i="3" s="1"/>
  <c r="L30" i="27"/>
  <c r="A30" i="28" s="1"/>
  <c r="T19" i="31"/>
  <c r="G31" i="3" s="1"/>
  <c r="N6" i="27"/>
  <c r="B6" i="28" s="1"/>
  <c r="P18" i="27"/>
  <c r="D18" i="28" s="1"/>
  <c r="M17" i="27"/>
  <c r="P9" i="27"/>
  <c r="D9" i="28" s="1"/>
  <c r="N41" i="27"/>
  <c r="B41" i="28" s="1"/>
  <c r="X22" i="31"/>
  <c r="K34" i="3" s="1"/>
  <c r="V17" i="31"/>
  <c r="I29" i="3" s="1"/>
  <c r="R10" i="31"/>
  <c r="E22" i="3" s="1"/>
  <c r="Q5" i="31"/>
  <c r="D17" i="3" s="1"/>
  <c r="W8" i="31"/>
  <c r="J20" i="3" s="1"/>
  <c r="N2" i="27"/>
  <c r="B2" i="28" s="1"/>
  <c r="O10" i="31"/>
  <c r="B22" i="3" s="1"/>
  <c r="P39" i="27"/>
  <c r="D39" i="28" s="1"/>
  <c r="M18" i="27"/>
  <c r="M6" i="27"/>
  <c r="L36" i="27"/>
  <c r="A36" i="28" s="1"/>
  <c r="T12" i="31"/>
  <c r="G24" i="3" s="1"/>
  <c r="U24" i="31"/>
  <c r="H36" i="3" s="1"/>
  <c r="P31" i="27"/>
  <c r="D31" i="28" s="1"/>
  <c r="V2" i="31"/>
  <c r="I14" i="3" s="1"/>
  <c r="N42" i="27"/>
  <c r="B42" i="28" s="1"/>
  <c r="X15" i="31"/>
  <c r="K27" i="3" s="1"/>
  <c r="V11" i="31"/>
  <c r="I23" i="3" s="1"/>
  <c r="R22" i="31"/>
  <c r="E34" i="3" s="1"/>
  <c r="S8" i="31"/>
  <c r="F20" i="3" s="1"/>
  <c r="S20" i="31"/>
  <c r="F32" i="3" s="1"/>
  <c r="T22" i="31"/>
  <c r="G34" i="3" s="1"/>
  <c r="T16" i="31"/>
  <c r="G28" i="3" s="1"/>
  <c r="M24" i="27"/>
  <c r="M35" i="27"/>
  <c r="P12" i="27"/>
  <c r="D12" i="28" s="1"/>
  <c r="Y16" i="31"/>
  <c r="L28" i="3" s="1"/>
  <c r="N30" i="27"/>
  <c r="B30" i="28" s="1"/>
  <c r="P43" i="27"/>
  <c r="D43" i="28" s="1"/>
  <c r="P41" i="27"/>
  <c r="D41" i="28" s="1"/>
  <c r="P26" i="27"/>
  <c r="D26" i="28" s="1"/>
  <c r="P27" i="31"/>
  <c r="C39" i="3" s="1"/>
  <c r="W11" i="31"/>
  <c r="J23" i="3" s="1"/>
  <c r="P14" i="27"/>
  <c r="D14" i="28" s="1"/>
  <c r="S10" i="31"/>
  <c r="F22" i="3" s="1"/>
  <c r="P25" i="27"/>
  <c r="D25" i="28" s="1"/>
  <c r="P34" i="27"/>
  <c r="D34" i="28" s="1"/>
  <c r="N39" i="27"/>
  <c r="B39" i="28" s="1"/>
  <c r="L10" i="27"/>
  <c r="A10" i="28" s="1"/>
  <c r="U4" i="31"/>
  <c r="H16" i="3" s="1"/>
  <c r="U12" i="31"/>
  <c r="H24" i="3" s="1"/>
  <c r="U7" i="31"/>
  <c r="H19" i="3" s="1"/>
  <c r="T3" i="31"/>
  <c r="G15" i="3" s="1"/>
  <c r="T18" i="31"/>
  <c r="G30" i="3" s="1"/>
  <c r="X5" i="31"/>
  <c r="K17" i="3" s="1"/>
  <c r="V27" i="31"/>
  <c r="I39" i="3" s="1"/>
  <c r="Y25" i="31"/>
  <c r="L37" i="3" s="1"/>
  <c r="N4" i="27"/>
  <c r="B4" i="28" s="1"/>
  <c r="M40" i="27"/>
  <c r="Q9" i="31"/>
  <c r="D21" i="3" s="1"/>
  <c r="X27" i="31"/>
  <c r="K39" i="3" s="1"/>
  <c r="N29" i="27"/>
  <c r="B29" i="28" s="1"/>
  <c r="Y17" i="31"/>
  <c r="L29" i="3" s="1"/>
  <c r="P28" i="31"/>
  <c r="C40" i="3" s="1"/>
  <c r="X8" i="31"/>
  <c r="K20" i="3" s="1"/>
  <c r="P23" i="31"/>
  <c r="C35" i="3" s="1"/>
  <c r="L34" i="27"/>
  <c r="A34" i="28" s="1"/>
  <c r="L8" i="27"/>
  <c r="A8" i="28" s="1"/>
  <c r="S3" i="31"/>
  <c r="F15" i="3" s="1"/>
  <c r="S12" i="31"/>
  <c r="F24" i="3" s="1"/>
  <c r="Q8" i="31"/>
  <c r="D20" i="3" s="1"/>
  <c r="S28" i="31"/>
  <c r="F40" i="3" s="1"/>
  <c r="Q11" i="31"/>
  <c r="D23" i="3" s="1"/>
  <c r="U28" i="31"/>
  <c r="H40" i="3" s="1"/>
  <c r="R26" i="31"/>
  <c r="E38" i="3" s="1"/>
  <c r="O2" i="31"/>
  <c r="B14" i="3" s="1"/>
  <c r="N11" i="3" s="1" a="1"/>
  <c r="N11" i="3" s="1"/>
  <c r="Q6" i="31"/>
  <c r="D18" i="3" s="1"/>
  <c r="R16" i="31"/>
  <c r="E28" i="3" s="1"/>
  <c r="U21" i="31"/>
  <c r="H33" i="3" s="1"/>
  <c r="O14" i="31"/>
  <c r="B26" i="3" s="1"/>
  <c r="P30" i="27"/>
  <c r="D30" i="28" s="1"/>
  <c r="L24" i="27"/>
  <c r="A24" i="28" s="1"/>
  <c r="W9" i="31"/>
  <c r="J21" i="3" s="1"/>
  <c r="V5" i="31"/>
  <c r="I17" i="3" s="1"/>
  <c r="R4" i="31"/>
  <c r="E16" i="3" s="1"/>
  <c r="S21" i="31"/>
  <c r="F33" i="3" s="1"/>
  <c r="N26" i="27"/>
  <c r="B26" i="28" s="1"/>
  <c r="U26" i="31"/>
  <c r="H38" i="3" s="1"/>
  <c r="M19" i="27"/>
  <c r="T20" i="31"/>
  <c r="G32" i="3" s="1"/>
  <c r="T2" i="31"/>
  <c r="G14" i="3" s="1"/>
  <c r="O22" i="31"/>
  <c r="B34" i="3" s="1"/>
  <c r="P10" i="27"/>
  <c r="D10" i="28" s="1"/>
  <c r="L18" i="27"/>
  <c r="A18" i="28" s="1"/>
  <c r="R25" i="31"/>
  <c r="E37" i="3" s="1"/>
  <c r="M3" i="27"/>
  <c r="V24" i="31"/>
  <c r="I36" i="3" s="1"/>
  <c r="N20" i="27"/>
  <c r="B20" i="28" s="1"/>
  <c r="N31" i="27"/>
  <c r="B31" i="28" s="1"/>
  <c r="M5" i="27"/>
  <c r="R21" i="31"/>
  <c r="E33" i="3" s="1"/>
  <c r="L13" i="27"/>
  <c r="A13" i="28" s="1"/>
  <c r="W22" i="31"/>
  <c r="J34" i="3" s="1"/>
  <c r="Q4" i="31"/>
  <c r="D16" i="3" s="1"/>
  <c r="P26" i="31"/>
  <c r="C38" i="3" s="1"/>
  <c r="U2" i="31"/>
  <c r="H14" i="3" s="1"/>
  <c r="X9" i="31"/>
  <c r="K21" i="3" s="1"/>
  <c r="N24" i="27"/>
  <c r="B24" i="28" s="1"/>
  <c r="O5" i="31"/>
  <c r="B17" i="3" s="1"/>
  <c r="P16" i="31"/>
  <c r="C28" i="3" s="1"/>
  <c r="L26" i="27"/>
  <c r="A26" i="28" s="1"/>
  <c r="M26" i="27"/>
  <c r="M34" i="27"/>
  <c r="N22" i="27"/>
  <c r="B22" i="28" s="1"/>
  <c r="L16" i="27"/>
  <c r="A16" i="28" s="1"/>
  <c r="M36" i="27"/>
  <c r="M38" i="27"/>
  <c r="N35" i="27"/>
  <c r="B35" i="28" s="1"/>
  <c r="L6" i="27"/>
  <c r="A6" i="28" s="1"/>
  <c r="N9" i="27"/>
  <c r="B9" i="28" s="1"/>
  <c r="V19" i="31"/>
  <c r="I31" i="3" s="1"/>
  <c r="M8" i="27"/>
  <c r="O3" i="31"/>
  <c r="B15" i="3" s="1"/>
  <c r="I13" i="3" l="1"/>
  <c r="J12" i="3"/>
  <c r="H13" i="3"/>
  <c r="G12" i="3"/>
  <c r="E13" i="3"/>
  <c r="D13" i="3"/>
  <c r="D12" i="3"/>
  <c r="C10" i="3"/>
  <c r="L13" i="3"/>
  <c r="C11" i="3"/>
  <c r="F13" i="3"/>
  <c r="K12" i="3"/>
  <c r="B12" i="3"/>
  <c r="C1" i="3" s="1"/>
  <c r="C12" i="3"/>
  <c r="K13" i="3"/>
  <c r="G1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Roxana Rentea</author>
  </authors>
  <commentList>
    <comment ref="C6" authorId="0" shapeId="0" xr:uid="{00000000-0006-0000-0000-000001000000}">
      <text>
        <r>
          <rPr>
            <sz val="8"/>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C12" authorId="0" shapeId="0" xr:uid="{6AC3790B-47CC-4F4B-A617-6EF0BF71AEA0}">
      <text>
        <r>
          <rPr>
            <sz val="9"/>
            <color indexed="81"/>
            <rFont val="Arial"/>
            <family val="2"/>
          </rPr>
          <t>Institute code for settlement with the social insurance institutions (9-digit number sequence: 26XXXXXXX).
Processing is only required for centers located in Germany.</t>
        </r>
      </text>
    </comment>
    <comment ref="O12" authorId="0" shapeId="0" xr:uid="{00000000-0006-0000-0000-000004000000}">
      <text>
        <r>
          <rPr>
            <sz val="9"/>
            <color indexed="81"/>
            <rFont val="Arial"/>
            <family val="2"/>
          </rPr>
          <t>dd.mm.yyyy
Data are automatically transferred to other spreadsheets</t>
        </r>
      </text>
    </comment>
    <comment ref="C14" authorId="0" shapeId="0" xr:uid="{3CC0A5EF-3616-484F-A91F-162595C1F71A}">
      <text>
        <r>
          <rPr>
            <sz val="9"/>
            <color indexed="81"/>
            <rFont val="Arial"/>
            <family val="2"/>
          </rPr>
          <t>Identifier assigned by the Institute for the Hospital Remuneration System (InEK) (9-digit number sequence: 77XXXXXXX).
Processing is only required for centers located in Germany.</t>
        </r>
      </text>
    </comment>
    <comment ref="O14" authorId="0" shapeId="0" xr:uid="{00000000-0006-0000-0000-000005000000}">
      <text>
        <r>
          <rPr>
            <sz val="9"/>
            <color indexed="81"/>
            <rFont val="Arial"/>
            <family val="2"/>
          </rPr>
          <t>Selection by Reg. No.</t>
        </r>
      </text>
    </comment>
    <comment ref="C16" authorId="0" shapeId="0" xr:uid="{00000000-0006-0000-0000-000003000000}">
      <text>
        <r>
          <rPr>
            <sz val="9"/>
            <color indexed="81"/>
            <rFont val="Arial"/>
            <family val="2"/>
          </rPr>
          <t>Name, First name</t>
        </r>
      </text>
    </comment>
    <comment ref="P29" authorId="1" shapeId="0" xr:uid="{0F7EE299-F8F0-48E4-AE34-D54AC50591EC}">
      <text>
        <r>
          <rPr>
            <sz val="9"/>
            <color indexed="81"/>
            <rFont val="Arial"/>
            <family val="2"/>
          </rPr>
          <t>Other treatment = e.g.
• Ablative radiation of lymph nodes and/or distant metastases (SBRT) in cases of oligometastasis (MTD)
• Palliative radiation of lymph nodes and/or distant metastases
• Best supportive care (BSC)
• Other (including radioligands) / no treatment</t>
        </r>
      </text>
    </comment>
    <comment ref="J30" authorId="1" shapeId="0" xr:uid="{0FE8164F-AAD9-459E-BF82-FECB0BB0A396}">
      <text>
        <r>
          <rPr>
            <sz val="9"/>
            <color indexed="81"/>
            <rFont val="Arial"/>
            <family val="2"/>
          </rPr>
          <t>Definitive percutaneous radiotherapy =
• Definitive radiotherapy for primary diagnosis of locally confined/locally advanced disease (standard fractionation/hypofractionation/extreme hypofractionation)
• Local radiotherapy for (oligo)metastatic prostate cancer (primary treatment)
• Salvage radiotherapy for recurrence</t>
        </r>
      </text>
    </comment>
    <comment ref="D33" authorId="0" shapeId="0" xr:uid="{00000000-0006-0000-0000-000007000000}">
      <text>
        <r>
          <rPr>
            <sz val="9"/>
            <color indexed="81"/>
            <rFont val="Arial"/>
            <family val="2"/>
          </rPr>
          <t>Numerator IN: 4
Part of denominator IN: 4, 21</t>
        </r>
      </text>
    </comment>
    <comment ref="E33" authorId="0" shapeId="0" xr:uid="{27AA21D4-C81F-4A83-9E57-C364C0AA90EF}">
      <text>
        <r>
          <rPr>
            <sz val="9"/>
            <color indexed="81"/>
            <rFont val="Arial"/>
            <family val="2"/>
          </rPr>
          <t>Part of denominator IN: 4, 21</t>
        </r>
      </text>
    </comment>
    <comment ref="F33" authorId="1" shapeId="0" xr:uid="{AEB1995E-6FF1-4EE9-A7EA-03DB42F11223}">
      <text>
        <r>
          <rPr>
            <sz val="9"/>
            <color indexed="81"/>
            <rFont val="Arial"/>
            <family val="2"/>
          </rPr>
          <t>Part of numerator IN: 20, 21
Part of denominator IN: 4, 21</t>
        </r>
      </text>
    </comment>
    <comment ref="G33" authorId="1" shapeId="0" xr:uid="{841034AA-BE46-43D5-8FB6-5F07A2705D6F}">
      <text>
        <r>
          <rPr>
            <sz val="9"/>
            <color indexed="81"/>
            <rFont val="Arial"/>
            <family val="2"/>
          </rPr>
          <t>Part of numerator IN: 20, 21
Part of denominator IN: 4, 21</t>
        </r>
      </text>
    </comment>
    <comment ref="H33" authorId="1" shapeId="0" xr:uid="{004840CB-814E-4DC8-9F38-FBB31C9E47E3}">
      <text>
        <r>
          <rPr>
            <sz val="9"/>
            <color indexed="81"/>
            <rFont val="Arial"/>
            <family val="2"/>
          </rPr>
          <t>Part of numerator IN: 20, 21
Part of denominator IN: 4, 21</t>
        </r>
      </text>
    </comment>
    <comment ref="J33" authorId="0" shapeId="0" xr:uid="{52A669E5-EA02-457D-9DEE-8D672D9959C6}">
      <text>
        <r>
          <rPr>
            <sz val="9"/>
            <color indexed="81"/>
            <rFont val="Arial"/>
            <family val="2"/>
          </rPr>
          <t>Part of denominator IN: 4, 21</t>
        </r>
      </text>
    </comment>
    <comment ref="K33" authorId="0" shapeId="0" xr:uid="{BF196746-A11E-4853-8547-09C12D5095B5}">
      <text>
        <r>
          <rPr>
            <sz val="9"/>
            <color indexed="81"/>
            <rFont val="Arial"/>
            <family val="2"/>
          </rPr>
          <t>Part of denominator IN: 4, 21</t>
        </r>
      </text>
    </comment>
    <comment ref="L33" authorId="0" shapeId="0" xr:uid="{C4776599-8392-45D8-A80B-D2B9BD634583}">
      <text>
        <r>
          <rPr>
            <sz val="9"/>
            <color indexed="81"/>
            <rFont val="Arial"/>
            <family val="2"/>
          </rPr>
          <t>Part of denominator IN: 4, 21</t>
        </r>
      </text>
    </comment>
    <comment ref="M33" authorId="0" shapeId="0" xr:uid="{B6ACCA6F-5119-4ACA-9E96-B438A641D324}">
      <text>
        <r>
          <rPr>
            <sz val="9"/>
            <color indexed="81"/>
            <rFont val="Arial"/>
            <family val="2"/>
          </rPr>
          <t>Part of denominator IN: 4, 21</t>
        </r>
      </text>
    </comment>
    <comment ref="N33" authorId="0" shapeId="0" xr:uid="{3D90098A-76C1-4E05-B127-344348DFE7F2}">
      <text>
        <r>
          <rPr>
            <sz val="9"/>
            <color indexed="81"/>
            <rFont val="Arial"/>
            <family val="2"/>
          </rPr>
          <t>Part of denominator IN: 4, 21</t>
        </r>
      </text>
    </comment>
    <comment ref="O33" authorId="0" shapeId="0" xr:uid="{D4760537-2664-43F5-81B1-1C8A862CC53E}">
      <text>
        <r>
          <rPr>
            <sz val="9"/>
            <color indexed="81"/>
            <rFont val="Arial"/>
            <family val="2"/>
          </rPr>
          <t>Part of denominator IN: 4, 21</t>
        </r>
      </text>
    </comment>
    <comment ref="P33" authorId="0" shapeId="0" xr:uid="{571A6020-4800-419E-AC6D-EE2DC2811AB7}">
      <text>
        <r>
          <rPr>
            <sz val="9"/>
            <color indexed="81"/>
            <rFont val="Arial"/>
            <family val="2"/>
          </rPr>
          <t>Part of denominator IN: 4, 21</t>
        </r>
      </text>
    </comment>
    <comment ref="Q33" authorId="0" shapeId="0" xr:uid="{00000000-0006-0000-0000-000008000000}">
      <text>
        <r>
          <rPr>
            <sz val="9"/>
            <color indexed="81"/>
            <rFont val="Arial"/>
            <family val="2"/>
          </rPr>
          <t>Number IN: 1b)1</t>
        </r>
      </text>
    </comment>
    <comment ref="Q34" authorId="0" shapeId="0" xr:uid="{00000000-0006-0000-0000-000009000000}">
      <text>
        <r>
          <rPr>
            <sz val="9"/>
            <color indexed="81"/>
            <rFont val="Arial"/>
            <family val="2"/>
          </rPr>
          <t>Number IN: 1b)2</t>
        </r>
      </text>
    </comment>
    <comment ref="J35" authorId="0" shapeId="0" xr:uid="{690FD206-D502-4606-923C-C354E34717AF}">
      <text>
        <r>
          <rPr>
            <sz val="9"/>
            <color indexed="81"/>
            <rFont val="Arial"/>
            <family val="2"/>
          </rPr>
          <t>Part of numerator IN: 5</t>
        </r>
      </text>
    </comment>
    <comment ref="K35" authorId="0" shapeId="0" xr:uid="{460B2726-F246-4921-A534-D8C3600C365A}">
      <text>
        <r>
          <rPr>
            <sz val="9"/>
            <color indexed="81"/>
            <rFont val="Arial"/>
            <family val="2"/>
          </rPr>
          <t>Part of numerator IN: 5</t>
        </r>
      </text>
    </comment>
    <comment ref="Q35" authorId="0" shapeId="0" xr:uid="{00000000-0006-0000-0000-00000B000000}">
      <text>
        <r>
          <rPr>
            <sz val="9"/>
            <color indexed="81"/>
            <rFont val="Arial"/>
            <family val="2"/>
          </rPr>
          <t>Number IN: 1b)3</t>
        </r>
      </text>
    </comment>
    <comment ref="F40" authorId="1" shapeId="0" xr:uid="{C1E886E4-D399-487D-8A6D-687D0DEA9A2A}">
      <text>
        <r>
          <rPr>
            <sz val="9"/>
            <color indexed="81"/>
            <rFont val="Arial"/>
            <family val="2"/>
          </rPr>
          <t>Part of denominator IN: 20</t>
        </r>
      </text>
    </comment>
    <comment ref="G40" authorId="1" shapeId="0" xr:uid="{1C73F417-67ED-40BB-82FD-6602698FB5CE}">
      <text>
        <r>
          <rPr>
            <sz val="9"/>
            <color indexed="81"/>
            <rFont val="Arial"/>
            <family val="2"/>
          </rPr>
          <t>Part of denominator IN: 20</t>
        </r>
      </text>
    </comment>
    <comment ref="H40" authorId="1" shapeId="0" xr:uid="{D3260B38-F34A-4ADF-90F9-9A85E490A546}">
      <text>
        <r>
          <rPr>
            <sz val="9"/>
            <color indexed="81"/>
            <rFont val="Arial"/>
            <family val="2"/>
          </rPr>
          <t>Part of denominator IN: 20</t>
        </r>
      </text>
    </comment>
    <comment ref="J40" authorId="0" shapeId="0" xr:uid="{00000000-0006-0000-0000-00000C000000}">
      <text>
        <r>
          <rPr>
            <sz val="9"/>
            <color indexed="81"/>
            <rFont val="Arial"/>
            <family val="2"/>
          </rPr>
          <t>Part of numerator IN: 11</t>
        </r>
      </text>
    </comment>
    <comment ref="K40" authorId="0" shapeId="0" xr:uid="{F2778176-6D33-4230-BA45-CE6FDDDDE51C}">
      <text>
        <r>
          <rPr>
            <sz val="9"/>
            <color indexed="81"/>
            <rFont val="Arial"/>
            <family val="2"/>
          </rPr>
          <t>Part of numerator IN: 11</t>
        </r>
      </text>
    </comment>
    <comment ref="M40" authorId="0" shapeId="0" xr:uid="{00000000-0006-0000-0000-00000D000000}">
      <text>
        <r>
          <rPr>
            <sz val="9"/>
            <color indexed="81"/>
            <rFont val="Arial"/>
            <family val="2"/>
          </rPr>
          <t>Numerator IN: 13</t>
        </r>
      </text>
    </comment>
    <comment ref="Q40" authorId="0" shapeId="0" xr:uid="{00000000-0006-0000-0000-00000E000000}">
      <text>
        <r>
          <rPr>
            <sz val="9"/>
            <color indexed="81"/>
            <rFont val="Arial"/>
            <family val="2"/>
          </rPr>
          <t>Number IN: 1a)
Part of denominator IN: 6, 7
Denominator IN: 8, 11, 13</t>
        </r>
      </text>
    </comment>
    <comment ref="Q45" authorId="0" shapeId="0" xr:uid="{00000000-0006-0000-0000-00000F000000}">
      <text>
        <r>
          <rPr>
            <sz val="9"/>
            <color indexed="81"/>
            <rFont val="Arial"/>
            <family val="2"/>
          </rPr>
          <t>Part of number IN: 1c)
Part of denominator IN: 3c, 6, 7</t>
        </r>
      </text>
    </comment>
    <comment ref="Q46" authorId="0" shapeId="0" xr:uid="{00000000-0006-0000-0000-000010000000}">
      <text>
        <r>
          <rPr>
            <sz val="9"/>
            <color indexed="81"/>
            <rFont val="Arial"/>
            <family val="2"/>
          </rPr>
          <t>Part of number IN: 1c)
Part of denominator IN: 3c, 6, 7</t>
        </r>
      </text>
    </comment>
    <comment ref="Q53" authorId="0" shapeId="0" xr:uid="{00000000-0006-0000-0000-000011000000}">
      <text>
        <r>
          <rPr>
            <sz val="9"/>
            <color indexed="81"/>
            <rFont val="Arial"/>
            <family val="2"/>
          </rPr>
          <t>Number IN: 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EE063E99-02EB-44CA-ADF3-A1CF5884C62E}">
      <text>
        <r>
          <rPr>
            <sz val="9"/>
            <color indexed="81"/>
            <rFont val="Arial"/>
            <family val="2"/>
          </rPr>
          <t>Numerator IN: 8</t>
        </r>
      </text>
    </comment>
    <comment ref="A9" authorId="0" shapeId="0" xr:uid="{8CF4E4EC-20AD-44EF-B587-6AE2F44374A4}">
      <text>
        <r>
          <rPr>
            <sz val="9"/>
            <color indexed="81"/>
            <rFont val="Arial"/>
            <family val="2"/>
          </rPr>
          <t>Responsible cooperation partner:  
- Intern: Study unit/department responsible for the supervision of the study (e.g. Department of Radio-oncology; Haematology/Oncology Group Practice Dr Example; ...). Name of co-operation partner identical to www.oncomap.de, if listed.
- External: centre (name as listed at www.oncomap.de) or clinic</t>
        </r>
      </text>
    </comment>
    <comment ref="D10" authorId="0" shapeId="0" xr:uid="{CE17A0D6-F1F1-47D3-8B90-5C12CEF0589E}">
      <text>
        <r>
          <rPr>
            <sz val="9"/>
            <color indexed="81"/>
            <rFont val="Arial"/>
            <family val="2"/>
          </rPr>
          <t>Optional, see section 1.7.5</t>
        </r>
      </text>
    </comment>
    <comment ref="E10" authorId="0" shapeId="0" xr:uid="{28308756-491B-4B9D-9F3D-F4E731CE2B2B}">
      <text>
        <r>
          <rPr>
            <sz val="9"/>
            <color indexed="81"/>
            <rFont val="Arial"/>
            <family val="2"/>
          </rPr>
          <t>Optional, see section 1.7.5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OnkoZert - Roxana Rentea</author>
  </authors>
  <commentList>
    <comment ref="C6" authorId="0" shapeId="0" xr:uid="{6FA60E85-3783-4512-BD73-616D465C333E}">
      <text>
        <r>
          <rPr>
            <sz val="9"/>
            <color indexed="81"/>
            <rFont val="Arial"/>
            <family val="2"/>
          </rPr>
          <t>Relevant for multi-site centres or in the event that a surgeon is regularly active as a surgeon at several clinical sites/centre (surgical expertise must be differentiated clinical sites/centre)</t>
        </r>
      </text>
    </comment>
    <comment ref="D6" authorId="0" shapeId="0" xr:uid="{F57594C7-52A6-4D5B-BEEA-F0FCED403E3C}">
      <text>
        <r>
          <rPr>
            <sz val="9"/>
            <color indexed="81"/>
            <rFont val="Arial"/>
            <family val="2"/>
          </rPr>
          <t>Period usually the previous calendar year (= indicator year); deviations e.g. in case of staff turnover, appointment of surgeons during the year; in case of unclear fulfilment, 1 surgeon can also be listed twice for 2 periods (e.g. last calendar year and current year until date of submission CR)</t>
        </r>
      </text>
    </comment>
    <comment ref="E6" authorId="0" shapeId="0" xr:uid="{44D9977D-94D0-4F55-A69E-237EC497F907}">
      <text>
        <r>
          <rPr>
            <sz val="9"/>
            <color indexed="81"/>
            <rFont val="Arial"/>
            <family val="2"/>
          </rPr>
          <t>Every prostate surgeon must demonstrate at least 25 prostatectomies per year or 75 prostatectomies over a period of five years.</t>
        </r>
      </text>
    </comment>
    <comment ref="E25" authorId="1" shapeId="0" xr:uid="{9916221F-A15E-4FE1-83CC-D922FCB74E68}">
      <text>
        <r>
          <rPr>
            <sz val="9"/>
            <color indexed="81"/>
            <rFont val="Arial"/>
            <family val="2"/>
          </rPr>
          <t>Total ‘’Surgery primary cases‘’ basic data may differ from the total number of surgeries per surgeon.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Florina</author>
    <author>OnkoZert - Roxana Rentea</author>
    <author>OnkoZert - Florina Dudu</author>
  </authors>
  <commentList>
    <comment ref="E4" authorId="0" shapeId="0" xr:uid="{00000000-0006-0000-0400-000002000000}">
      <text>
        <r>
          <rPr>
            <sz val="9"/>
            <color indexed="81"/>
            <rFont val="Arial"/>
            <family val="2"/>
          </rPr>
          <t>Carry-over from spreadsheet Basic data</t>
        </r>
      </text>
    </comment>
    <comment ref="H4" authorId="0" shapeId="0" xr:uid="{32875683-F00E-4F6C-9B47-3C90D5349929}">
      <text>
        <r>
          <rPr>
            <sz val="9"/>
            <color indexed="81"/>
            <rFont val="Arial"/>
            <family val="2"/>
          </rPr>
          <t>Carry-over from spreadsheet Basic data</t>
        </r>
      </text>
    </comment>
    <comment ref="B6" authorId="0" shapeId="0" xr:uid="{00000000-0006-0000-0400-000004000000}">
      <text>
        <r>
          <rPr>
            <sz val="9"/>
            <color indexed="81"/>
            <rFont val="Arial"/>
            <family val="2"/>
          </rPr>
          <t>IN = Indicator</t>
        </r>
      </text>
    </comment>
    <comment ref="D6" authorId="0" shapeId="0" xr:uid="{00000000-0006-0000-0400-000005000000}">
      <text>
        <r>
          <rPr>
            <sz val="9"/>
            <color indexed="81"/>
            <rFont val="Arial"/>
            <family val="2"/>
          </rPr>
          <t>CR = Catalogue of Requirements
GL QI = guideline derived quality indicator</t>
        </r>
      </text>
    </comment>
    <comment ref="P6" authorId="0" shapeId="0" xr:uid="{00000000-0006-0000-0400-000006000000}">
      <text>
        <r>
          <rPr>
            <sz val="9"/>
            <color indexed="81"/>
            <rFont val="Arial"/>
            <family val="2"/>
          </rPr>
          <t>Please first completely process the spreadsheet Basic Data, then complete grey fields Current Values.</t>
        </r>
      </text>
    </comment>
    <comment ref="S7" authorId="0" shapeId="0" xr:uid="{00000000-0006-0000-0400-000007000000}">
      <text>
        <r>
          <rPr>
            <sz val="9"/>
            <color indexed="81"/>
            <rFont val="Arial"/>
            <family val="2"/>
          </rPr>
          <t xml:space="preserve">When data field is grey, please provide explanation for the obtained results (for this IN) </t>
        </r>
      </text>
    </comment>
    <comment ref="Q8" authorId="0" shapeId="0" xr:uid="{00000000-0006-0000-0400-000008000000}">
      <text>
        <r>
          <rPr>
            <sz val="9"/>
            <color indexed="81"/>
            <rFont val="Arial"/>
            <family val="2"/>
          </rPr>
          <t>Carry-over from spreadsheet Basic data Primary cases 
Cell Q40</t>
        </r>
      </text>
    </comment>
    <comment ref="Q11" authorId="0" shapeId="0" xr:uid="{00000000-0006-0000-0400-000009000000}">
      <text>
        <r>
          <rPr>
            <sz val="9"/>
            <color indexed="81"/>
            <rFont val="Arial"/>
            <family val="2"/>
          </rPr>
          <t>Carry-over from spreadsheet Basic data Cell Q33</t>
        </r>
      </text>
    </comment>
    <comment ref="Q14" authorId="0" shapeId="0" xr:uid="{00000000-0006-0000-0400-00000A000000}">
      <text>
        <r>
          <rPr>
            <sz val="9"/>
            <color indexed="81"/>
            <rFont val="Arial"/>
            <family val="2"/>
          </rPr>
          <t>Carry-over from spreadsheet Basic data Cell Q34</t>
        </r>
      </text>
    </comment>
    <comment ref="Q17" authorId="0" shapeId="0" xr:uid="{00000000-0006-0000-0400-00000B000000}">
      <text>
        <r>
          <rPr>
            <sz val="9"/>
            <color indexed="81"/>
            <rFont val="Arial"/>
            <family val="2"/>
          </rPr>
          <t>Carry-over from spreadsheet Basic data Cell Q35</t>
        </r>
      </text>
    </comment>
    <comment ref="Q20" authorId="1" shapeId="0" xr:uid="{00000000-0006-0000-0400-00000C000000}">
      <text>
        <r>
          <rPr>
            <sz val="9"/>
            <color indexed="81"/>
            <rFont val="Arial"/>
            <family val="2"/>
          </rPr>
          <t>Carry-over from spreadsheet Basic data Cell Q45 + Q46</t>
        </r>
      </text>
    </comment>
    <comment ref="Q24" authorId="0" shapeId="0" xr:uid="{00000000-0006-0000-0400-00000D000000}">
      <text>
        <r>
          <rPr>
            <sz val="9"/>
            <color indexed="81"/>
            <rFont val="Arial"/>
            <family val="2"/>
          </rPr>
          <t>Service provider urology</t>
        </r>
      </text>
    </comment>
    <comment ref="Q27" authorId="0" shapeId="0" xr:uid="{00000000-0006-0000-0400-00000E000000}">
      <text>
        <r>
          <rPr>
            <sz val="9"/>
            <color indexed="81"/>
            <rFont val="Arial"/>
            <family val="2"/>
          </rPr>
          <t>Service provider radiotherapy</t>
        </r>
      </text>
    </comment>
    <comment ref="Q36" authorId="0" shapeId="0" xr:uid="{00000000-0006-0000-0400-00000F000000}">
      <text>
        <r>
          <rPr>
            <sz val="9"/>
            <color indexed="81"/>
            <rFont val="Arial"/>
            <family val="2"/>
          </rPr>
          <t>Carry-over from spreadsheet Basic data Cell Q45 + Q46</t>
        </r>
      </text>
    </comment>
    <comment ref="Q38" authorId="0" shapeId="0" xr:uid="{00000000-0006-0000-0400-000010000000}">
      <text>
        <r>
          <rPr>
            <sz val="9"/>
            <color indexed="81"/>
            <rFont val="Arial"/>
            <family val="2"/>
          </rPr>
          <t>Carry-over from spreadsheet Basic data Cell D33</t>
        </r>
      </text>
    </comment>
    <comment ref="Q39" authorId="0" shapeId="0" xr:uid="{00000000-0006-0000-0400-000011000000}">
      <text>
        <r>
          <rPr>
            <sz val="9"/>
            <color indexed="81"/>
            <rFont val="Arial"/>
            <family val="2"/>
          </rPr>
          <t>Carry over from spreadsheet Basic data Cell D33 to H33 and J33 to P33</t>
        </r>
      </text>
    </comment>
    <comment ref="Q42" authorId="0" shapeId="0" xr:uid="{00000000-0006-0000-0400-000012000000}">
      <text>
        <r>
          <rPr>
            <sz val="9"/>
            <color indexed="81"/>
            <rFont val="Arial"/>
            <family val="2"/>
          </rPr>
          <t>Carry-over from spreadsheet Basic data Cell J35 + K35</t>
        </r>
      </text>
    </comment>
    <comment ref="E44" authorId="2" shapeId="0" xr:uid="{EFB7D3B5-FA54-42A2-84E6-46EB6A0ABA5C}">
      <text>
        <r>
          <rPr>
            <sz val="9"/>
            <color indexed="81"/>
            <rFont val="Arial"/>
            <family val="2"/>
          </rPr>
          <t>Screening instruments can be found in the S3 guideline Psycho-oncological diagnosis, counselling and treatment of adult cancer patients.</t>
        </r>
      </text>
    </comment>
    <comment ref="H44" authorId="2" shapeId="0" xr:uid="{422E8804-D2AF-41E1-8FF6-716FC712D35C}">
      <text>
        <r>
          <rPr>
            <sz val="9"/>
            <color indexed="81"/>
            <rFont val="Arial"/>
            <family val="2"/>
          </rPr>
          <t>Distress-screnning includes  the use of a valid distress instrument (analogous to the S3 guideline on psycho-oncological diagnosis, counselling and treatment of adult cancer patient).</t>
        </r>
      </text>
    </comment>
    <comment ref="Q45" authorId="0" shapeId="0" xr:uid="{00000000-0006-0000-0400-000013000000}">
      <text>
        <r>
          <rPr>
            <sz val="9"/>
            <color indexed="81"/>
            <rFont val="Arial"/>
            <family val="2"/>
          </rPr>
          <t>Number IN 1a + Number IN 1c</t>
        </r>
      </text>
    </comment>
    <comment ref="Q48" authorId="0" shapeId="0" xr:uid="{00000000-0006-0000-0400-000014000000}">
      <text>
        <r>
          <rPr>
            <sz val="9"/>
            <color indexed="81"/>
            <rFont val="Arial"/>
            <family val="2"/>
          </rPr>
          <t>Number IN 1a + Number IN 1c</t>
        </r>
      </text>
    </comment>
    <comment ref="Q50" authorId="0" shapeId="0" xr:uid="{00000000-0006-0000-0400-000015000000}">
      <text>
        <r>
          <rPr>
            <sz val="9"/>
            <color indexed="81"/>
            <rFont val="Arial"/>
            <family val="2"/>
          </rPr>
          <t>Numerator is no subset of the denominator.
Carry-over from spreadsheet Studies Cell E5</t>
        </r>
      </text>
    </comment>
    <comment ref="Q51" authorId="0" shapeId="0" xr:uid="{00000000-0006-0000-0400-000016000000}">
      <text>
        <r>
          <rPr>
            <sz val="9"/>
            <color indexed="81"/>
            <rFont val="Arial"/>
            <family val="2"/>
          </rPr>
          <t>Carry-over from spreadsheet Basic data Cell Q40</t>
        </r>
      </text>
    </comment>
    <comment ref="Q53" authorId="0" shapeId="0" xr:uid="{00000000-0006-0000-0400-000017000000}">
      <text>
        <r>
          <rPr>
            <sz val="9"/>
            <color indexed="81"/>
            <rFont val="Arial"/>
            <family val="2"/>
          </rPr>
          <t>Carry-over from spreadsheet Basic data Cell Q53</t>
        </r>
      </text>
    </comment>
    <comment ref="E56" authorId="2" shapeId="0" xr:uid="{30B6B46F-4483-4C82-9FA8-E43F3B400E8D}">
      <text>
        <r>
          <rPr>
            <sz val="9"/>
            <color indexed="81"/>
            <rFont val="Arial"/>
            <family val="2"/>
          </rPr>
          <t>For further explanations see FAQ.</t>
        </r>
      </text>
    </comment>
    <comment ref="Q59" authorId="0" shapeId="0" xr:uid="{00000000-0006-0000-0400-000018000000}">
      <text>
        <r>
          <rPr>
            <sz val="9"/>
            <color indexed="81"/>
            <rFont val="Arial"/>
            <family val="2"/>
          </rPr>
          <t>Carry-over from spreadsheet Basic data Cell J40 + K40</t>
        </r>
      </text>
    </comment>
    <comment ref="Q60" authorId="0" shapeId="0" xr:uid="{00000000-0006-0000-0400-000019000000}">
      <text>
        <r>
          <rPr>
            <sz val="9"/>
            <color indexed="81"/>
            <rFont val="Arial"/>
            <family val="2"/>
          </rPr>
          <t>Carry-over from spreadsheet Basic data Cell Q40</t>
        </r>
      </text>
    </comment>
    <comment ref="Q62" authorId="0" shapeId="0" xr:uid="{00000000-0006-0000-0400-00001A000000}">
      <text>
        <r>
          <rPr>
            <sz val="9"/>
            <color indexed="81"/>
            <rFont val="Arial"/>
            <family val="2"/>
          </rPr>
          <t>In case treatment was not conducted, please enter 0.</t>
        </r>
      </text>
    </comment>
    <comment ref="Q65" authorId="0" shapeId="0" xr:uid="{00000000-0006-0000-0400-00001B000000}">
      <text>
        <r>
          <rPr>
            <sz val="9"/>
            <color indexed="81"/>
            <rFont val="Arial"/>
            <family val="2"/>
          </rPr>
          <t>Carry over from spreadsheet Basic data Cell M40</t>
        </r>
      </text>
    </comment>
    <comment ref="Q66" authorId="0" shapeId="0" xr:uid="{00000000-0006-0000-0400-00001C000000}">
      <text>
        <r>
          <rPr>
            <sz val="9"/>
            <color indexed="81"/>
            <rFont val="Arial"/>
            <family val="2"/>
          </rPr>
          <t>Carry-over from spreadsheet Basic data Cell Q40</t>
        </r>
      </text>
    </comment>
    <comment ref="Q86" authorId="3" shapeId="0" xr:uid="{66445464-A022-4255-BBB0-7C2C5E832CA3}">
      <text>
        <r>
          <rPr>
            <sz val="9"/>
            <color indexed="81"/>
            <rFont val="Arial"/>
            <family val="2"/>
          </rPr>
          <t>Carry over from spreadsheet 
Basic data Cell F33 + G33 + H33</t>
        </r>
      </text>
    </comment>
    <comment ref="Q87" authorId="3" shapeId="0" xr:uid="{5E2DE6E3-F00A-46D3-9FCC-C048DEDB0DEE}">
      <text>
        <r>
          <rPr>
            <sz val="9"/>
            <color indexed="81"/>
            <rFont val="Arial"/>
            <family val="2"/>
          </rPr>
          <t>Carry over from spreadsheet Basic data Cell F40 + G40 + H40</t>
        </r>
      </text>
    </comment>
    <comment ref="Q89" authorId="3" shapeId="0" xr:uid="{38D6B17F-9E68-44E9-B24E-1532B30F0050}">
      <text>
        <r>
          <rPr>
            <sz val="9"/>
            <color indexed="81"/>
            <rFont val="Arial"/>
            <family val="2"/>
          </rPr>
          <t>Carry over from spreadsheet Basic data Cell F33 + G33 + H33</t>
        </r>
      </text>
    </comment>
    <comment ref="Q90" authorId="3" shapeId="0" xr:uid="{920EBAEC-0A8E-4CA0-B177-E37A9AA15EB9}">
      <text>
        <r>
          <rPr>
            <sz val="9"/>
            <color indexed="81"/>
            <rFont val="Arial"/>
            <family val="2"/>
          </rPr>
          <t>Carry over from spreadsheet Basic data Cell D33 to H33 and J33 to P33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H27" authorId="0" shapeId="0" xr:uid="{00000000-0006-0000-0600-000001000000}">
      <text>
        <r>
          <rPr>
            <b/>
            <sz val="9"/>
            <color indexed="81"/>
            <rFont val="Tahoma"/>
            <family val="2"/>
          </rPr>
          <t>OnkoZert - Christine Keller:</t>
        </r>
        <r>
          <rPr>
            <sz val="9"/>
            <color indexed="81"/>
            <rFont val="Tahoma"/>
            <family val="2"/>
          </rPr>
          <t xml:space="preserve">
Angabe aus KB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700-000001000000}">
      <text>
        <r>
          <rPr>
            <sz val="9"/>
            <color indexed="81"/>
            <rFont val="Arial"/>
            <family val="2"/>
          </rPr>
          <t>Übertrag erfolgt aus Tabellenblatt Basisdaten</t>
        </r>
        <r>
          <rPr>
            <sz val="9"/>
            <color indexed="81"/>
            <rFont val="Tahoma"/>
            <family val="2"/>
          </rPr>
          <t xml:space="preserve">
</t>
        </r>
      </text>
    </comment>
    <comment ref="D8" authorId="0" shapeId="0" xr:uid="{00000000-0006-0000-0700-000002000000}">
      <text>
        <r>
          <rPr>
            <sz val="9"/>
            <color indexed="81"/>
            <rFont val="Arial"/>
            <family val="2"/>
          </rPr>
          <t>Übertrag erfolgt aus Tabellenblatt Basisdaten</t>
        </r>
      </text>
    </comment>
    <comment ref="K8" authorId="0" shapeId="0" xr:uid="{00000000-0006-0000-0700-000003000000}">
      <text>
        <r>
          <rPr>
            <sz val="9"/>
            <color indexed="81"/>
            <rFont val="Arial"/>
            <family val="2"/>
          </rPr>
          <t>Übertrag erfolgt aus Tabellenblatt Basisdaten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900-000001000000}">
      <text>
        <r>
          <rPr>
            <sz val="9"/>
            <color indexed="81"/>
            <rFont val="Arial"/>
            <family val="2"/>
          </rPr>
          <t>Übertrag erfolgt aus Tabellenblatt Basisdaten</t>
        </r>
      </text>
    </comment>
    <comment ref="C8" authorId="0" shapeId="0" xr:uid="{00000000-0006-0000-0900-000002000000}">
      <text>
        <r>
          <rPr>
            <sz val="9"/>
            <color indexed="81"/>
            <rFont val="Arial"/>
            <family val="2"/>
          </rPr>
          <t>Übertrag erfolgt aus Tabellenblatt Basisdaten</t>
        </r>
        <r>
          <rPr>
            <sz val="9"/>
            <color indexed="81"/>
            <rFont val="Tahoma"/>
            <family val="2"/>
          </rPr>
          <t xml:space="preserve">
</t>
        </r>
      </text>
    </comment>
    <comment ref="K8" authorId="0" shapeId="0" xr:uid="{00000000-0006-0000-0900-000003000000}">
      <text>
        <r>
          <rPr>
            <sz val="9"/>
            <color indexed="81"/>
            <rFont val="Arial"/>
            <family val="2"/>
          </rPr>
          <t>Übertrag erfolgt aus Tabellenblatt Basisdaten</t>
        </r>
        <r>
          <rPr>
            <sz val="9"/>
            <color indexed="81"/>
            <rFont val="Tahoma"/>
            <family val="2"/>
          </rPr>
          <t xml:space="preserve">
</t>
        </r>
      </text>
    </comment>
    <comment ref="G26" authorId="0" shapeId="0" xr:uid="{00000000-0006-0000-0900-000004000000}">
      <text>
        <r>
          <rPr>
            <sz val="9"/>
            <color indexed="81"/>
            <rFont val="Arial"/>
            <family val="2"/>
          </rPr>
          <t>Voraussetzung REDZYK mind. 80,0%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E00-000001000000}">
      <text>
        <r>
          <rPr>
            <sz val="9"/>
            <color indexed="81"/>
            <rFont val="Arial"/>
            <family val="2"/>
          </rPr>
          <t>Übertrag erfolgt aus Tabellenblatt Basisdaten</t>
        </r>
      </text>
    </comment>
    <comment ref="C8" authorId="0" shapeId="0" xr:uid="{00000000-0006-0000-0E00-000002000000}">
      <text>
        <r>
          <rPr>
            <sz val="9"/>
            <color indexed="81"/>
            <rFont val="Arial"/>
            <family val="2"/>
          </rPr>
          <t>Übertrag erfolgt aus Tabellenblatt Basisdaten</t>
        </r>
      </text>
    </comment>
    <comment ref="G8" authorId="0" shapeId="0" xr:uid="{00000000-0006-0000-0E00-000003000000}">
      <text>
        <r>
          <rPr>
            <sz val="9"/>
            <color indexed="81"/>
            <rFont val="Arial"/>
            <family val="2"/>
          </rPr>
          <t>Übertrag erfolgt aus Tabellenblatt Basisdaten</t>
        </r>
        <r>
          <rPr>
            <sz val="9"/>
            <color indexed="81"/>
            <rFont val="Tahoma"/>
            <family val="2"/>
          </rPr>
          <t xml:space="preserve">
</t>
        </r>
      </text>
    </comment>
    <comment ref="C14" authorId="0" shapeId="0" xr:uid="{00000000-0006-0000-0E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<sst xmlns="http://schemas.openxmlformats.org/spreadsheetml/2006/main" count="1273" uniqueCount="893">
  <si>
    <t>Nr.</t>
  </si>
  <si>
    <t>Zähler</t>
  </si>
  <si>
    <t>Sollvorgabe</t>
  </si>
  <si>
    <t>Nenner</t>
  </si>
  <si>
    <t>%</t>
  </si>
  <si>
    <t>Anzahl</t>
  </si>
  <si>
    <t>Sollvorgabe nicht erfüllt</t>
  </si>
  <si>
    <t>F</t>
  </si>
  <si>
    <t>I</t>
  </si>
  <si>
    <t>Quote</t>
  </si>
  <si>
    <t>Reg.-Nr.</t>
  </si>
  <si>
    <t>Bundesland</t>
  </si>
  <si>
    <t>Universitätsstatus</t>
  </si>
  <si>
    <t>Thüringen</t>
  </si>
  <si>
    <t>GTDS</t>
  </si>
  <si>
    <t>Tumorzentrum Erfurt</t>
  </si>
  <si>
    <t>Tumordokumentationssystem</t>
  </si>
  <si>
    <t>KIS-Erweiterung</t>
  </si>
  <si>
    <t>Comprehensive Cancer Center Tübingen</t>
  </si>
  <si>
    <t>Comprehensive Cancer Center Ulm</t>
  </si>
  <si>
    <t>Kassenärztliche Vereinigung Niedersachsen</t>
  </si>
  <si>
    <t>Onkol. Schwerpunkt Ludwigsburg-Bietigheim</t>
  </si>
  <si>
    <t>Onkologischer Schwerpunkt Konstanz-Singen</t>
  </si>
  <si>
    <t>Onkologischer Schwerpunkt Ortenaukreis</t>
  </si>
  <si>
    <t>Onkologischer Schwerpunkt Stuttgart</t>
  </si>
  <si>
    <t>Tumorzentrum Augsburg</t>
  </si>
  <si>
    <t>Tumorzentrum Erlangen-Nürnberg</t>
  </si>
  <si>
    <t>Tumorzentrum Gera</t>
  </si>
  <si>
    <t>Tumorzentrum Halle</t>
  </si>
  <si>
    <t>Tumorzentrum Jena</t>
  </si>
  <si>
    <t>Tumorzentrum Leipzig</t>
  </si>
  <si>
    <t>Tumorzentrum Magdeburg</t>
  </si>
  <si>
    <t>Tumorzentrum Marburg</t>
  </si>
  <si>
    <t>Tumorzentrum München</t>
  </si>
  <si>
    <t>Tumorzentrum Regensburg</t>
  </si>
  <si>
    <t>Tumorzentrum Rheinland-Pfalz</t>
  </si>
  <si>
    <t>Universitär</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</si>
  <si>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</si>
  <si>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</si>
  <si>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</si>
  <si>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</si>
  <si>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</si>
  <si>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</si>
  <si>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</si>
  <si>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</si>
  <si>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</si>
  <si>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</si>
  <si>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</si>
  <si>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</si>
  <si>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</si>
  <si>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</si>
  <si>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</si>
  <si>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</si>
  <si>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</si>
  <si>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</si>
  <si>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</si>
  <si>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</si>
  <si>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</si>
  <si>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</si>
  <si>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</si>
  <si>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</si>
  <si>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</si>
  <si>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</si>
  <si>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</si>
  <si>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</si>
  <si>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</si>
  <si>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</si>
  <si>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 Angabe</t>
  </si>
  <si>
    <t>Tumorzentrum Zwickau</t>
  </si>
  <si>
    <t>Italien</t>
  </si>
  <si>
    <t xml:space="preserve"> </t>
  </si>
  <si>
    <t>KRAZTUR</t>
  </si>
  <si>
    <t>Kennzahlenbogen</t>
  </si>
  <si>
    <t>Erstelldatum</t>
  </si>
  <si>
    <t>Plausibilität unklar</t>
  </si>
  <si>
    <t xml:space="preserve">Reg.-Nr. </t>
  </si>
  <si>
    <t>Erstzertifizierung</t>
  </si>
  <si>
    <t>L</t>
  </si>
  <si>
    <t>Follow-Up-Meldungen</t>
  </si>
  <si>
    <t>Pflicht Berechnung</t>
  </si>
  <si>
    <t>Optional Berechnung</t>
  </si>
  <si>
    <t>In Ordnung</t>
  </si>
  <si>
    <t>Inkorrekt</t>
  </si>
  <si>
    <t>Unvollständig</t>
  </si>
  <si>
    <t>kein Eintrag</t>
  </si>
  <si>
    <t>n.d.</t>
  </si>
  <si>
    <t>DFS</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</si>
  <si>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</si>
  <si>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</si>
  <si>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</si>
  <si>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</si>
  <si>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</si>
  <si>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</si>
  <si>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</si>
  <si>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</si>
  <si>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</si>
  <si>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</si>
  <si>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</si>
  <si>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geringe Follow-Up-Quote</t>
  </si>
  <si>
    <t>untere Grenze</t>
  </si>
  <si>
    <t>obere Grenze</t>
  </si>
  <si>
    <t>Werte</t>
  </si>
  <si>
    <t>Texte</t>
  </si>
  <si>
    <t>von</t>
  </si>
  <si>
    <t>ART</t>
  </si>
  <si>
    <t>plausi</t>
  </si>
  <si>
    <t>sollvorgabe</t>
  </si>
  <si>
    <t>unvollständig</t>
  </si>
  <si>
    <t>Liste zum Übertragen</t>
  </si>
  <si>
    <t>Kalenderjahr(e) 
(Erstdiagnose)</t>
  </si>
  <si>
    <t>Länge</t>
  </si>
  <si>
    <t xml:space="preserve">Fehlermeldungen </t>
  </si>
  <si>
    <t>Kommentare</t>
  </si>
  <si>
    <t>Wenn Zelle farbig, bitte Begründung angeben.</t>
  </si>
  <si>
    <t>durchschnittliche Follow-Up-Quote &gt; 95%</t>
  </si>
  <si>
    <t>Wert</t>
  </si>
  <si>
    <t>Erläuterung</t>
  </si>
  <si>
    <t>relevant</t>
  </si>
  <si>
    <t>Zentrum</t>
  </si>
  <si>
    <t>Matrix kann eingereicht werden</t>
  </si>
  <si>
    <t>Einrichtung 1</t>
  </si>
  <si>
    <t>Status</t>
  </si>
  <si>
    <t>Land</t>
  </si>
  <si>
    <t>Nebenstandort</t>
  </si>
  <si>
    <t>Phase</t>
  </si>
  <si>
    <t>Audit Start</t>
  </si>
  <si>
    <t>Audit Ende</t>
  </si>
  <si>
    <t>Phase 2012</t>
  </si>
  <si>
    <t>Phase 2013</t>
  </si>
  <si>
    <t>die inkorrekten und unvollständigen Einträge beheben</t>
  </si>
  <si>
    <t>Zellen müssen nicht ausgefüllt werden</t>
  </si>
  <si>
    <t>Anzahl Primärfälle</t>
  </si>
  <si>
    <t>DFS (Disease Free Survival) absolut</t>
  </si>
  <si>
    <t>DFS (Disease Free Survival)  in %</t>
  </si>
  <si>
    <t>OAS (Overall Survival) absolut</t>
  </si>
  <si>
    <t>OAS (Overall Survival)  in %</t>
  </si>
  <si>
    <t>durchschnittliche Follow-Up-Quote &lt; 80%</t>
  </si>
  <si>
    <t>&lt; Follow-Up</t>
  </si>
  <si>
    <t>DFS auffällig niedrig</t>
  </si>
  <si>
    <t xml:space="preserve">OAS auffällig niedrig </t>
  </si>
  <si>
    <t xml:space="preserve">  </t>
  </si>
  <si>
    <t>1 a)</t>
  </si>
  <si>
    <t>1a</t>
  </si>
  <si>
    <t>2b</t>
  </si>
  <si>
    <t>2a</t>
  </si>
  <si>
    <t>1b1</t>
  </si>
  <si>
    <t>1b2</t>
  </si>
  <si>
    <t>1b3</t>
  </si>
  <si>
    <t>3a</t>
  </si>
  <si>
    <t>3b</t>
  </si>
  <si>
    <t>Nicht universitär / Akademisches Lehrkrankenhaus</t>
  </si>
  <si>
    <t>1.2.1</t>
  </si>
  <si>
    <t>1.2.4</t>
  </si>
  <si>
    <t>1.4.4</t>
  </si>
  <si>
    <t>1.5.2</t>
  </si>
  <si>
    <t>1.7.5</t>
  </si>
  <si>
    <t>5.2.1</t>
  </si>
  <si>
    <t>≥ 5%</t>
  </si>
  <si>
    <t>≥ 95%</t>
  </si>
  <si>
    <t>Zähler/ Anzahl</t>
  </si>
  <si>
    <t>Kennzahl</t>
  </si>
  <si>
    <t>Art</t>
  </si>
  <si>
    <t>Zähler :</t>
  </si>
  <si>
    <t>1. Zähler muss eine positive ganze Zahl sein.</t>
  </si>
  <si>
    <t>2. Zähler kann nicht größer als Nenner sein.</t>
  </si>
  <si>
    <t>Nenner:</t>
  </si>
  <si>
    <t xml:space="preserve">1. Nenner muss eine positive ganze Zahl sein. </t>
  </si>
  <si>
    <t>2. Nenner kann nicht kleiner als Zähler sein.</t>
  </si>
  <si>
    <t>3. Zähler kann nicht größer sein als Anzahl Primärfälle.</t>
  </si>
  <si>
    <t>Zähler:</t>
  </si>
  <si>
    <t>Übertrag erfolgt aus Tabellenblatt Basisdaten.</t>
  </si>
  <si>
    <t>Übertag in Kennzahlenbogen und Matrix erfolgt automatisch.</t>
  </si>
  <si>
    <t xml:space="preserve">1 b) </t>
  </si>
  <si>
    <t>a</t>
  </si>
  <si>
    <t>b</t>
  </si>
  <si>
    <t>Texte Matrix Datenquali</t>
  </si>
  <si>
    <t>Fehlermeldungen Matrix</t>
  </si>
  <si>
    <t>Ganze Zahl zwischen 0 und 5000 eingeben.</t>
  </si>
  <si>
    <t>zu wenig Primärfälle angegeben</t>
  </si>
  <si>
    <t>DFS auffällig hoch</t>
  </si>
  <si>
    <t>OAS auffällig hoch</t>
  </si>
  <si>
    <t>DFS niedrig</t>
  </si>
  <si>
    <t>MATRIX- Hilfstabelle</t>
  </si>
  <si>
    <t>D</t>
  </si>
  <si>
    <t>G</t>
  </si>
  <si>
    <t>J</t>
  </si>
  <si>
    <t>M</t>
  </si>
  <si>
    <t>Tabelle Plausibilitätsabfragen:</t>
  </si>
  <si>
    <t>Tumordoku. liegt größtenteils beim Krebsregister</t>
  </si>
  <si>
    <t>C</t>
  </si>
  <si>
    <t>Keine Zusammenarbeit</t>
  </si>
  <si>
    <t>Geringe / punktuelle Zusammenarbeit</t>
  </si>
  <si>
    <t>Intensive / regelmäßige Zusammenarbeit</t>
  </si>
  <si>
    <t xml:space="preserve">≥ 100 </t>
  </si>
  <si>
    <t>nicht relevant</t>
  </si>
  <si>
    <t>leere Zellen</t>
  </si>
  <si>
    <t>Nicht gelistet</t>
  </si>
  <si>
    <t>Unbekannt</t>
  </si>
  <si>
    <t>Comprehensive Cancer Center Freiburg</t>
  </si>
  <si>
    <t>Bevölkerungsbezogenes Krebsregister Bayern</t>
  </si>
  <si>
    <t>Charité Comprehensive Cancer Center</t>
  </si>
  <si>
    <t>Gemeinsames Krebsregister Berlin-Brandenburg</t>
  </si>
  <si>
    <t>Krebsregister des Landes Bremen</t>
  </si>
  <si>
    <t>Hamburgisches Krebsregister</t>
  </si>
  <si>
    <t>Hessisches Krebsregister</t>
  </si>
  <si>
    <t>Tumorzentrum Neubrandenburg</t>
  </si>
  <si>
    <t>Epidemiologisches Krebsregister Niedersachsen</t>
  </si>
  <si>
    <t>Westdeutsches Tumorzentrum Essen</t>
  </si>
  <si>
    <t>Krebsregister Rheinland-Pfalz</t>
  </si>
  <si>
    <t>Epidemiologisches Krebsregister Saarland</t>
  </si>
  <si>
    <t>Tumorzentrum Chemnitz</t>
  </si>
  <si>
    <t>Tumorzentrum Anhalt</t>
  </si>
  <si>
    <t>klinisches Krebsregister Schleswig Holstein/Lübeck</t>
  </si>
  <si>
    <t>Tumorzentrum Altenburg</t>
  </si>
  <si>
    <t>Tumorzentrum Land Brandenburg</t>
  </si>
  <si>
    <t>Keine Anbindung an Klinisches Krebsregister</t>
  </si>
  <si>
    <t>Krebsregister Hessen</t>
  </si>
  <si>
    <t>Tumorzentrum Rostock</t>
  </si>
  <si>
    <t>Comprehensive Cancer Center Münster</t>
  </si>
  <si>
    <t>Tumorzentrum Koblenz</t>
  </si>
  <si>
    <t>Tumorzentrum Homburg</t>
  </si>
  <si>
    <t>Tumorzentrum Dresden</t>
  </si>
  <si>
    <t>Krebsregister Schleswig-Holstein</t>
  </si>
  <si>
    <t>Tumorzentrum Berlin-Buch</t>
  </si>
  <si>
    <t>GKR (Gemeinsames Krebsregister der Länder)</t>
  </si>
  <si>
    <t>Onkologischer Schwerpunkt Wiesbaden</t>
  </si>
  <si>
    <t>Tumorzentrum Schwerin</t>
  </si>
  <si>
    <t>Krebsregister Niedersachsen</t>
  </si>
  <si>
    <t xml:space="preserve">Epidemiologisches Krebsregister Münster </t>
  </si>
  <si>
    <t>Tumorzentrum Kiel</t>
  </si>
  <si>
    <t>Epidemiologisches Krebsregister Baden-Württemberg</t>
  </si>
  <si>
    <t>Tumorzentrum für Klinik &amp; Praxis in Berlin</t>
  </si>
  <si>
    <t>Tumorzentrum Kassel</t>
  </si>
  <si>
    <t>Tumorzentrum Vorpommern</t>
  </si>
  <si>
    <t>Tumorzentrum Göttingen</t>
  </si>
  <si>
    <t>Epidemiologisches Krebsregister NRW</t>
  </si>
  <si>
    <t>Tumorzentrum Südharz</t>
  </si>
  <si>
    <t>Krebsregister Baden-Württemberg</t>
  </si>
  <si>
    <t>Tumorzentrum Oberfranken</t>
  </si>
  <si>
    <t>Tumorzentrum Spandau</t>
  </si>
  <si>
    <t>Tumorzentrum Hannover</t>
  </si>
  <si>
    <t>Krebsregister NRW</t>
  </si>
  <si>
    <t>Tumorzentrum Suhl</t>
  </si>
  <si>
    <t>NCT Heidelberg</t>
  </si>
  <si>
    <t>Tumorzentrum Vivantes</t>
  </si>
  <si>
    <t>Onkologischer Schwerpunkt Hamm</t>
  </si>
  <si>
    <t>Onkol. Schwerpunkt Lörrach-Rheinfelden</t>
  </si>
  <si>
    <t>Tumorzentrum Würzburg</t>
  </si>
  <si>
    <t>Onkol. Schwerpunkt Villingen-Schwenningen</t>
  </si>
  <si>
    <t>Onkologischer Schwerpunkt Göppingen</t>
  </si>
  <si>
    <t>Onkologischer Schwerpunkt Heilbronn</t>
  </si>
  <si>
    <t>Onkologischer Schwerpunkt Karlsruhe</t>
  </si>
  <si>
    <t>Onkologischer Schwerpunkt Oberschwaben</t>
  </si>
  <si>
    <t>Onkologischer Schwerpunkt Ostwürttemberg</t>
  </si>
  <si>
    <t>Onkologischer Schwerpunkt Reutlingen</t>
  </si>
  <si>
    <t>-----</t>
  </si>
  <si>
    <t>B</t>
  </si>
  <si>
    <t>Angabe Primärfälle</t>
  </si>
  <si>
    <t>inkorrekt</t>
  </si>
  <si>
    <t>zu viele Patienten im Follow Up</t>
  </si>
  <si>
    <t>zu viele Patienten bei DFS absolut</t>
  </si>
  <si>
    <t>zu viele Patienten bei OAS absolut</t>
  </si>
  <si>
    <t>Spalte D</t>
  </si>
  <si>
    <t>Spalte F</t>
  </si>
  <si>
    <t>Kennzahlenbogen - Analyseprotokoll Datendefizite Prostata</t>
  </si>
  <si>
    <t>Matrix - Analyseprotokoll Datendefizite Prostata</t>
  </si>
  <si>
    <t>Matrix - Ergebnisqualität Prostata</t>
  </si>
  <si>
    <t>Spalte/ Zelle</t>
  </si>
  <si>
    <t>Werte Spalte I "DFS absolut" müssen kleiner gleich sein als Spalte F "Patienten mit Follow-Up"</t>
  </si>
  <si>
    <t>Werte Spalte L "OAS absolut" müssen kleiner gleich sein als Spalte F "Patienten mit Follow-Up"</t>
  </si>
  <si>
    <t>Werte Spalte F "Patienten mit Follow-Up" müssen kleiner gleich sein als Spalte D "Anzahl Primärfälle"</t>
  </si>
  <si>
    <t>geringe Follow-Up Quote der Nachsorgejahre</t>
  </si>
  <si>
    <t>Alle relevanten Nachsorgejahre sind zu bearbeiten, abhängig vom Datum der Erstzertifizierung</t>
  </si>
  <si>
    <t>Geringe Follow-Up Quote der Nachsorgejahre</t>
  </si>
  <si>
    <t>&lt; 50%</t>
  </si>
  <si>
    <t>x &lt; 50%</t>
  </si>
  <si>
    <t>J22</t>
  </si>
  <si>
    <t>J23</t>
  </si>
  <si>
    <t>x &lt; 60%</t>
  </si>
  <si>
    <t>x &lt; 70%</t>
  </si>
  <si>
    <t>x &lt; 80%</t>
  </si>
  <si>
    <t>M23</t>
  </si>
  <si>
    <t>x &lt; 90%</t>
  </si>
  <si>
    <t>x &lt; 60% || x = 100%</t>
  </si>
  <si>
    <t>x &lt; 70% || x = 100%</t>
  </si>
  <si>
    <t>x &lt; 80% || x = 100%</t>
  </si>
  <si>
    <t>x &lt; 90% || x = 100%</t>
  </si>
  <si>
    <t>M20</t>
  </si>
  <si>
    <t>M21</t>
  </si>
  <si>
    <t>M22</t>
  </si>
  <si>
    <t>OAS auffällig niedrig oder hoch</t>
  </si>
  <si>
    <t xml:space="preserve">OAS </t>
  </si>
  <si>
    <t>OAS 2011</t>
  </si>
  <si>
    <t xml:space="preserve">Nicht ausgefüllte Zellen von relevanten Nachsorgejahren </t>
  </si>
  <si>
    <t>Follow-Up Quote in % (F / D)</t>
  </si>
  <si>
    <t>Begründung / Ursache</t>
  </si>
  <si>
    <t>Eingeleitete / geplante Aktionen</t>
  </si>
  <si>
    <t>1. DFS / OAS (jährliche Bestimmung)</t>
  </si>
  <si>
    <t>Erläuterung hinsichtlich Datendefizit
Begründung / Ursachenanalyse / Aktionen</t>
  </si>
  <si>
    <t>G &lt; 70%</t>
  </si>
  <si>
    <t>Ansprechpartner</t>
  </si>
  <si>
    <t xml:space="preserve">               Erstelldatum</t>
  </si>
  <si>
    <t>c37.CancerCenter</t>
  </si>
  <si>
    <t>CREDOS</t>
  </si>
  <si>
    <t>Tudok (Tumorzentrum Regensburg)</t>
  </si>
  <si>
    <t>Plausi unklar</t>
  </si>
  <si>
    <t>Tumorzentrum Ostsachsen</t>
  </si>
  <si>
    <t>Tumorzentrum Weser-Ems</t>
  </si>
  <si>
    <t>relevante Nachsorgejahre nicht / unvollständig bearbeitet</t>
  </si>
  <si>
    <t>Allgemeine Feststellungen</t>
  </si>
  <si>
    <t>Allgemeine Hinweise</t>
  </si>
  <si>
    <t>Allgemeine Abweichungen</t>
  </si>
  <si>
    <t>Bewertung Ausschuss</t>
  </si>
  <si>
    <t>Anmerkung OnkoZert</t>
  </si>
  <si>
    <t>Feststellung</t>
  </si>
  <si>
    <t>Hinweis</t>
  </si>
  <si>
    <t>Abweichung</t>
  </si>
  <si>
    <t>1 b)1</t>
  </si>
  <si>
    <t>1 b)2</t>
  </si>
  <si>
    <t>1 b)3</t>
  </si>
  <si>
    <t>Datenverifizierung_ID</t>
  </si>
  <si>
    <t>ID_intern</t>
  </si>
  <si>
    <t>ID:a</t>
  </si>
  <si>
    <t>ID:b</t>
  </si>
  <si>
    <t>ID:c</t>
  </si>
  <si>
    <t>ID:d</t>
  </si>
  <si>
    <t>Sollvorgabe nicht erfüllt; durchschnittliche Follow-Up Quote &lt; 80%; ID: e</t>
  </si>
  <si>
    <t>ID: f</t>
  </si>
  <si>
    <t>Plausibilität unklar; durchschnittliche Follow-Up Quote &gt; 95%; ID: g</t>
  </si>
  <si>
    <t>ID: h</t>
  </si>
  <si>
    <t>DFS auffällig niedrig oder hoch</t>
  </si>
  <si>
    <t>ID: j</t>
  </si>
  <si>
    <t>ID: i</t>
  </si>
  <si>
    <t>Erläuterung hinsichtlich Datendefizit</t>
  </si>
  <si>
    <t>Österreich</t>
  </si>
  <si>
    <t>Datum EZ</t>
  </si>
  <si>
    <t>Kennzahldefinition</t>
  </si>
  <si>
    <t>Für Übertragung in Datendefizite_KB:</t>
  </si>
  <si>
    <t>Alle KN leer:</t>
  </si>
  <si>
    <t xml:space="preserve">        Erstelldatum</t>
  </si>
  <si>
    <t xml:space="preserve">      Erstelldatum</t>
  </si>
  <si>
    <t>Plausibilität unklar; OAS auffällig niedrig; ID: k</t>
  </si>
  <si>
    <t>UroCloud</t>
  </si>
  <si>
    <t>Unvollständige Jahre</t>
  </si>
  <si>
    <t>KN</t>
  </si>
  <si>
    <t>ORBIS-ODOK</t>
  </si>
  <si>
    <t>ONKOSTAR</t>
  </si>
  <si>
    <t>ONDIS</t>
  </si>
  <si>
    <t>Tumordokumentation des Instituts für Krebsepidemiologie</t>
  </si>
  <si>
    <t>Datum Erstzertifizierung</t>
  </si>
  <si>
    <t>3. Summe Nenner KN 2a und KN 2b muss kleiner als Anzahl Primärfälle sein.</t>
  </si>
  <si>
    <t>2a, 2b</t>
  </si>
  <si>
    <t xml:space="preserve">1.Nenner muss eine positive ganze Zahl sein. </t>
  </si>
  <si>
    <t>2.Nenner kann nicht kleiner als Zähler sein.</t>
  </si>
  <si>
    <t>Zähler muss eine positive ganze Zahl sein.</t>
  </si>
  <si>
    <t>max. 5000</t>
  </si>
  <si>
    <t>15, 16, 17, 18, 19, 20, 21, 22, 23, 24</t>
  </si>
  <si>
    <t>Krebsregister Schweiz</t>
  </si>
  <si>
    <t>Krebsregister Österreich</t>
  </si>
  <si>
    <t>2a, 2b, 3a, 13</t>
  </si>
  <si>
    <t>3. Nenner kann nicht größer als die Anzahl der Primärfälle sein.</t>
  </si>
  <si>
    <t>3b, 5, 6, 7, 10, 11, 13; 14</t>
  </si>
  <si>
    <t>19,  21, 22, 23, 24</t>
  </si>
  <si>
    <t>15;16;20</t>
  </si>
  <si>
    <t>Fehlermeldungen Basisdaten</t>
  </si>
  <si>
    <t>Fehlermeldungen Kennzahlenbogen</t>
  </si>
  <si>
    <t>Nur Texteingabe bis 100 Zeichen möglich.</t>
  </si>
  <si>
    <t>Format: dd.mm.jjjj</t>
  </si>
  <si>
    <t>Zeitraum zwischen 01.09.2014 - 01.01.2016 angeben.</t>
  </si>
  <si>
    <t>Zuerst Reg.-Nr auswählen, dann das jeweilig zugehörige Krebsregister.</t>
  </si>
  <si>
    <t>3a, 13, 
15; 16; 20</t>
  </si>
  <si>
    <t>3b; 11</t>
  </si>
  <si>
    <t>3. Nenner kann nicht größer sein als die Anzahl der lokal begrenzten Primärfälle mit hohem Risiko (Basisdaten Zelle I32).</t>
  </si>
  <si>
    <t>3. Nenner kann nicht größer sein als die Anzahl der lokal fortgeschrittenen Primärfälle (Basisdaten Zelle I33).</t>
  </si>
  <si>
    <t>Krebsregister Italien</t>
  </si>
  <si>
    <t>ProDos</t>
  </si>
  <si>
    <t>OAS auffällig niedrig</t>
  </si>
  <si>
    <t>Angabe Jahr Primärfälle</t>
  </si>
  <si>
    <t>nicht mehr gültig</t>
  </si>
  <si>
    <t>UCC-TDS (Tumorzentrum Dresden)</t>
  </si>
  <si>
    <t>Watchful Waiting</t>
  </si>
  <si>
    <t>&lt; 10%</t>
  </si>
  <si>
    <t>&gt; 90%</t>
  </si>
  <si>
    <t>Anzahl Primärfälle
(posttherapeutisch tumorfrei)</t>
  </si>
  <si>
    <t>Krebsregister gemäß KFRG noch nicht benannt</t>
  </si>
  <si>
    <t>c</t>
  </si>
  <si>
    <t>3c</t>
  </si>
  <si>
    <t>≥ 70%</t>
  </si>
  <si>
    <t>OncoBox</t>
  </si>
  <si>
    <t>Zusammenarbeit mit KFRG-Krebsregister</t>
  </si>
  <si>
    <t>Ausnahme</t>
  </si>
  <si>
    <t>G26</t>
  </si>
  <si>
    <t>G22 - G24</t>
  </si>
  <si>
    <t>J20 - J21</t>
  </si>
  <si>
    <t>J24</t>
  </si>
  <si>
    <t>M24</t>
  </si>
  <si>
    <t>G26 &lt; 80%</t>
  </si>
  <si>
    <t>G26 &gt; 95%</t>
  </si>
  <si>
    <r>
      <t xml:space="preserve">Patienten mit Follow-Up </t>
    </r>
    <r>
      <rPr>
        <vertAlign val="superscript"/>
        <sz val="9"/>
        <rFont val="Arial"/>
        <family val="2"/>
      </rPr>
      <t>1)</t>
    </r>
  </si>
  <si>
    <t>≥ 90%</t>
  </si>
  <si>
    <t>≥ 50</t>
  </si>
  <si>
    <t>Summe Plausibilität unklar</t>
  </si>
  <si>
    <t>Martini-Data</t>
  </si>
  <si>
    <t>ODSeasy / ODSeasyNet</t>
  </si>
  <si>
    <t>Oncodossier (Eigenentwicklung auf Basis ORBIS)</t>
  </si>
  <si>
    <t>Anlage EB Version K1.1 (Auditjahr 2020 / Kennzahlenjahr 2019)</t>
  </si>
  <si>
    <t>≤ 15%</t>
  </si>
  <si>
    <r>
      <rPr>
        <vertAlign val="superscript"/>
        <sz val="8"/>
        <rFont val="Arial"/>
        <family val="2"/>
      </rPr>
      <t xml:space="preserve">1)  </t>
    </r>
    <r>
      <rPr>
        <sz val="8"/>
        <rFont val="Arial"/>
        <family val="2"/>
      </rPr>
      <t>Die Daten müssen patientenbezogen rückverfolgbar sein. Ausgelöst durch die Follow-Up-Strukturen der Krebsregister (Latenzzeit Vollzähligkeit der Registrierung von Zielereignissen) werden Follow-Up-Daten aus dem vorletzten Kalenderjahr vor dem Auditjahr betrachtet (Auditjahr 2020 =&gt; Follow-Up Daten aus dem Zeitraum 01.01.2018-31.12.2018).</t>
    </r>
  </si>
  <si>
    <t>Auditjahr 2020 / Kennzahlenjahr 2019</t>
  </si>
  <si>
    <r>
      <rPr>
        <b/>
        <u/>
        <sz val="8"/>
        <color indexed="8"/>
        <rFont val="Arial"/>
        <family val="2"/>
      </rPr>
      <t xml:space="preserve">
Bearbeitungshinweise:
</t>
    </r>
    <r>
      <rPr>
        <sz val="8"/>
        <color indexed="8"/>
        <rFont val="Arial"/>
        <family val="2"/>
      </rPr>
      <t xml:space="preserve">Für Prostatakrebszentren ist die Matrix Ergebnisqualität verbindlich zu bearbeiten.
Für die Bewertung der Matrix Ergebnisqualität - DFS / OAS gelten folgende Regelungen:
            a) Alle Patienten ab dem Folgejahr der EZ sind im Follow-Up zu berücksichtigen; alle relevanten Nachsorgejahre sind zu bearbeiten, abhängig vom Datum der Erstzertifizierung.
            b) Nachsorgejahr "relevant" (B) =&gt; Sämtliche „hellgrau“ hinterlegte Felder sind vollständig zu bearbeiten; dies gilt auch für Nullwerte (=0).
            c) Bei den „hellrot“ hinterlegten Feldern liegt eine Falscheingabe vor, diese sind zu korrigieren.
            d) Zahlen müssen manuell eingegeben werden, diese dürfen nicht kopiert werden.
            e) „Hellgrün“ hinterlegte Felder weisen auf Unplausibilitäten hin. Diese Werte sind zu analysieren und das Ergebnis ist auf dem Folgeblatt „Datendefizite_Matrix“ darzulegen.
</t>
    </r>
    <r>
      <rPr>
        <u/>
        <sz val="8"/>
        <color indexed="8"/>
        <rFont val="Arial"/>
        <family val="2"/>
      </rPr>
      <t xml:space="preserve">
</t>
    </r>
    <r>
      <rPr>
        <b/>
        <u/>
        <sz val="8"/>
        <color indexed="8"/>
        <rFont val="Arial"/>
        <family val="2"/>
      </rPr>
      <t xml:space="preserve">Anmerkungen:
</t>
    </r>
    <r>
      <rPr>
        <sz val="8"/>
        <color indexed="8"/>
        <rFont val="Arial"/>
        <family val="2"/>
      </rPr>
      <t>In dieser Excel-Vorlage sind die nachfolgend skizzierten Plausibilitätsabfragen hinterlegt.
Ein Anspruch auf Vollständigkeit besteht nicht.
Von Seiten des Fachexperten können weitere Unplausibilitäten bzw. Inkorrektheiten identifiziert und im Rahmen des Auditergebnisses dargestellt werden.</t>
    </r>
  </si>
  <si>
    <t>Clinical Information Catalogue (CIC) (Eigenentwicklung)</t>
  </si>
  <si>
    <t>TD System KEM (Eigenentwicklung)</t>
  </si>
  <si>
    <t xml:space="preserve">        Ø Follow-Up Quote der Jahre 2015-2017</t>
  </si>
  <si>
    <t>Follow-Up Quote der Jahre 2015-2017</t>
  </si>
  <si>
    <t>Follow-Up Quote der Jahre 2015-2017 (positive Unplausibilität)</t>
  </si>
  <si>
    <t>2015-2017</t>
  </si>
  <si>
    <t>geringe Follow-Up-Quote der Jahre 2015-2017</t>
  </si>
  <si>
    <t>zu hohe Follow-Up-Quote der Jahre 2015-2017</t>
  </si>
  <si>
    <t xml:space="preserve">Reg. No. </t>
  </si>
  <si>
    <t>Centre</t>
  </si>
  <si>
    <t>Location</t>
  </si>
  <si>
    <t>Contact</t>
  </si>
  <si>
    <t>Date recorded</t>
  </si>
  <si>
    <t>Date of initial certification</t>
  </si>
  <si>
    <t>Indicator year</t>
  </si>
  <si>
    <t>Country</t>
  </si>
  <si>
    <t>Tumour documentation system</t>
  </si>
  <si>
    <t>XML-OncoBox Prostate</t>
  </si>
  <si>
    <r>
      <t>Centre patient with
 prostate carcinoma</t>
    </r>
    <r>
      <rPr>
        <b/>
        <vertAlign val="superscript"/>
        <sz val="9"/>
        <color indexed="8"/>
        <rFont val="Arial"/>
        <family val="2"/>
        <charset val="238"/>
      </rPr>
      <t xml:space="preserve"> 1)</t>
    </r>
  </si>
  <si>
    <r>
      <t>non-interventional</t>
    </r>
    <r>
      <rPr>
        <b/>
        <vertAlign val="superscript"/>
        <sz val="9"/>
        <color indexed="8"/>
        <rFont val="Arial"/>
        <family val="2"/>
        <charset val="238"/>
      </rPr>
      <t xml:space="preserve"> 2)</t>
    </r>
  </si>
  <si>
    <r>
      <t xml:space="preserve">interventional </t>
    </r>
    <r>
      <rPr>
        <b/>
        <vertAlign val="superscript"/>
        <sz val="9"/>
        <color indexed="8"/>
        <rFont val="Arial"/>
        <family val="2"/>
        <charset val="238"/>
      </rPr>
      <t>2)</t>
    </r>
  </si>
  <si>
    <t>Total</t>
  </si>
  <si>
    <t>local treatment of prostate</t>
  </si>
  <si>
    <r>
      <t xml:space="preserve">systemic treatment only </t>
    </r>
    <r>
      <rPr>
        <b/>
        <vertAlign val="superscript"/>
        <sz val="9"/>
        <color indexed="8"/>
        <rFont val="Arial"/>
        <family val="2"/>
        <charset val="238"/>
      </rPr>
      <t>4)</t>
    </r>
  </si>
  <si>
    <r>
      <t>other treatment</t>
    </r>
    <r>
      <rPr>
        <b/>
        <vertAlign val="superscript"/>
        <sz val="9"/>
        <color indexed="8"/>
        <rFont val="Arial"/>
        <family val="2"/>
        <charset val="238"/>
      </rPr>
      <t xml:space="preserve"> 5)</t>
    </r>
  </si>
  <si>
    <t>Incidental finding  after RCE</t>
  </si>
  <si>
    <r>
      <t>other local therapy</t>
    </r>
    <r>
      <rPr>
        <vertAlign val="superscript"/>
        <sz val="9"/>
        <color indexed="8"/>
        <rFont val="Arial"/>
        <family val="2"/>
        <charset val="238"/>
      </rPr>
      <t xml:space="preserve"> 3)</t>
    </r>
  </si>
  <si>
    <r>
      <t xml:space="preserve">a) Primary cases - patients </t>
    </r>
    <r>
      <rPr>
        <b/>
        <vertAlign val="superscript"/>
        <sz val="10"/>
        <color indexed="8"/>
        <rFont val="Arial"/>
        <family val="2"/>
      </rPr>
      <t>1)</t>
    </r>
  </si>
  <si>
    <r>
      <t xml:space="preserve">low risk </t>
    </r>
    <r>
      <rPr>
        <vertAlign val="superscript"/>
        <sz val="9"/>
        <color indexed="8"/>
        <rFont val="Arial"/>
        <family val="2"/>
        <charset val="238"/>
      </rPr>
      <t>6)</t>
    </r>
  </si>
  <si>
    <r>
      <t>intermediate risk</t>
    </r>
    <r>
      <rPr>
        <vertAlign val="superscript"/>
        <sz val="9"/>
        <color indexed="8"/>
        <rFont val="Arial"/>
        <family val="2"/>
        <charset val="238"/>
      </rPr>
      <t xml:space="preserve"> 6)</t>
    </r>
  </si>
  <si>
    <r>
      <t>high risk</t>
    </r>
    <r>
      <rPr>
        <vertAlign val="superscript"/>
        <sz val="9"/>
        <color indexed="8"/>
        <rFont val="Arial"/>
        <family val="2"/>
        <charset val="238"/>
      </rPr>
      <t xml:space="preserve"> 6)</t>
    </r>
  </si>
  <si>
    <t>locally advanced (T3/4-N0-M0)</t>
  </si>
  <si>
    <t>advanced (N1, M0)</t>
  </si>
  <si>
    <t>advanced (N0/1, M1)</t>
  </si>
  <si>
    <r>
      <t xml:space="preserve">non classifiable </t>
    </r>
    <r>
      <rPr>
        <vertAlign val="superscript"/>
        <sz val="9"/>
        <color indexed="8"/>
        <rFont val="Arial"/>
        <family val="2"/>
        <charset val="238"/>
      </rPr>
      <t>7)</t>
    </r>
  </si>
  <si>
    <t>Total primary cases</t>
  </si>
  <si>
    <t>Total pat. (no multiple counting)</t>
  </si>
  <si>
    <t>proportion of pat. with concurrent status of primary case</t>
  </si>
  <si>
    <r>
      <t xml:space="preserve">Total centre patients 
</t>
    </r>
    <r>
      <rPr>
        <sz val="10"/>
        <color indexed="8"/>
        <rFont val="Arial"/>
        <family val="2"/>
      </rPr>
      <t>(row 40 + 47 - 49)</t>
    </r>
  </si>
  <si>
    <r>
      <t xml:space="preserve">Surgical expertise
</t>
    </r>
    <r>
      <rPr>
        <sz val="10"/>
        <color indexed="8"/>
        <rFont val="Arial"/>
        <family val="2"/>
      </rPr>
      <t>(basis for CR 5.2.1)</t>
    </r>
  </si>
  <si>
    <t>Processing instructions:</t>
  </si>
  <si>
    <t>1) Patients can be counted as a primary case (section a) only once per calendar year. Patients with "recurrence and / or distant metastasis" are counted in section b) - if applicable, patients can be counted in row 45 AND 46 each. If a primary case patient also received the diagnosis “recurrence and / or distant metastasis”, he can be counted under a) and b). The definition of centre patient and primary case can be found under 1.2.1 in the catalogue of requirements. The counting time point is the first visit at the centre.</t>
  </si>
  <si>
    <t>3) i.e. HIFU,….</t>
  </si>
  <si>
    <t>4) i.e. only hormone therapy, chemotherapy</t>
  </si>
  <si>
    <t>5) Other treatment; i.e. palliative radiotherapy of bone metastasis, Best Supportive Care</t>
  </si>
  <si>
    <t xml:space="preserve">6) Classification of primary cases according to the clinical tumour status:
Risk classification: low risk: PSA ≤ 10ng/ml and Gleason score 6 and cT-category &lt;2a; intermediate risk: PSA&gt;10-20 ng/ml or Gleason score 7 or cT 2b; high risk: PSA &gt;20ng/ml or Gleason score ≥ 8 or cT 2c
If allocation of patients to multiple groups is possible, the following rules apply:
If one condition for high risk applies (“or” connection): classify as high risk
If all conditions of low risk apply (“and” connection): classify as low risk
</t>
  </si>
  <si>
    <t>7) only applicable in exceptional cases; i.e. long term hormonal therapy before first diagnosis, incidental diagnosis after radical cystectomy</t>
  </si>
  <si>
    <t xml:space="preserve">The fields are inter-dependent. Each line should, therefore, be completely processed from left to right and continuously from top to bottom.
Grey fields must be processed.
The processing of the Excel template should be done with Microsoft Office 2010 or one of the later versions.
Microsoft Office 2007 can be used with some constraints (e.g. information buttons are not displayed).
Earlier versions of Microsoft Office 2007 are not suitable for processing the Excel template.
All numbers and texts must be entered manually (not using copy / paste function; with exception of data imported from OncoBox).
Each change to the basic data leads to a change in the Data Sheet.
The document "Specifications Data Quality" sets out the basic principles for data assessment as part of the audit process.
In particular details are given of how to deal with Indicators where the target value is not met (download from www.onkozert.de; section Remarks).
</t>
  </si>
  <si>
    <t>Not listed</t>
  </si>
  <si>
    <t>Unknown</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</si>
  <si>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</si>
  <si>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</si>
  <si>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</si>
  <si>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</si>
  <si>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</si>
  <si>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</si>
  <si>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</si>
  <si>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</si>
  <si>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</si>
  <si>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</si>
  <si>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</si>
  <si>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</si>
  <si>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</si>
  <si>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</si>
  <si>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</si>
  <si>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</si>
  <si>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</si>
  <si>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</si>
  <si>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</si>
  <si>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</si>
  <si>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</si>
  <si>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</si>
  <si>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</si>
  <si>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</si>
  <si>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</si>
  <si>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</si>
  <si>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</si>
  <si>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</si>
  <si>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</si>
  <si>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</si>
  <si>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</si>
  <si>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</si>
  <si>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</si>
  <si>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</si>
  <si>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</si>
  <si>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</si>
  <si>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</si>
  <si>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</si>
  <si>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</si>
  <si>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</si>
  <si>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</si>
  <si>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</si>
  <si>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</si>
  <si>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</si>
  <si>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</si>
  <si>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</si>
  <si>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</si>
  <si>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</si>
  <si>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</si>
  <si>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</si>
  <si>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</si>
  <si>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</si>
  <si>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</si>
  <si>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</si>
  <si>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</si>
  <si>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</si>
  <si>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</si>
  <si>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</si>
  <si>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</si>
  <si>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</si>
  <si>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</si>
  <si>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</si>
  <si>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</si>
  <si>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</si>
  <si>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</si>
  <si>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</si>
  <si>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</si>
  <si>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</si>
  <si>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</si>
  <si>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</si>
  <si>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</si>
  <si>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</si>
  <si>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</si>
  <si>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</si>
  <si>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</si>
  <si>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</si>
  <si>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</si>
  <si>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</si>
  <si>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</si>
  <si>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</si>
  <si>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</si>
  <si>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</si>
  <si>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</si>
  <si>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</si>
  <si>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</si>
  <si>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</si>
  <si>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</si>
  <si>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</si>
  <si>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</si>
  <si>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</si>
  <si>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</si>
  <si>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</si>
  <si>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</si>
  <si>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</si>
  <si>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</si>
  <si>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</si>
  <si>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</si>
  <si>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</si>
  <si>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</si>
  <si>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</si>
  <si>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</si>
  <si>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</si>
  <si>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</si>
  <si>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</si>
  <si>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</si>
  <si>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</si>
  <si>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</si>
  <si>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</si>
  <si>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</si>
  <si>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</si>
  <si>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</si>
  <si>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</si>
  <si>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</si>
  <si>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</si>
  <si>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</si>
  <si>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</si>
  <si>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</si>
  <si>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</si>
  <si>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</si>
  <si>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</si>
  <si>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</si>
  <si>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</si>
  <si>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</si>
  <si>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</si>
  <si>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</si>
  <si>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</si>
  <si>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</si>
  <si>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</si>
  <si>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</si>
  <si>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</si>
  <si>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</si>
  <si>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</si>
  <si>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</si>
  <si>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</si>
  <si>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</si>
  <si>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</si>
  <si>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</si>
  <si>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</si>
  <si>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</si>
  <si>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</si>
  <si>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</si>
  <si>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</si>
  <si>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</si>
  <si>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</si>
  <si>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</si>
  <si>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</si>
  <si>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</si>
  <si>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</si>
  <si>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</si>
  <si>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</si>
  <si>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</si>
  <si>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</si>
  <si>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</si>
  <si>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</si>
  <si>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</si>
  <si>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</si>
  <si>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</si>
  <si>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</si>
  <si>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</si>
  <si>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</si>
  <si>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</si>
  <si>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</si>
  <si>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</si>
  <si>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</si>
  <si>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</si>
  <si>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</si>
  <si>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</si>
  <si>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</si>
  <si>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</si>
  <si>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</si>
  <si>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</si>
  <si>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</si>
  <si>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</si>
  <si>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</si>
  <si>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</si>
  <si>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</si>
  <si>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</si>
  <si>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</si>
  <si>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</si>
  <si>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</si>
  <si>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</si>
  <si>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</si>
  <si>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</si>
  <si>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</si>
  <si>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</si>
  <si>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</si>
  <si>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</si>
  <si>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</si>
  <si>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</si>
  <si>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</si>
  <si>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</si>
  <si>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</si>
  <si>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</si>
  <si>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</si>
  <si>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</si>
  <si>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Zimbabwe</t>
  </si>
  <si>
    <t>Data Sheet Prostate</t>
  </si>
  <si>
    <t>Data quality indicators</t>
  </si>
  <si>
    <t>OK</t>
  </si>
  <si>
    <t>Plausible</t>
  </si>
  <si>
    <t>Plausibility unclear</t>
  </si>
  <si>
    <t>Processing quality</t>
  </si>
  <si>
    <t>Incorrect</t>
  </si>
  <si>
    <t>Incomplete</t>
  </si>
  <si>
    <t>IN</t>
  </si>
  <si>
    <t>Indicator definition</t>
  </si>
  <si>
    <t>Indicator target</t>
  </si>
  <si>
    <t>Numerator</t>
  </si>
  <si>
    <t>Population
(= denominator)</t>
  </si>
  <si>
    <t>Target value</t>
  </si>
  <si>
    <t>Current value</t>
  </si>
  <si>
    <t>Data quality</t>
  </si>
  <si>
    <t>Verification Centre</t>
  </si>
  <si>
    <t>Justifications
(min. 30 characters / max. 500 characters)</t>
  </si>
  <si>
    <t>Action taken / planned
(when reasons are plausible to assume, no action is required)</t>
  </si>
  <si>
    <t>Number of primary cases of prostate carcinoma</t>
  </si>
  <si>
    <t>See target value</t>
  </si>
  <si>
    <t>Primary cases</t>
  </si>
  <si>
    <t>Number</t>
  </si>
  <si>
    <t>Distribution of primary cases with locally confined prostate carcinoma and low risk</t>
  </si>
  <si>
    <t>Primary cases with locally confined PCa and low risk (PSA ≤ 10ng/ml and Gleason score 6 and cT category ≤ 2a)</t>
  </si>
  <si>
    <t>No target value</t>
  </si>
  <si>
    <t>Distribution of primary cases with locally confined prostate carcinoma and intermediate risk</t>
  </si>
  <si>
    <t>Primary cases with locally confined Pca and intermediate risk (PSA &gt; 10-20 ng/ml or Gleason score 7 or cT 2b)</t>
  </si>
  <si>
    <t>Distribution of primary cases with locally confined prostate carcinoma and high risk</t>
  </si>
  <si>
    <t>Primary cases with locally confined Pca and high risk (PSA &gt; 20 ng/ml or Gleason score ≥ 8 or cT2c)</t>
  </si>
  <si>
    <t>Denominator</t>
  </si>
  <si>
    <t>Primary cases with primary M1</t>
  </si>
  <si>
    <t>As high a percentage as possible of patients with a high risk profile and percutaneous radiation + hormonal therapy</t>
  </si>
  <si>
    <t>Primary cases with prostate carcinoma T1/2, N0, M0 with high risk (PSA &gt;20ng/ml or Gleason score ≥ 8 or cT category 2c) and percutaneous radiotherapy</t>
  </si>
  <si>
    <t>Inclusion of as many patients as possible in studies</t>
  </si>
  <si>
    <t>Primary cases (= Indicator 1a)</t>
  </si>
  <si>
    <t>Total number of radical prostatectomies / cystoprostatectomies (see basic data)</t>
  </si>
  <si>
    <t>Definitive radiotherapy</t>
  </si>
  <si>
    <t>Information on primary cases with definitive radiotherapy</t>
  </si>
  <si>
    <t>Permanent seed implantation – D 90 &gt; 130 Gy
* Implementation of this therapy is voluntary!</t>
  </si>
  <si>
    <t>HDR brachytherapy
* Implementation of this therapy is voluntary!</t>
  </si>
  <si>
    <t>Number of patients with HDR brachytherapy</t>
  </si>
  <si>
    <t>Diagnostic report - punch biopsy</t>
  </si>
  <si>
    <t>As many complete diagnostic reports as possible</t>
  </si>
  <si>
    <t>Diagnostic report - lymph nodes</t>
  </si>
  <si>
    <t xml:space="preserve">Patients after RPE and PSA recurrence and Salvage-radiotherapy
</t>
  </si>
  <si>
    <t xml:space="preserve">Postoperative complications after radical prostatectomy </t>
  </si>
  <si>
    <t>Dental examination prior to commencement of bisphosphonate or denosumab therapy</t>
  </si>
  <si>
    <t>1) Plausibility unclear 
In comparison to other centres, the Indicator value provided/obtained is an unusual value. The classification "plausibility unclear" does not automatically mean a negative assessment. The Indicator value is to be checked for correctness because of its unusual character. In individual cases a positive Indicator value, when viewed in detail, may also present a negative care situation (e.g. oversupply). The result of this check is to be explained in more detail by the Centre in the Catalogue of Requirements in the column "Reasons/Cause" . Where appropriate, specific actions should be defined and carried out in line with the procedure "Failure to meet the target value" for the purpose of improvement.
2) Target value not met
The relevant Indicators are to be analysed. The result is to be documented in the data sheet "Indicators". The document "Specifications Data Quality" contains more detailed information about this.
3) Incomplete
If any Indicators have the status "incomplete", then they are to be provided at a later stage or a clear statement is to be made about the possibility of presenting missing data in the future ("incomplete Indicators" always constitute a potential deviation).</t>
  </si>
  <si>
    <t>OK (Plausibility unclear)</t>
  </si>
  <si>
    <t>Target value not met</t>
  </si>
  <si>
    <t>Exception (Plausibility unclear)</t>
  </si>
  <si>
    <t>Sum</t>
  </si>
  <si>
    <t>optional - OK</t>
  </si>
  <si>
    <t>optional - OK (Plausibility unclear)</t>
  </si>
  <si>
    <t>optional - Target value not met</t>
  </si>
  <si>
    <t>optional - incomplete</t>
  </si>
  <si>
    <t>optional - incorrect</t>
  </si>
  <si>
    <t>optional - Exception (Plausibility unclear)</t>
  </si>
  <si>
    <t>Primary cases of the denominator with additional neo- and / or adjuvant hormone ablation therapy</t>
  </si>
  <si>
    <t>Patients of the denominator who received social service counselling (in- or outpatient setting)</t>
  </si>
  <si>
    <t>Operations of the denominator with R1</t>
  </si>
  <si>
    <t>Primary cases of the denominator with definitive radiotherapy</t>
  </si>
  <si>
    <t>Primary cases of the denominator for whom D 90 &gt; 130 Gy was achieved</t>
  </si>
  <si>
    <t>Primary cases with LDR monotherapy</t>
  </si>
  <si>
    <t>Primary cases with punch biopsy</t>
  </si>
  <si>
    <t xml:space="preserve">Primary cases with lymphadenectomy </t>
  </si>
  <si>
    <t xml:space="preserve">Beginning of Salvage-radiotherapy for recurrent prostate cancer </t>
  </si>
  <si>
    <t>Patients of the denominator who have started Salvage-radiotherapy at PSA &lt;0.5 ng/ml</t>
  </si>
  <si>
    <t xml:space="preserve">Primary cases of the denominator with complications  Clavien-Dindo grade III or IV within the first 6 months after RPE
</t>
  </si>
  <si>
    <t xml:space="preserve">Adverse effects after radiotherapy </t>
  </si>
  <si>
    <t xml:space="preserve">Primary cases of the denominator with adverse effects CTCAE grade III or IV within the first 6 months after radiotherapy
</t>
  </si>
  <si>
    <t>Primary cases with definitive radiotherapy (from the previous Indicator year)</t>
  </si>
  <si>
    <t>Basic Data Prostate</t>
  </si>
  <si>
    <t>In-house development (MS Excel, MS Access etc.)</t>
  </si>
  <si>
    <t>Plausi-bility unclear</t>
  </si>
  <si>
    <r>
      <t xml:space="preserve">b) Patients with new recurrence and / or distant metastasis in calendar year </t>
    </r>
    <r>
      <rPr>
        <b/>
        <vertAlign val="superscript"/>
        <sz val="10"/>
        <color indexed="8"/>
        <rFont val="Arial"/>
        <family val="2"/>
      </rPr>
      <t>1)</t>
    </r>
  </si>
  <si>
    <t xml:space="preserve">   patient with new
   recurrence</t>
  </si>
  <si>
    <t xml:space="preserve">   patient with new 
   distant metastasis</t>
  </si>
  <si>
    <t>CR/
GL</t>
  </si>
  <si>
    <t>1c)</t>
  </si>
  <si>
    <t>Presentation at the weekly pre-therapeutic tumour board</t>
  </si>
  <si>
    <t>Presentation of as many patients as possible in the pretherapeutic tumour board (via urology)</t>
  </si>
  <si>
    <t>Presentation of as many patients as possible in the pretherapeutic tumour board (via radiotherapy)</t>
  </si>
  <si>
    <t>All patients of the denominator presented in the pre-therapeutic tumour board</t>
  </si>
  <si>
    <t>Presentation of as many patients (primary cases) as possible in the tumour board</t>
  </si>
  <si>
    <t>All patients of the denominator presented in the tumour board (post OP: operated primary cases and pre-therapeutic: primary M1, recurrence / distant metastasis)</t>
  </si>
  <si>
    <t>GL QI</t>
  </si>
  <si>
    <t>Percutaneous radiotherapy with hormone ablation therapy for locally confined PCa with high risk</t>
  </si>
  <si>
    <t>Adequate rate of counselling by social services</t>
  </si>
  <si>
    <t>Patients who were included in a study with an ethical vote</t>
  </si>
  <si>
    <t>As many patients as possible with early started Salvage-radiotherapy</t>
  </si>
  <si>
    <t>As few complications as possible after RPE</t>
  </si>
  <si>
    <t>As low occurrence as possible of adverse effects after radiotherapy</t>
  </si>
  <si>
    <t>As frequent as possible recommendation of dental examination prior to commencement of bisphosphonate or denosumab treatment</t>
  </si>
  <si>
    <t>1c</t>
  </si>
  <si>
    <t>1.2.5</t>
  </si>
  <si>
    <t>Patients with new recurrence and/or distant metastasis</t>
  </si>
  <si>
    <t>D 90 &gt; 130 Gy at ≥ 90% should be achieved in case of permanent seed implantation</t>
  </si>
  <si>
    <t>Zentrumspatient 
Prostatakarzinom</t>
  </si>
  <si>
    <t>nicht interventionell - Active Surveillance</t>
  </si>
  <si>
    <t>nicht interventionell - Watchful Waiting</t>
  </si>
  <si>
    <t>interventionell - lokale Behandlung der Prostata - RPE</t>
  </si>
  <si>
    <t>interventionell - lokale Behandlung der Prostata - RZE aufgrund von PCa</t>
  </si>
  <si>
    <t>interventionell - lokale Behandlung der Prostata - Zufallsbefund nach RZE</t>
  </si>
  <si>
    <t xml:space="preserve">interventionell - lokale Behandlung der Prostata - Definitive perkutane
Strahlentherapie  </t>
  </si>
  <si>
    <t>interventionell - lokale Behandlung der Prostata - LDR-Brachytherapie</t>
  </si>
  <si>
    <t>interventionell - lokale Behandlung der Prostata - HDR-Brachytherapie</t>
  </si>
  <si>
    <t>interventionell - lokale Behandlung der Prostata - andere lokale Therapie</t>
  </si>
  <si>
    <t>interventionell - ausschließliche systemische 
Behandlung</t>
  </si>
  <si>
    <t>interventionell - andere Behandlung</t>
  </si>
  <si>
    <t>Gesamt</t>
  </si>
  <si>
    <t>a) Primärfall-Pat. - lokal begrenzt (T1/2-N0-M0) - niedrigem Risiko</t>
  </si>
  <si>
    <t>a) Primärfall-Pat. - lokal begrenzt (T1/2-N0-M0) - mittlerem Risiko</t>
  </si>
  <si>
    <t>a) Primärfall-Pat. - lokal begrenzt (T1/2-N0-M0) - hohem Risiko</t>
  </si>
  <si>
    <t>a) Primärfall-Pat. - lokal fortgeschritten (T3/4-N0-M0)</t>
  </si>
  <si>
    <t>a) Primärfall-Pat. - fortgeschritten (N1, M0)</t>
  </si>
  <si>
    <t>a) Primärfall-Pat. - fortgeschritten (N0/1, M1)</t>
  </si>
  <si>
    <t>a) Primärfall-Pat. - nicht zuzuordnen</t>
  </si>
  <si>
    <t>a) Primärfall-Pat. - Primärfallpat. gesamt</t>
  </si>
  <si>
    <t>a) Primärfall-Pat. - davon Pat. mit Historie "AS/WW"</t>
  </si>
  <si>
    <t xml:space="preserve">Zentrumspat. GESAMT </t>
  </si>
  <si>
    <t>Operative Expertise - RPE</t>
  </si>
  <si>
    <t>Operative Expertise - RZE aufgrund von PCa</t>
  </si>
  <si>
    <t>Operative Expertise - Zufallsbefund nach RZE</t>
  </si>
  <si>
    <t>Operative Expertise</t>
  </si>
  <si>
    <t>b) Patienten mit neuaufgetretenem Rezidiv und/oder Fernmetastasen im Kalenderjahr  -   Pat. mit neuaufgetretenem Rezidiv</t>
  </si>
  <si>
    <t>b) Patienten mit neuaufgetretenem Rezidiv und/oder Fernmetastasen im Kalenderjahr  -  Pat. mit neuaufgetretener Fernmetastase</t>
  </si>
  <si>
    <t>b) Patienten mit neuaufgetretenem Rezidiv und/oder Fernmetastasen im Kalenderjahr  - Pat. gesamt (ohne Mehrfachnennung)</t>
  </si>
  <si>
    <t>b) Patienten mit neuaufgetretenem Rezidiv und/oder Fernmetastasen im Kalenderjahr  - davon Pat. parallel Status Primärfall-Pat.</t>
  </si>
  <si>
    <t xml:space="preserve"> radical cystoprostatectomy (RCE) due to PCa</t>
  </si>
  <si>
    <t>All patients who present urology or radiotherapy (e.g. via referral) and have been diagnosed as primary cases in line with CR 1.2.1 (without primary M1, without incidental findings according to RZE)</t>
  </si>
  <si>
    <t>Pat. of the denominator with a recommended dental examination prior to commencement of bisphosphonate or denosumab therapy</t>
  </si>
  <si>
    <t>Pat. of bisphosphonate or denosumab therapy</t>
  </si>
  <si>
    <t>Note:</t>
  </si>
  <si>
    <t xml:space="preserve">For reasons of easy readability, the term “patient” expressly covers all gender attributions (female, male, other). </t>
  </si>
  <si>
    <t>Primary cases p T1/2, N0, M0 and RPE (from the previous Indicator year)</t>
  </si>
  <si>
    <t xml:space="preserve">          Erroneous</t>
  </si>
  <si>
    <t>Primary cases of the denominator with diagnostic reports stating:
- pN category 
- number of affected lymph nodes in relation to resected lymph nodes</t>
  </si>
  <si>
    <r>
      <rPr>
        <b/>
        <u/>
        <sz val="8"/>
        <rFont val="Arial"/>
        <family val="2"/>
      </rPr>
      <t>Processing remarks:</t>
    </r>
    <r>
      <rPr>
        <sz val="8"/>
        <rFont val="Arial"/>
        <family val="2"/>
      </rPr>
      <t xml:space="preserve">
The respective entry or change of "Number / Numerator / Population" (dotted fields) can only be made in the spreadsheet "Basic Data", the data are then automatically transferred.            
The numerator is always a subset of the denominator (exception: Indicator 8 - Share of study patients).</t>
    </r>
  </si>
  <si>
    <t>Record of R1 resections for (y)pT2 c / pN0 or Nx M0</t>
  </si>
  <si>
    <t>Max. 15% rate of R1 for (y)pT2 c/pN0 or Nx M0</t>
  </si>
  <si>
    <t>Operations on primary cases with (y)pT2 c/pN0 or Nx M0</t>
  </si>
  <si>
    <t>Primary cases of the denominator with report of findings indicating:
- Localization and number of carcinoma-positive tissue samples in relation to the number of punches taken.
- Semiquantitative estimate of tumor extent per punch (in percent and/or mm). 
- Gleason score according to ISUP 2014 and WHO 2016</t>
  </si>
  <si>
    <t>≤ 3,5%</t>
  </si>
  <si>
    <t>Primary cases (= Indicator 1a) + patients with new recurrence and/or distant metastasis 
(= Indicator 1c)</t>
  </si>
  <si>
    <t>Presentation in the weekly tumour board</t>
  </si>
  <si>
    <t xml:space="preserve">Psycho-oncological distress screening </t>
  </si>
  <si>
    <t>Adequate rate of psycho-oncological distress screening</t>
  </si>
  <si>
    <t>Patients of the denominator who were psycho-oncologically screened</t>
  </si>
  <si>
    <t>Patients with new recurrence and/or distant metastasis (= Indicator 1c)</t>
  </si>
  <si>
    <t xml:space="preserve">Primary cases (= indicator 1a) and patients with new recurrence and/or distant metastases 
(= Indicator 1c) </t>
  </si>
  <si>
    <t>≥ 65%</t>
  </si>
  <si>
    <t>Surgical expertise</t>
  </si>
  <si>
    <t>Social service counselling</t>
  </si>
  <si>
    <t>Patients enrolled in a study</t>
  </si>
  <si>
    <t>Primary cases ≥ pT3a and / or R1 and / or pN+</t>
  </si>
  <si>
    <t xml:space="preserve">          Target value not met</t>
  </si>
  <si>
    <t xml:space="preserve">          OK</t>
  </si>
  <si>
    <t xml:space="preserve">Presentation of the rate of operated primary cases with locally confined prostate carcinoma and low risk in the total number of RPEs/RCEs </t>
  </si>
  <si>
    <t>Primary cases of the denominator with locally confined prostate carcinoma and low risk</t>
  </si>
  <si>
    <t xml:space="preserve">RPE/RCE in primary cases with locally confined prostate carcinoma and low risk </t>
  </si>
  <si>
    <t>Presentation of the rate of RPE/RCE in primary cases with locally confined  prostate carcrinoma and low risk</t>
  </si>
  <si>
    <t>Rate of locally confined prostate carcinoma and low risk with RPE/RCE</t>
  </si>
  <si>
    <t>Institution identification (II) number</t>
  </si>
  <si>
    <t>Clinical sites number</t>
  </si>
  <si>
    <t>locally confined 
(T1/2-N0-M0)</t>
  </si>
  <si>
    <t>No</t>
  </si>
  <si>
    <t>FAP-Z-138</t>
  </si>
  <si>
    <t>Prostatakrebszentrum Hôpitaux Robert Schuman</t>
  </si>
  <si>
    <t>Hôpitaux Robert Schuman</t>
  </si>
  <si>
    <t>Luxemburg</t>
  </si>
  <si>
    <t>Name der Studie</t>
  </si>
  <si>
    <t>im eigenen Zentrum in eine Studie eingeschlossen wurden</t>
  </si>
  <si>
    <t>von anderen Zentren/ Kliniken in eine Studie im eigenen Zentrum eingeschlossen wurden</t>
  </si>
  <si>
    <t>in anderen Zentren/ Kliniken in eine Studie eingeschlossen wurden</t>
  </si>
  <si>
    <t>List of studies</t>
  </si>
  <si>
    <t xml:space="preserve">                Total:</t>
  </si>
  <si>
    <t>Responsible co-operation partner</t>
  </si>
  <si>
    <t>Name of the study</t>
  </si>
  <si>
    <t>Number of centre patients recruited in the indicator year</t>
  </si>
  <si>
    <t>who were included in a study at their own centre</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</si>
  <si>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</si>
  <si>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</si>
  <si>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</si>
  <si>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</si>
  <si>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</si>
  <si>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</si>
  <si>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</si>
  <si>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</si>
  <si>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</si>
  <si>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Summe:</t>
  </si>
  <si>
    <t>Table of surgeons (qualification according to CR 5.2.8)</t>
  </si>
  <si>
    <t>Title, Surname, First Name</t>
  </si>
  <si>
    <t>Status of surgeon</t>
  </si>
  <si>
    <t>Time period from ... to in the indicator year</t>
  </si>
  <si>
    <t>Designated surgeon</t>
  </si>
  <si>
    <t>Non-designated surgeon</t>
  </si>
  <si>
    <t>In training</t>
  </si>
  <si>
    <t>Clinical sites/ centre</t>
  </si>
  <si>
    <t>Reason/ cause</t>
  </si>
  <si>
    <t>who were included in a study at their own centre by other centers/ clinics</t>
  </si>
  <si>
    <t>included in a study at other centres/ clinics</t>
  </si>
  <si>
    <r>
      <rPr>
        <u/>
        <sz val="8"/>
        <color theme="1"/>
        <rFont val="Arial"/>
        <family val="2"/>
      </rPr>
      <t>Please note:</t>
    </r>
    <r>
      <rPr>
        <sz val="8"/>
        <color theme="1"/>
        <rFont val="Arial"/>
        <family val="2"/>
      </rPr>
      <t xml:space="preserve"> Study patients can be counted for two centres, provided that the sending centre itself is conducting at least one study for patients of the Prostate Cancer Centre. If this counting method is chosen (optional), the centre must show how many patients in studies are included in the centre itself, sent to other centres/hospitals for study participation and taken from other centres/ hospitals for study participation.</t>
    </r>
  </si>
  <si>
    <t xml:space="preserve">6
</t>
  </si>
  <si>
    <t>Annex CR Version Q1.1 (Audit year 2026 / Indicator year 2025)</t>
  </si>
  <si>
    <t>Aktualisierung: 02.12.2025</t>
  </si>
  <si>
    <t>Clinic WinData</t>
  </si>
  <si>
    <t>D-Flow Onco (vormals OncoAssist)</t>
  </si>
  <si>
    <t>Stand: 13.08.2025</t>
  </si>
  <si>
    <t>Active Monitoring</t>
  </si>
  <si>
    <t>RPE with systemic therapy</t>
  </si>
  <si>
    <t>Definitive percutaneous radiotherapy with systematic therapy</t>
  </si>
  <si>
    <t>RPE (sum of F40 + F47 + G40 + G47)</t>
  </si>
  <si>
    <t>RCE due to Pca (sum of H40 + H47)</t>
  </si>
  <si>
    <t>2) Each patient can only be assigned to one therapy category per calendar year. The patient is assigned to the main therapy. For instance:
- The patient receives a percutaneous radiotherapy and in addition a hormonal therapy, then the patient is counted in column I (definitive percutaneous radiotherapy)
- In January, the patient is treated according to Active Monitoring / WW and in October the patient receives a RPE on his own demand. This patient is to be registered only in column F (RPE).</t>
  </si>
  <si>
    <t xml:space="preserve">Legend:
RPE – radical prostatectomy
RCE – radical cystoprostatectomy
LDR – low-dose rate
HDR – high dose rate
Pca – prostate carcinoma
WW – watchful waiting
</t>
  </si>
  <si>
    <t>radical prostatectomy (RPE) without systemic therapy</t>
  </si>
  <si>
    <t>Definitive percutaneous radiotherapy without systemic therapy</t>
  </si>
  <si>
    <t>LDR brachytherapy
± percutaneous radiotherapy</t>
  </si>
  <si>
    <t>HDR brachytherapy
± percutaneous radiotherapy</t>
  </si>
  <si>
    <t>Incidental finding after RCE (sum of I40 + I47)</t>
  </si>
  <si>
    <t>5 years
2021 - 2025</t>
  </si>
  <si>
    <t>Processing only if number of prostatectomies &lt; 25 in 2025</t>
  </si>
  <si>
    <t>proportion of pat. with "Active monitoring / WW"</t>
  </si>
  <si>
    <t>Adequate rate of primary cases under active monitoring</t>
  </si>
  <si>
    <t>Primary cases of the denominator under active monitoring</t>
  </si>
  <si>
    <t>Active Monitoring
for locally confined, low-risk prostate cancer</t>
  </si>
  <si>
    <t>Primary cases with locally confined PCa and low risk (Group ISUP 1 and low risk according to d'Amico criteria)</t>
  </si>
  <si>
    <t>≥ 30%</t>
  </si>
  <si>
    <t>Primary cases of the denominator with HDR brachytherapy ± percutaneous radiotherapy</t>
  </si>
  <si>
    <t>Primary cases with locally confined prostate carcinoma and low risk and RPE and primary cases with locally confined prostate carcinoma and low risk and RCE due to prostate carcinoma</t>
  </si>
  <si>
    <t>Primary cases with locally confined prostate carcinoma and low risk (excluding primary cases with RCE and incidental findings of prostate carcinoma)</t>
  </si>
  <si>
    <t>Primary cases with RPE and primary cases RCE due to prostate carcinoma</t>
  </si>
  <si>
    <t xml:space="preserve">The TNM classification of malignant tumours, 8th edition 2017, the ICD classification ICD-10-GM 2025 (BfARM) and the OPS classification OPS 2025 (BfARM) are the basis for this Catalogue of Requirements.
</t>
  </si>
  <si>
    <r>
      <rPr>
        <u/>
        <sz val="8"/>
        <rFont val="Arial"/>
        <family val="2"/>
      </rPr>
      <t xml:space="preserve">Please note: 
</t>
    </r>
    <r>
      <rPr>
        <sz val="8"/>
        <rFont val="Arial"/>
        <family val="2"/>
      </rPr>
      <t>If the surgeons did not perform any operations during the period under review, enter ‘0’. 
Operations performed by a surgeon with trainee status are not included in the total number of operations in cell E25.</t>
    </r>
  </si>
  <si>
    <t>Annex CR Version Q1.2 (Audit year 2026 / Indicator year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</si>
</sst>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0%"/>
    <numFmt numFmtId="166" formatCode="0.0"/>
    <numFmt numFmtId="167" formatCode="0.000%"/>
  </numFmts>
  <fonts count="132" x14ac:knownFonts="1">
    <font>
      <sz val="11"/>
      <color theme="1"/>
      <name val="Calibri"/>
      <family val="2"/>
      <scheme val="minor"/>
    </font>
    <font>
      <sz val="10"/>
      <color theme="1"/>
      <name val="Arial"/>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9"/>
      <color indexed="81"/>
      <name val="Tahoma"/>
      <family val="2"/>
    </font>
    <font>
      <sz val="9"/>
      <color indexed="8"/>
      <name val="Calibri"/>
      <family val="2"/>
    </font>
    <font>
      <b/>
      <sz val="12"/>
      <color indexed="8"/>
      <name val="Arial"/>
      <family val="2"/>
    </font>
    <font>
      <sz val="9"/>
      <color indexed="8"/>
      <name val="Times New Roman"/>
      <family val="1"/>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8000000000000007"/>
      <color indexed="8"/>
      <name val="Arial"/>
      <family val="2"/>
    </font>
    <font>
      <b/>
      <sz val="9"/>
      <color indexed="8"/>
      <name val="Calibri"/>
      <family val="2"/>
    </font>
    <font>
      <sz val="11"/>
      <name val="Calibri"/>
      <family val="2"/>
    </font>
    <font>
      <b/>
      <u/>
      <sz val="8"/>
      <color indexed="8"/>
      <name val="Arial"/>
      <family val="2"/>
    </font>
    <font>
      <sz val="8"/>
      <color indexed="81"/>
      <name val="Arial"/>
      <family val="2"/>
    </font>
    <font>
      <b/>
      <sz val="8.5"/>
      <color indexed="8"/>
      <name val="Arial"/>
      <family val="2"/>
    </font>
    <font>
      <sz val="6"/>
      <name val="Arial"/>
      <family val="2"/>
    </font>
    <font>
      <sz val="9"/>
      <color indexed="9"/>
      <name val="Arial"/>
      <family val="2"/>
    </font>
    <font>
      <b/>
      <sz val="16"/>
      <color indexed="8"/>
      <name val="Arial"/>
      <family val="2"/>
    </font>
    <font>
      <sz val="8"/>
      <name val="Arial Narrow"/>
      <family val="2"/>
    </font>
    <font>
      <u/>
      <sz val="8"/>
      <color indexed="8"/>
      <name val="Arial"/>
      <family val="2"/>
    </font>
    <font>
      <b/>
      <sz val="11"/>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u/>
      <sz val="11"/>
      <color theme="10"/>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b/>
      <sz val="18"/>
      <color indexed="62"/>
      <name val="Cambria"/>
      <family val="2"/>
      <scheme val="major"/>
    </font>
    <font>
      <sz val="11"/>
      <color rgb="FFFF0000"/>
      <name val="Calibri"/>
      <family val="2"/>
      <scheme val="minor"/>
    </font>
    <font>
      <sz val="11"/>
      <color indexed="53"/>
      <name val="Calibri"/>
      <family val="2"/>
      <scheme val="minor"/>
    </font>
    <font>
      <sz val="8"/>
      <color theme="1"/>
      <name val="Arial"/>
      <family val="2"/>
    </font>
    <font>
      <sz val="11"/>
      <color theme="1"/>
      <name val="Arial"/>
      <family val="2"/>
    </font>
    <font>
      <sz val="9"/>
      <color theme="1"/>
      <name val="Calibri"/>
      <family val="2"/>
      <scheme val="minor"/>
    </font>
    <font>
      <b/>
      <sz val="9"/>
      <color theme="1"/>
      <name val="Calibri"/>
      <family val="2"/>
      <scheme val="minor"/>
    </font>
    <font>
      <b/>
      <sz val="9"/>
      <color theme="1"/>
      <name val="Arial"/>
      <family val="2"/>
    </font>
    <font>
      <sz val="10"/>
      <color theme="1"/>
      <name val="Arial"/>
      <family val="2"/>
    </font>
    <font>
      <b/>
      <sz val="8"/>
      <color theme="1"/>
      <name val="Arial"/>
      <family val="2"/>
    </font>
    <font>
      <sz val="9"/>
      <color theme="1"/>
      <name val="Arial"/>
      <family val="2"/>
    </font>
    <font>
      <b/>
      <sz val="10"/>
      <color theme="1"/>
      <name val="Arial"/>
      <family val="2"/>
    </font>
    <font>
      <b/>
      <sz val="11"/>
      <color theme="1"/>
      <name val="Arial"/>
      <family val="2"/>
    </font>
    <font>
      <sz val="10"/>
      <color theme="1"/>
      <name val="Calibri"/>
      <family val="2"/>
      <scheme val="minor"/>
    </font>
    <font>
      <sz val="11"/>
      <name val="Calibri"/>
      <family val="2"/>
      <scheme val="minor"/>
    </font>
    <font>
      <sz val="7"/>
      <name val="Arial"/>
      <family val="2"/>
    </font>
    <font>
      <vertAlign val="superscript"/>
      <sz val="9"/>
      <name val="Arial"/>
      <family val="2"/>
    </font>
    <font>
      <vertAlign val="superscript"/>
      <sz val="8"/>
      <name val="Arial"/>
      <family val="2"/>
    </font>
    <font>
      <sz val="9"/>
      <color rgb="FFFF0000"/>
      <name val="Arial"/>
      <family val="2"/>
    </font>
    <font>
      <strike/>
      <sz val="8"/>
      <name val="Arial Narrow"/>
      <family val="2"/>
    </font>
    <font>
      <b/>
      <sz val="13"/>
      <name val="Arial"/>
      <family val="2"/>
    </font>
    <font>
      <sz val="11"/>
      <color indexed="8"/>
      <name val="Arial"/>
      <family val="2"/>
    </font>
    <font>
      <sz val="9"/>
      <color indexed="8"/>
      <name val="Arial"/>
      <family val="2"/>
    </font>
    <font>
      <sz val="10"/>
      <color indexed="8"/>
      <name val="Arial"/>
      <family val="2"/>
    </font>
    <font>
      <b/>
      <sz val="13"/>
      <color indexed="8"/>
      <name val="Arial"/>
      <family val="2"/>
    </font>
    <font>
      <sz val="8"/>
      <color rgb="FFFF0000"/>
      <name val="Arial"/>
      <family val="2"/>
    </font>
    <font>
      <b/>
      <sz val="10"/>
      <color indexed="8"/>
      <name val="Arial"/>
      <family val="2"/>
    </font>
    <font>
      <sz val="10"/>
      <name val="Arial"/>
      <family val="2"/>
    </font>
    <font>
      <sz val="9"/>
      <name val="Arial"/>
      <family val="2"/>
    </font>
    <font>
      <sz val="10"/>
      <color rgb="FFFF0000"/>
      <name val="Arial"/>
      <family val="2"/>
    </font>
    <font>
      <b/>
      <sz val="9"/>
      <color indexed="8"/>
      <name val="Arial"/>
      <family val="2"/>
    </font>
    <font>
      <sz val="8"/>
      <color indexed="8"/>
      <name val="Arial"/>
      <family val="2"/>
    </font>
    <font>
      <sz val="11"/>
      <color theme="1"/>
      <name val="Arial"/>
      <family val="2"/>
    </font>
    <font>
      <b/>
      <sz val="11"/>
      <color indexed="8"/>
      <name val="Calibri"/>
      <family val="2"/>
      <scheme val="minor"/>
    </font>
    <font>
      <sz val="8"/>
      <color indexed="23"/>
      <name val="Arial"/>
      <family val="2"/>
    </font>
    <font>
      <b/>
      <vertAlign val="superscript"/>
      <sz val="9"/>
      <color indexed="8"/>
      <name val="Arial"/>
      <family val="2"/>
      <charset val="238"/>
    </font>
    <font>
      <vertAlign val="superscript"/>
      <sz val="9"/>
      <color indexed="8"/>
      <name val="Arial"/>
      <family val="2"/>
      <charset val="238"/>
    </font>
    <font>
      <b/>
      <vertAlign val="superscript"/>
      <sz val="10"/>
      <color indexed="8"/>
      <name val="Arial"/>
      <family val="2"/>
    </font>
    <font>
      <b/>
      <sz val="12"/>
      <name val="Arial"/>
      <family val="2"/>
    </font>
    <font>
      <b/>
      <sz val="8"/>
      <name val="Arial Narrow"/>
      <family val="2"/>
    </font>
    <font>
      <b/>
      <u/>
      <sz val="8"/>
      <name val="Arial"/>
      <family val="2"/>
    </font>
    <font>
      <b/>
      <sz val="12"/>
      <color theme="1"/>
      <name val="Arial"/>
      <family val="2"/>
    </font>
    <font>
      <u/>
      <sz val="8"/>
      <color theme="1"/>
      <name val="Arial"/>
      <family val="2"/>
    </font>
    <font>
      <u/>
      <sz val="8"/>
      <name val="Arial"/>
      <family val="2"/>
    </font>
    <font>
      <sz val="8"/>
      <name val="Calibri"/>
      <family val="2"/>
      <scheme val="minor"/>
    </font>
  </fonts>
  <fills count="98">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gray0625">
        <fgColor indexed="23"/>
        <bgColor indexed="9"/>
      </patternFill>
    </fill>
    <fill>
      <patternFill patternType="solid">
        <fgColor indexed="11"/>
        <bgColor indexed="64"/>
      </patternFill>
    </fill>
    <fill>
      <patternFill patternType="solid">
        <fgColor indexed="14"/>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DCE6F1"/>
        <bgColor indexed="64"/>
      </patternFill>
    </fill>
    <fill>
      <patternFill patternType="solid">
        <fgColor theme="0" tint="-0.499984740745262"/>
        <bgColor indexed="64"/>
      </patternFill>
    </fill>
    <fill>
      <patternFill patternType="solid">
        <fgColor rgb="FFFFFF9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gray0625">
        <fgColor rgb="FF808080"/>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BFBFBF"/>
        <bgColor indexed="64"/>
      </patternFill>
    </fill>
    <fill>
      <patternFill patternType="solid">
        <fgColor rgb="FFF2DCDB"/>
        <bgColor indexed="64"/>
      </patternFill>
    </fill>
    <fill>
      <patternFill patternType="solid">
        <fgColor rgb="FFD3FDDA"/>
        <bgColor indexed="64"/>
      </patternFill>
    </fill>
    <fill>
      <patternFill patternType="solid">
        <fgColor rgb="FFFFFF66"/>
        <bgColor indexed="64"/>
      </patternFill>
    </fill>
    <fill>
      <patternFill patternType="solid">
        <fgColor rgb="FFADDB7B"/>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rgb="FFDCE6F1"/>
        <bgColor indexed="9"/>
      </patternFill>
    </fill>
    <fill>
      <patternFill patternType="solid">
        <fgColor theme="4" tint="0.79998168889431442"/>
        <bgColor indexed="9"/>
      </patternFill>
    </fill>
    <fill>
      <patternFill patternType="solid">
        <fgColor rgb="FF99FF66"/>
        <bgColor indexed="64"/>
      </patternFill>
    </fill>
    <fill>
      <patternFill patternType="gray0625">
        <bgColor theme="4" tint="0.79998168889431442"/>
      </patternFill>
    </fill>
    <fill>
      <patternFill patternType="solid">
        <fgColor rgb="FF777777"/>
        <bgColor indexed="64"/>
      </patternFill>
    </fill>
    <fill>
      <patternFill patternType="lightUp"/>
    </fill>
    <fill>
      <patternFill patternType="solid">
        <fgColor theme="9" tint="0.59999389629810485"/>
        <bgColor indexed="64"/>
      </patternFill>
    </fill>
    <fill>
      <patternFill patternType="solid">
        <fgColor rgb="FFFFC00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indexed="9"/>
        <bgColor indexed="9"/>
      </patternFill>
    </fill>
    <fill>
      <patternFill patternType="solid">
        <fgColor rgb="FFC1C1C1"/>
        <bgColor indexed="64"/>
      </patternFill>
    </fill>
    <fill>
      <patternFill patternType="solid">
        <fgColor theme="1" tint="0.499984740745262"/>
        <bgColor indexed="64"/>
      </patternFill>
    </fill>
    <fill>
      <patternFill patternType="solid">
        <fgColor theme="7" tint="0.79998168889431442"/>
        <bgColor indexed="64"/>
      </patternFill>
    </fill>
  </fills>
  <borders count="118">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thick">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medium">
        <color indexed="64"/>
      </top>
      <bottom style="thick">
        <color indexed="64"/>
      </bottom>
      <diagonal/>
    </border>
    <border>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medium">
        <color indexed="64"/>
      </right>
      <top/>
      <bottom/>
      <diagonal/>
    </border>
    <border>
      <left/>
      <right/>
      <top style="medium">
        <color indexed="64"/>
      </top>
      <bottom/>
      <diagonal/>
    </border>
    <border>
      <left style="medium">
        <color indexed="64"/>
      </left>
      <right style="thick">
        <color indexed="64"/>
      </right>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top/>
      <bottom style="thin">
        <color indexed="64"/>
      </bottom>
      <diagonal/>
    </border>
  </borders>
  <cellStyleXfs count="1132">
    <xf numFmtId="0" fontId="0" fillId="0" borderId="0"/>
    <xf numFmtId="0" fontId="66" fillId="33" borderId="0" applyNumberFormat="0" applyBorder="0" applyAlignment="0" applyProtection="0"/>
    <xf numFmtId="0" fontId="66" fillId="3" borderId="0" applyNumberFormat="0" applyBorder="0" applyAlignment="0" applyProtection="0"/>
    <xf numFmtId="0" fontId="66" fillId="33"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3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66" fillId="34" borderId="0" applyNumberFormat="0" applyBorder="0" applyAlignment="0" applyProtection="0"/>
    <xf numFmtId="0" fontId="66" fillId="6" borderId="0" applyNumberFormat="0" applyBorder="0" applyAlignment="0" applyProtection="0"/>
    <xf numFmtId="0" fontId="66" fillId="34"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34"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66" fillId="35" borderId="0" applyNumberFormat="0" applyBorder="0" applyAlignment="0" applyProtection="0"/>
    <xf numFmtId="0" fontId="66" fillId="8" borderId="0" applyNumberFormat="0" applyBorder="0" applyAlignment="0" applyProtection="0"/>
    <xf numFmtId="0" fontId="66" fillId="35" borderId="0" applyNumberFormat="0" applyBorder="0" applyAlignment="0" applyProtection="0"/>
    <xf numFmtId="0" fontId="66" fillId="7" borderId="0" applyNumberFormat="0" applyBorder="0" applyAlignment="0" applyProtection="0"/>
    <xf numFmtId="0" fontId="66" fillId="7" borderId="0" applyNumberFormat="0" applyBorder="0" applyAlignment="0" applyProtection="0"/>
    <xf numFmtId="0" fontId="66" fillId="35" borderId="0" applyNumberFormat="0" applyBorder="0" applyAlignment="0" applyProtection="0"/>
    <xf numFmtId="0" fontId="66" fillId="7" borderId="0" applyNumberFormat="0" applyBorder="0" applyAlignment="0" applyProtection="0"/>
    <xf numFmtId="0" fontId="66" fillId="7"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66" fillId="36" borderId="0" applyNumberFormat="0" applyBorder="0" applyAlignment="0" applyProtection="0"/>
    <xf numFmtId="0" fontId="66" fillId="10" borderId="0" applyNumberFormat="0" applyBorder="0" applyAlignment="0" applyProtection="0"/>
    <xf numFmtId="0" fontId="66" fillId="36"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36"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6" fillId="37"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37" borderId="0" applyNumberFormat="0" applyBorder="0" applyAlignment="0" applyProtection="0"/>
    <xf numFmtId="0" fontId="66" fillId="2"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66" fillId="38"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66" fillId="39" borderId="0" applyNumberFormat="0" applyBorder="0" applyAlignment="0" applyProtection="0"/>
    <xf numFmtId="0" fontId="66" fillId="39" borderId="0" applyNumberFormat="0" applyBorder="0" applyAlignment="0" applyProtection="0"/>
    <xf numFmtId="0" fontId="66"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6" fillId="40"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66" fillId="41" borderId="0" applyNumberFormat="0" applyBorder="0" applyAlignment="0" applyProtection="0"/>
    <xf numFmtId="0" fontId="66" fillId="14" borderId="0" applyNumberFormat="0" applyBorder="0" applyAlignment="0" applyProtection="0"/>
    <xf numFmtId="0" fontId="66" fillId="41"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41"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66" fillId="42"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66" fillId="42" borderId="0" applyNumberFormat="0" applyBorder="0" applyAlignment="0" applyProtection="0"/>
    <xf numFmtId="0" fontId="66" fillId="15"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6" fillId="43" borderId="0" applyNumberFormat="0" applyBorder="0" applyAlignment="0" applyProtection="0"/>
    <xf numFmtId="0" fontId="66" fillId="43" borderId="0" applyNumberFormat="0" applyBorder="0" applyAlignment="0" applyProtection="0"/>
    <xf numFmtId="0" fontId="66"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6" fillId="44"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44" borderId="0" applyNumberFormat="0" applyBorder="0" applyAlignment="0" applyProtection="0"/>
    <xf numFmtId="0" fontId="66" fillId="5"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7" fillId="45"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5" borderId="0" applyNumberFormat="0" applyBorder="0" applyAlignment="0" applyProtection="0"/>
    <xf numFmtId="0" fontId="67" fillId="2"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67" fillId="46"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67" fillId="47"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67" fillId="48" borderId="0" applyNumberFormat="0" applyBorder="0" applyAlignment="0" applyProtection="0"/>
    <xf numFmtId="0" fontId="67" fillId="18" borderId="0" applyNumberFormat="0" applyBorder="0" applyAlignment="0" applyProtection="0"/>
    <xf numFmtId="0" fontId="67" fillId="48"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7" fillId="48"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67" fillId="49"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9" borderId="0" applyNumberFormat="0" applyBorder="0" applyAlignment="0" applyProtection="0"/>
    <xf numFmtId="0" fontId="67" fillId="2"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67" fillId="50" borderId="0" applyNumberFormat="0" applyBorder="0" applyAlignment="0" applyProtection="0"/>
    <xf numFmtId="0" fontId="67" fillId="20" borderId="0" applyNumberFormat="0" applyBorder="0" applyAlignment="0" applyProtection="0"/>
    <xf numFmtId="0" fontId="67" fillId="50"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67" fillId="50" borderId="0" applyNumberFormat="0" applyBorder="0" applyAlignment="0" applyProtection="0"/>
    <xf numFmtId="0" fontId="67" fillId="5" borderId="0" applyNumberFormat="0" applyBorder="0" applyAlignment="0" applyProtection="0"/>
    <xf numFmtId="0" fontId="67" fillId="5"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67" fillId="51" borderId="0" applyNumberFormat="0" applyBorder="0" applyAlignment="0" applyProtection="0"/>
    <xf numFmtId="0" fontId="33" fillId="21"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51" borderId="0" applyNumberFormat="0" applyBorder="0" applyAlignment="0" applyProtection="0"/>
    <xf numFmtId="0" fontId="67" fillId="19" borderId="0" applyNumberFormat="0" applyBorder="0" applyAlignment="0" applyProtection="0"/>
    <xf numFmtId="0" fontId="67" fillId="21" borderId="0" applyNumberFormat="0" applyBorder="0" applyAlignment="0" applyProtection="0"/>
    <xf numFmtId="0" fontId="67" fillId="52" borderId="0" applyNumberFormat="0" applyBorder="0" applyAlignment="0" applyProtection="0"/>
    <xf numFmtId="0" fontId="33" fillId="22" borderId="0" applyNumberFormat="0" applyBorder="0" applyAlignment="0" applyProtection="0"/>
    <xf numFmtId="0" fontId="67" fillId="23" borderId="0" applyNumberFormat="0" applyBorder="0" applyAlignment="0" applyProtection="0"/>
    <xf numFmtId="0" fontId="67" fillId="22" borderId="0" applyNumberFormat="0" applyBorder="0" applyAlignment="0" applyProtection="0"/>
    <xf numFmtId="0" fontId="33" fillId="24" borderId="0" applyNumberFormat="0" applyBorder="0" applyAlignment="0" applyProtection="0"/>
    <xf numFmtId="0" fontId="67" fillId="54" borderId="0" applyNumberFormat="0" applyBorder="0" applyAlignment="0" applyProtection="0"/>
    <xf numFmtId="0" fontId="33" fillId="18"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54" borderId="0" applyNumberFormat="0" applyBorder="0" applyAlignment="0" applyProtection="0"/>
    <xf numFmtId="0" fontId="67" fillId="25" borderId="0" applyNumberFormat="0" applyBorder="0" applyAlignment="0" applyProtection="0"/>
    <xf numFmtId="0" fontId="67" fillId="18"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67" fillId="18" borderId="0" applyNumberFormat="0" applyBorder="0" applyAlignment="0" applyProtection="0"/>
    <xf numFmtId="0" fontId="67" fillId="18"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7" fillId="56" borderId="0" applyNumberFormat="0" applyBorder="0" applyAlignment="0" applyProtection="0"/>
    <xf numFmtId="0" fontId="68" fillId="57" borderId="100" applyNumberFormat="0" applyAlignment="0" applyProtection="0"/>
    <xf numFmtId="0" fontId="68" fillId="15" borderId="100" applyNumberFormat="0" applyAlignment="0" applyProtection="0"/>
    <xf numFmtId="0" fontId="68" fillId="15" borderId="100" applyNumberFormat="0" applyAlignment="0" applyProtection="0"/>
    <xf numFmtId="0" fontId="12" fillId="15" borderId="1" applyNumberFormat="0" applyAlignment="0" applyProtection="0"/>
    <xf numFmtId="0" fontId="68" fillId="57" borderId="100" applyNumberFormat="0" applyAlignment="0" applyProtection="0"/>
    <xf numFmtId="0" fontId="68" fillId="9" borderId="100" applyNumberFormat="0" applyAlignment="0" applyProtection="0"/>
    <xf numFmtId="0" fontId="68" fillId="9" borderId="100" applyNumberFormat="0" applyAlignment="0" applyProtection="0"/>
    <xf numFmtId="0" fontId="68" fillId="57" borderId="100" applyNumberFormat="0" applyAlignment="0" applyProtection="0"/>
    <xf numFmtId="0" fontId="12" fillId="9" borderId="1" applyNumberFormat="0" applyAlignment="0" applyProtection="0"/>
    <xf numFmtId="0" fontId="68" fillId="15" borderId="100" applyNumberFormat="0" applyAlignment="0" applyProtection="0"/>
    <xf numFmtId="0" fontId="12" fillId="9" borderId="1" applyNumberFormat="0" applyAlignment="0" applyProtection="0"/>
    <xf numFmtId="0" fontId="68" fillId="15" borderId="100" applyNumberFormat="0" applyAlignment="0" applyProtection="0"/>
    <xf numFmtId="0" fontId="68" fillId="15" borderId="100" applyNumberFormat="0" applyAlignment="0" applyProtection="0"/>
    <xf numFmtId="0" fontId="12" fillId="15" borderId="1" applyNumberFormat="0" applyAlignment="0" applyProtection="0"/>
    <xf numFmtId="0" fontId="34" fillId="15" borderId="2" applyNumberFormat="0" applyAlignment="0" applyProtection="0"/>
    <xf numFmtId="0" fontId="34" fillId="15" borderId="2" applyNumberFormat="0" applyAlignment="0" applyProtection="0"/>
    <xf numFmtId="0" fontId="34" fillId="15" borderId="2" applyNumberFormat="0" applyAlignment="0" applyProtection="0"/>
    <xf numFmtId="0" fontId="68" fillId="15" borderId="100" applyNumberFormat="0" applyAlignment="0" applyProtection="0"/>
    <xf numFmtId="0" fontId="34" fillId="15" borderId="2" applyNumberFormat="0" applyAlignment="0" applyProtection="0"/>
    <xf numFmtId="0" fontId="68" fillId="15" borderId="100" applyNumberFormat="0" applyAlignment="0" applyProtection="0"/>
    <xf numFmtId="0" fontId="68" fillId="15" borderId="100" applyNumberFormat="0" applyAlignment="0" applyProtection="0"/>
    <xf numFmtId="0" fontId="12" fillId="15" borderId="1" applyNumberFormat="0" applyAlignment="0" applyProtection="0"/>
    <xf numFmtId="0" fontId="68" fillId="15" borderId="100" applyNumberFormat="0" applyAlignment="0" applyProtection="0"/>
    <xf numFmtId="0" fontId="34" fillId="15" borderId="2" applyNumberFormat="0" applyAlignment="0" applyProtection="0"/>
    <xf numFmtId="0" fontId="34" fillId="15" borderId="2" applyNumberFormat="0" applyAlignment="0" applyProtection="0"/>
    <xf numFmtId="0" fontId="68" fillId="15" borderId="100" applyNumberFormat="0" applyAlignment="0" applyProtection="0"/>
    <xf numFmtId="0" fontId="46" fillId="6" borderId="0" applyNumberFormat="0" applyBorder="0" applyAlignment="0" applyProtection="0"/>
    <xf numFmtId="0" fontId="70" fillId="57" borderId="101" applyNumberFormat="0" applyAlignment="0" applyProtection="0"/>
    <xf numFmtId="0" fontId="70" fillId="15" borderId="101" applyNumberFormat="0" applyAlignment="0" applyProtection="0"/>
    <xf numFmtId="0" fontId="70" fillId="57" borderId="101" applyNumberFormat="0" applyAlignment="0" applyProtection="0"/>
    <xf numFmtId="0" fontId="70" fillId="9" borderId="101" applyNumberFormat="0" applyAlignment="0" applyProtection="0"/>
    <xf numFmtId="0" fontId="70" fillId="9" borderId="101" applyNumberFormat="0" applyAlignment="0" applyProtection="0"/>
    <xf numFmtId="0" fontId="70" fillId="57" borderId="101" applyNumberFormat="0" applyAlignment="0" applyProtection="0"/>
    <xf numFmtId="0" fontId="70" fillId="9" borderId="101" applyNumberFormat="0" applyAlignment="0" applyProtection="0"/>
    <xf numFmtId="0" fontId="70" fillId="9" borderId="101" applyNumberFormat="0" applyAlignment="0" applyProtection="0"/>
    <xf numFmtId="0" fontId="70" fillId="15" borderId="101" applyNumberFormat="0" applyAlignment="0" applyProtection="0"/>
    <xf numFmtId="0" fontId="35" fillId="15" borderId="3" applyNumberFormat="0" applyAlignment="0" applyProtection="0"/>
    <xf numFmtId="0" fontId="35" fillId="15" borderId="3" applyNumberFormat="0" applyAlignment="0" applyProtection="0"/>
    <xf numFmtId="0" fontId="35" fillId="15" borderId="3" applyNumberFormat="0" applyAlignment="0" applyProtection="0"/>
    <xf numFmtId="0" fontId="70" fillId="15" borderId="101" applyNumberFormat="0" applyAlignment="0" applyProtection="0"/>
    <xf numFmtId="0" fontId="35" fillId="15" borderId="3" applyNumberFormat="0" applyAlignment="0" applyProtection="0"/>
    <xf numFmtId="0" fontId="70" fillId="15" borderId="101" applyNumberFormat="0" applyAlignment="0" applyProtection="0"/>
    <xf numFmtId="0" fontId="35" fillId="15" borderId="3" applyNumberFormat="0" applyAlignment="0" applyProtection="0"/>
    <xf numFmtId="0" fontId="35" fillId="15" borderId="3" applyNumberFormat="0" applyAlignment="0" applyProtection="0"/>
    <xf numFmtId="0" fontId="48" fillId="26" borderId="5" applyNumberFormat="0" applyAlignment="0" applyProtection="0"/>
    <xf numFmtId="0" fontId="71" fillId="59" borderId="102" applyNumberFormat="0" applyAlignment="0" applyProtection="0"/>
    <xf numFmtId="0" fontId="71" fillId="59" borderId="4" applyNumberFormat="0" applyAlignment="0" applyProtection="0"/>
    <xf numFmtId="0" fontId="72" fillId="60" borderId="101" applyNumberFormat="0" applyAlignment="0" applyProtection="0"/>
    <xf numFmtId="0" fontId="36" fillId="5" borderId="3" applyNumberFormat="0" applyAlignment="0" applyProtection="0"/>
    <xf numFmtId="0" fontId="36" fillId="5" borderId="3" applyNumberFormat="0" applyAlignment="0" applyProtection="0"/>
    <xf numFmtId="0" fontId="36" fillId="5" borderId="3" applyNumberFormat="0" applyAlignment="0" applyProtection="0"/>
    <xf numFmtId="0" fontId="36" fillId="5" borderId="3" applyNumberFormat="0" applyAlignment="0" applyProtection="0"/>
    <xf numFmtId="0" fontId="36" fillId="5" borderId="3" applyNumberFormat="0" applyAlignment="0" applyProtection="0"/>
    <xf numFmtId="0" fontId="73" fillId="0" borderId="103" applyNumberFormat="0" applyFill="0" applyAlignment="0" applyProtection="0"/>
    <xf numFmtId="0" fontId="73" fillId="0" borderId="7" applyNumberFormat="0" applyFill="0" applyAlignment="0" applyProtection="0"/>
    <xf numFmtId="0" fontId="73" fillId="0" borderId="7" applyNumberFormat="0" applyFill="0" applyAlignment="0" applyProtection="0"/>
    <xf numFmtId="0" fontId="73" fillId="0" borderId="7" applyNumberFormat="0" applyFill="0" applyAlignment="0" applyProtection="0"/>
    <xf numFmtId="0" fontId="73" fillId="0" borderId="103" applyNumberFormat="0" applyFill="0" applyAlignment="0" applyProtection="0"/>
    <xf numFmtId="0" fontId="73" fillId="0" borderId="6" applyNumberFormat="0" applyFill="0" applyAlignment="0" applyProtection="0"/>
    <xf numFmtId="0" fontId="73" fillId="0" borderId="6" applyNumberFormat="0" applyFill="0" applyAlignment="0" applyProtection="0"/>
    <xf numFmtId="0" fontId="73" fillId="0" borderId="103" applyNumberFormat="0" applyFill="0" applyAlignment="0" applyProtection="0"/>
    <xf numFmtId="0" fontId="73" fillId="0" borderId="6" applyNumberFormat="0" applyFill="0" applyAlignment="0" applyProtection="0"/>
    <xf numFmtId="0" fontId="73" fillId="0" borderId="6" applyNumberFormat="0" applyFill="0" applyAlignment="0" applyProtection="0"/>
    <xf numFmtId="0" fontId="73" fillId="0" borderId="7" applyNumberFormat="0" applyFill="0" applyAlignment="0" applyProtection="0"/>
    <xf numFmtId="0" fontId="73"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3"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3" fillId="0" borderId="7" applyNumberFormat="0" applyFill="0" applyAlignment="0" applyProtection="0"/>
    <xf numFmtId="0" fontId="12" fillId="0" borderId="7" applyNumberFormat="0" applyFill="0" applyAlignment="0" applyProtection="0"/>
    <xf numFmtId="0" fontId="73" fillId="0" borderId="7" applyNumberFormat="0" applyFill="0" applyAlignment="0" applyProtection="0"/>
    <xf numFmtId="0" fontId="12" fillId="0" borderId="7" applyNumberFormat="0" applyFill="0" applyAlignment="0" applyProtection="0"/>
    <xf numFmtId="0" fontId="74"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5" fillId="8" borderId="0" applyNumberFormat="0" applyBorder="0" applyAlignment="0" applyProtection="0"/>
    <xf numFmtId="0" fontId="75" fillId="61" borderId="0" applyNumberFormat="0" applyBorder="0" applyAlignment="0" applyProtection="0"/>
    <xf numFmtId="0" fontId="75" fillId="61" borderId="0" applyNumberFormat="0" applyBorder="0" applyAlignment="0" applyProtection="0"/>
    <xf numFmtId="0" fontId="75" fillId="61" borderId="0" applyNumberFormat="0" applyBorder="0" applyAlignment="0" applyProtection="0"/>
    <xf numFmtId="0" fontId="76" fillId="0" borderId="104" applyNumberFormat="0" applyFill="0" applyAlignment="0" applyProtection="0"/>
    <xf numFmtId="0" fontId="77" fillId="0" borderId="8" applyNumberFormat="0" applyFill="0" applyAlignment="0" applyProtection="0"/>
    <xf numFmtId="0" fontId="61" fillId="0" borderId="8" applyNumberFormat="0" applyFill="0" applyAlignment="0" applyProtection="0"/>
    <xf numFmtId="0" fontId="76" fillId="0" borderId="104" applyNumberFormat="0" applyFill="0" applyAlignment="0" applyProtection="0"/>
    <xf numFmtId="0" fontId="61" fillId="0" borderId="8" applyNumberFormat="0" applyFill="0" applyAlignment="0" applyProtection="0"/>
    <xf numFmtId="0" fontId="40" fillId="0" borderId="9" applyNumberFormat="0" applyFill="0" applyAlignment="0" applyProtection="0"/>
    <xf numFmtId="0" fontId="78" fillId="0" borderId="105" applyNumberFormat="0" applyFill="0" applyAlignment="0" applyProtection="0"/>
    <xf numFmtId="0" fontId="79" fillId="0" borderId="11" applyNumberFormat="0" applyFill="0" applyAlignment="0" applyProtection="0"/>
    <xf numFmtId="0" fontId="62" fillId="0" borderId="11" applyNumberFormat="0" applyFill="0" applyAlignment="0" applyProtection="0"/>
    <xf numFmtId="0" fontId="78" fillId="0" borderId="105" applyNumberFormat="0" applyFill="0" applyAlignment="0" applyProtection="0"/>
    <xf numFmtId="0" fontId="62" fillId="0" borderId="10" applyNumberFormat="0" applyFill="0" applyAlignment="0" applyProtection="0"/>
    <xf numFmtId="0" fontId="43" fillId="0" borderId="12" applyNumberFormat="0" applyFill="0" applyAlignment="0" applyProtection="0"/>
    <xf numFmtId="0" fontId="80" fillId="0" borderId="106" applyNumberFormat="0" applyFill="0" applyAlignment="0" applyProtection="0"/>
    <xf numFmtId="0" fontId="81" fillId="0" borderId="14" applyNumberFormat="0" applyFill="0" applyAlignment="0" applyProtection="0"/>
    <xf numFmtId="0" fontId="63" fillId="0" borderId="14" applyNumberFormat="0" applyFill="0" applyAlignment="0" applyProtection="0"/>
    <xf numFmtId="0" fontId="80" fillId="0" borderId="106" applyNumberFormat="0" applyFill="0" applyAlignment="0" applyProtection="0"/>
    <xf numFmtId="0" fontId="63" fillId="0" borderId="13" applyNumberFormat="0" applyFill="0" applyAlignment="0" applyProtection="0"/>
    <xf numFmtId="0" fontId="41" fillId="0" borderId="15" applyNumberFormat="0" applyFill="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63" fillId="0" borderId="0" applyNumberFormat="0" applyFill="0" applyBorder="0" applyAlignment="0" applyProtection="0"/>
    <xf numFmtId="0" fontId="80" fillId="0" borderId="0" applyNumberFormat="0" applyFill="0" applyBorder="0" applyAlignment="0" applyProtection="0"/>
    <xf numFmtId="0" fontId="63" fillId="0" borderId="0" applyNumberFormat="0" applyFill="0" applyBorder="0" applyAlignment="0" applyProtection="0"/>
    <xf numFmtId="0" fontId="41" fillId="0" borderId="0" applyNumberFormat="0" applyFill="0" applyBorder="0" applyAlignment="0" applyProtection="0"/>
    <xf numFmtId="0" fontId="82" fillId="0" borderId="0" applyNumberFormat="0" applyFill="0" applyBorder="0" applyAlignment="0" applyProtection="0"/>
    <xf numFmtId="0" fontId="36" fillId="5" borderId="3" applyNumberFormat="0" applyAlignment="0" applyProtection="0"/>
    <xf numFmtId="164" fontId="2" fillId="0" borderId="0" applyFont="0" applyFill="0" applyBorder="0" applyAlignment="0" applyProtection="0"/>
    <xf numFmtId="0" fontId="47" fillId="0" borderId="16" applyNumberFormat="0" applyFill="0" applyAlignment="0" applyProtection="0"/>
    <xf numFmtId="0" fontId="84" fillId="62" borderId="0" applyNumberFormat="0" applyBorder="0" applyAlignment="0" applyProtection="0"/>
    <xf numFmtId="0" fontId="66" fillId="0" borderId="0"/>
    <xf numFmtId="0" fontId="66" fillId="63" borderId="108" applyNumberFormat="0" applyFont="0" applyAlignment="0" applyProtection="0"/>
    <xf numFmtId="0" fontId="3" fillId="7" borderId="17" applyNumberFormat="0" applyFont="0" applyAlignment="0" applyProtection="0"/>
    <xf numFmtId="0" fontId="3" fillId="7" borderId="17"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11" fillId="63" borderId="108" applyNumberFormat="0" applyFont="0" applyAlignment="0" applyProtection="0"/>
    <xf numFmtId="0" fontId="66" fillId="63" borderId="108" applyNumberFormat="0" applyFont="0" applyAlignment="0" applyProtection="0"/>
    <xf numFmtId="0" fontId="11"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66"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66"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11"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11" fillId="63" borderId="108" applyNumberFormat="0" applyFont="0" applyAlignment="0" applyProtection="0"/>
    <xf numFmtId="0" fontId="11"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11"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11"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34" fillId="15" borderId="2" applyNumberFormat="0" applyAlignment="0" applyProtection="0"/>
    <xf numFmtId="9" fontId="11" fillId="0" borderId="0" applyFont="0" applyFill="0" applyBorder="0" applyAlignment="0" applyProtection="0"/>
    <xf numFmtId="9" fontId="6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6"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69" fillId="58" borderId="0" applyNumberFormat="0" applyBorder="0" applyAlignment="0" applyProtection="0"/>
    <xf numFmtId="0" fontId="69" fillId="58" borderId="0" applyNumberFormat="0" applyBorder="0" applyAlignment="0" applyProtection="0"/>
    <xf numFmtId="0" fontId="69" fillId="58" borderId="0" applyNumberFormat="0" applyBorder="0" applyAlignment="0" applyProtection="0"/>
    <xf numFmtId="0" fontId="3" fillId="0" borderId="0"/>
    <xf numFmtId="0" fontId="66" fillId="0" borderId="0"/>
    <xf numFmtId="0" fontId="66" fillId="0" borderId="0"/>
    <xf numFmtId="0" fontId="85" fillId="0" borderId="0"/>
    <xf numFmtId="0" fontId="3" fillId="0" borderId="0"/>
    <xf numFmtId="0" fontId="66" fillId="0" borderId="0"/>
    <xf numFmtId="0" fontId="66" fillId="0" borderId="0"/>
    <xf numFmtId="0" fontId="85" fillId="0" borderId="0"/>
    <xf numFmtId="0" fontId="26" fillId="0" borderId="0"/>
    <xf numFmtId="0" fontId="3" fillId="0" borderId="0"/>
    <xf numFmtId="0" fontId="11"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3" fillId="0" borderId="0"/>
    <xf numFmtId="0" fontId="85"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85" fillId="0" borderId="0"/>
    <xf numFmtId="0" fontId="66" fillId="0" borderId="0"/>
    <xf numFmtId="0" fontId="3" fillId="0" borderId="0"/>
    <xf numFmtId="0" fontId="3" fillId="0" borderId="0"/>
    <xf numFmtId="0" fontId="51" fillId="0" borderId="0"/>
    <xf numFmtId="0" fontId="51" fillId="0" borderId="0"/>
    <xf numFmtId="0" fontId="3" fillId="0" borderId="0"/>
    <xf numFmtId="0" fontId="3" fillId="0" borderId="0"/>
    <xf numFmtId="0" fontId="86" fillId="0" borderId="0" applyNumberFormat="0" applyFill="0" applyBorder="0" applyAlignment="0" applyProtection="0"/>
    <xf numFmtId="0" fontId="87" fillId="0" borderId="0" applyNumberFormat="0" applyFill="0" applyBorder="0" applyAlignment="0" applyProtection="0"/>
    <xf numFmtId="0" fontId="64" fillId="0" borderId="0" applyNumberFormat="0" applyFill="0" applyBorder="0" applyAlignment="0" applyProtection="0"/>
    <xf numFmtId="0" fontId="86" fillId="0" borderId="0" applyNumberFormat="0" applyFill="0" applyBorder="0" applyAlignment="0" applyProtection="0"/>
    <xf numFmtId="0" fontId="64" fillId="0" borderId="0" applyNumberFormat="0" applyFill="0" applyBorder="0" applyAlignment="0" applyProtection="0"/>
    <xf numFmtId="0" fontId="42" fillId="0" borderId="0" applyNumberFormat="0" applyFill="0" applyBorder="0" applyAlignment="0" applyProtection="0"/>
    <xf numFmtId="0" fontId="12" fillId="0" borderId="7" applyNumberFormat="0" applyFill="0" applyAlignment="0" applyProtection="0"/>
    <xf numFmtId="0" fontId="40" fillId="0" borderId="9" applyNumberFormat="0" applyFill="0" applyAlignment="0" applyProtection="0"/>
    <xf numFmtId="0" fontId="40" fillId="0" borderId="9" applyNumberFormat="0" applyFill="0" applyAlignment="0" applyProtection="0"/>
    <xf numFmtId="0" fontId="43" fillId="0" borderId="12" applyNumberFormat="0" applyFill="0" applyAlignment="0" applyProtection="0"/>
    <xf numFmtId="0" fontId="43" fillId="0" borderId="12"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83" fillId="0" borderId="107" applyNumberFormat="0" applyFill="0" applyAlignment="0" applyProtection="0"/>
    <xf numFmtId="0" fontId="83" fillId="0" borderId="107" applyNumberFormat="0" applyFill="0" applyAlignment="0" applyProtection="0"/>
    <xf numFmtId="0" fontId="83" fillId="0" borderId="107" applyNumberFormat="0" applyFill="0" applyAlignment="0" applyProtection="0"/>
    <xf numFmtId="0" fontId="88" fillId="0" borderId="0" applyNumberFormat="0" applyFill="0" applyBorder="0" applyAlignment="0" applyProtection="0"/>
    <xf numFmtId="0" fontId="3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65"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71" fillId="59" borderId="102" applyNumberFormat="0" applyAlignment="0" applyProtection="0"/>
    <xf numFmtId="0" fontId="71" fillId="59" borderId="102" applyNumberFormat="0" applyAlignment="0" applyProtection="0"/>
    <xf numFmtId="0" fontId="71" fillId="59" borderId="102" applyNumberFormat="0" applyAlignment="0" applyProtection="0"/>
    <xf numFmtId="0" fontId="71" fillId="59" borderId="4" applyNumberFormat="0" applyAlignment="0" applyProtection="0"/>
    <xf numFmtId="0" fontId="71" fillId="59" borderId="102" applyNumberFormat="0" applyAlignment="0" applyProtection="0"/>
    <xf numFmtId="0" fontId="71" fillId="59" borderId="4" applyNumberFormat="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7" fillId="51" borderId="0" applyNumberFormat="0" applyBorder="0" applyAlignment="0" applyProtection="0"/>
    <xf numFmtId="0" fontId="67" fillId="54"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52" borderId="0" applyNumberFormat="0" applyBorder="0" applyAlignment="0" applyProtection="0"/>
    <xf numFmtId="0" fontId="67" fillId="52" borderId="0" applyNumberFormat="0" applyBorder="0" applyAlignment="0" applyProtection="0"/>
    <xf numFmtId="0" fontId="67" fillId="5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55" borderId="0" applyNumberFormat="0" applyBorder="0" applyAlignment="0" applyProtection="0"/>
    <xf numFmtId="0" fontId="67" fillId="56" borderId="0" applyNumberFormat="0" applyBorder="0" applyAlignment="0" applyProtection="0"/>
    <xf numFmtId="0" fontId="120" fillId="9" borderId="1" applyNumberFormat="0" applyAlignment="0" applyProtection="0"/>
    <xf numFmtId="0" fontId="120" fillId="15" borderId="1" applyNumberFormat="0" applyAlignment="0" applyProtection="0"/>
    <xf numFmtId="0" fontId="120" fillId="15" borderId="1" applyNumberFormat="0" applyAlignment="0" applyProtection="0"/>
    <xf numFmtId="0" fontId="120" fillId="9" borderId="1" applyNumberFormat="0" applyAlignment="0" applyProtection="0"/>
    <xf numFmtId="0" fontId="120" fillId="9" borderId="1" applyNumberFormat="0" applyAlignment="0" applyProtection="0"/>
    <xf numFmtId="0" fontId="120" fillId="15" borderId="1" applyNumberFormat="0" applyAlignment="0" applyProtection="0"/>
    <xf numFmtId="0" fontId="120" fillId="15" borderId="1" applyNumberFormat="0" applyAlignment="0" applyProtection="0"/>
    <xf numFmtId="0" fontId="120" fillId="15" borderId="1" applyNumberFormat="0" applyAlignment="0" applyProtection="0"/>
    <xf numFmtId="0" fontId="46" fillId="6" borderId="0" applyNumberFormat="0" applyBorder="0" applyAlignment="0" applyProtection="0"/>
    <xf numFmtId="0" fontId="48" fillId="26" borderId="5" applyNumberFormat="0" applyAlignment="0" applyProtection="0"/>
    <xf numFmtId="0" fontId="71" fillId="59" borderId="4" applyNumberFormat="0" applyAlignment="0" applyProtection="0"/>
    <xf numFmtId="0" fontId="71" fillId="59" borderId="102" applyNumberFormat="0" applyAlignment="0" applyProtection="0"/>
    <xf numFmtId="0" fontId="71" fillId="59" borderId="102" applyNumberFormat="0" applyAlignment="0" applyProtection="0"/>
    <xf numFmtId="0" fontId="71" fillId="59" borderId="5" applyNumberFormat="0" applyAlignment="0" applyProtection="0"/>
    <xf numFmtId="0" fontId="45" fillId="8" borderId="0" applyNumberFormat="0" applyBorder="0" applyAlignment="0" applyProtection="0"/>
    <xf numFmtId="0" fontId="75" fillId="61" borderId="0" applyNumberFormat="0" applyBorder="0" applyAlignment="0" applyProtection="0"/>
    <xf numFmtId="0" fontId="77" fillId="0" borderId="8" applyNumberFormat="0" applyFill="0" applyAlignment="0" applyProtection="0"/>
    <xf numFmtId="0" fontId="76" fillId="0" borderId="104" applyNumberFormat="0" applyFill="0" applyAlignment="0" applyProtection="0"/>
    <xf numFmtId="0" fontId="79" fillId="0" borderId="10" applyNumberFormat="0" applyFill="0" applyAlignment="0" applyProtection="0"/>
    <xf numFmtId="0" fontId="79" fillId="0" borderId="11" applyNumberFormat="0" applyFill="0" applyAlignment="0" applyProtection="0"/>
    <xf numFmtId="0" fontId="78" fillId="0" borderId="105" applyNumberFormat="0" applyFill="0" applyAlignment="0" applyProtection="0"/>
    <xf numFmtId="0" fontId="81" fillId="0" borderId="13" applyNumberFormat="0" applyFill="0" applyAlignment="0" applyProtection="0"/>
    <xf numFmtId="0" fontId="81" fillId="0" borderId="14" applyNumberFormat="0" applyFill="0" applyAlignment="0" applyProtection="0"/>
    <xf numFmtId="0" fontId="80" fillId="0" borderId="106" applyNumberFormat="0" applyFill="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47" fillId="0" borderId="16" applyNumberFormat="0" applyFill="0" applyAlignment="0" applyProtection="0"/>
    <xf numFmtId="0" fontId="84" fillId="62" borderId="0" applyNumberFormat="0" applyBorder="0" applyAlignment="0" applyProtection="0"/>
    <xf numFmtId="0" fontId="2" fillId="63" borderId="108" applyNumberFormat="0" applyFont="0" applyAlignment="0" applyProtection="0"/>
    <xf numFmtId="0" fontId="66" fillId="63" borderId="108" applyNumberFormat="0" applyFont="0" applyAlignment="0" applyProtection="0"/>
    <xf numFmtId="0" fontId="2" fillId="63" borderId="108" applyNumberFormat="0" applyFont="0" applyAlignment="0" applyProtection="0"/>
    <xf numFmtId="0" fontId="66"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66" fillId="63" borderId="108" applyNumberFormat="0" applyFont="0" applyAlignment="0" applyProtection="0"/>
    <xf numFmtId="0" fontId="66" fillId="63" borderId="108" applyNumberFormat="0" applyFont="0" applyAlignment="0" applyProtection="0"/>
    <xf numFmtId="0" fontId="2" fillId="63" borderId="108" applyNumberFormat="0" applyFont="0" applyAlignment="0" applyProtection="0"/>
    <xf numFmtId="0" fontId="66"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0" fontId="2" fillId="63" borderId="108" applyNumberFormat="0" applyFont="0" applyAlignment="0" applyProtection="0"/>
    <xf numFmtId="9" fontId="2" fillId="0" borderId="0" applyFont="0" applyFill="0" applyBorder="0" applyAlignment="0" applyProtection="0"/>
    <xf numFmtId="9" fontId="66"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9"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5" fillId="0" borderId="0"/>
    <xf numFmtId="0" fontId="2" fillId="0" borderId="0"/>
    <xf numFmtId="0" fontId="2" fillId="0" borderId="0"/>
    <xf numFmtId="0" fontId="87"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77" fillId="0" borderId="8" applyNumberFormat="0" applyFill="0" applyAlignment="0" applyProtection="0"/>
    <xf numFmtId="0" fontId="77" fillId="0" borderId="8" applyNumberFormat="0" applyFill="0" applyAlignment="0" applyProtection="0"/>
    <xf numFmtId="0" fontId="79" fillId="0" borderId="10" applyNumberFormat="0" applyFill="0" applyAlignment="0" applyProtection="0"/>
    <xf numFmtId="0" fontId="79" fillId="0" borderId="10" applyNumberFormat="0" applyFill="0" applyAlignment="0" applyProtection="0"/>
    <xf numFmtId="0" fontId="81" fillId="0" borderId="13" applyNumberFormat="0" applyFill="0" applyAlignment="0" applyProtection="0"/>
    <xf numFmtId="0" fontId="81" fillId="0" borderId="13"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7" fillId="0" borderId="0" applyNumberFormat="0" applyFill="0" applyBorder="0" applyAlignment="0" applyProtection="0"/>
    <xf numFmtId="0" fontId="83" fillId="0" borderId="107" applyNumberFormat="0" applyFill="0" applyAlignment="0" applyProtection="0"/>
    <xf numFmtId="0" fontId="71" fillId="59" borderId="4" applyNumberFormat="0" applyAlignment="0" applyProtection="0"/>
    <xf numFmtId="0" fontId="71" fillId="59" borderId="4" applyNumberFormat="0" applyAlignment="0" applyProtection="0"/>
    <xf numFmtId="0" fontId="71" fillId="59" borderId="102" applyNumberFormat="0" applyAlignment="0" applyProtection="0"/>
    <xf numFmtId="0" fontId="67" fillId="19" borderId="0" applyNumberFormat="0" applyBorder="0" applyAlignment="0" applyProtection="0"/>
    <xf numFmtId="0" fontId="67" fillId="25" borderId="0" applyNumberFormat="0" applyBorder="0" applyAlignment="0" applyProtection="0"/>
    <xf numFmtId="0" fontId="67" fillId="22" borderId="0" applyNumberFormat="0" applyBorder="0" applyAlignment="0" applyProtection="0"/>
    <xf numFmtId="0" fontId="12" fillId="15" borderId="1" applyNumberFormat="0" applyAlignment="0" applyProtection="0"/>
    <xf numFmtId="0" fontId="12" fillId="9" borderId="1" applyNumberFormat="0" applyAlignment="0" applyProtection="0"/>
    <xf numFmtId="0" fontId="12" fillId="9" borderId="1" applyNumberFormat="0" applyAlignment="0" applyProtection="0"/>
    <xf numFmtId="0" fontId="12" fillId="15" borderId="1" applyNumberFormat="0" applyAlignment="0" applyProtection="0"/>
    <xf numFmtId="0" fontId="71" fillId="59" borderId="4" applyNumberFormat="0" applyAlignment="0" applyProtection="0"/>
    <xf numFmtId="0" fontId="61" fillId="0" borderId="8" applyNumberFormat="0" applyFill="0" applyAlignment="0" applyProtection="0"/>
    <xf numFmtId="0" fontId="61" fillId="0" borderId="8" applyNumberFormat="0" applyFill="0" applyAlignment="0" applyProtection="0"/>
    <xf numFmtId="0" fontId="62" fillId="0" borderId="11" applyNumberFormat="0" applyFill="0" applyAlignment="0" applyProtection="0"/>
    <xf numFmtId="0" fontId="62" fillId="0" borderId="10" applyNumberFormat="0" applyFill="0" applyAlignment="0" applyProtection="0"/>
    <xf numFmtId="0" fontId="63" fillId="0" borderId="14" applyNumberFormat="0" applyFill="0" applyAlignment="0" applyProtection="0"/>
    <xf numFmtId="0" fontId="63" fillId="0" borderId="13"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 fillId="63" borderId="108"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cellStyleXfs>
  <cellXfs count="944">
    <xf numFmtId="0" fontId="0" fillId="0" borderId="0" xfId="0"/>
    <xf numFmtId="0" fontId="8" fillId="0" borderId="0" xfId="0" applyFont="1" applyAlignment="1">
      <alignment horizontal="center"/>
    </xf>
    <xf numFmtId="0" fontId="7" fillId="0" borderId="0" xfId="547" applyFont="1" applyAlignment="1">
      <alignment horizontal="center"/>
    </xf>
    <xf numFmtId="0" fontId="17" fillId="0" borderId="0" xfId="0" applyFont="1"/>
    <xf numFmtId="0" fontId="21" fillId="0" borderId="0" xfId="0" applyFont="1"/>
    <xf numFmtId="0" fontId="4" fillId="0" borderId="0" xfId="513" applyFont="1"/>
    <xf numFmtId="0" fontId="22" fillId="0" borderId="0" xfId="513" applyFont="1"/>
    <xf numFmtId="0" fontId="13" fillId="0" borderId="0" xfId="0" applyFont="1"/>
    <xf numFmtId="0" fontId="21" fillId="0" borderId="0" xfId="0" applyFont="1" applyAlignment="1">
      <alignment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xf numFmtId="0" fontId="19" fillId="0" borderId="0" xfId="0" applyFont="1"/>
    <xf numFmtId="0" fontId="10" fillId="0" borderId="18" xfId="0" applyFont="1" applyBorder="1" applyAlignment="1">
      <alignment horizontal="center" vertical="center"/>
    </xf>
    <xf numFmtId="0" fontId="0" fillId="0" borderId="0" xfId="0" applyAlignment="1">
      <alignment horizontal="center"/>
    </xf>
    <xf numFmtId="0" fontId="10" fillId="27" borderId="18" xfId="0" applyFont="1" applyFill="1" applyBorder="1" applyAlignment="1">
      <alignment horizontal="center" vertical="center"/>
    </xf>
    <xf numFmtId="0" fontId="30" fillId="0" borderId="0" xfId="0" applyFont="1"/>
    <xf numFmtId="0" fontId="5" fillId="0" borderId="0" xfId="0" applyFont="1"/>
    <xf numFmtId="0" fontId="6" fillId="0" borderId="0" xfId="0" applyFont="1"/>
    <xf numFmtId="0" fontId="7" fillId="0" borderId="0" xfId="0" applyFont="1"/>
    <xf numFmtId="0" fontId="3" fillId="0" borderId="0" xfId="513"/>
    <xf numFmtId="0" fontId="18" fillId="0" borderId="0" xfId="0" applyFont="1"/>
    <xf numFmtId="0" fontId="14" fillId="0" borderId="0" xfId="0" applyFont="1"/>
    <xf numFmtId="0" fontId="15" fillId="0" borderId="0" xfId="0" applyFont="1"/>
    <xf numFmtId="0" fontId="16" fillId="0" borderId="0" xfId="513" applyFont="1"/>
    <xf numFmtId="0" fontId="4" fillId="0" borderId="0" xfId="513" applyFont="1" applyAlignment="1">
      <alignment horizontal="left"/>
    </xf>
    <xf numFmtId="0" fontId="16" fillId="0" borderId="0" xfId="513" applyFont="1" applyAlignment="1">
      <alignment vertical="center"/>
    </xf>
    <xf numFmtId="0" fontId="3" fillId="0" borderId="0" xfId="513" applyAlignment="1">
      <alignment horizontal="center"/>
    </xf>
    <xf numFmtId="0" fontId="3" fillId="0" borderId="0" xfId="0" applyFont="1" applyAlignment="1">
      <alignment wrapText="1"/>
    </xf>
    <xf numFmtId="0" fontId="20" fillId="0" borderId="0" xfId="0" applyFont="1"/>
    <xf numFmtId="0" fontId="25" fillId="0" borderId="0" xfId="0" applyFont="1"/>
    <xf numFmtId="0" fontId="13" fillId="0" borderId="18" xfId="0" applyFont="1" applyBorder="1" applyAlignment="1">
      <alignment horizontal="center" vertical="center" wrapText="1"/>
    </xf>
    <xf numFmtId="0" fontId="21" fillId="0" borderId="18" xfId="0" applyFont="1" applyBorder="1" applyAlignment="1">
      <alignment horizontal="center" vertical="center" wrapText="1"/>
    </xf>
    <xf numFmtId="0" fontId="21" fillId="28" borderId="19" xfId="0" applyFont="1" applyFill="1" applyBorder="1" applyAlignment="1">
      <alignment horizontal="center"/>
    </xf>
    <xf numFmtId="165" fontId="16" fillId="29" borderId="19" xfId="425" applyNumberFormat="1" applyFont="1" applyFill="1" applyBorder="1" applyAlignment="1" applyProtection="1">
      <alignment horizontal="center" wrapText="1"/>
    </xf>
    <xf numFmtId="0" fontId="7" fillId="0" borderId="0" xfId="0" applyFont="1" applyAlignment="1">
      <alignment wrapText="1"/>
    </xf>
    <xf numFmtId="14" fontId="27" fillId="30" borderId="18" xfId="0" applyNumberFormat="1" applyFont="1" applyFill="1" applyBorder="1" applyAlignment="1">
      <alignment horizontal="center" vertical="center"/>
    </xf>
    <xf numFmtId="0" fontId="10" fillId="30" borderId="18" xfId="513" applyFont="1" applyFill="1" applyBorder="1" applyAlignment="1">
      <alignment vertical="center"/>
    </xf>
    <xf numFmtId="165" fontId="16" fillId="29" borderId="19" xfId="425" applyNumberFormat="1" applyFont="1" applyFill="1" applyBorder="1" applyAlignment="1" applyProtection="1">
      <alignment horizontal="center" vertical="center" wrapText="1"/>
    </xf>
    <xf numFmtId="0" fontId="21" fillId="28" borderId="19" xfId="0" applyFont="1" applyFill="1" applyBorder="1" applyAlignment="1">
      <alignment horizontal="center" vertical="center"/>
    </xf>
    <xf numFmtId="0" fontId="17" fillId="0" borderId="0" xfId="0" applyFont="1" applyAlignment="1">
      <alignment horizontal="center" vertical="center" wrapText="1"/>
    </xf>
    <xf numFmtId="14" fontId="13" fillId="0" borderId="0" xfId="0" applyNumberFormat="1" applyFont="1"/>
    <xf numFmtId="0" fontId="21" fillId="0" borderId="0" xfId="0" applyFont="1" applyAlignment="1">
      <alignment horizontal="center" vertical="center"/>
    </xf>
    <xf numFmtId="165" fontId="16" fillId="0" borderId="0" xfId="425" applyNumberFormat="1" applyFont="1" applyFill="1" applyBorder="1" applyAlignment="1" applyProtection="1">
      <alignment horizontal="center" vertical="center" wrapText="1"/>
    </xf>
    <xf numFmtId="0" fontId="17" fillId="0" borderId="0" xfId="0" applyFont="1" applyAlignment="1">
      <alignment horizontal="left" vertical="center"/>
    </xf>
    <xf numFmtId="0" fontId="16" fillId="0" borderId="0" xfId="513" applyFont="1" applyAlignment="1">
      <alignment horizontal="center" vertical="center"/>
    </xf>
    <xf numFmtId="0" fontId="17" fillId="0" borderId="0" xfId="0" applyFont="1" applyAlignment="1">
      <alignment vertical="center"/>
    </xf>
    <xf numFmtId="0" fontId="7" fillId="0" borderId="18" xfId="0" applyFont="1" applyBorder="1" applyAlignment="1">
      <alignment horizontal="center" vertical="center" wrapText="1"/>
    </xf>
    <xf numFmtId="0" fontId="31" fillId="27" borderId="0" xfId="0" applyFont="1" applyFill="1" applyAlignment="1">
      <alignment horizontal="left"/>
    </xf>
    <xf numFmtId="0" fontId="21" fillId="27" borderId="0" xfId="0" applyFont="1" applyFill="1"/>
    <xf numFmtId="0" fontId="16" fillId="0" borderId="0" xfId="0" applyFont="1"/>
    <xf numFmtId="10" fontId="13" fillId="0" borderId="0" xfId="0" applyNumberFormat="1" applyFont="1" applyAlignment="1">
      <alignment horizontal="center" vertical="center"/>
    </xf>
    <xf numFmtId="0" fontId="21" fillId="0" borderId="18" xfId="0" applyFont="1" applyBorder="1" applyAlignment="1">
      <alignment horizontal="center" vertical="center"/>
    </xf>
    <xf numFmtId="165" fontId="7" fillId="0" borderId="0" xfId="425" applyNumberFormat="1" applyFont="1" applyFill="1" applyBorder="1" applyAlignment="1" applyProtection="1">
      <alignment horizontal="center" wrapText="1"/>
    </xf>
    <xf numFmtId="0" fontId="21" fillId="0" borderId="0" xfId="0" applyFont="1" applyAlignment="1">
      <alignment horizontal="right"/>
    </xf>
    <xf numFmtId="0" fontId="15" fillId="0" borderId="0" xfId="0" applyFont="1" applyAlignment="1">
      <alignment horizontal="center" vertical="center"/>
    </xf>
    <xf numFmtId="0" fontId="21" fillId="29" borderId="21" xfId="0" applyFont="1" applyFill="1" applyBorder="1" applyAlignment="1">
      <alignment horizontal="center" vertical="center" wrapText="1"/>
    </xf>
    <xf numFmtId="0" fontId="21" fillId="28" borderId="21" xfId="0" applyFont="1" applyFill="1" applyBorder="1" applyAlignment="1">
      <alignment horizontal="center" vertical="center"/>
    </xf>
    <xf numFmtId="0" fontId="16" fillId="0" borderId="0" xfId="548" applyFont="1"/>
    <xf numFmtId="0" fontId="29" fillId="0" borderId="0" xfId="0" applyFont="1"/>
    <xf numFmtId="0" fontId="16" fillId="0" borderId="0" xfId="0" applyFont="1" applyAlignment="1">
      <alignment wrapText="1"/>
    </xf>
    <xf numFmtId="0" fontId="23" fillId="31" borderId="21" xfId="0" applyFont="1" applyFill="1" applyBorder="1" applyAlignment="1">
      <alignment horizontal="center" vertical="center" wrapText="1"/>
    </xf>
    <xf numFmtId="0" fontId="21" fillId="32" borderId="22" xfId="0" applyFont="1" applyFill="1" applyBorder="1" applyAlignment="1">
      <alignment horizontal="center" vertical="center"/>
    </xf>
    <xf numFmtId="0" fontId="44" fillId="0" borderId="0" xfId="0" applyFont="1"/>
    <xf numFmtId="0" fontId="21" fillId="31" borderId="19" xfId="0" applyFont="1" applyFill="1" applyBorder="1" applyAlignment="1">
      <alignment horizontal="center"/>
    </xf>
    <xf numFmtId="0" fontId="21" fillId="32" borderId="19" xfId="0" applyFont="1" applyFill="1" applyBorder="1" applyAlignment="1">
      <alignment horizontal="center"/>
    </xf>
    <xf numFmtId="0" fontId="21" fillId="32" borderId="22" xfId="0" applyFont="1" applyFill="1" applyBorder="1" applyAlignment="1">
      <alignment horizontal="center"/>
    </xf>
    <xf numFmtId="0" fontId="27" fillId="0" borderId="18" xfId="0" applyFont="1" applyBorder="1" applyAlignment="1">
      <alignment horizontal="center" vertical="center"/>
    </xf>
    <xf numFmtId="0" fontId="16" fillId="0" borderId="20"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26" xfId="0" applyFont="1" applyBorder="1" applyAlignment="1">
      <alignment horizontal="center" wrapText="1"/>
    </xf>
    <xf numFmtId="0" fontId="16" fillId="0" borderId="18" xfId="548" applyFont="1" applyBorder="1"/>
    <xf numFmtId="0" fontId="10" fillId="0" borderId="23" xfId="548" applyFont="1" applyBorder="1"/>
    <xf numFmtId="0" fontId="13" fillId="0" borderId="18" xfId="0" applyFont="1" applyBorder="1"/>
    <xf numFmtId="14" fontId="13" fillId="0" borderId="18" xfId="0" applyNumberFormat="1" applyFont="1" applyBorder="1" applyAlignment="1">
      <alignment horizontal="left"/>
    </xf>
    <xf numFmtId="0" fontId="13" fillId="0" borderId="18" xfId="0" applyFont="1" applyBorder="1" applyAlignment="1">
      <alignment horizontal="left"/>
    </xf>
    <xf numFmtId="0" fontId="24" fillId="0" borderId="18" xfId="0" applyFont="1" applyBorder="1"/>
    <xf numFmtId="0" fontId="49" fillId="0" borderId="0" xfId="0" applyFont="1"/>
    <xf numFmtId="0" fontId="16" fillId="0" borderId="18" xfId="0" applyFont="1" applyBorder="1" applyAlignment="1">
      <alignment wrapText="1"/>
    </xf>
    <xf numFmtId="0" fontId="10" fillId="0" borderId="23" xfId="0" applyFont="1" applyBorder="1" applyAlignment="1">
      <alignment wrapText="1"/>
    </xf>
    <xf numFmtId="0" fontId="16" fillId="0" borderId="18" xfId="0" applyFont="1" applyBorder="1" applyAlignment="1">
      <alignment horizontal="center" vertical="center" wrapText="1"/>
    </xf>
    <xf numFmtId="0" fontId="8" fillId="0" borderId="18" xfId="0" applyFont="1" applyBorder="1" applyAlignment="1">
      <alignment horizontal="center" wrapText="1"/>
    </xf>
    <xf numFmtId="0" fontId="91" fillId="0" borderId="0" xfId="0" applyFont="1"/>
    <xf numFmtId="0" fontId="20" fillId="0" borderId="0" xfId="0" applyFont="1" applyAlignment="1">
      <alignment vertical="center"/>
    </xf>
    <xf numFmtId="0" fontId="0" fillId="0" borderId="0" xfId="0" applyAlignment="1">
      <alignment horizontal="center" vertical="center"/>
    </xf>
    <xf numFmtId="0" fontId="7" fillId="0" borderId="0" xfId="548" applyFont="1" applyAlignment="1">
      <alignment horizontal="center" vertical="center"/>
    </xf>
    <xf numFmtId="0" fontId="7" fillId="0" borderId="0" xfId="0" applyFont="1" applyAlignment="1">
      <alignment horizontal="center" vertical="center"/>
    </xf>
    <xf numFmtId="0" fontId="13" fillId="0" borderId="0" xfId="0" applyFont="1" applyAlignment="1">
      <alignment horizontal="center" vertical="center"/>
    </xf>
    <xf numFmtId="0" fontId="24" fillId="0" borderId="0" xfId="0" applyFont="1" applyAlignment="1">
      <alignment horizontal="center"/>
    </xf>
    <xf numFmtId="0" fontId="12" fillId="67" borderId="20" xfId="0" applyFont="1" applyFill="1" applyBorder="1" applyAlignment="1">
      <alignment horizontal="center"/>
    </xf>
    <xf numFmtId="0" fontId="12" fillId="67" borderId="20" xfId="0" applyFont="1" applyFill="1" applyBorder="1" applyAlignment="1">
      <alignment horizontal="center" vertical="center"/>
    </xf>
    <xf numFmtId="0" fontId="24" fillId="67" borderId="20" xfId="0" applyFont="1" applyFill="1" applyBorder="1" applyAlignment="1">
      <alignment horizontal="center"/>
    </xf>
    <xf numFmtId="0" fontId="8" fillId="68" borderId="20" xfId="0" applyFont="1" applyFill="1" applyBorder="1" applyAlignment="1">
      <alignment horizontal="center"/>
    </xf>
    <xf numFmtId="0" fontId="0" fillId="68" borderId="20" xfId="0" applyFill="1" applyBorder="1" applyAlignment="1">
      <alignment horizontal="center"/>
    </xf>
    <xf numFmtId="0" fontId="0" fillId="68" borderId="20" xfId="0" applyFill="1" applyBorder="1" applyAlignment="1">
      <alignment horizontal="center" vertical="center"/>
    </xf>
    <xf numFmtId="14" fontId="0" fillId="68" borderId="20" xfId="0" applyNumberFormat="1" applyFill="1" applyBorder="1" applyAlignment="1">
      <alignment horizontal="center"/>
    </xf>
    <xf numFmtId="0" fontId="24" fillId="0" borderId="18" xfId="0" applyFont="1" applyBorder="1" applyAlignment="1">
      <alignment horizontal="center" vertical="center"/>
    </xf>
    <xf numFmtId="0" fontId="0" fillId="0" borderId="0" xfId="0" applyAlignment="1">
      <alignment vertical="center"/>
    </xf>
    <xf numFmtId="49" fontId="21" fillId="0" borderId="18" xfId="0" applyNumberFormat="1" applyFont="1" applyBorder="1" applyAlignment="1">
      <alignment horizontal="center" vertical="center"/>
    </xf>
    <xf numFmtId="9" fontId="21" fillId="0" borderId="18" xfId="425" applyFont="1" applyBorder="1" applyAlignment="1" applyProtection="1">
      <alignment horizontal="center" vertical="center"/>
    </xf>
    <xf numFmtId="1" fontId="21" fillId="0" borderId="18" xfId="0" applyNumberFormat="1" applyFont="1" applyBorder="1" applyAlignment="1">
      <alignment horizontal="center" vertical="center"/>
    </xf>
    <xf numFmtId="0" fontId="16" fillId="0" borderId="18" xfId="0" applyFont="1" applyBorder="1" applyAlignment="1">
      <alignment vertical="center"/>
    </xf>
    <xf numFmtId="0" fontId="21" fillId="0" borderId="18" xfId="425" applyNumberFormat="1" applyFont="1" applyFill="1" applyBorder="1" applyAlignment="1" applyProtection="1">
      <alignment horizontal="center" vertical="center"/>
    </xf>
    <xf numFmtId="0" fontId="21" fillId="0" borderId="18" xfId="425" applyNumberFormat="1" applyFont="1" applyBorder="1" applyAlignment="1" applyProtection="1">
      <alignment horizontal="center" vertical="center"/>
    </xf>
    <xf numFmtId="0" fontId="21" fillId="69" borderId="18" xfId="0" applyFont="1" applyFill="1" applyBorder="1" applyAlignment="1">
      <alignment horizontal="center" vertical="center"/>
    </xf>
    <xf numFmtId="9" fontId="21" fillId="69" borderId="18" xfId="425" applyFont="1" applyFill="1" applyBorder="1" applyAlignment="1" applyProtection="1">
      <alignment horizontal="center" vertical="center"/>
    </xf>
    <xf numFmtId="0" fontId="21" fillId="69" borderId="18" xfId="425" applyNumberFormat="1" applyFont="1" applyFill="1" applyBorder="1" applyAlignment="1" applyProtection="1">
      <alignment horizontal="center" vertical="center"/>
    </xf>
    <xf numFmtId="49" fontId="21" fillId="69" borderId="18" xfId="0" applyNumberFormat="1" applyFont="1" applyFill="1" applyBorder="1" applyAlignment="1">
      <alignment horizontal="center" vertical="center"/>
    </xf>
    <xf numFmtId="9" fontId="21" fillId="0" borderId="18" xfId="425" applyFont="1" applyFill="1" applyBorder="1" applyAlignment="1" applyProtection="1">
      <alignment horizontal="center" vertical="center"/>
    </xf>
    <xf numFmtId="9" fontId="21" fillId="27" borderId="18" xfId="425" applyFont="1" applyFill="1" applyBorder="1" applyAlignment="1" applyProtection="1">
      <alignment horizontal="center" vertical="center"/>
    </xf>
    <xf numFmtId="0" fontId="27" fillId="0" borderId="0" xfId="0" applyFont="1"/>
    <xf numFmtId="0" fontId="92" fillId="0" borderId="0" xfId="0" applyFont="1"/>
    <xf numFmtId="0" fontId="93" fillId="0" borderId="0" xfId="0" applyFont="1"/>
    <xf numFmtId="0" fontId="94" fillId="0" borderId="0" xfId="0" applyFont="1"/>
    <xf numFmtId="1" fontId="8" fillId="30" borderId="20" xfId="0" applyNumberFormat="1" applyFont="1" applyFill="1" applyBorder="1" applyAlignment="1">
      <alignment horizontal="center" vertical="center" wrapText="1"/>
    </xf>
    <xf numFmtId="0" fontId="4" fillId="0" borderId="0" xfId="513" applyFont="1" applyAlignment="1">
      <alignment horizontal="center" vertical="center"/>
    </xf>
    <xf numFmtId="0" fontId="21" fillId="31" borderId="21" xfId="0" applyFont="1" applyFill="1" applyBorder="1" applyAlignment="1">
      <alignment horizontal="center" vertical="center" wrapText="1"/>
    </xf>
    <xf numFmtId="0" fontId="21" fillId="32" borderId="21" xfId="0" applyFont="1" applyFill="1" applyBorder="1" applyAlignment="1">
      <alignment horizontal="center" vertical="center"/>
    </xf>
    <xf numFmtId="0" fontId="21" fillId="32" borderId="29" xfId="0" applyFont="1" applyFill="1" applyBorder="1" applyAlignment="1">
      <alignment horizontal="center" vertical="center"/>
    </xf>
    <xf numFmtId="0" fontId="21" fillId="0" borderId="0" xfId="0" applyFont="1" applyAlignment="1">
      <alignment vertical="center" wrapText="1"/>
    </xf>
    <xf numFmtId="0" fontId="95" fillId="0" borderId="25" xfId="0" applyFont="1" applyBorder="1" applyAlignment="1">
      <alignment horizontal="center" vertical="center"/>
    </xf>
    <xf numFmtId="0" fontId="95" fillId="0" borderId="18" xfId="0" applyFont="1" applyBorder="1" applyAlignment="1">
      <alignment horizontal="center" vertical="center"/>
    </xf>
    <xf numFmtId="0" fontId="95" fillId="0" borderId="0" xfId="0" applyFont="1" applyAlignment="1">
      <alignment horizontal="center" vertical="center"/>
    </xf>
    <xf numFmtId="167" fontId="95" fillId="0" borderId="25" xfId="425" applyNumberFormat="1" applyFont="1" applyBorder="1" applyAlignment="1" applyProtection="1">
      <alignment horizontal="center" vertical="center"/>
    </xf>
    <xf numFmtId="167" fontId="95" fillId="0" borderId="18" xfId="425" applyNumberFormat="1" applyFont="1" applyBorder="1" applyAlignment="1" applyProtection="1">
      <alignment horizontal="center" vertical="center"/>
    </xf>
    <xf numFmtId="167" fontId="95" fillId="0" borderId="18" xfId="0" applyNumberFormat="1" applyFont="1" applyBorder="1" applyAlignment="1">
      <alignment horizontal="center" vertical="center"/>
    </xf>
    <xf numFmtId="0" fontId="14" fillId="0" borderId="18" xfId="0" applyFont="1" applyBorder="1"/>
    <xf numFmtId="0" fontId="24" fillId="0" borderId="24" xfId="0" applyFont="1" applyBorder="1"/>
    <xf numFmtId="49" fontId="24" fillId="0" borderId="23" xfId="0" applyNumberFormat="1" applyFont="1" applyBorder="1"/>
    <xf numFmtId="0" fontId="24" fillId="0" borderId="23" xfId="0" applyFont="1" applyBorder="1"/>
    <xf numFmtId="167" fontId="24" fillId="0" borderId="24" xfId="0" applyNumberFormat="1" applyFont="1" applyBorder="1"/>
    <xf numFmtId="9" fontId="24" fillId="0" borderId="24" xfId="0" applyNumberFormat="1" applyFont="1" applyBorder="1"/>
    <xf numFmtId="2" fontId="24" fillId="0" borderId="24" xfId="0" applyNumberFormat="1" applyFont="1" applyBorder="1"/>
    <xf numFmtId="0" fontId="13" fillId="0" borderId="18" xfId="0" applyFont="1" applyBorder="1" applyAlignment="1">
      <alignment horizontal="center" vertical="center"/>
    </xf>
    <xf numFmtId="0" fontId="54" fillId="0" borderId="0" xfId="0" applyFont="1" applyAlignment="1">
      <alignment vertical="center"/>
    </xf>
    <xf numFmtId="0" fontId="14" fillId="0" borderId="18" xfId="0" applyFont="1" applyBorder="1" applyAlignment="1">
      <alignment horizontal="center" vertical="center"/>
    </xf>
    <xf numFmtId="0" fontId="16" fillId="0" borderId="18" xfId="0" applyFont="1" applyBorder="1" applyAlignment="1">
      <alignment horizontal="center" vertical="center"/>
    </xf>
    <xf numFmtId="0" fontId="96" fillId="0" borderId="0" xfId="0" applyFont="1"/>
    <xf numFmtId="0" fontId="21" fillId="0" borderId="0" xfId="0" applyFont="1" applyAlignment="1">
      <alignment horizontal="center"/>
    </xf>
    <xf numFmtId="0" fontId="97" fillId="0" borderId="0" xfId="0" applyFont="1"/>
    <xf numFmtId="0" fontId="95" fillId="0" borderId="18" xfId="0" applyFont="1" applyBorder="1" applyAlignment="1">
      <alignment horizontal="left" vertical="center"/>
    </xf>
    <xf numFmtId="14" fontId="95" fillId="0" borderId="18" xfId="0" applyNumberFormat="1" applyFont="1" applyBorder="1" applyAlignment="1">
      <alignment horizontal="left" vertical="center"/>
    </xf>
    <xf numFmtId="0" fontId="14" fillId="0" borderId="0" xfId="0" applyFont="1" applyAlignment="1">
      <alignment horizontal="left" vertical="center"/>
    </xf>
    <xf numFmtId="0" fontId="15" fillId="0" borderId="0" xfId="0" applyFont="1" applyAlignment="1">
      <alignment vertical="top"/>
    </xf>
    <xf numFmtId="0" fontId="97" fillId="31" borderId="19" xfId="0" applyFont="1" applyFill="1" applyBorder="1" applyAlignment="1">
      <alignment horizontal="center"/>
    </xf>
    <xf numFmtId="0" fontId="21" fillId="0" borderId="41" xfId="0" applyFont="1" applyBorder="1" applyAlignment="1">
      <alignment horizontal="right"/>
    </xf>
    <xf numFmtId="0" fontId="30" fillId="0" borderId="0" xfId="0" applyFont="1" applyAlignment="1">
      <alignment vertical="top"/>
    </xf>
    <xf numFmtId="0" fontId="16" fillId="0" borderId="0" xfId="513" applyFont="1" applyAlignment="1">
      <alignment horizontal="left" vertical="center"/>
    </xf>
    <xf numFmtId="0" fontId="16" fillId="0" borderId="0" xfId="513" applyFont="1" applyAlignment="1">
      <alignment horizontal="left"/>
    </xf>
    <xf numFmtId="0" fontId="13" fillId="0" borderId="0" xfId="0" applyFont="1" applyAlignment="1">
      <alignment wrapText="1"/>
    </xf>
    <xf numFmtId="0" fontId="20" fillId="0" borderId="0" xfId="0" applyFont="1" applyAlignment="1">
      <alignment vertical="top"/>
    </xf>
    <xf numFmtId="0" fontId="27" fillId="0" borderId="18" xfId="523" applyFont="1" applyBorder="1" applyAlignment="1">
      <alignment vertical="center"/>
    </xf>
    <xf numFmtId="0" fontId="97" fillId="0" borderId="18" xfId="0" applyFont="1" applyBorder="1" applyAlignment="1">
      <alignment horizontal="left" vertical="center" wrapText="1"/>
    </xf>
    <xf numFmtId="0" fontId="21" fillId="0" borderId="29" xfId="0" applyFont="1" applyBorder="1" applyAlignment="1">
      <alignment horizontal="center" vertical="center"/>
    </xf>
    <xf numFmtId="0" fontId="24" fillId="0" borderId="0" xfId="0" applyFont="1" applyAlignment="1">
      <alignment vertical="center"/>
    </xf>
    <xf numFmtId="0" fontId="24" fillId="0" borderId="18" xfId="0" applyFont="1" applyBorder="1" applyAlignment="1">
      <alignment horizontal="center"/>
    </xf>
    <xf numFmtId="14" fontId="90" fillId="0" borderId="18" xfId="0" quotePrefix="1" applyNumberFormat="1" applyFont="1" applyBorder="1" applyAlignment="1">
      <alignment horizontal="center"/>
    </xf>
    <xf numFmtId="0" fontId="13" fillId="0" borderId="18" xfId="0" quotePrefix="1" applyFont="1" applyBorder="1"/>
    <xf numFmtId="0" fontId="13" fillId="0" borderId="18" xfId="0" quotePrefix="1" applyFont="1" applyBorder="1" applyAlignment="1">
      <alignment horizontal="center" vertical="center"/>
    </xf>
    <xf numFmtId="1" fontId="16" fillId="0" borderId="18" xfId="0" applyNumberFormat="1" applyFont="1" applyBorder="1" applyAlignment="1">
      <alignment horizontal="center" vertical="center"/>
    </xf>
    <xf numFmtId="167" fontId="95" fillId="73" borderId="18" xfId="0" applyNumberFormat="1" applyFont="1" applyFill="1" applyBorder="1" applyAlignment="1">
      <alignment horizontal="center" vertical="center"/>
    </xf>
    <xf numFmtId="0" fontId="96" fillId="0" borderId="24" xfId="0" applyFont="1" applyBorder="1" applyAlignment="1">
      <alignment horizontal="left"/>
    </xf>
    <xf numFmtId="0" fontId="17" fillId="0" borderId="0" xfId="0" quotePrefix="1" applyFont="1"/>
    <xf numFmtId="0" fontId="17" fillId="0" borderId="0" xfId="0" applyFont="1" applyAlignment="1">
      <alignment horizontal="left"/>
    </xf>
    <xf numFmtId="10" fontId="13" fillId="0" borderId="0" xfId="0" applyNumberFormat="1" applyFont="1" applyAlignment="1">
      <alignment horizontal="left" vertical="center"/>
    </xf>
    <xf numFmtId="0" fontId="97" fillId="32" borderId="29" xfId="0" applyFont="1" applyFill="1" applyBorder="1" applyAlignment="1">
      <alignment horizontal="center" vertical="center"/>
    </xf>
    <xf numFmtId="0" fontId="10" fillId="0" borderId="18" xfId="0" applyFont="1" applyBorder="1" applyAlignment="1">
      <alignment horizontal="center" vertical="center" wrapText="1"/>
    </xf>
    <xf numFmtId="0" fontId="7" fillId="0" borderId="23" xfId="0" applyFont="1" applyBorder="1" applyAlignment="1">
      <alignment horizontal="center" vertical="center" wrapText="1"/>
    </xf>
    <xf numFmtId="0" fontId="27" fillId="0" borderId="0" xfId="0" applyFont="1" applyAlignment="1">
      <alignment horizontal="left"/>
    </xf>
    <xf numFmtId="0" fontId="95" fillId="0" borderId="18" xfId="0" applyFont="1" applyBorder="1" applyAlignment="1">
      <alignment horizontal="left" vertical="center" wrapText="1"/>
    </xf>
    <xf numFmtId="166" fontId="95" fillId="74" borderId="18" xfId="0" applyNumberFormat="1" applyFont="1" applyFill="1" applyBorder="1" applyAlignment="1">
      <alignment horizontal="center" vertical="center"/>
    </xf>
    <xf numFmtId="1" fontId="95" fillId="74" borderId="18" xfId="0" applyNumberFormat="1" applyFont="1" applyFill="1" applyBorder="1" applyAlignment="1">
      <alignment horizontal="center" vertical="center"/>
    </xf>
    <xf numFmtId="0" fontId="100" fillId="0" borderId="0" xfId="0" applyFont="1" applyAlignment="1">
      <alignment vertical="center"/>
    </xf>
    <xf numFmtId="0" fontId="100" fillId="0" borderId="0" xfId="0" applyFont="1"/>
    <xf numFmtId="0" fontId="15" fillId="0" borderId="18" xfId="0" applyFont="1" applyBorder="1" applyAlignment="1">
      <alignment horizontal="left" vertical="center"/>
    </xf>
    <xf numFmtId="166" fontId="95" fillId="72" borderId="18" xfId="0" applyNumberFormat="1" applyFont="1" applyFill="1" applyBorder="1" applyAlignment="1">
      <alignment horizontal="center" vertical="center"/>
    </xf>
    <xf numFmtId="1" fontId="95" fillId="72" borderId="18" xfId="0" applyNumberFormat="1" applyFont="1" applyFill="1" applyBorder="1" applyAlignment="1">
      <alignment horizontal="center" vertical="center"/>
    </xf>
    <xf numFmtId="1" fontId="95" fillId="0" borderId="18" xfId="0" applyNumberFormat="1" applyFont="1" applyBorder="1" applyAlignment="1">
      <alignment horizontal="center" vertical="center"/>
    </xf>
    <xf numFmtId="0" fontId="21" fillId="0" borderId="18" xfId="0" applyFont="1" applyBorder="1" applyAlignment="1">
      <alignment horizontal="left" vertical="center"/>
    </xf>
    <xf numFmtId="0" fontId="14" fillId="0" borderId="23" xfId="0" applyFont="1" applyBorder="1" applyAlignment="1">
      <alignment horizontal="center" vertical="center"/>
    </xf>
    <xf numFmtId="0" fontId="15" fillId="0" borderId="23" xfId="0" applyFont="1" applyBorder="1" applyAlignment="1">
      <alignment horizontal="center" vertical="center" wrapText="1"/>
    </xf>
    <xf numFmtId="0" fontId="98" fillId="0" borderId="18" xfId="0" applyFont="1" applyBorder="1" applyAlignment="1">
      <alignment horizontal="center" vertical="center"/>
    </xf>
    <xf numFmtId="0" fontId="15" fillId="0" borderId="18" xfId="0" applyFont="1" applyBorder="1" applyAlignment="1">
      <alignment horizontal="center" vertical="center" wrapText="1"/>
    </xf>
    <xf numFmtId="0" fontId="20" fillId="0" borderId="18" xfId="0" applyFont="1" applyBorder="1"/>
    <xf numFmtId="49" fontId="21" fillId="75" borderId="38" xfId="0" applyNumberFormat="1" applyFont="1" applyFill="1" applyBorder="1" applyAlignment="1">
      <alignment horizontal="center" vertical="center" wrapText="1"/>
    </xf>
    <xf numFmtId="0" fontId="21" fillId="0" borderId="25" xfId="0" applyFont="1" applyBorder="1" applyAlignment="1">
      <alignment horizontal="center" vertical="center"/>
    </xf>
    <xf numFmtId="0" fontId="16" fillId="0" borderId="23" xfId="0" applyFont="1" applyBorder="1" applyAlignment="1">
      <alignment vertical="center"/>
    </xf>
    <xf numFmtId="49" fontId="21" fillId="75" borderId="44" xfId="0" applyNumberFormat="1" applyFont="1" applyFill="1" applyBorder="1" applyAlignment="1">
      <alignment horizontal="center" vertical="center" wrapText="1"/>
    </xf>
    <xf numFmtId="0" fontId="21" fillId="66" borderId="45" xfId="0" applyFont="1" applyFill="1" applyBorder="1" applyAlignment="1">
      <alignment horizontal="center" vertical="center" wrapText="1"/>
    </xf>
    <xf numFmtId="0" fontId="21" fillId="76" borderId="46" xfId="0" applyFont="1" applyFill="1" applyBorder="1" applyAlignment="1">
      <alignment horizontal="center" vertical="center" wrapText="1"/>
    </xf>
    <xf numFmtId="0" fontId="21" fillId="76" borderId="45" xfId="0" applyFont="1" applyFill="1" applyBorder="1" applyAlignment="1">
      <alignment horizontal="center" vertical="center" wrapText="1"/>
    </xf>
    <xf numFmtId="0" fontId="21" fillId="76" borderId="47" xfId="0" applyFont="1" applyFill="1" applyBorder="1" applyAlignment="1">
      <alignment horizontal="center" vertical="center" wrapText="1"/>
    </xf>
    <xf numFmtId="0" fontId="56" fillId="0" borderId="0" xfId="0" applyFont="1" applyAlignment="1">
      <alignment vertical="center"/>
    </xf>
    <xf numFmtId="0" fontId="97" fillId="0" borderId="0" xfId="0" applyFont="1" applyAlignment="1">
      <alignment vertical="center"/>
    </xf>
    <xf numFmtId="0" fontId="21" fillId="0" borderId="48" xfId="0" applyFont="1" applyBorder="1" applyAlignment="1">
      <alignment horizontal="center" vertical="center"/>
    </xf>
    <xf numFmtId="0" fontId="16" fillId="0" borderId="49" xfId="0" applyFont="1" applyBorder="1" applyAlignment="1">
      <alignment vertical="center"/>
    </xf>
    <xf numFmtId="0" fontId="21" fillId="0" borderId="32" xfId="0" applyFont="1" applyBorder="1" applyAlignment="1">
      <alignment horizontal="center" vertical="center"/>
    </xf>
    <xf numFmtId="0" fontId="16" fillId="0" borderId="50" xfId="0" applyFont="1" applyBorder="1" applyAlignment="1">
      <alignment vertical="center"/>
    </xf>
    <xf numFmtId="0" fontId="16" fillId="0" borderId="51" xfId="0" applyFont="1" applyBorder="1" applyAlignment="1">
      <alignment vertical="center"/>
    </xf>
    <xf numFmtId="0" fontId="21" fillId="0" borderId="52"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21" fillId="0" borderId="20" xfId="0" applyFont="1" applyBorder="1" applyAlignment="1">
      <alignment vertical="center"/>
    </xf>
    <xf numFmtId="0" fontId="97" fillId="0" borderId="0" xfId="0" applyFont="1" applyAlignment="1">
      <alignment horizontal="left"/>
    </xf>
    <xf numFmtId="0" fontId="97" fillId="0" borderId="0" xfId="0" applyFont="1" applyAlignment="1">
      <alignment horizontal="center"/>
    </xf>
    <xf numFmtId="0" fontId="21" fillId="0" borderId="18" xfId="0" applyFont="1" applyBorder="1" applyAlignment="1">
      <alignment vertical="center"/>
    </xf>
    <xf numFmtId="0" fontId="21" fillId="0" borderId="55" xfId="0" applyFont="1" applyBorder="1" applyAlignment="1">
      <alignment horizontal="center" vertical="center"/>
    </xf>
    <xf numFmtId="0" fontId="21" fillId="0" borderId="56" xfId="0" applyFont="1" applyBorder="1" applyAlignment="1">
      <alignment horizontal="center" vertical="center"/>
    </xf>
    <xf numFmtId="0" fontId="21" fillId="0" borderId="36" xfId="0" applyFont="1" applyBorder="1" applyAlignment="1">
      <alignment horizontal="center" vertical="center"/>
    </xf>
    <xf numFmtId="0" fontId="21" fillId="77" borderId="18" xfId="0" applyFont="1" applyFill="1" applyBorder="1" applyAlignment="1">
      <alignment horizontal="right" vertical="center"/>
    </xf>
    <xf numFmtId="0" fontId="21" fillId="78" borderId="18" xfId="0" applyFont="1" applyFill="1" applyBorder="1" applyAlignment="1">
      <alignment horizontal="right" vertical="center"/>
    </xf>
    <xf numFmtId="0" fontId="21" fillId="79" borderId="18" xfId="0" applyFont="1" applyFill="1" applyBorder="1" applyAlignment="1">
      <alignment horizontal="right" vertical="center"/>
    </xf>
    <xf numFmtId="0" fontId="97" fillId="79" borderId="18" xfId="0" applyFont="1" applyFill="1" applyBorder="1" applyAlignment="1">
      <alignment horizontal="right" vertical="center"/>
    </xf>
    <xf numFmtId="0" fontId="21" fillId="77" borderId="18" xfId="0" applyFont="1" applyFill="1" applyBorder="1" applyAlignment="1">
      <alignment horizontal="center" vertical="center"/>
    </xf>
    <xf numFmtId="0" fontId="21" fillId="78" borderId="18" xfId="0" applyFont="1" applyFill="1" applyBorder="1" applyAlignment="1">
      <alignment horizontal="center" vertical="center"/>
    </xf>
    <xf numFmtId="0" fontId="97" fillId="79" borderId="18" xfId="0" applyFont="1" applyFill="1" applyBorder="1" applyAlignment="1">
      <alignment horizontal="center" vertical="center"/>
    </xf>
    <xf numFmtId="0" fontId="73" fillId="0" borderId="18" xfId="0" applyFont="1" applyBorder="1" applyAlignment="1">
      <alignment horizontal="center" vertical="center" wrapText="1"/>
    </xf>
    <xf numFmtId="0" fontId="94" fillId="0" borderId="18" xfId="0" applyFont="1" applyBorder="1" applyAlignment="1">
      <alignment horizontal="center" vertical="center" wrapText="1"/>
    </xf>
    <xf numFmtId="0" fontId="94" fillId="0" borderId="18" xfId="0" applyFont="1" applyBorder="1" applyAlignment="1">
      <alignment horizontal="center" vertical="center"/>
    </xf>
    <xf numFmtId="0" fontId="21" fillId="0" borderId="57" xfId="0" applyFont="1" applyBorder="1" applyAlignment="1">
      <alignment horizontal="center" vertical="center"/>
    </xf>
    <xf numFmtId="0" fontId="21" fillId="0" borderId="34" xfId="0" applyFont="1" applyBorder="1" applyAlignment="1">
      <alignment horizontal="center" vertical="center"/>
    </xf>
    <xf numFmtId="0" fontId="21" fillId="0" borderId="58" xfId="0" applyFont="1" applyBorder="1" applyAlignment="1">
      <alignment horizontal="center" vertical="center"/>
    </xf>
    <xf numFmtId="0" fontId="21" fillId="0" borderId="26" xfId="0" applyFont="1" applyBorder="1" applyAlignment="1">
      <alignment horizontal="center" vertical="center"/>
    </xf>
    <xf numFmtId="0" fontId="97" fillId="0" borderId="59" xfId="0" applyFont="1" applyBorder="1" applyAlignment="1">
      <alignment vertical="center"/>
    </xf>
    <xf numFmtId="0" fontId="13" fillId="0" borderId="18" xfId="0" applyFont="1" applyBorder="1" applyAlignment="1">
      <alignment horizontal="left" vertical="center"/>
    </xf>
    <xf numFmtId="0" fontId="14" fillId="0" borderId="23" xfId="0" applyFont="1" applyBorder="1" applyAlignment="1">
      <alignment vertical="center"/>
    </xf>
    <xf numFmtId="0" fontId="14" fillId="0" borderId="24" xfId="0" applyFont="1" applyBorder="1" applyAlignment="1">
      <alignment vertical="center"/>
    </xf>
    <xf numFmtId="0" fontId="14" fillId="0" borderId="25" xfId="0" applyFont="1" applyBorder="1" applyAlignment="1">
      <alignment vertical="center"/>
    </xf>
    <xf numFmtId="9" fontId="14" fillId="0" borderId="18" xfId="425" applyFont="1" applyBorder="1" applyAlignment="1" applyProtection="1">
      <alignment horizontal="left" vertical="center"/>
    </xf>
    <xf numFmtId="0" fontId="14" fillId="0" borderId="18" xfId="0" applyFont="1" applyBorder="1" applyAlignment="1">
      <alignment vertical="center"/>
    </xf>
    <xf numFmtId="167" fontId="14" fillId="0" borderId="18" xfId="0" applyNumberFormat="1" applyFont="1" applyBorder="1" applyAlignment="1">
      <alignment horizontal="left" vertical="center"/>
    </xf>
    <xf numFmtId="0" fontId="95" fillId="0" borderId="0" xfId="0" applyFont="1" applyAlignment="1">
      <alignment vertical="center"/>
    </xf>
    <xf numFmtId="0" fontId="14" fillId="0" borderId="23" xfId="0" applyFont="1" applyBorder="1" applyAlignment="1">
      <alignment vertical="center" wrapText="1"/>
    </xf>
    <xf numFmtId="0" fontId="14" fillId="0" borderId="18" xfId="0" applyFont="1" applyBorder="1" applyAlignment="1">
      <alignment horizontal="left" vertical="center"/>
    </xf>
    <xf numFmtId="0" fontId="15" fillId="0" borderId="18" xfId="0" applyFont="1" applyBorder="1" applyAlignment="1">
      <alignment vertical="center"/>
    </xf>
    <xf numFmtId="0" fontId="95" fillId="0" borderId="23" xfId="0" applyFont="1" applyBorder="1" applyAlignment="1">
      <alignment vertical="center" wrapText="1"/>
    </xf>
    <xf numFmtId="0" fontId="95" fillId="0" borderId="24" xfId="0" applyFont="1" applyBorder="1" applyAlignment="1">
      <alignment vertical="center"/>
    </xf>
    <xf numFmtId="0" fontId="95" fillId="0" borderId="18" xfId="0" applyFont="1" applyBorder="1" applyAlignment="1">
      <alignment vertical="center" wrapText="1"/>
    </xf>
    <xf numFmtId="9" fontId="95" fillId="0" borderId="18" xfId="425" applyFont="1" applyBorder="1" applyAlignment="1" applyProtection="1">
      <alignment horizontal="center" vertical="center"/>
    </xf>
    <xf numFmtId="0" fontId="95" fillId="0" borderId="18" xfId="0" applyFont="1" applyBorder="1" applyAlignment="1">
      <alignment vertical="center"/>
    </xf>
    <xf numFmtId="9" fontId="95" fillId="0" borderId="18" xfId="0" applyNumberFormat="1" applyFont="1" applyBorder="1" applyAlignment="1">
      <alignment horizontal="center" vertical="center"/>
    </xf>
    <xf numFmtId="167" fontId="95" fillId="0" borderId="25" xfId="425" applyNumberFormat="1" applyFont="1" applyFill="1" applyBorder="1" applyAlignment="1" applyProtection="1">
      <alignment horizontal="center" vertical="center"/>
    </xf>
    <xf numFmtId="0" fontId="95" fillId="0" borderId="23" xfId="0" applyFont="1" applyBorder="1" applyAlignment="1">
      <alignment vertical="center"/>
    </xf>
    <xf numFmtId="0" fontId="95" fillId="0" borderId="24" xfId="0" applyFont="1" applyBorder="1" applyAlignment="1">
      <alignment horizontal="left" vertical="center"/>
    </xf>
    <xf numFmtId="0" fontId="95" fillId="73" borderId="24" xfId="0" applyFont="1" applyFill="1" applyBorder="1" applyAlignment="1">
      <alignment horizontal="left" vertical="center"/>
    </xf>
    <xf numFmtId="0" fontId="95" fillId="0" borderId="0" xfId="0" applyFont="1" applyAlignment="1">
      <alignment horizontal="left" vertical="center"/>
    </xf>
    <xf numFmtId="0" fontId="57" fillId="0" borderId="0" xfId="0" applyFont="1" applyAlignment="1">
      <alignment vertical="center"/>
    </xf>
    <xf numFmtId="0" fontId="91" fillId="0" borderId="0" xfId="0" applyFont="1" applyAlignment="1">
      <alignment vertical="center"/>
    </xf>
    <xf numFmtId="0" fontId="57" fillId="0" borderId="0" xfId="0" applyFont="1"/>
    <xf numFmtId="4" fontId="16" fillId="0" borderId="18" xfId="0" applyNumberFormat="1" applyFont="1" applyBorder="1" applyAlignment="1">
      <alignment horizontal="center" vertical="center"/>
    </xf>
    <xf numFmtId="10" fontId="21" fillId="0" borderId="20" xfId="0" applyNumberFormat="1" applyFont="1" applyBorder="1" applyAlignment="1">
      <alignment horizontal="center" vertical="center"/>
    </xf>
    <xf numFmtId="10" fontId="8" fillId="27" borderId="20" xfId="425" applyNumberFormat="1" applyFont="1" applyFill="1" applyBorder="1" applyAlignment="1" applyProtection="1">
      <alignment horizontal="center" vertical="center" wrapText="1"/>
    </xf>
    <xf numFmtId="0" fontId="10" fillId="0" borderId="0" xfId="548" applyFont="1"/>
    <xf numFmtId="0" fontId="16" fillId="0" borderId="0" xfId="0" applyFont="1" applyAlignment="1">
      <alignment horizontal="center" vertical="center"/>
    </xf>
    <xf numFmtId="0" fontId="7" fillId="0" borderId="0" xfId="548" applyFont="1" applyAlignment="1">
      <alignment horizontal="left"/>
    </xf>
    <xf numFmtId="0" fontId="7" fillId="0" borderId="0" xfId="0" applyFont="1" applyAlignment="1">
      <alignment horizontal="left"/>
    </xf>
    <xf numFmtId="0" fontId="7" fillId="0" borderId="0" xfId="0" applyFont="1" applyAlignment="1">
      <alignment horizontal="left" vertical="center"/>
    </xf>
    <xf numFmtId="0" fontId="13" fillId="0" borderId="0" xfId="0" applyFont="1" applyAlignment="1">
      <alignment horizontal="left"/>
    </xf>
    <xf numFmtId="0" fontId="13" fillId="0" borderId="0" xfId="0" applyFont="1" applyAlignment="1">
      <alignment horizontal="left" vertical="center"/>
    </xf>
    <xf numFmtId="0" fontId="90" fillId="0" borderId="0" xfId="0" applyFont="1" applyAlignment="1">
      <alignment horizontal="left"/>
    </xf>
    <xf numFmtId="0" fontId="90" fillId="0" borderId="22" xfId="0" applyFont="1" applyBorder="1" applyAlignment="1">
      <alignment horizontal="center" vertical="center" wrapText="1"/>
    </xf>
    <xf numFmtId="0" fontId="13" fillId="0" borderId="0" xfId="0" applyFont="1" applyAlignment="1">
      <alignment vertical="top"/>
    </xf>
    <xf numFmtId="0" fontId="13" fillId="0" borderId="0" xfId="0" applyFont="1" applyAlignment="1">
      <alignment horizontal="center" vertical="center" wrapText="1"/>
    </xf>
    <xf numFmtId="0" fontId="13" fillId="0" borderId="0" xfId="0" applyFont="1" applyAlignment="1">
      <alignment horizontal="left" vertical="center" wrapText="1"/>
    </xf>
    <xf numFmtId="0" fontId="30" fillId="0" borderId="0" xfId="0" applyFont="1" applyAlignment="1">
      <alignment horizontal="left" vertical="center"/>
    </xf>
    <xf numFmtId="0" fontId="21" fillId="80" borderId="0" xfId="0" applyFont="1" applyFill="1" applyAlignment="1">
      <alignment horizontal="center" vertical="center"/>
    </xf>
    <xf numFmtId="167" fontId="95" fillId="0" borderId="18" xfId="425" applyNumberFormat="1" applyFont="1" applyFill="1" applyBorder="1" applyAlignment="1" applyProtection="1">
      <alignment horizontal="center" vertical="center"/>
    </xf>
    <xf numFmtId="167" fontId="15" fillId="0" borderId="18" xfId="433" applyNumberFormat="1" applyFont="1" applyFill="1" applyBorder="1" applyAlignment="1" applyProtection="1">
      <alignment horizontal="center" vertical="center"/>
    </xf>
    <xf numFmtId="167" fontId="95" fillId="0" borderId="0" xfId="0" applyNumberFormat="1" applyFont="1" applyAlignment="1">
      <alignment horizontal="center" vertical="center"/>
    </xf>
    <xf numFmtId="167" fontId="15" fillId="73" borderId="18" xfId="433" applyNumberFormat="1" applyFont="1" applyFill="1" applyBorder="1" applyAlignment="1" applyProtection="1">
      <alignment horizontal="center" vertical="center"/>
    </xf>
    <xf numFmtId="167" fontId="95" fillId="0" borderId="0" xfId="425" applyNumberFormat="1" applyFont="1" applyFill="1" applyBorder="1" applyAlignment="1" applyProtection="1">
      <alignment horizontal="center" vertical="center"/>
    </xf>
    <xf numFmtId="10" fontId="13" fillId="0" borderId="0" xfId="0" applyNumberFormat="1" applyFont="1" applyAlignment="1">
      <alignment horizontal="center" vertical="center" wrapText="1"/>
    </xf>
    <xf numFmtId="9" fontId="13" fillId="0" borderId="0" xfId="0" applyNumberFormat="1" applyFont="1" applyAlignment="1">
      <alignment horizontal="center" vertical="center" wrapText="1"/>
    </xf>
    <xf numFmtId="0" fontId="21" fillId="0" borderId="62" xfId="0" applyFont="1" applyBorder="1" applyAlignment="1">
      <alignment horizontal="center" vertical="center"/>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1" fillId="0" borderId="35" xfId="0" applyFont="1" applyBorder="1" applyAlignment="1">
      <alignment horizontal="center" vertical="center"/>
    </xf>
    <xf numFmtId="167" fontId="95" fillId="0" borderId="18" xfId="427" applyNumberFormat="1" applyFont="1" applyBorder="1" applyAlignment="1" applyProtection="1">
      <alignment horizontal="right" vertical="center"/>
    </xf>
    <xf numFmtId="0" fontId="100" fillId="0" borderId="0" xfId="0" applyFont="1" applyAlignment="1">
      <alignment horizontal="center" vertical="center"/>
    </xf>
    <xf numFmtId="0" fontId="21" fillId="80" borderId="18" xfId="0" applyFont="1" applyFill="1" applyBorder="1" applyAlignment="1">
      <alignment horizontal="center" vertical="center"/>
    </xf>
    <xf numFmtId="0" fontId="97" fillId="80" borderId="18" xfId="0" applyFont="1" applyFill="1" applyBorder="1" applyAlignment="1">
      <alignment horizontal="center" vertical="center"/>
    </xf>
    <xf numFmtId="2" fontId="95" fillId="0" borderId="18" xfId="0" applyNumberFormat="1" applyFont="1" applyBorder="1" applyAlignment="1">
      <alignment horizontal="center" vertical="center"/>
    </xf>
    <xf numFmtId="0" fontId="16" fillId="64" borderId="20" xfId="0" applyFont="1" applyFill="1" applyBorder="1" applyAlignment="1" applyProtection="1">
      <alignment horizontal="center" vertical="center"/>
      <protection locked="0"/>
    </xf>
    <xf numFmtId="0" fontId="16" fillId="64" borderId="44" xfId="0" applyFont="1" applyFill="1" applyBorder="1" applyAlignment="1" applyProtection="1">
      <alignment horizontal="center" vertical="center"/>
      <protection locked="0"/>
    </xf>
    <xf numFmtId="0" fontId="16" fillId="64" borderId="33" xfId="0" applyFont="1" applyFill="1" applyBorder="1" applyAlignment="1" applyProtection="1">
      <alignment horizontal="center" vertical="center"/>
      <protection locked="0"/>
    </xf>
    <xf numFmtId="10" fontId="16" fillId="0" borderId="20" xfId="0" applyNumberFormat="1" applyFont="1" applyBorder="1" applyAlignment="1">
      <alignment horizontal="center" vertical="center"/>
    </xf>
    <xf numFmtId="10" fontId="16" fillId="0" borderId="44" xfId="0" applyNumberFormat="1" applyFont="1" applyBorder="1" applyAlignment="1">
      <alignment horizontal="center" vertical="center"/>
    </xf>
    <xf numFmtId="0" fontId="13" fillId="0" borderId="0" xfId="0" applyFont="1" applyAlignment="1">
      <alignment vertical="center" wrapText="1"/>
    </xf>
    <xf numFmtId="0" fontId="60" fillId="0" borderId="0" xfId="0" applyFont="1" applyAlignment="1">
      <alignment vertical="center"/>
    </xf>
    <xf numFmtId="49" fontId="21" fillId="75" borderId="28" xfId="0" applyNumberFormat="1" applyFont="1" applyFill="1" applyBorder="1" applyAlignment="1">
      <alignment horizontal="center" vertical="center" wrapText="1"/>
    </xf>
    <xf numFmtId="0" fontId="21" fillId="0" borderId="63" xfId="0" applyFont="1" applyBorder="1" applyAlignment="1">
      <alignment horizontal="center" vertical="center"/>
    </xf>
    <xf numFmtId="0" fontId="21" fillId="0" borderId="39" xfId="0" applyFont="1" applyBorder="1" applyAlignment="1">
      <alignment horizontal="center" vertical="center"/>
    </xf>
    <xf numFmtId="0" fontId="16" fillId="0" borderId="52" xfId="0" applyFont="1" applyBorder="1" applyAlignment="1">
      <alignment vertical="center"/>
    </xf>
    <xf numFmtId="0" fontId="16" fillId="0" borderId="53" xfId="0" applyFont="1" applyBorder="1" applyAlignment="1">
      <alignment vertical="center" wrapText="1"/>
    </xf>
    <xf numFmtId="0" fontId="21" fillId="0" borderId="52" xfId="0" applyFont="1" applyBorder="1" applyAlignment="1">
      <alignment horizontal="center" vertical="center"/>
    </xf>
    <xf numFmtId="0" fontId="21" fillId="0" borderId="53" xfId="0" applyFont="1" applyBorder="1" applyAlignment="1">
      <alignment horizontal="center" vertical="center"/>
    </xf>
    <xf numFmtId="0" fontId="21" fillId="0" borderId="44" xfId="0" applyFont="1" applyBorder="1" applyAlignment="1">
      <alignment vertical="center"/>
    </xf>
    <xf numFmtId="0" fontId="21" fillId="0" borderId="64" xfId="0" applyFont="1" applyBorder="1" applyAlignment="1">
      <alignment horizontal="center" vertical="center"/>
    </xf>
    <xf numFmtId="0" fontId="21" fillId="0" borderId="65" xfId="0" applyFont="1" applyBorder="1" applyAlignment="1">
      <alignment horizontal="center" vertical="center"/>
    </xf>
    <xf numFmtId="0" fontId="21" fillId="0" borderId="66" xfId="0" applyFont="1" applyBorder="1" applyAlignment="1">
      <alignment horizontal="center" vertical="center"/>
    </xf>
    <xf numFmtId="0" fontId="16" fillId="0" borderId="67" xfId="0" applyFont="1" applyBorder="1" applyAlignment="1">
      <alignment horizontal="left" vertical="center"/>
    </xf>
    <xf numFmtId="0" fontId="21" fillId="0" borderId="38" xfId="0" applyFont="1" applyBorder="1" applyAlignment="1">
      <alignment vertical="center"/>
    </xf>
    <xf numFmtId="0" fontId="21" fillId="0" borderId="68" xfId="0" applyFont="1" applyBorder="1" applyAlignment="1">
      <alignment horizontal="center" vertical="center"/>
    </xf>
    <xf numFmtId="0" fontId="16" fillId="0" borderId="33" xfId="0" applyFont="1" applyBorder="1" applyAlignment="1">
      <alignment horizontal="center" vertical="center"/>
    </xf>
    <xf numFmtId="0" fontId="21" fillId="0" borderId="60"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16" fillId="0" borderId="69" xfId="0" applyFont="1" applyBorder="1" applyAlignment="1">
      <alignment vertical="center" wrapText="1"/>
    </xf>
    <xf numFmtId="0" fontId="21" fillId="0" borderId="69" xfId="0" applyFont="1" applyBorder="1" applyAlignment="1">
      <alignment vertical="center"/>
    </xf>
    <xf numFmtId="0" fontId="21" fillId="0" borderId="69" xfId="0" applyFont="1" applyBorder="1" applyAlignment="1">
      <alignment horizontal="center" vertical="center"/>
    </xf>
    <xf numFmtId="0" fontId="21" fillId="0" borderId="70" xfId="0" applyFont="1" applyBorder="1" applyAlignment="1">
      <alignment horizontal="center" vertical="center"/>
    </xf>
    <xf numFmtId="0" fontId="21" fillId="0" borderId="71" xfId="0" applyFont="1" applyBorder="1" applyAlignment="1">
      <alignment horizontal="center" vertical="center"/>
    </xf>
    <xf numFmtId="0" fontId="21" fillId="0" borderId="72" xfId="0" applyFont="1" applyBorder="1" applyAlignment="1">
      <alignment horizontal="center" vertical="center"/>
    </xf>
    <xf numFmtId="0" fontId="16" fillId="0" borderId="44" xfId="0" applyFont="1" applyBorder="1" applyAlignment="1">
      <alignment horizontal="left" vertical="center"/>
    </xf>
    <xf numFmtId="0" fontId="16" fillId="64" borderId="0" xfId="0" applyFont="1" applyFill="1" applyAlignment="1" applyProtection="1">
      <alignment horizontal="center" vertical="center"/>
      <protection locked="0"/>
    </xf>
    <xf numFmtId="10" fontId="16" fillId="0" borderId="28" xfId="0" applyNumberFormat="1" applyFont="1" applyBorder="1" applyAlignment="1">
      <alignment horizontal="center" vertical="center"/>
    </xf>
    <xf numFmtId="0" fontId="16" fillId="0" borderId="73" xfId="0" applyFont="1" applyBorder="1" applyAlignment="1">
      <alignment horizontal="center" textRotation="90" wrapText="1"/>
    </xf>
    <xf numFmtId="0" fontId="16" fillId="0" borderId="74" xfId="0" applyFont="1" applyBorder="1" applyAlignment="1">
      <alignment textRotation="90" wrapText="1"/>
    </xf>
    <xf numFmtId="0" fontId="10" fillId="27" borderId="75" xfId="0" applyFont="1" applyFill="1" applyBorder="1" applyAlignment="1">
      <alignment horizontal="center" vertical="center" wrapText="1"/>
    </xf>
    <xf numFmtId="0" fontId="16" fillId="0" borderId="77" xfId="0" applyFont="1" applyBorder="1" applyAlignment="1">
      <alignment horizontal="center" textRotation="255" wrapText="1"/>
    </xf>
    <xf numFmtId="0" fontId="16" fillId="0" borderId="78" xfId="0" applyFont="1" applyBorder="1" applyAlignment="1">
      <alignment horizontal="center" vertical="center" wrapText="1"/>
    </xf>
    <xf numFmtId="0" fontId="16" fillId="0" borderId="79" xfId="0" applyFont="1" applyBorder="1" applyAlignment="1">
      <alignment horizontal="center" vertical="center"/>
    </xf>
    <xf numFmtId="10" fontId="16" fillId="0" borderId="80" xfId="0" applyNumberFormat="1" applyFont="1" applyBorder="1" applyAlignment="1">
      <alignment horizontal="center" vertical="center"/>
    </xf>
    <xf numFmtId="0" fontId="16" fillId="0" borderId="81" xfId="0" applyFont="1" applyBorder="1" applyAlignment="1">
      <alignment horizontal="center" vertical="center"/>
    </xf>
    <xf numFmtId="10" fontId="16" fillId="0" borderId="82" xfId="0" applyNumberFormat="1" applyFont="1" applyBorder="1" applyAlignment="1">
      <alignment horizontal="center" vertical="center"/>
    </xf>
    <xf numFmtId="0" fontId="16" fillId="0" borderId="83" xfId="0" applyFont="1" applyBorder="1" applyAlignment="1">
      <alignment horizontal="center" vertical="center"/>
    </xf>
    <xf numFmtId="0" fontId="16" fillId="0" borderId="84" xfId="0" applyFont="1" applyBorder="1" applyAlignment="1">
      <alignment horizontal="center" vertical="center"/>
    </xf>
    <xf numFmtId="0" fontId="16" fillId="64" borderId="85" xfId="0" applyFont="1" applyFill="1" applyBorder="1" applyAlignment="1" applyProtection="1">
      <alignment horizontal="center" vertical="center"/>
      <protection locked="0"/>
    </xf>
    <xf numFmtId="0" fontId="16" fillId="64" borderId="84" xfId="0" applyFont="1" applyFill="1" applyBorder="1" applyAlignment="1" applyProtection="1">
      <alignment horizontal="center" vertical="center"/>
      <protection locked="0"/>
    </xf>
    <xf numFmtId="10" fontId="16" fillId="0" borderId="85" xfId="0" applyNumberFormat="1" applyFont="1" applyBorder="1" applyAlignment="1">
      <alignment horizontal="center" vertical="center"/>
    </xf>
    <xf numFmtId="10" fontId="16" fillId="0" borderId="86" xfId="0" applyNumberFormat="1" applyFont="1" applyBorder="1" applyAlignment="1">
      <alignment horizontal="center" vertical="center"/>
    </xf>
    <xf numFmtId="9" fontId="16" fillId="81" borderId="18" xfId="425" applyFont="1" applyFill="1" applyBorder="1" applyAlignment="1" applyProtection="1">
      <alignment horizontal="center" vertical="center"/>
    </xf>
    <xf numFmtId="0" fontId="16" fillId="81" borderId="18" xfId="0" applyFont="1" applyFill="1" applyBorder="1" applyAlignment="1">
      <alignment horizontal="center" vertical="center"/>
    </xf>
    <xf numFmtId="49" fontId="16" fillId="81" borderId="18" xfId="0" applyNumberFormat="1" applyFont="1" applyFill="1" applyBorder="1" applyAlignment="1">
      <alignment horizontal="center" vertical="center"/>
    </xf>
    <xf numFmtId="14" fontId="90" fillId="80" borderId="18" xfId="0" applyNumberFormat="1" applyFont="1" applyFill="1" applyBorder="1" applyAlignment="1">
      <alignment horizontal="left" vertical="center"/>
    </xf>
    <xf numFmtId="0" fontId="50" fillId="0" borderId="0" xfId="0" applyFont="1"/>
    <xf numFmtId="0" fontId="92" fillId="69" borderId="0" xfId="0" applyFont="1" applyFill="1"/>
    <xf numFmtId="0" fontId="92" fillId="0" borderId="0" xfId="0" applyFont="1" applyAlignment="1">
      <alignment horizontal="left"/>
    </xf>
    <xf numFmtId="0" fontId="92" fillId="0" borderId="0" xfId="0" applyFont="1" applyAlignment="1">
      <alignment vertical="top" wrapText="1"/>
    </xf>
    <xf numFmtId="0" fontId="92" fillId="69" borderId="0" xfId="0" applyFont="1" applyFill="1" applyAlignment="1">
      <alignment vertical="top" wrapText="1"/>
    </xf>
    <xf numFmtId="0" fontId="16" fillId="64" borderId="38" xfId="0" applyFont="1" applyFill="1" applyBorder="1" applyAlignment="1" applyProtection="1">
      <alignment horizontal="center" vertical="center"/>
      <protection locked="0"/>
    </xf>
    <xf numFmtId="0" fontId="16" fillId="69" borderId="18" xfId="0" applyFont="1" applyFill="1" applyBorder="1" applyAlignment="1">
      <alignment horizontal="center" vertical="center"/>
    </xf>
    <xf numFmtId="0" fontId="96" fillId="0" borderId="40" xfId="0" applyFont="1" applyBorder="1" applyAlignment="1">
      <alignment horizontal="center" vertical="center" wrapText="1"/>
    </xf>
    <xf numFmtId="0" fontId="96" fillId="0" borderId="41" xfId="0" applyFont="1" applyBorder="1" applyAlignment="1">
      <alignment horizontal="center" vertical="center" wrapText="1"/>
    </xf>
    <xf numFmtId="0" fontId="95" fillId="80" borderId="18" xfId="0" applyFont="1" applyFill="1" applyBorder="1" applyAlignment="1">
      <alignment horizontal="center" vertical="center"/>
    </xf>
    <xf numFmtId="0" fontId="97" fillId="73" borderId="0" xfId="0" applyFont="1" applyFill="1" applyAlignment="1">
      <alignment vertical="center"/>
    </xf>
    <xf numFmtId="0" fontId="21" fillId="73" borderId="38" xfId="0" applyFont="1" applyFill="1" applyBorder="1" applyAlignment="1">
      <alignment horizontal="center" vertical="center" wrapText="1"/>
    </xf>
    <xf numFmtId="0" fontId="21" fillId="73" borderId="62" xfId="0" applyFont="1" applyFill="1" applyBorder="1" applyAlignment="1">
      <alignment horizontal="center" vertical="center"/>
    </xf>
    <xf numFmtId="0" fontId="21" fillId="73" borderId="55" xfId="0" applyFont="1" applyFill="1" applyBorder="1" applyAlignment="1">
      <alignment horizontal="center" vertical="center"/>
    </xf>
    <xf numFmtId="0" fontId="21" fillId="73" borderId="63" xfId="0" applyFont="1" applyFill="1" applyBorder="1" applyAlignment="1">
      <alignment horizontal="center" vertical="center"/>
    </xf>
    <xf numFmtId="0" fontId="16" fillId="73" borderId="52" xfId="0" applyFont="1" applyFill="1" applyBorder="1" applyAlignment="1">
      <alignment vertical="center"/>
    </xf>
    <xf numFmtId="0" fontId="21" fillId="73" borderId="52" xfId="0" applyFont="1" applyFill="1" applyBorder="1" applyAlignment="1">
      <alignment vertical="center"/>
    </xf>
    <xf numFmtId="0" fontId="21" fillId="73" borderId="52" xfId="0" applyFont="1" applyFill="1" applyBorder="1" applyAlignment="1">
      <alignment horizontal="center" vertical="center"/>
    </xf>
    <xf numFmtId="0" fontId="21" fillId="73" borderId="30" xfId="0" applyFont="1" applyFill="1" applyBorder="1" applyAlignment="1">
      <alignment horizontal="center" vertical="center"/>
    </xf>
    <xf numFmtId="0" fontId="21" fillId="73" borderId="18" xfId="0" applyFont="1" applyFill="1" applyBorder="1" applyAlignment="1">
      <alignment horizontal="center" vertical="center"/>
    </xf>
    <xf numFmtId="0" fontId="21" fillId="73" borderId="39" xfId="0" applyFont="1" applyFill="1" applyBorder="1" applyAlignment="1">
      <alignment horizontal="center" vertical="center"/>
    </xf>
    <xf numFmtId="0" fontId="16" fillId="73" borderId="53" xfId="0" applyFont="1" applyFill="1" applyBorder="1" applyAlignment="1">
      <alignment vertical="center"/>
    </xf>
    <xf numFmtId="0" fontId="21" fillId="73" borderId="53" xfId="0" applyFont="1" applyFill="1" applyBorder="1" applyAlignment="1">
      <alignment vertical="center"/>
    </xf>
    <xf numFmtId="0" fontId="21" fillId="73" borderId="53" xfId="0" applyFont="1" applyFill="1" applyBorder="1" applyAlignment="1">
      <alignment horizontal="center" vertical="center"/>
    </xf>
    <xf numFmtId="0" fontId="21" fillId="73" borderId="44" xfId="0" applyFont="1" applyFill="1" applyBorder="1" applyAlignment="1">
      <alignment horizontal="center" vertical="center" wrapText="1"/>
    </xf>
    <xf numFmtId="0" fontId="21" fillId="73" borderId="31" xfId="0" applyFont="1" applyFill="1" applyBorder="1" applyAlignment="1">
      <alignment horizontal="center" vertical="center"/>
    </xf>
    <xf numFmtId="0" fontId="21" fillId="73" borderId="56" xfId="0" applyFont="1" applyFill="1" applyBorder="1" applyAlignment="1">
      <alignment horizontal="center" vertical="center"/>
    </xf>
    <xf numFmtId="0" fontId="21" fillId="73" borderId="43" xfId="0" applyFont="1" applyFill="1" applyBorder="1" applyAlignment="1">
      <alignment horizontal="center" vertical="center"/>
    </xf>
    <xf numFmtId="0" fontId="16" fillId="73" borderId="54" xfId="0" applyFont="1" applyFill="1" applyBorder="1" applyAlignment="1">
      <alignment vertical="center"/>
    </xf>
    <xf numFmtId="0" fontId="21" fillId="73" borderId="54" xfId="0" applyFont="1" applyFill="1" applyBorder="1" applyAlignment="1">
      <alignment vertical="center"/>
    </xf>
    <xf numFmtId="0" fontId="21" fillId="73" borderId="54" xfId="0" applyFont="1" applyFill="1" applyBorder="1" applyAlignment="1">
      <alignment horizontal="center" vertical="center"/>
    </xf>
    <xf numFmtId="10" fontId="16" fillId="0" borderId="18" xfId="425" applyNumberFormat="1" applyFont="1" applyFill="1" applyBorder="1" applyAlignment="1" applyProtection="1">
      <alignment horizontal="center" vertical="center" wrapText="1"/>
    </xf>
    <xf numFmtId="10" fontId="21" fillId="0" borderId="18" xfId="0" applyNumberFormat="1" applyFont="1" applyBorder="1" applyAlignment="1">
      <alignment vertical="center"/>
    </xf>
    <xf numFmtId="0" fontId="97" fillId="0" borderId="0" xfId="0" applyFont="1" applyAlignment="1">
      <alignment wrapText="1"/>
    </xf>
    <xf numFmtId="0" fontId="97" fillId="0" borderId="0" xfId="0" applyFont="1" applyAlignment="1">
      <alignment horizontal="left" vertical="top" wrapText="1"/>
    </xf>
    <xf numFmtId="0" fontId="97" fillId="0" borderId="18" xfId="0" applyFont="1" applyBorder="1" applyAlignment="1">
      <alignment horizontal="left" vertical="top" wrapText="1"/>
    </xf>
    <xf numFmtId="0" fontId="97" fillId="0" borderId="18" xfId="0" applyFont="1" applyBorder="1" applyAlignment="1">
      <alignment wrapText="1"/>
    </xf>
    <xf numFmtId="0" fontId="97" fillId="0" borderId="18" xfId="0" applyFont="1" applyBorder="1"/>
    <xf numFmtId="0" fontId="97" fillId="72" borderId="18" xfId="0" applyFont="1" applyFill="1" applyBorder="1"/>
    <xf numFmtId="0" fontId="97" fillId="72" borderId="18" xfId="0" applyFont="1" applyFill="1" applyBorder="1" applyAlignment="1">
      <alignment wrapText="1"/>
    </xf>
    <xf numFmtId="2" fontId="95" fillId="68" borderId="18" xfId="0" applyNumberFormat="1" applyFont="1" applyFill="1" applyBorder="1" applyAlignment="1">
      <alignment horizontal="center" vertical="center"/>
    </xf>
    <xf numFmtId="0" fontId="16" fillId="0" borderId="0" xfId="0" applyFont="1" applyAlignment="1">
      <alignment horizontal="left" vertical="center"/>
    </xf>
    <xf numFmtId="0" fontId="21" fillId="66" borderId="0" xfId="0" applyFont="1" applyFill="1"/>
    <xf numFmtId="1" fontId="21" fillId="69" borderId="18" xfId="0" applyNumberFormat="1" applyFont="1" applyFill="1" applyBorder="1" applyAlignment="1">
      <alignment horizontal="center" vertical="center"/>
    </xf>
    <xf numFmtId="1" fontId="21" fillId="69" borderId="18" xfId="425" applyNumberFormat="1" applyFont="1" applyFill="1" applyBorder="1" applyAlignment="1" applyProtection="1">
      <alignment horizontal="center" vertical="center"/>
    </xf>
    <xf numFmtId="0" fontId="21" fillId="88" borderId="18" xfId="0" applyFont="1" applyFill="1" applyBorder="1" applyAlignment="1">
      <alignment horizontal="center" vertical="center"/>
    </xf>
    <xf numFmtId="9" fontId="21" fillId="88" borderId="18" xfId="425" applyFont="1" applyFill="1" applyBorder="1" applyAlignment="1" applyProtection="1">
      <alignment horizontal="center" vertical="center"/>
    </xf>
    <xf numFmtId="0" fontId="21" fillId="88" borderId="18" xfId="425" applyNumberFormat="1" applyFont="1" applyFill="1" applyBorder="1" applyAlignment="1" applyProtection="1">
      <alignment horizontal="center" vertical="center"/>
    </xf>
    <xf numFmtId="49" fontId="21" fillId="88" borderId="18" xfId="0" applyNumberFormat="1" applyFont="1" applyFill="1" applyBorder="1" applyAlignment="1">
      <alignment horizontal="center" vertical="center"/>
    </xf>
    <xf numFmtId="0" fontId="16" fillId="88" borderId="18" xfId="0" applyFont="1" applyFill="1" applyBorder="1" applyAlignment="1">
      <alignment horizontal="center" vertical="center"/>
    </xf>
    <xf numFmtId="9" fontId="16" fillId="88" borderId="18" xfId="425" applyFont="1" applyFill="1" applyBorder="1" applyAlignment="1" applyProtection="1">
      <alignment horizontal="center" vertical="center"/>
    </xf>
    <xf numFmtId="0" fontId="107" fillId="0" borderId="0" xfId="513" applyFont="1"/>
    <xf numFmtId="0" fontId="108" fillId="0" borderId="0" xfId="0" applyFont="1"/>
    <xf numFmtId="0" fontId="109" fillId="0" borderId="0" xfId="0" applyFont="1"/>
    <xf numFmtId="0" fontId="111" fillId="0" borderId="0" xfId="0" applyFont="1" applyAlignment="1">
      <alignment horizontal="left" vertical="center"/>
    </xf>
    <xf numFmtId="0" fontId="111" fillId="0" borderId="0" xfId="0" applyFont="1"/>
    <xf numFmtId="0" fontId="113" fillId="0" borderId="0" xfId="0" applyFont="1"/>
    <xf numFmtId="0" fontId="108" fillId="0" borderId="0" xfId="0" applyFont="1" applyAlignment="1">
      <alignment horizontal="center"/>
    </xf>
    <xf numFmtId="0" fontId="115" fillId="0" borderId="0" xfId="513" applyFont="1" applyAlignment="1">
      <alignment horizontal="left" vertical="center"/>
    </xf>
    <xf numFmtId="0" fontId="110" fillId="0" borderId="0" xfId="0" applyFont="1"/>
    <xf numFmtId="0" fontId="115" fillId="0" borderId="0" xfId="513" applyFont="1"/>
    <xf numFmtId="0" fontId="114" fillId="0" borderId="0" xfId="513" applyFont="1" applyAlignment="1">
      <alignment vertical="center"/>
    </xf>
    <xf numFmtId="0" fontId="114" fillId="0" borderId="0" xfId="513" applyFont="1"/>
    <xf numFmtId="0" fontId="110" fillId="0" borderId="0" xfId="0" applyFont="1" applyAlignment="1">
      <alignment vertical="center"/>
    </xf>
    <xf numFmtId="0" fontId="109" fillId="0" borderId="0" xfId="0" applyFont="1" applyAlignment="1">
      <alignment horizontal="left" vertical="center"/>
    </xf>
    <xf numFmtId="0" fontId="110" fillId="0" borderId="87" xfId="0" applyFont="1" applyBorder="1" applyAlignment="1">
      <alignment vertical="center"/>
    </xf>
    <xf numFmtId="0" fontId="109" fillId="0" borderId="0" xfId="0" applyFont="1" applyAlignment="1">
      <alignment vertical="center"/>
    </xf>
    <xf numFmtId="0" fontId="114" fillId="0" borderId="87" xfId="513" applyFont="1" applyBorder="1" applyAlignment="1">
      <alignment vertical="center"/>
    </xf>
    <xf numFmtId="0" fontId="115" fillId="0" borderId="0" xfId="513" applyFont="1" applyAlignment="1">
      <alignment vertical="center"/>
    </xf>
    <xf numFmtId="0" fontId="114" fillId="0" borderId="0" xfId="0" applyFont="1" applyAlignment="1">
      <alignment vertical="center"/>
    </xf>
    <xf numFmtId="0" fontId="114" fillId="0" borderId="87" xfId="0" applyFont="1" applyBorder="1" applyAlignment="1">
      <alignment vertical="center"/>
    </xf>
    <xf numFmtId="0" fontId="115" fillId="0" borderId="0" xfId="0" applyFont="1"/>
    <xf numFmtId="0" fontId="109" fillId="27" borderId="0" xfId="0" applyFont="1" applyFill="1" applyAlignment="1">
      <alignment horizontal="center" vertical="center" wrapText="1"/>
    </xf>
    <xf numFmtId="0" fontId="114" fillId="0" borderId="0" xfId="0" applyFont="1"/>
    <xf numFmtId="0" fontId="110" fillId="27" borderId="0" xfId="0" applyFont="1" applyFill="1" applyAlignment="1">
      <alignment horizontal="center" vertical="center" wrapText="1"/>
    </xf>
    <xf numFmtId="0" fontId="117" fillId="0" borderId="0" xfId="0" applyFont="1" applyAlignment="1">
      <alignment horizontal="center" vertical="center" wrapText="1"/>
    </xf>
    <xf numFmtId="0" fontId="109" fillId="0" borderId="0" xfId="0" applyFont="1" applyAlignment="1">
      <alignment horizontal="center" textRotation="90"/>
    </xf>
    <xf numFmtId="0" fontId="109" fillId="0" borderId="0" xfId="0" applyFont="1" applyAlignment="1">
      <alignment horizontal="center" textRotation="90" wrapText="1"/>
    </xf>
    <xf numFmtId="0" fontId="117" fillId="0" borderId="0" xfId="0" applyFont="1" applyAlignment="1">
      <alignment horizontal="center" textRotation="90"/>
    </xf>
    <xf numFmtId="0" fontId="117" fillId="0" borderId="0" xfId="0" applyFont="1" applyAlignment="1">
      <alignment horizontal="center" vertical="center"/>
    </xf>
    <xf numFmtId="0" fontId="109" fillId="0" borderId="57" xfId="0" quotePrefix="1" applyFont="1" applyBorder="1" applyAlignment="1">
      <alignment horizontal="center" vertical="center"/>
    </xf>
    <xf numFmtId="0" fontId="109" fillId="0" borderId="39" xfId="0" applyFont="1" applyBorder="1" applyAlignment="1">
      <alignment horizontal="center" vertical="center"/>
    </xf>
    <xf numFmtId="0" fontId="109" fillId="0" borderId="0" xfId="0" quotePrefix="1" applyFont="1"/>
    <xf numFmtId="0" fontId="109" fillId="0" borderId="71" xfId="0" applyFont="1" applyBorder="1" applyAlignment="1">
      <alignment horizontal="center" vertical="center"/>
    </xf>
    <xf numFmtId="0" fontId="109" fillId="0" borderId="43" xfId="0" applyFont="1" applyBorder="1" applyAlignment="1">
      <alignment horizontal="center" vertical="center"/>
    </xf>
    <xf numFmtId="0" fontId="117" fillId="0" borderId="0" xfId="0" applyFont="1" applyAlignment="1">
      <alignment horizontal="left" vertical="center"/>
    </xf>
    <xf numFmtId="0" fontId="109" fillId="0" borderId="0" xfId="0" applyFont="1" applyAlignment="1">
      <alignment horizontal="center" vertical="center"/>
    </xf>
    <xf numFmtId="0" fontId="109" fillId="87" borderId="36" xfId="0" applyFont="1" applyFill="1" applyBorder="1" applyAlignment="1">
      <alignment vertical="center"/>
    </xf>
    <xf numFmtId="0" fontId="109" fillId="87" borderId="36" xfId="0" applyFont="1" applyFill="1" applyBorder="1" applyAlignment="1">
      <alignment horizontal="center" vertical="center"/>
    </xf>
    <xf numFmtId="0" fontId="109" fillId="0" borderId="37" xfId="0" applyFont="1" applyBorder="1" applyAlignment="1">
      <alignment horizontal="center" vertical="center"/>
    </xf>
    <xf numFmtId="0" fontId="117" fillId="0" borderId="0" xfId="0" applyFont="1" applyAlignment="1">
      <alignment vertical="center"/>
    </xf>
    <xf numFmtId="0" fontId="109" fillId="0" borderId="36" xfId="0" applyFont="1" applyBorder="1" applyAlignment="1">
      <alignment horizontal="center" vertical="center"/>
    </xf>
    <xf numFmtId="0" fontId="109" fillId="0" borderId="20" xfId="0" applyFont="1" applyBorder="1" applyAlignment="1">
      <alignment horizontal="center" vertical="center"/>
    </xf>
    <xf numFmtId="0" fontId="109" fillId="0" borderId="0" xfId="0" applyFont="1" applyAlignment="1">
      <alignment horizontal="center"/>
    </xf>
    <xf numFmtId="0" fontId="118" fillId="0" borderId="0" xfId="0" applyFont="1" applyAlignment="1">
      <alignment horizontal="left" vertical="center" wrapText="1"/>
    </xf>
    <xf numFmtId="0" fontId="119" fillId="0" borderId="0" xfId="0" applyFont="1" applyAlignment="1">
      <alignment horizontal="left" vertical="center"/>
    </xf>
    <xf numFmtId="0" fontId="119" fillId="0" borderId="0" xfId="0" applyFont="1"/>
    <xf numFmtId="0" fontId="17" fillId="89" borderId="0" xfId="0" applyFont="1" applyFill="1"/>
    <xf numFmtId="0" fontId="21" fillId="88" borderId="0" xfId="0" applyFont="1" applyFill="1"/>
    <xf numFmtId="0" fontId="21" fillId="0" borderId="18" xfId="0" applyFont="1" applyBorder="1" applyAlignment="1">
      <alignment wrapText="1"/>
    </xf>
    <xf numFmtId="0" fontId="0" fillId="0" borderId="18" xfId="0" applyBorder="1"/>
    <xf numFmtId="0" fontId="99" fillId="0" borderId="18" xfId="0" applyFont="1" applyBorder="1"/>
    <xf numFmtId="0" fontId="93" fillId="0" borderId="18" xfId="0" applyFont="1" applyBorder="1"/>
    <xf numFmtId="0" fontId="50" fillId="0" borderId="18" xfId="0" applyFont="1" applyBorder="1"/>
    <xf numFmtId="0" fontId="92" fillId="0" borderId="18" xfId="0" applyFont="1" applyBorder="1"/>
    <xf numFmtId="0" fontId="3" fillId="0" borderId="0" xfId="0" applyFont="1" applyAlignment="1">
      <alignment vertical="top"/>
    </xf>
    <xf numFmtId="0" fontId="16" fillId="0" borderId="0" xfId="0" applyFont="1" applyAlignment="1">
      <alignment vertical="center"/>
    </xf>
    <xf numFmtId="1" fontId="21" fillId="0" borderId="0" xfId="0" quotePrefix="1" applyNumberFormat="1" applyFont="1" applyAlignment="1">
      <alignment vertical="center"/>
    </xf>
    <xf numFmtId="1" fontId="21" fillId="0" borderId="0" xfId="0" applyNumberFormat="1" applyFont="1" applyAlignment="1">
      <alignment vertical="center"/>
    </xf>
    <xf numFmtId="0" fontId="92" fillId="0" borderId="0" xfId="0" applyFont="1" applyAlignment="1">
      <alignment horizontal="left" vertical="center"/>
    </xf>
    <xf numFmtId="0" fontId="1" fillId="80" borderId="0" xfId="0" applyFont="1" applyFill="1"/>
    <xf numFmtId="0" fontId="58" fillId="0" borderId="0" xfId="0" applyFont="1" applyAlignment="1">
      <alignment horizontal="center" vertical="center" wrapText="1" readingOrder="1"/>
    </xf>
    <xf numFmtId="0" fontId="7" fillId="0" borderId="0" xfId="0" applyFont="1" applyAlignment="1">
      <alignment vertical="center" wrapText="1"/>
    </xf>
    <xf numFmtId="10" fontId="8" fillId="0" borderId="0" xfId="425" applyNumberFormat="1" applyFont="1" applyFill="1" applyBorder="1" applyAlignment="1" applyProtection="1">
      <alignment horizontal="center" vertical="center" wrapText="1"/>
    </xf>
    <xf numFmtId="0" fontId="7" fillId="0" borderId="0" xfId="0" applyFont="1" applyAlignment="1">
      <alignment horizontal="center" vertical="center" wrapText="1" readingOrder="1"/>
    </xf>
    <xf numFmtId="49" fontId="102" fillId="0" borderId="0" xfId="0" applyNumberFormat="1" applyFont="1" applyAlignment="1">
      <alignment horizontal="left" vertical="center" wrapText="1" readingOrder="1"/>
    </xf>
    <xf numFmtId="0" fontId="7" fillId="0" borderId="0" xfId="0" applyFont="1" applyAlignment="1">
      <alignment horizontal="left" vertical="center" wrapText="1" readingOrder="1"/>
    </xf>
    <xf numFmtId="0" fontId="58" fillId="0" borderId="0" xfId="0" applyFont="1" applyAlignment="1">
      <alignment horizontal="left" vertical="center" wrapText="1" readingOrder="1"/>
    </xf>
    <xf numFmtId="0" fontId="110" fillId="0" borderId="0" xfId="0" applyFont="1" applyAlignment="1">
      <alignment horizontal="center" vertical="center"/>
    </xf>
    <xf numFmtId="0" fontId="58" fillId="0" borderId="38" xfId="0" applyFont="1" applyBorder="1" applyAlignment="1">
      <alignment horizontal="center" vertical="center" wrapText="1" readingOrder="1"/>
    </xf>
    <xf numFmtId="0" fontId="58" fillId="0" borderId="28" xfId="0" applyFont="1" applyBorder="1" applyAlignment="1">
      <alignment horizontal="center" vertical="center" wrapText="1" readingOrder="1"/>
    </xf>
    <xf numFmtId="0" fontId="58" fillId="0" borderId="44" xfId="0" applyFont="1" applyBorder="1" applyAlignment="1">
      <alignment horizontal="center" vertical="center" wrapText="1" readingOrder="1"/>
    </xf>
    <xf numFmtId="0" fontId="30" fillId="0" borderId="0" xfId="0" applyFont="1" applyAlignment="1">
      <alignment horizontal="left"/>
    </xf>
    <xf numFmtId="0" fontId="3" fillId="0" borderId="0" xfId="513" applyAlignment="1">
      <alignment vertical="center"/>
    </xf>
    <xf numFmtId="0" fontId="15" fillId="0" borderId="0" xfId="0" applyFont="1" applyAlignment="1">
      <alignment vertical="center"/>
    </xf>
    <xf numFmtId="0" fontId="3" fillId="0" borderId="0" xfId="0" applyFont="1" applyAlignment="1">
      <alignment vertical="center"/>
    </xf>
    <xf numFmtId="0" fontId="21" fillId="0" borderId="18" xfId="0" applyFont="1" applyBorder="1" applyAlignment="1">
      <alignment horizontal="center" textRotation="90" wrapText="1"/>
    </xf>
    <xf numFmtId="0" fontId="21" fillId="0" borderId="49" xfId="0" applyFont="1" applyBorder="1" applyAlignment="1">
      <alignment vertical="center"/>
    </xf>
    <xf numFmtId="0" fontId="21" fillId="0" borderId="23" xfId="0" applyFont="1" applyBorder="1" applyAlignment="1">
      <alignment vertical="center"/>
    </xf>
    <xf numFmtId="0" fontId="91" fillId="0" borderId="0" xfId="0" applyFont="1" applyAlignment="1">
      <alignment wrapText="1"/>
    </xf>
    <xf numFmtId="0" fontId="7" fillId="0" borderId="20" xfId="0" applyFont="1" applyBorder="1" applyAlignment="1">
      <alignment vertical="center" wrapText="1"/>
    </xf>
    <xf numFmtId="0" fontId="19" fillId="0" borderId="0" xfId="0" applyFont="1" applyAlignment="1">
      <alignment horizontal="center" vertical="center"/>
    </xf>
    <xf numFmtId="0" fontId="3" fillId="0" borderId="0" xfId="0" applyFont="1" applyAlignment="1">
      <alignment horizontal="center" vertical="center"/>
    </xf>
    <xf numFmtId="0" fontId="22" fillId="0" borderId="0" xfId="0" applyFont="1"/>
    <xf numFmtId="0" fontId="125" fillId="0" borderId="0" xfId="0" applyFont="1"/>
    <xf numFmtId="0" fontId="4" fillId="0" borderId="0" xfId="0" applyFont="1"/>
    <xf numFmtId="0" fontId="8" fillId="0" borderId="38" xfId="0" applyFont="1" applyBorder="1" applyAlignment="1">
      <alignment horizontal="center" vertical="center" wrapText="1"/>
    </xf>
    <xf numFmtId="16" fontId="7" fillId="0" borderId="20" xfId="0" applyNumberFormat="1" applyFont="1" applyBorder="1" applyAlignment="1">
      <alignment vertical="center" wrapText="1"/>
    </xf>
    <xf numFmtId="1" fontId="19" fillId="0" borderId="0" xfId="0" applyNumberFormat="1" applyFont="1"/>
    <xf numFmtId="1" fontId="8" fillId="70" borderId="20" xfId="0" applyNumberFormat="1" applyFont="1" applyFill="1" applyBorder="1" applyAlignment="1">
      <alignment horizontal="center" vertical="center"/>
    </xf>
    <xf numFmtId="1" fontId="8" fillId="70" borderId="38" xfId="0" applyNumberFormat="1" applyFont="1" applyFill="1" applyBorder="1" applyAlignment="1">
      <alignment horizontal="center" vertical="center"/>
    </xf>
    <xf numFmtId="0" fontId="19" fillId="0" borderId="0" xfId="0" quotePrefix="1" applyFont="1"/>
    <xf numFmtId="0" fontId="19" fillId="0" borderId="0" xfId="0" applyFont="1" applyAlignment="1">
      <alignment wrapText="1"/>
    </xf>
    <xf numFmtId="0" fontId="55" fillId="0" borderId="0" xfId="0" applyFont="1" applyAlignment="1">
      <alignment horizontal="center" vertical="center" wrapText="1"/>
    </xf>
    <xf numFmtId="0" fontId="19" fillId="27" borderId="0" xfId="0" applyFont="1" applyFill="1"/>
    <xf numFmtId="0" fontId="116" fillId="0" borderId="59" xfId="0" applyFont="1" applyBorder="1" applyAlignment="1">
      <alignment wrapText="1"/>
    </xf>
    <xf numFmtId="0" fontId="116" fillId="0" borderId="59" xfId="0" applyFont="1" applyBorder="1"/>
    <xf numFmtId="10" fontId="8" fillId="27" borderId="44" xfId="425" applyNumberFormat="1" applyFont="1" applyFill="1" applyBorder="1" applyAlignment="1" applyProtection="1">
      <alignment horizontal="center" vertical="center" wrapText="1"/>
    </xf>
    <xf numFmtId="0" fontId="7" fillId="0" borderId="45" xfId="0" applyFont="1" applyBorder="1" applyAlignment="1">
      <alignment vertical="center" wrapText="1"/>
    </xf>
    <xf numFmtId="1" fontId="8" fillId="30" borderId="44" xfId="0" applyNumberFormat="1" applyFont="1" applyFill="1" applyBorder="1" applyAlignment="1">
      <alignment horizontal="center" vertical="center" wrapText="1"/>
    </xf>
    <xf numFmtId="10" fontId="8" fillId="27" borderId="38" xfId="425" applyNumberFormat="1" applyFont="1" applyFill="1" applyBorder="1" applyAlignment="1" applyProtection="1">
      <alignment horizontal="center" vertical="center" wrapText="1"/>
    </xf>
    <xf numFmtId="16" fontId="7" fillId="0" borderId="45" xfId="0" applyNumberFormat="1" applyFont="1" applyBorder="1" applyAlignment="1">
      <alignment vertical="center" wrapText="1"/>
    </xf>
    <xf numFmtId="10" fontId="8" fillId="0" borderId="44" xfId="425" applyNumberFormat="1" applyFont="1" applyFill="1" applyBorder="1" applyAlignment="1" applyProtection="1">
      <alignment horizontal="center" vertical="center" wrapText="1"/>
    </xf>
    <xf numFmtId="0" fontId="0" fillId="80" borderId="0" xfId="0" applyFill="1"/>
    <xf numFmtId="0" fontId="0" fillId="0" borderId="18" xfId="0" applyBorder="1" applyAlignment="1">
      <alignment horizontal="center" vertical="center"/>
    </xf>
    <xf numFmtId="0" fontId="0" fillId="0" borderId="18" xfId="0" applyBorder="1" applyAlignment="1">
      <alignment horizontal="center"/>
    </xf>
    <xf numFmtId="1" fontId="21" fillId="88" borderId="18" xfId="0" applyNumberFormat="1" applyFont="1" applyFill="1" applyBorder="1" applyAlignment="1">
      <alignment horizontal="center" vertical="center"/>
    </xf>
    <xf numFmtId="0" fontId="16" fillId="0" borderId="0" xfId="0" applyFont="1" applyAlignment="1">
      <alignment horizontal="left" vertical="center" wrapText="1"/>
    </xf>
    <xf numFmtId="1" fontId="95" fillId="68" borderId="18" xfId="0" applyNumberFormat="1" applyFont="1" applyFill="1" applyBorder="1" applyAlignment="1">
      <alignment horizontal="center" vertical="center"/>
    </xf>
    <xf numFmtId="0" fontId="52" fillId="0" borderId="0" xfId="0" applyFont="1"/>
    <xf numFmtId="0" fontId="99" fillId="0" borderId="0" xfId="0" applyFont="1"/>
    <xf numFmtId="165" fontId="7" fillId="90" borderId="26" xfId="889" applyNumberFormat="1" applyFont="1" applyFill="1" applyBorder="1" applyAlignment="1" applyProtection="1">
      <alignment horizontal="center" vertical="center"/>
    </xf>
    <xf numFmtId="9" fontId="7" fillId="90" borderId="20" xfId="889" applyFont="1" applyFill="1" applyBorder="1" applyAlignment="1" applyProtection="1">
      <alignment horizontal="center" vertical="center"/>
    </xf>
    <xf numFmtId="165" fontId="7" fillId="91" borderId="68" xfId="889" applyNumberFormat="1" applyFont="1" applyFill="1" applyBorder="1" applyAlignment="1" applyProtection="1">
      <alignment horizontal="center" vertical="center"/>
    </xf>
    <xf numFmtId="165" fontId="7" fillId="91" borderId="38" xfId="889" applyNumberFormat="1" applyFont="1" applyFill="1" applyBorder="1" applyAlignment="1" applyProtection="1">
      <alignment horizontal="center" vertical="center"/>
    </xf>
    <xf numFmtId="165" fontId="7" fillId="0" borderId="26" xfId="889" applyNumberFormat="1" applyFont="1" applyFill="1" applyBorder="1" applyAlignment="1" applyProtection="1">
      <alignment horizontal="center" vertical="center"/>
    </xf>
    <xf numFmtId="165" fontId="7" fillId="0" borderId="44" xfId="889" applyNumberFormat="1" applyFont="1" applyFill="1" applyBorder="1" applyAlignment="1" applyProtection="1">
      <alignment horizontal="center" vertical="top"/>
    </xf>
    <xf numFmtId="165" fontId="7" fillId="93" borderId="64" xfId="889" applyNumberFormat="1" applyFont="1" applyFill="1" applyBorder="1" applyAlignment="1" applyProtection="1">
      <alignment horizontal="center" vertical="center"/>
    </xf>
    <xf numFmtId="165" fontId="7" fillId="93" borderId="44" xfId="889" applyNumberFormat="1" applyFont="1" applyFill="1" applyBorder="1" applyAlignment="1" applyProtection="1">
      <alignment horizontal="center" vertical="center"/>
    </xf>
    <xf numFmtId="165" fontId="7" fillId="93" borderId="26" xfId="889" applyNumberFormat="1" applyFont="1" applyFill="1" applyBorder="1" applyAlignment="1" applyProtection="1">
      <alignment horizontal="center" vertical="center"/>
    </xf>
    <xf numFmtId="165" fontId="7" fillId="93" borderId="20" xfId="889" applyNumberFormat="1" applyFont="1" applyFill="1" applyBorder="1" applyAlignment="1" applyProtection="1">
      <alignment horizontal="center" vertical="center"/>
    </xf>
    <xf numFmtId="0" fontId="109" fillId="87" borderId="18" xfId="0" applyFont="1" applyFill="1" applyBorder="1" applyAlignment="1">
      <alignment vertical="center"/>
    </xf>
    <xf numFmtId="0" fontId="109" fillId="87" borderId="56" xfId="0" applyFont="1" applyFill="1" applyBorder="1" applyAlignment="1">
      <alignment vertical="center"/>
    </xf>
    <xf numFmtId="0" fontId="21" fillId="71" borderId="66" xfId="0" applyFont="1" applyFill="1" applyBorder="1" applyAlignment="1" applyProtection="1">
      <alignment horizontal="center" vertical="center"/>
      <protection locked="0"/>
    </xf>
    <xf numFmtId="0" fontId="21" fillId="71" borderId="18" xfId="0" applyFont="1" applyFill="1" applyBorder="1" applyAlignment="1" applyProtection="1">
      <alignment horizontal="center" vertical="center"/>
      <protection locked="0"/>
    </xf>
    <xf numFmtId="0" fontId="21" fillId="71" borderId="25" xfId="0" applyFont="1" applyFill="1" applyBorder="1" applyAlignment="1" applyProtection="1">
      <alignment horizontal="center" vertical="center"/>
      <protection locked="0"/>
    </xf>
    <xf numFmtId="0" fontId="21" fillId="71" borderId="29" xfId="0" applyFont="1" applyFill="1" applyBorder="1" applyAlignment="1" applyProtection="1">
      <alignment horizontal="center" vertical="center"/>
      <protection locked="0"/>
    </xf>
    <xf numFmtId="0" fontId="109" fillId="71" borderId="36" xfId="0" applyFont="1" applyFill="1" applyBorder="1" applyAlignment="1" applyProtection="1">
      <alignment horizontal="center" vertical="center"/>
      <protection locked="0"/>
    </xf>
    <xf numFmtId="0" fontId="21" fillId="71" borderId="55" xfId="0" applyFont="1" applyFill="1" applyBorder="1" applyAlignment="1" applyProtection="1">
      <alignment horizontal="center" vertical="center"/>
      <protection locked="0"/>
    </xf>
    <xf numFmtId="0" fontId="21" fillId="71" borderId="56" xfId="0" applyFont="1" applyFill="1" applyBorder="1" applyAlignment="1" applyProtection="1">
      <alignment horizontal="center" vertical="center"/>
      <protection locked="0"/>
    </xf>
    <xf numFmtId="1" fontId="8" fillId="64" borderId="20" xfId="0" applyNumberFormat="1" applyFont="1" applyFill="1" applyBorder="1" applyAlignment="1" applyProtection="1">
      <alignment horizontal="center" vertical="center"/>
      <protection locked="0"/>
    </xf>
    <xf numFmtId="1" fontId="8" fillId="64" borderId="0" xfId="0" applyNumberFormat="1" applyFont="1" applyFill="1" applyAlignment="1" applyProtection="1">
      <alignment horizontal="center" vertical="center"/>
      <protection locked="0"/>
    </xf>
    <xf numFmtId="1" fontId="8" fillId="71" borderId="20" xfId="0" applyNumberFormat="1" applyFont="1" applyFill="1" applyBorder="1" applyAlignment="1" applyProtection="1">
      <alignment horizontal="center" vertical="center"/>
      <protection locked="0"/>
    </xf>
    <xf numFmtId="1" fontId="8" fillId="33" borderId="20" xfId="0" applyNumberFormat="1" applyFont="1" applyFill="1" applyBorder="1" applyAlignment="1" applyProtection="1">
      <alignment horizontal="center" vertical="center" wrapText="1"/>
      <protection locked="0"/>
    </xf>
    <xf numFmtId="10" fontId="21" fillId="69" borderId="18" xfId="425" applyNumberFormat="1" applyFont="1" applyFill="1" applyBorder="1" applyAlignment="1" applyProtection="1">
      <alignment horizontal="center" vertical="center"/>
    </xf>
    <xf numFmtId="10" fontId="21" fillId="88" borderId="18" xfId="425" applyNumberFormat="1" applyFont="1" applyFill="1" applyBorder="1" applyAlignment="1" applyProtection="1">
      <alignment horizontal="center" vertical="center"/>
    </xf>
    <xf numFmtId="10" fontId="8" fillId="0" borderId="20" xfId="889" applyNumberFormat="1" applyFont="1" applyFill="1" applyBorder="1" applyAlignment="1" applyProtection="1">
      <alignment horizontal="center" vertical="center" wrapText="1"/>
    </xf>
    <xf numFmtId="0" fontId="90" fillId="0" borderId="18" xfId="0" applyFont="1" applyBorder="1"/>
    <xf numFmtId="0" fontId="90" fillId="0" borderId="18" xfId="0" applyFont="1" applyBorder="1" applyAlignment="1">
      <alignment horizontal="center" vertical="center"/>
    </xf>
    <xf numFmtId="14" fontId="90" fillId="0" borderId="18" xfId="0" applyNumberFormat="1" applyFont="1" applyBorder="1" applyAlignment="1">
      <alignment horizontal="center"/>
    </xf>
    <xf numFmtId="0" fontId="1" fillId="0" borderId="0" xfId="0" applyFont="1"/>
    <xf numFmtId="0" fontId="128" fillId="0" borderId="0" xfId="0" applyFont="1"/>
    <xf numFmtId="0" fontId="98" fillId="0" borderId="0" xfId="0" applyFont="1"/>
    <xf numFmtId="0" fontId="98" fillId="0" borderId="20" xfId="0" applyFont="1" applyBorder="1" applyAlignment="1">
      <alignment horizontal="center" vertical="center"/>
    </xf>
    <xf numFmtId="0" fontId="97" fillId="0" borderId="56" xfId="0" applyFont="1" applyBorder="1" applyAlignment="1">
      <alignment horizontal="center" vertical="center" wrapText="1"/>
    </xf>
    <xf numFmtId="0" fontId="97" fillId="0" borderId="43" xfId="0" applyFont="1" applyBorder="1" applyAlignment="1">
      <alignment horizontal="center" vertical="center" wrapText="1"/>
    </xf>
    <xf numFmtId="49" fontId="16" fillId="82" borderId="114" xfId="513" applyNumberFormat="1" applyFont="1" applyFill="1" applyBorder="1" applyAlignment="1" applyProtection="1">
      <alignment vertical="center" wrapText="1"/>
      <protection locked="0"/>
    </xf>
    <xf numFmtId="49" fontId="16" fillId="82" borderId="18" xfId="513" applyNumberFormat="1" applyFont="1" applyFill="1" applyBorder="1" applyAlignment="1" applyProtection="1">
      <alignment vertical="center" wrapText="1"/>
      <protection locked="0"/>
    </xf>
    <xf numFmtId="1" fontId="16" fillId="82" borderId="18" xfId="513" applyNumberFormat="1" applyFont="1" applyFill="1" applyBorder="1" applyAlignment="1" applyProtection="1">
      <alignment horizontal="center" vertical="center"/>
      <protection locked="0"/>
    </xf>
    <xf numFmtId="1" fontId="16" fillId="82" borderId="39" xfId="513" applyNumberFormat="1" applyFont="1" applyFill="1" applyBorder="1" applyAlignment="1" applyProtection="1">
      <alignment horizontal="center" vertical="center"/>
      <protection locked="0"/>
    </xf>
    <xf numFmtId="0" fontId="1" fillId="0" borderId="0" xfId="0" applyFont="1" applyAlignment="1">
      <alignment horizontal="center" vertical="center"/>
    </xf>
    <xf numFmtId="49" fontId="16" fillId="82" borderId="31" xfId="513" applyNumberFormat="1" applyFont="1" applyFill="1" applyBorder="1" applyAlignment="1" applyProtection="1">
      <alignment vertical="center" wrapText="1"/>
      <protection locked="0"/>
    </xf>
    <xf numFmtId="49" fontId="16" fillId="82" borderId="56" xfId="513" applyNumberFormat="1" applyFont="1" applyFill="1" applyBorder="1" applyAlignment="1" applyProtection="1">
      <alignment vertical="center" wrapText="1"/>
      <protection locked="0"/>
    </xf>
    <xf numFmtId="1" fontId="16" fillId="82" borderId="56" xfId="513" applyNumberFormat="1" applyFont="1" applyFill="1" applyBorder="1" applyAlignment="1" applyProtection="1">
      <alignment horizontal="center" vertical="center"/>
      <protection locked="0"/>
    </xf>
    <xf numFmtId="1" fontId="16" fillId="82" borderId="43" xfId="513" applyNumberFormat="1" applyFont="1" applyFill="1" applyBorder="1" applyAlignment="1" applyProtection="1">
      <alignment horizontal="center" vertical="center"/>
      <protection locked="0"/>
    </xf>
    <xf numFmtId="0" fontId="97" fillId="0" borderId="18" xfId="0" applyFont="1" applyBorder="1" applyAlignment="1">
      <alignment horizontal="center" vertical="center"/>
    </xf>
    <xf numFmtId="0" fontId="97" fillId="0" borderId="18" xfId="0" applyFont="1" applyBorder="1" applyAlignment="1">
      <alignment horizontal="center" vertical="center" wrapText="1"/>
    </xf>
    <xf numFmtId="0" fontId="1" fillId="0" borderId="18" xfId="0" applyFont="1" applyBorder="1" applyAlignment="1">
      <alignment wrapText="1"/>
    </xf>
    <xf numFmtId="0" fontId="0" fillId="0" borderId="93" xfId="0" applyBorder="1"/>
    <xf numFmtId="0" fontId="97" fillId="0" borderId="29" xfId="0" applyFont="1" applyBorder="1" applyAlignment="1">
      <alignment horizontal="left" vertical="center"/>
    </xf>
    <xf numFmtId="0" fontId="1" fillId="95" borderId="18" xfId="0" applyFont="1" applyFill="1" applyBorder="1"/>
    <xf numFmtId="0" fontId="101" fillId="0" borderId="0" xfId="0" applyFont="1"/>
    <xf numFmtId="0" fontId="125" fillId="0" borderId="0" xfId="0" applyFont="1" applyAlignment="1">
      <alignment horizontal="left"/>
    </xf>
    <xf numFmtId="0" fontId="16" fillId="0" borderId="71" xfId="0" applyFont="1" applyBorder="1" applyAlignment="1">
      <alignment horizontal="center" vertical="center" wrapText="1"/>
    </xf>
    <xf numFmtId="0" fontId="16" fillId="0" borderId="116" xfId="0" applyFont="1" applyBorder="1" applyAlignment="1">
      <alignment horizontal="center" vertical="center" wrapText="1"/>
    </xf>
    <xf numFmtId="49" fontId="16" fillId="82" borderId="117" xfId="513" applyNumberFormat="1" applyFont="1" applyFill="1" applyBorder="1" applyAlignment="1" applyProtection="1">
      <alignment vertical="center" wrapText="1"/>
      <protection locked="0"/>
    </xf>
    <xf numFmtId="49" fontId="16" fillId="82" borderId="29" xfId="513" applyNumberFormat="1" applyFont="1" applyFill="1" applyBorder="1" applyAlignment="1" applyProtection="1">
      <alignment vertical="center" wrapText="1"/>
      <protection locked="0"/>
    </xf>
    <xf numFmtId="49" fontId="16" fillId="82" borderId="29" xfId="513" applyNumberFormat="1" applyFont="1" applyFill="1" applyBorder="1" applyAlignment="1" applyProtection="1">
      <alignment horizontal="center" vertical="center" wrapText="1"/>
      <protection locked="0"/>
    </xf>
    <xf numFmtId="1" fontId="16" fillId="82" borderId="29" xfId="513" applyNumberFormat="1" applyFont="1" applyFill="1" applyBorder="1" applyAlignment="1" applyProtection="1">
      <alignment horizontal="center" vertical="center" wrapText="1"/>
      <protection locked="0"/>
    </xf>
    <xf numFmtId="49" fontId="16" fillId="82" borderId="112" xfId="513" applyNumberFormat="1" applyFont="1" applyFill="1" applyBorder="1" applyAlignment="1" applyProtection="1">
      <alignment vertical="center" wrapText="1"/>
      <protection locked="0"/>
    </xf>
    <xf numFmtId="0" fontId="7" fillId="0" borderId="0" xfId="0" applyFont="1" applyAlignment="1">
      <alignment vertical="center"/>
    </xf>
    <xf numFmtId="49" fontId="16" fillId="82" borderId="90" xfId="513" applyNumberFormat="1" applyFont="1" applyFill="1" applyBorder="1" applyAlignment="1" applyProtection="1">
      <alignment vertical="center" wrapText="1"/>
      <protection locked="0"/>
    </xf>
    <xf numFmtId="49" fontId="16" fillId="82" borderId="56" xfId="513" applyNumberFormat="1" applyFont="1" applyFill="1" applyBorder="1" applyAlignment="1" applyProtection="1">
      <alignment horizontal="center" vertical="center" wrapText="1"/>
      <protection locked="0"/>
    </xf>
    <xf numFmtId="1" fontId="16" fillId="82" borderId="56" xfId="513" applyNumberFormat="1" applyFont="1" applyFill="1" applyBorder="1" applyAlignment="1" applyProtection="1">
      <alignment horizontal="center" vertical="center" wrapText="1"/>
      <protection locked="0"/>
    </xf>
    <xf numFmtId="0" fontId="4" fillId="0" borderId="0" xfId="0" applyFont="1" applyAlignment="1">
      <alignment horizontal="center" vertical="center"/>
    </xf>
    <xf numFmtId="0" fontId="97" fillId="96" borderId="18" xfId="0" applyFont="1" applyFill="1" applyBorder="1" applyAlignment="1">
      <alignment horizontal="left" vertical="center" wrapText="1"/>
    </xf>
    <xf numFmtId="0" fontId="10" fillId="80" borderId="0" xfId="548" applyFont="1" applyFill="1"/>
    <xf numFmtId="0" fontId="21" fillId="71" borderId="40" xfId="0" applyFont="1" applyFill="1" applyBorder="1" applyAlignment="1" applyProtection="1">
      <alignment horizontal="center" vertical="center"/>
      <protection locked="0"/>
    </xf>
    <xf numFmtId="1" fontId="16" fillId="82" borderId="92" xfId="513" applyNumberFormat="1" applyFont="1" applyFill="1" applyBorder="1" applyAlignment="1" applyProtection="1">
      <alignment horizontal="center" vertical="center" wrapText="1"/>
      <protection locked="0"/>
    </xf>
    <xf numFmtId="1" fontId="16" fillId="0" borderId="29" xfId="513" applyNumberFormat="1" applyFont="1" applyBorder="1" applyAlignment="1">
      <alignment horizontal="center" vertical="center" wrapText="1"/>
    </xf>
    <xf numFmtId="0" fontId="3" fillId="97" borderId="0" xfId="0" applyFont="1" applyFill="1" applyAlignment="1">
      <alignment horizontal="center" vertical="center"/>
    </xf>
    <xf numFmtId="0" fontId="101" fillId="0" borderId="0" xfId="0" applyFont="1" applyAlignment="1">
      <alignment horizontal="center" vertical="center"/>
    </xf>
    <xf numFmtId="1" fontId="16" fillId="82" borderId="18" xfId="513" applyNumberFormat="1" applyFont="1" applyFill="1" applyBorder="1" applyAlignment="1" applyProtection="1">
      <alignment horizontal="center" vertical="center" wrapText="1"/>
      <protection locked="0"/>
    </xf>
    <xf numFmtId="1" fontId="16" fillId="82" borderId="25" xfId="513" applyNumberFormat="1" applyFont="1" applyFill="1" applyBorder="1" applyAlignment="1" applyProtection="1">
      <alignment horizontal="center" vertical="center" wrapText="1"/>
      <protection locked="0"/>
    </xf>
    <xf numFmtId="1" fontId="16" fillId="82" borderId="21" xfId="513" applyNumberFormat="1" applyFont="1" applyFill="1" applyBorder="1" applyAlignment="1" applyProtection="1">
      <alignment horizontal="center" vertical="center" wrapText="1"/>
      <protection locked="0"/>
    </xf>
    <xf numFmtId="1" fontId="16" fillId="82" borderId="50" xfId="513" applyNumberFormat="1" applyFont="1" applyFill="1" applyBorder="1" applyAlignment="1" applyProtection="1">
      <alignment horizontal="center" vertical="center" wrapText="1"/>
      <protection locked="0"/>
    </xf>
    <xf numFmtId="1" fontId="16" fillId="0" borderId="56" xfId="513" applyNumberFormat="1" applyFont="1" applyBorder="1" applyAlignment="1">
      <alignment horizontal="center" vertical="center" wrapText="1"/>
    </xf>
    <xf numFmtId="1" fontId="3" fillId="0" borderId="44" xfId="0" applyNumberFormat="1" applyFont="1" applyBorder="1" applyAlignment="1">
      <alignment horizontal="center" vertical="center"/>
    </xf>
    <xf numFmtId="1" fontId="3" fillId="0" borderId="0" xfId="0" applyNumberFormat="1" applyFont="1" applyAlignment="1">
      <alignment horizontal="center" vertical="center"/>
    </xf>
    <xf numFmtId="0" fontId="95" fillId="80" borderId="18" xfId="0" applyFont="1" applyFill="1" applyBorder="1" applyAlignment="1">
      <alignment horizontal="left" vertical="center"/>
    </xf>
    <xf numFmtId="0" fontId="15" fillId="0" borderId="0" xfId="0" applyFont="1" applyAlignment="1">
      <alignment wrapText="1"/>
    </xf>
    <xf numFmtId="0" fontId="7" fillId="0" borderId="0" xfId="0" applyFont="1" applyAlignment="1">
      <alignment horizontal="left" vertical="center" wrapText="1"/>
    </xf>
    <xf numFmtId="0" fontId="121" fillId="0" borderId="0" xfId="0" applyFont="1" applyAlignment="1">
      <alignment horizontal="center" vertical="center"/>
    </xf>
    <xf numFmtId="0" fontId="16" fillId="94" borderId="18" xfId="513" applyFont="1" applyFill="1" applyBorder="1" applyAlignment="1">
      <alignment vertical="center"/>
    </xf>
    <xf numFmtId="0" fontId="21" fillId="94" borderId="18" xfId="0" applyFont="1" applyFill="1" applyBorder="1" applyAlignment="1">
      <alignment vertical="center"/>
    </xf>
    <xf numFmtId="0" fontId="16" fillId="83" borderId="23" xfId="513" applyFont="1" applyFill="1" applyBorder="1" applyAlignment="1" applyProtection="1">
      <alignment horizontal="left" vertical="center"/>
      <protection locked="0"/>
    </xf>
    <xf numFmtId="0" fontId="115" fillId="83" borderId="24" xfId="513" applyFont="1" applyFill="1" applyBorder="1" applyAlignment="1" applyProtection="1">
      <alignment horizontal="left" vertical="center"/>
      <protection locked="0"/>
    </xf>
    <xf numFmtId="0" fontId="115" fillId="83" borderId="25" xfId="513" applyFont="1" applyFill="1" applyBorder="1" applyAlignment="1" applyProtection="1">
      <alignment horizontal="left" vertical="center"/>
      <protection locked="0"/>
    </xf>
    <xf numFmtId="14" fontId="16" fillId="71" borderId="23" xfId="513" applyNumberFormat="1" applyFont="1" applyFill="1" applyBorder="1" applyAlignment="1" applyProtection="1">
      <alignment horizontal="center" vertical="center"/>
      <protection locked="0"/>
    </xf>
    <xf numFmtId="14" fontId="115" fillId="71" borderId="24" xfId="513" applyNumberFormat="1" applyFont="1" applyFill="1" applyBorder="1" applyAlignment="1" applyProtection="1">
      <alignment horizontal="center" vertical="center"/>
      <protection locked="0"/>
    </xf>
    <xf numFmtId="0" fontId="115" fillId="71" borderId="25" xfId="513" applyFont="1" applyFill="1" applyBorder="1" applyAlignment="1" applyProtection="1">
      <alignment horizontal="center" vertical="center"/>
      <protection locked="0"/>
    </xf>
    <xf numFmtId="0" fontId="21" fillId="71" borderId="23" xfId="0" applyFont="1" applyFill="1" applyBorder="1" applyAlignment="1" applyProtection="1">
      <alignment horizontal="left" vertical="center"/>
      <protection locked="0"/>
    </xf>
    <xf numFmtId="0" fontId="109" fillId="71" borderId="24" xfId="0" applyFont="1" applyFill="1" applyBorder="1" applyAlignment="1" applyProtection="1">
      <alignment horizontal="left" vertical="center"/>
      <protection locked="0"/>
    </xf>
    <xf numFmtId="0" fontId="109" fillId="71" borderId="25" xfId="0" applyFont="1" applyFill="1" applyBorder="1" applyAlignment="1" applyProtection="1">
      <alignment horizontal="left" vertical="center"/>
      <protection locked="0"/>
    </xf>
    <xf numFmtId="0" fontId="7" fillId="0" borderId="0" xfId="0" applyFont="1" applyAlignment="1">
      <alignment horizontal="left" vertical="top" wrapText="1"/>
    </xf>
    <xf numFmtId="0" fontId="101" fillId="0" borderId="0" xfId="0" applyFont="1" applyAlignment="1">
      <alignment horizontal="left" vertical="top" wrapText="1"/>
    </xf>
    <xf numFmtId="0" fontId="52" fillId="0" borderId="0" xfId="0" applyFont="1" applyAlignment="1">
      <alignment horizontal="left" vertical="center" wrapText="1"/>
    </xf>
    <xf numFmtId="0" fontId="13" fillId="0" borderId="0" xfId="0" applyFont="1" applyAlignment="1">
      <alignment horizontal="left" vertical="center" wrapText="1"/>
    </xf>
    <xf numFmtId="0" fontId="90" fillId="0" borderId="0" xfId="0" applyFont="1" applyAlignment="1">
      <alignment horizontal="justify" vertical="top" wrapText="1"/>
    </xf>
    <xf numFmtId="0" fontId="0" fillId="0" borderId="0" xfId="0" applyAlignment="1">
      <alignment horizontal="justify" vertical="top" wrapText="1"/>
    </xf>
    <xf numFmtId="0" fontId="112" fillId="0" borderId="0" xfId="0" applyFont="1" applyAlignment="1">
      <alignment horizontal="left" vertical="top" wrapText="1"/>
    </xf>
    <xf numFmtId="0" fontId="27" fillId="0" borderId="55" xfId="0" applyFont="1" applyBorder="1" applyAlignment="1">
      <alignment horizontal="center" vertical="center" wrapText="1"/>
    </xf>
    <xf numFmtId="0" fontId="27" fillId="0" borderId="90" xfId="0" applyFont="1" applyBorder="1" applyAlignment="1">
      <alignment horizontal="left" vertical="center"/>
    </xf>
    <xf numFmtId="0" fontId="27" fillId="0" borderId="32" xfId="0" applyFont="1" applyBorder="1" applyAlignment="1">
      <alignment horizontal="left" vertical="center"/>
    </xf>
    <xf numFmtId="0" fontId="27" fillId="0" borderId="22" xfId="0" applyFont="1" applyBorder="1" applyAlignment="1">
      <alignment horizontal="center" textRotation="90" wrapText="1"/>
    </xf>
    <xf numFmtId="0" fontId="27" fillId="0" borderId="29" xfId="0" applyFont="1" applyBorder="1" applyAlignment="1">
      <alignment horizontal="center" textRotation="90"/>
    </xf>
    <xf numFmtId="0" fontId="27" fillId="0" borderId="18" xfId="0" applyFont="1" applyBorder="1" applyAlignment="1">
      <alignment horizontal="center" textRotation="90"/>
    </xf>
    <xf numFmtId="0" fontId="21" fillId="0" borderId="45" xfId="0" applyFont="1" applyBorder="1" applyAlignment="1">
      <alignment horizontal="left" vertical="center" wrapText="1"/>
    </xf>
    <xf numFmtId="0" fontId="21" fillId="0" borderId="109" xfId="0" applyFont="1" applyBorder="1" applyAlignment="1">
      <alignment horizontal="left" vertical="center" wrapText="1"/>
    </xf>
    <xf numFmtId="0" fontId="21" fillId="0" borderId="89" xfId="0" applyFont="1" applyBorder="1" applyAlignment="1">
      <alignment horizontal="left" vertical="center"/>
    </xf>
    <xf numFmtId="0" fontId="21" fillId="0" borderId="24" xfId="0" applyFont="1" applyBorder="1" applyAlignment="1">
      <alignment horizontal="left" vertical="center"/>
    </xf>
    <xf numFmtId="0" fontId="21" fillId="0" borderId="62" xfId="0" applyFont="1" applyBorder="1" applyAlignment="1">
      <alignment horizontal="left" vertical="center" wrapText="1"/>
    </xf>
    <xf numFmtId="0" fontId="21" fillId="0" borderId="30" xfId="0" applyFont="1" applyBorder="1" applyAlignment="1">
      <alignment horizontal="left" vertical="center" wrapText="1"/>
    </xf>
    <xf numFmtId="0" fontId="14" fillId="0" borderId="45" xfId="0" applyFont="1" applyBorder="1" applyAlignment="1">
      <alignment horizontal="left" vertical="center"/>
    </xf>
    <xf numFmtId="0" fontId="14" fillId="0" borderId="27" xfId="0" applyFont="1" applyBorder="1" applyAlignment="1">
      <alignment horizontal="left" vertical="center"/>
    </xf>
    <xf numFmtId="0" fontId="14" fillId="0" borderId="26" xfId="0" applyFont="1" applyBorder="1" applyAlignment="1">
      <alignment horizontal="left" vertical="center"/>
    </xf>
    <xf numFmtId="0" fontId="97" fillId="0" borderId="88" xfId="0" applyFont="1" applyBorder="1" applyAlignment="1">
      <alignment horizontal="left" vertical="center" wrapText="1"/>
    </xf>
    <xf numFmtId="0" fontId="97" fillId="0" borderId="48" xfId="0" applyFont="1" applyBorder="1" applyAlignment="1">
      <alignment horizontal="left" vertical="center" wrapText="1"/>
    </xf>
    <xf numFmtId="0" fontId="97" fillId="0" borderId="89" xfId="0" applyFont="1" applyBorder="1" applyAlignment="1">
      <alignment horizontal="left" vertical="center" wrapText="1"/>
    </xf>
    <xf numFmtId="0" fontId="97" fillId="0" borderId="25" xfId="0" applyFont="1" applyBorder="1" applyAlignment="1">
      <alignment horizontal="left" vertical="center" wrapText="1"/>
    </xf>
    <xf numFmtId="0" fontId="94" fillId="0" borderId="90" xfId="0" applyFont="1" applyBorder="1" applyAlignment="1">
      <alignment horizontal="left" vertical="center" wrapText="1"/>
    </xf>
    <xf numFmtId="0" fontId="97" fillId="0" borderId="32" xfId="0" applyFont="1" applyBorder="1" applyAlignment="1">
      <alignment horizontal="left" vertical="center" wrapText="1"/>
    </xf>
    <xf numFmtId="0" fontId="7" fillId="0" borderId="0" xfId="0" applyFont="1" applyAlignment="1">
      <alignment horizontal="justify" vertical="top" wrapText="1"/>
    </xf>
    <xf numFmtId="0" fontId="19" fillId="0" borderId="0" xfId="0" applyFont="1" applyAlignment="1">
      <alignment horizontal="justify" vertical="top" wrapText="1"/>
    </xf>
    <xf numFmtId="0" fontId="27" fillId="0" borderId="62" xfId="0" applyFont="1" applyBorder="1" applyAlignment="1">
      <alignment horizontal="center" vertical="center" wrapText="1"/>
    </xf>
    <xf numFmtId="0" fontId="27" fillId="0" borderId="30" xfId="0" applyFont="1" applyBorder="1" applyAlignment="1">
      <alignment horizontal="center" vertical="center" wrapText="1"/>
    </xf>
    <xf numFmtId="0" fontId="27" fillId="0" borderId="18" xfId="0" applyFont="1" applyBorder="1" applyAlignment="1">
      <alignment horizontal="center" vertical="center" wrapText="1"/>
    </xf>
    <xf numFmtId="0" fontId="14" fillId="0" borderId="46" xfId="0" applyFont="1" applyBorder="1" applyAlignment="1">
      <alignment horizontal="left" vertical="center" wrapText="1"/>
    </xf>
    <xf numFmtId="0" fontId="14" fillId="0" borderId="68" xfId="0" applyFont="1" applyBorder="1" applyAlignment="1">
      <alignment horizontal="left" vertical="center" wrapText="1"/>
    </xf>
    <xf numFmtId="0" fontId="14" fillId="0" borderId="61" xfId="0" applyFont="1" applyBorder="1" applyAlignment="1">
      <alignment horizontal="left" vertical="center" wrapText="1"/>
    </xf>
    <xf numFmtId="0" fontId="14" fillId="0" borderId="94" xfId="0" applyFont="1" applyBorder="1" applyAlignment="1">
      <alignment horizontal="left" vertical="center" wrapText="1"/>
    </xf>
    <xf numFmtId="0" fontId="14" fillId="0" borderId="47" xfId="0" applyFont="1" applyBorder="1" applyAlignment="1">
      <alignment horizontal="left" vertical="center" wrapText="1"/>
    </xf>
    <xf numFmtId="0" fontId="14" fillId="0" borderId="64" xfId="0" applyFont="1" applyBorder="1" applyAlignment="1">
      <alignment horizontal="left" vertical="center" wrapText="1"/>
    </xf>
    <xf numFmtId="0" fontId="10" fillId="0" borderId="110" xfId="367" applyFont="1" applyFill="1" applyBorder="1" applyAlignment="1" applyProtection="1">
      <alignment horizontal="center" vertical="center" wrapText="1"/>
    </xf>
    <xf numFmtId="0" fontId="10" fillId="0" borderId="111" xfId="367" applyFont="1" applyFill="1" applyBorder="1" applyAlignment="1" applyProtection="1">
      <alignment horizontal="center" vertical="center" wrapText="1"/>
    </xf>
    <xf numFmtId="0" fontId="10" fillId="0" borderId="112" xfId="367" applyFont="1" applyFill="1" applyBorder="1" applyAlignment="1" applyProtection="1">
      <alignment horizontal="center" vertical="center" wrapText="1"/>
    </xf>
    <xf numFmtId="0" fontId="21" fillId="0" borderId="35" xfId="0" applyFont="1" applyBorder="1" applyAlignment="1">
      <alignment horizontal="left" vertical="center"/>
    </xf>
    <xf numFmtId="0" fontId="21" fillId="0" borderId="36" xfId="0" applyFont="1" applyBorder="1" applyAlignment="1">
      <alignment horizontal="left" vertical="center"/>
    </xf>
    <xf numFmtId="0" fontId="7" fillId="0" borderId="59" xfId="0" applyFont="1" applyBorder="1" applyAlignment="1">
      <alignment horizontal="center" vertical="center"/>
    </xf>
    <xf numFmtId="0" fontId="97" fillId="0" borderId="26" xfId="0" applyFont="1" applyBorder="1" applyAlignment="1">
      <alignment horizontal="left" vertical="center"/>
    </xf>
    <xf numFmtId="0" fontId="97" fillId="0" borderId="20" xfId="0" applyFont="1" applyBorder="1" applyAlignment="1">
      <alignment horizontal="left" vertical="center"/>
    </xf>
    <xf numFmtId="0" fontId="14" fillId="0" borderId="20" xfId="0" applyFont="1" applyBorder="1" applyAlignment="1">
      <alignment horizontal="left" vertical="center"/>
    </xf>
    <xf numFmtId="0" fontId="14" fillId="0" borderId="38" xfId="0" applyFont="1" applyBorder="1" applyAlignment="1">
      <alignment horizontal="left" vertical="center"/>
    </xf>
    <xf numFmtId="0" fontId="7" fillId="0" borderId="0" xfId="0" applyFont="1" applyAlignment="1">
      <alignment horizontal="justify" vertical="justify" wrapText="1"/>
    </xf>
    <xf numFmtId="0" fontId="101" fillId="0" borderId="0" xfId="0" applyFont="1" applyAlignment="1">
      <alignment horizontal="justify" vertical="justify" wrapText="1"/>
    </xf>
    <xf numFmtId="0" fontId="112" fillId="0" borderId="0" xfId="0" applyFont="1" applyAlignment="1">
      <alignment horizontal="left" vertical="center" wrapText="1"/>
    </xf>
    <xf numFmtId="0" fontId="14" fillId="0" borderId="35" xfId="0" applyFont="1" applyBorder="1" applyAlignment="1">
      <alignment horizontal="left" vertical="center" wrapText="1"/>
    </xf>
    <xf numFmtId="0" fontId="14" fillId="0" borderId="36" xfId="0" applyFont="1" applyBorder="1" applyAlignment="1">
      <alignment horizontal="left" vertical="center" wrapText="1"/>
    </xf>
    <xf numFmtId="2" fontId="21" fillId="71" borderId="23" xfId="0" applyNumberFormat="1" applyFont="1" applyFill="1" applyBorder="1" applyAlignment="1" applyProtection="1">
      <alignment horizontal="left" vertical="center"/>
      <protection locked="0"/>
    </xf>
    <xf numFmtId="2" fontId="109" fillId="71" borderId="24" xfId="0" applyNumberFormat="1" applyFont="1" applyFill="1" applyBorder="1" applyAlignment="1" applyProtection="1">
      <alignment horizontal="left" vertical="center"/>
      <protection locked="0"/>
    </xf>
    <xf numFmtId="2" fontId="109" fillId="71" borderId="25" xfId="0" applyNumberFormat="1" applyFont="1" applyFill="1" applyBorder="1" applyAlignment="1" applyProtection="1">
      <alignment horizontal="left" vertical="center"/>
      <protection locked="0"/>
    </xf>
    <xf numFmtId="0" fontId="110" fillId="0" borderId="0" xfId="0" applyFont="1" applyAlignment="1">
      <alignment horizontal="center" vertical="center"/>
    </xf>
    <xf numFmtId="0" fontId="114" fillId="0" borderId="0" xfId="0" applyFont="1" applyAlignment="1">
      <alignment horizontal="center" vertical="center"/>
    </xf>
    <xf numFmtId="14" fontId="16" fillId="94" borderId="18" xfId="513" applyNumberFormat="1" applyFont="1" applyFill="1" applyBorder="1" applyAlignment="1">
      <alignment horizontal="center" vertical="center"/>
    </xf>
    <xf numFmtId="0" fontId="109" fillId="0" borderId="20" xfId="0" applyFont="1" applyBorder="1" applyAlignment="1">
      <alignment horizontal="center" vertical="center"/>
    </xf>
    <xf numFmtId="0" fontId="15" fillId="0" borderId="0" xfId="0" applyFont="1" applyAlignment="1">
      <alignment horizontal="left" vertical="center" wrapText="1"/>
    </xf>
    <xf numFmtId="0" fontId="115" fillId="0" borderId="18" xfId="513" applyFont="1" applyBorder="1" applyAlignment="1">
      <alignment horizontal="center" vertical="center"/>
    </xf>
    <xf numFmtId="0" fontId="3" fillId="0" borderId="23" xfId="513" applyBorder="1" applyAlignment="1">
      <alignment horizontal="center" vertical="center"/>
    </xf>
    <xf numFmtId="0" fontId="3" fillId="0" borderId="24" xfId="513" applyBorder="1" applyAlignment="1">
      <alignment horizontal="center" vertical="center"/>
    </xf>
    <xf numFmtId="0" fontId="3" fillId="0" borderId="25" xfId="513" applyBorder="1" applyAlignment="1">
      <alignment horizontal="center" vertical="center"/>
    </xf>
    <xf numFmtId="0" fontId="3" fillId="0" borderId="23" xfId="513" applyBorder="1" applyAlignment="1" applyProtection="1">
      <alignment horizontal="center" vertical="center"/>
      <protection locked="0"/>
    </xf>
    <xf numFmtId="0" fontId="3" fillId="0" borderId="24" xfId="513" applyBorder="1" applyAlignment="1" applyProtection="1">
      <alignment horizontal="center" vertical="center"/>
      <protection locked="0"/>
    </xf>
    <xf numFmtId="0" fontId="3" fillId="0" borderId="25" xfId="513" applyBorder="1" applyAlignment="1" applyProtection="1">
      <alignment horizontal="center" vertical="center"/>
      <protection locked="0"/>
    </xf>
    <xf numFmtId="0" fontId="3" fillId="0" borderId="23" xfId="513" applyBorder="1" applyAlignment="1">
      <alignment horizontal="center" vertical="center" wrapText="1"/>
    </xf>
    <xf numFmtId="0" fontId="3" fillId="0" borderId="24" xfId="513" applyBorder="1" applyAlignment="1">
      <alignment horizontal="center" vertical="center" wrapText="1"/>
    </xf>
    <xf numFmtId="0" fontId="3" fillId="0" borderId="25" xfId="513" applyBorder="1" applyAlignment="1">
      <alignment horizontal="center" vertical="center" wrapText="1"/>
    </xf>
    <xf numFmtId="0" fontId="114" fillId="82" borderId="23" xfId="513" applyFont="1" applyFill="1" applyBorder="1" applyAlignment="1" applyProtection="1">
      <alignment horizontal="center" vertical="center"/>
      <protection locked="0"/>
    </xf>
    <xf numFmtId="0" fontId="114" fillId="82" borderId="24" xfId="513" applyFont="1" applyFill="1" applyBorder="1" applyAlignment="1" applyProtection="1">
      <alignment horizontal="center" vertical="center"/>
      <protection locked="0"/>
    </xf>
    <xf numFmtId="0" fontId="114" fillId="82" borderId="25" xfId="513" applyFont="1" applyFill="1" applyBorder="1" applyAlignment="1" applyProtection="1">
      <alignment horizontal="center" vertical="center"/>
      <protection locked="0"/>
    </xf>
    <xf numFmtId="0" fontId="15" fillId="0" borderId="18" xfId="0" applyFont="1" applyBorder="1" applyAlignment="1">
      <alignment horizontal="center" vertical="center"/>
    </xf>
    <xf numFmtId="0" fontId="15" fillId="81" borderId="18" xfId="0" applyFont="1" applyFill="1" applyBorder="1" applyAlignment="1">
      <alignment horizontal="center" vertical="center"/>
    </xf>
    <xf numFmtId="0" fontId="90" fillId="0" borderId="0" xfId="0" applyFont="1" applyAlignment="1">
      <alignment horizontal="left" wrapText="1"/>
    </xf>
    <xf numFmtId="0" fontId="0" fillId="0" borderId="0" xfId="0" applyAlignment="1">
      <alignment horizontal="left" wrapText="1"/>
    </xf>
    <xf numFmtId="0" fontId="97" fillId="0" borderId="62" xfId="0" applyFont="1" applyBorder="1" applyAlignment="1">
      <alignment horizontal="center" vertical="center" wrapText="1"/>
    </xf>
    <xf numFmtId="0" fontId="97" fillId="0" borderId="31" xfId="0" applyFont="1" applyBorder="1" applyAlignment="1">
      <alignment horizontal="center" vertical="center" wrapText="1"/>
    </xf>
    <xf numFmtId="0" fontId="97" fillId="0" borderId="55" xfId="0" applyFont="1" applyBorder="1" applyAlignment="1">
      <alignment horizontal="center" vertical="center" wrapText="1"/>
    </xf>
    <xf numFmtId="0" fontId="97" fillId="0" borderId="56" xfId="0" applyFont="1" applyBorder="1" applyAlignment="1">
      <alignment horizontal="center" vertical="center" wrapText="1"/>
    </xf>
    <xf numFmtId="0" fontId="97" fillId="0" borderId="63" xfId="0" applyFont="1" applyBorder="1" applyAlignment="1">
      <alignment horizontal="center" vertical="center" wrapText="1"/>
    </xf>
    <xf numFmtId="0" fontId="16" fillId="0" borderId="110" xfId="0" applyFont="1" applyBorder="1" applyAlignment="1">
      <alignment horizontal="center" vertical="center" wrapText="1"/>
    </xf>
    <xf numFmtId="0" fontId="16" fillId="0" borderId="72" xfId="0" applyFont="1" applyBorder="1" applyAlignment="1">
      <alignment horizontal="center" vertical="center" wrapText="1"/>
    </xf>
    <xf numFmtId="0" fontId="16" fillId="0" borderId="0" xfId="0" applyFont="1" applyAlignment="1">
      <alignment horizontal="left" vertical="center" wrapText="1"/>
    </xf>
    <xf numFmtId="0" fontId="16" fillId="0" borderId="65" xfId="0" applyFont="1" applyBorder="1" applyAlignment="1">
      <alignment horizontal="center" vertical="center" wrapText="1"/>
    </xf>
    <xf numFmtId="0" fontId="16" fillId="0" borderId="70" xfId="0" applyFont="1" applyBorder="1" applyAlignment="1">
      <alignment horizontal="center" vertical="center" wrapText="1"/>
    </xf>
    <xf numFmtId="0" fontId="16" fillId="0" borderId="66"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49" xfId="0" applyFont="1" applyBorder="1" applyAlignment="1">
      <alignment horizontal="center" vertical="center" wrapText="1"/>
    </xf>
    <xf numFmtId="0" fontId="16" fillId="0" borderId="115" xfId="0" applyFont="1" applyBorder="1" applyAlignment="1">
      <alignment horizontal="center" vertical="center" wrapText="1"/>
    </xf>
    <xf numFmtId="0" fontId="16" fillId="0" borderId="48" xfId="0" applyFont="1" applyBorder="1" applyAlignment="1">
      <alignment horizontal="center" vertical="center" wrapText="1"/>
    </xf>
    <xf numFmtId="0" fontId="21" fillId="71" borderId="38" xfId="0" quotePrefix="1" applyFont="1" applyFill="1" applyBorder="1" applyAlignment="1" applyProtection="1">
      <alignment horizontal="left" vertical="center" wrapText="1"/>
      <protection locked="0"/>
    </xf>
    <xf numFmtId="0" fontId="21" fillId="71" borderId="28" xfId="0" applyFont="1" applyFill="1" applyBorder="1" applyAlignment="1" applyProtection="1">
      <alignment horizontal="left" vertical="center" wrapText="1"/>
      <protection locked="0"/>
    </xf>
    <xf numFmtId="0" fontId="21" fillId="71" borderId="44" xfId="0" applyFont="1" applyFill="1" applyBorder="1" applyAlignment="1" applyProtection="1">
      <alignment horizontal="left" vertical="center" wrapText="1"/>
      <protection locked="0"/>
    </xf>
    <xf numFmtId="0" fontId="7" fillId="0" borderId="46" xfId="0" applyFont="1" applyBorder="1" applyAlignment="1">
      <alignment horizontal="center" vertical="center" wrapText="1" readingOrder="1"/>
    </xf>
    <xf numFmtId="0" fontId="7" fillId="0" borderId="68" xfId="0" applyFont="1" applyBorder="1" applyAlignment="1">
      <alignment horizontal="center" vertical="center" wrapText="1" readingOrder="1"/>
    </xf>
    <xf numFmtId="0" fontId="7" fillId="0" borderId="61" xfId="0" applyFont="1" applyBorder="1" applyAlignment="1">
      <alignment horizontal="center" vertical="center" wrapText="1" readingOrder="1"/>
    </xf>
    <xf numFmtId="0" fontId="7" fillId="0" borderId="94" xfId="0" applyFont="1" applyBorder="1" applyAlignment="1">
      <alignment horizontal="center" vertical="center" wrapText="1" readingOrder="1"/>
    </xf>
    <xf numFmtId="0" fontId="7" fillId="0" borderId="47" xfId="0" applyFont="1" applyBorder="1" applyAlignment="1">
      <alignment horizontal="center" vertical="center" wrapText="1" readingOrder="1"/>
    </xf>
    <xf numFmtId="0" fontId="7" fillId="0" borderId="64" xfId="0" applyFont="1" applyBorder="1" applyAlignment="1">
      <alignment horizontal="center" vertical="center" wrapText="1" readingOrder="1"/>
    </xf>
    <xf numFmtId="0" fontId="7" fillId="0" borderId="38" xfId="0" applyFont="1" applyBorder="1" applyAlignment="1">
      <alignment horizontal="left" vertical="center" wrapText="1" readingOrder="1"/>
    </xf>
    <xf numFmtId="0" fontId="7" fillId="0" borderId="28" xfId="0" applyFont="1" applyBorder="1" applyAlignment="1">
      <alignment horizontal="left" vertical="center" wrapText="1" readingOrder="1"/>
    </xf>
    <xf numFmtId="0" fontId="7" fillId="0" borderId="44" xfId="0" applyFont="1" applyBorder="1" applyAlignment="1">
      <alignment horizontal="left" vertical="center" wrapText="1" readingOrder="1"/>
    </xf>
    <xf numFmtId="0" fontId="7" fillId="0" borderId="46" xfId="0" applyFont="1" applyBorder="1" applyAlignment="1">
      <alignment horizontal="left" vertical="center" wrapText="1" readingOrder="1"/>
    </xf>
    <xf numFmtId="0" fontId="7" fillId="0" borderId="68" xfId="0" applyFont="1" applyBorder="1" applyAlignment="1">
      <alignment horizontal="left" vertical="center" wrapText="1" readingOrder="1"/>
    </xf>
    <xf numFmtId="0" fontId="7" fillId="0" borderId="61" xfId="0" applyFont="1" applyBorder="1" applyAlignment="1">
      <alignment horizontal="left" vertical="center" wrapText="1" readingOrder="1"/>
    </xf>
    <xf numFmtId="0" fontId="7" fillId="0" borderId="94" xfId="0" applyFont="1" applyBorder="1" applyAlignment="1">
      <alignment horizontal="left" vertical="center" wrapText="1" readingOrder="1"/>
    </xf>
    <xf numFmtId="0" fontId="7" fillId="0" borderId="47" xfId="0" applyFont="1" applyBorder="1" applyAlignment="1">
      <alignment horizontal="left" vertical="center" wrapText="1" readingOrder="1"/>
    </xf>
    <xf numFmtId="0" fontId="7" fillId="0" borderId="64" xfId="0" applyFont="1" applyBorder="1" applyAlignment="1">
      <alignment horizontal="left" vertical="center" wrapText="1" readingOrder="1"/>
    </xf>
    <xf numFmtId="0" fontId="58" fillId="0" borderId="38" xfId="0" applyFont="1" applyBorder="1" applyAlignment="1">
      <alignment horizontal="left" vertical="center" wrapText="1" readingOrder="1"/>
    </xf>
    <xf numFmtId="0" fontId="58" fillId="0" borderId="28" xfId="0" applyFont="1" applyBorder="1" applyAlignment="1">
      <alignment horizontal="left" vertical="center" wrapText="1" readingOrder="1"/>
    </xf>
    <xf numFmtId="0" fontId="58" fillId="0" borderId="44" xfId="0" applyFont="1" applyBorder="1" applyAlignment="1">
      <alignment horizontal="left" vertical="center" wrapText="1" readingOrder="1"/>
    </xf>
    <xf numFmtId="0" fontId="58" fillId="0" borderId="46" xfId="0" applyFont="1" applyBorder="1" applyAlignment="1">
      <alignment horizontal="center" vertical="center" wrapText="1" readingOrder="1"/>
    </xf>
    <xf numFmtId="0" fontId="58" fillId="0" borderId="68" xfId="0" applyFont="1" applyBorder="1" applyAlignment="1">
      <alignment horizontal="center" vertical="center" wrapText="1" readingOrder="1"/>
    </xf>
    <xf numFmtId="0" fontId="58" fillId="0" borderId="61" xfId="0" applyFont="1" applyBorder="1" applyAlignment="1">
      <alignment horizontal="center" vertical="center" wrapText="1" readingOrder="1"/>
    </xf>
    <xf numFmtId="0" fontId="58" fillId="0" borderId="94" xfId="0" applyFont="1" applyBorder="1" applyAlignment="1">
      <alignment horizontal="center" vertical="center" wrapText="1" readingOrder="1"/>
    </xf>
    <xf numFmtId="0" fontId="58" fillId="0" borderId="47" xfId="0" applyFont="1" applyBorder="1" applyAlignment="1">
      <alignment horizontal="center" vertical="center" wrapText="1" readingOrder="1"/>
    </xf>
    <xf numFmtId="0" fontId="58" fillId="0" borderId="64" xfId="0" applyFont="1" applyBorder="1" applyAlignment="1">
      <alignment horizontal="center" vertical="center" wrapText="1" readingOrder="1"/>
    </xf>
    <xf numFmtId="0" fontId="55" fillId="84" borderId="38" xfId="0" applyFont="1" applyFill="1" applyBorder="1" applyAlignment="1">
      <alignment horizontal="center" vertical="center" wrapText="1"/>
    </xf>
    <xf numFmtId="0" fontId="55" fillId="84" borderId="28" xfId="0" applyFont="1" applyFill="1" applyBorder="1" applyAlignment="1">
      <alignment horizontal="center" vertical="center" wrapText="1"/>
    </xf>
    <xf numFmtId="0" fontId="55" fillId="84" borderId="44" xfId="0" applyFont="1" applyFill="1" applyBorder="1" applyAlignment="1">
      <alignment horizontal="center" vertical="center" wrapText="1"/>
    </xf>
    <xf numFmtId="0" fontId="16" fillId="71" borderId="38" xfId="0" quotePrefix="1" applyFont="1" applyFill="1" applyBorder="1" applyAlignment="1" applyProtection="1">
      <alignment horizontal="left" vertical="center" wrapText="1"/>
      <protection locked="0"/>
    </xf>
    <xf numFmtId="0" fontId="16" fillId="71" borderId="28" xfId="0" quotePrefix="1" applyFont="1" applyFill="1" applyBorder="1" applyAlignment="1" applyProtection="1">
      <alignment horizontal="left" vertical="center" wrapText="1"/>
      <protection locked="0"/>
    </xf>
    <xf numFmtId="0" fontId="16" fillId="71" borderId="44" xfId="0" quotePrefix="1" applyFont="1" applyFill="1" applyBorder="1" applyAlignment="1" applyProtection="1">
      <alignment horizontal="left" vertical="center" wrapText="1"/>
      <protection locked="0"/>
    </xf>
    <xf numFmtId="49" fontId="102" fillId="0" borderId="38" xfId="0" applyNumberFormat="1" applyFont="1" applyBorder="1" applyAlignment="1">
      <alignment horizontal="center" vertical="center" wrapText="1" readingOrder="1"/>
    </xf>
    <xf numFmtId="49" fontId="102" fillId="0" borderId="28" xfId="0" applyNumberFormat="1" applyFont="1" applyBorder="1" applyAlignment="1">
      <alignment horizontal="center" vertical="center" wrapText="1" readingOrder="1"/>
    </xf>
    <xf numFmtId="49" fontId="102" fillId="0" borderId="44" xfId="0" applyNumberFormat="1" applyFont="1" applyBorder="1" applyAlignment="1">
      <alignment horizontal="center" vertical="center" wrapText="1" readingOrder="1"/>
    </xf>
    <xf numFmtId="1" fontId="8" fillId="70" borderId="38" xfId="0" applyNumberFormat="1" applyFont="1" applyFill="1" applyBorder="1" applyAlignment="1">
      <alignment horizontal="center" vertical="center"/>
    </xf>
    <xf numFmtId="1" fontId="101" fillId="70" borderId="28" xfId="0" applyNumberFormat="1" applyFont="1" applyFill="1" applyBorder="1" applyAlignment="1">
      <alignment horizontal="center" vertical="center"/>
    </xf>
    <xf numFmtId="1" fontId="101" fillId="70" borderId="44" xfId="0" applyNumberFormat="1" applyFont="1" applyFill="1" applyBorder="1" applyAlignment="1">
      <alignment horizontal="center" vertical="center"/>
    </xf>
    <xf numFmtId="0" fontId="16" fillId="71" borderId="38" xfId="0" applyFont="1" applyFill="1" applyBorder="1" applyAlignment="1" applyProtection="1">
      <alignment horizontal="left" vertical="center" wrapText="1"/>
      <protection locked="0"/>
    </xf>
    <xf numFmtId="0" fontId="16" fillId="71" borderId="28" xfId="0" applyFont="1" applyFill="1" applyBorder="1" applyAlignment="1" applyProtection="1">
      <alignment horizontal="left" vertical="center" wrapText="1"/>
      <protection locked="0"/>
    </xf>
    <xf numFmtId="0" fontId="16" fillId="71" borderId="44" xfId="0" applyFont="1" applyFill="1" applyBorder="1" applyAlignment="1" applyProtection="1">
      <alignment horizontal="left" vertical="center" wrapText="1"/>
      <protection locked="0"/>
    </xf>
    <xf numFmtId="0" fontId="16" fillId="85" borderId="20" xfId="0" applyFont="1" applyFill="1" applyBorder="1" applyAlignment="1" applyProtection="1">
      <alignment horizontal="left" vertical="center" wrapText="1"/>
      <protection locked="0"/>
    </xf>
    <xf numFmtId="0" fontId="7" fillId="0" borderId="0" xfId="0" applyFont="1" applyAlignment="1">
      <alignment horizontal="justify" wrapText="1"/>
    </xf>
    <xf numFmtId="0" fontId="58" fillId="0" borderId="38" xfId="0" applyFont="1" applyBorder="1" applyAlignment="1">
      <alignment horizontal="center" vertical="center" wrapText="1" readingOrder="1"/>
    </xf>
    <xf numFmtId="0" fontId="58" fillId="0" borderId="28" xfId="0" applyFont="1" applyBorder="1" applyAlignment="1">
      <alignment horizontal="center" vertical="center" wrapText="1" readingOrder="1"/>
    </xf>
    <xf numFmtId="0" fontId="58" fillId="0" borderId="44" xfId="0" applyFont="1" applyBorder="1" applyAlignment="1">
      <alignment horizontal="center" vertical="center" wrapText="1" readingOrder="1"/>
    </xf>
    <xf numFmtId="165" fontId="7" fillId="0" borderId="45" xfId="889" applyNumberFormat="1" applyFont="1" applyFill="1" applyBorder="1" applyAlignment="1" applyProtection="1">
      <alignment horizontal="center" vertical="center"/>
    </xf>
    <xf numFmtId="165" fontId="7" fillId="90" borderId="46" xfId="889" applyNumberFormat="1" applyFont="1" applyFill="1" applyBorder="1" applyAlignment="1" applyProtection="1">
      <alignment horizontal="left" vertical="center"/>
    </xf>
    <xf numFmtId="165" fontId="7" fillId="90" borderId="68" xfId="889" applyNumberFormat="1" applyFont="1" applyFill="1" applyBorder="1" applyAlignment="1" applyProtection="1">
      <alignment horizontal="left" vertical="center"/>
    </xf>
    <xf numFmtId="165" fontId="7" fillId="90" borderId="61" xfId="889" applyNumberFormat="1" applyFont="1" applyFill="1" applyBorder="1" applyAlignment="1" applyProtection="1">
      <alignment horizontal="left" vertical="center"/>
    </xf>
    <xf numFmtId="165" fontId="7" fillId="90" borderId="94" xfId="889" applyNumberFormat="1" applyFont="1" applyFill="1" applyBorder="1" applyAlignment="1" applyProtection="1">
      <alignment horizontal="left" vertical="center"/>
    </xf>
    <xf numFmtId="165" fontId="7" fillId="0" borderId="20" xfId="889" applyNumberFormat="1" applyFont="1" applyFill="1" applyBorder="1" applyAlignment="1" applyProtection="1">
      <alignment horizontal="center" vertical="center"/>
    </xf>
    <xf numFmtId="165" fontId="7" fillId="93" borderId="46" xfId="889" applyNumberFormat="1" applyFont="1" applyFill="1" applyBorder="1" applyAlignment="1" applyProtection="1">
      <alignment horizontal="left" vertical="center"/>
    </xf>
    <xf numFmtId="165" fontId="7" fillId="93" borderId="68" xfId="889" applyNumberFormat="1" applyFont="1" applyFill="1" applyBorder="1" applyAlignment="1" applyProtection="1">
      <alignment horizontal="left" vertical="center"/>
    </xf>
    <xf numFmtId="165" fontId="7" fillId="93" borderId="47" xfId="889" applyNumberFormat="1" applyFont="1" applyFill="1" applyBorder="1" applyAlignment="1" applyProtection="1">
      <alignment horizontal="left" vertical="center"/>
    </xf>
    <xf numFmtId="165" fontId="7" fillId="93" borderId="64" xfId="889" applyNumberFormat="1" applyFont="1" applyFill="1" applyBorder="1" applyAlignment="1" applyProtection="1">
      <alignment horizontal="left" vertical="center"/>
    </xf>
    <xf numFmtId="165" fontId="7" fillId="0" borderId="20" xfId="889" applyNumberFormat="1" applyFont="1" applyFill="1" applyBorder="1" applyAlignment="1" applyProtection="1">
      <alignment horizontal="center" vertical="center" wrapText="1"/>
    </xf>
    <xf numFmtId="165" fontId="7" fillId="92" borderId="45" xfId="889" applyNumberFormat="1" applyFont="1" applyFill="1" applyBorder="1" applyAlignment="1" applyProtection="1">
      <alignment horizontal="left" vertical="center" wrapText="1"/>
    </xf>
    <xf numFmtId="165" fontId="7" fillId="92" borderId="27" xfId="889" applyNumberFormat="1" applyFont="1" applyFill="1" applyBorder="1" applyAlignment="1" applyProtection="1">
      <alignment horizontal="left" vertical="center" wrapText="1"/>
    </xf>
    <xf numFmtId="165" fontId="7" fillId="92" borderId="26" xfId="889" applyNumberFormat="1" applyFont="1" applyFill="1" applyBorder="1" applyAlignment="1" applyProtection="1">
      <alignment horizontal="left" vertical="center" wrapText="1"/>
    </xf>
    <xf numFmtId="49" fontId="7" fillId="0" borderId="68" xfId="0" applyNumberFormat="1" applyFont="1" applyBorder="1" applyAlignment="1">
      <alignment horizontal="center" vertical="center" wrapText="1" readingOrder="1"/>
    </xf>
    <xf numFmtId="49" fontId="7" fillId="0" borderId="61" xfId="0" applyNumberFormat="1" applyFont="1" applyBorder="1" applyAlignment="1">
      <alignment horizontal="center" vertical="center" wrapText="1" readingOrder="1"/>
    </xf>
    <xf numFmtId="49" fontId="7" fillId="0" borderId="94" xfId="0" applyNumberFormat="1" applyFont="1" applyBorder="1" applyAlignment="1">
      <alignment horizontal="center" vertical="center" wrapText="1" readingOrder="1"/>
    </xf>
    <xf numFmtId="49" fontId="7" fillId="0" borderId="47" xfId="0" applyNumberFormat="1" applyFont="1" applyBorder="1" applyAlignment="1">
      <alignment horizontal="center" vertical="center" wrapText="1" readingOrder="1"/>
    </xf>
    <xf numFmtId="49" fontId="7" fillId="0" borderId="64" xfId="0" applyNumberFormat="1" applyFont="1" applyBorder="1" applyAlignment="1">
      <alignment horizontal="center" vertical="center" wrapText="1" readingOrder="1"/>
    </xf>
    <xf numFmtId="49" fontId="7" fillId="0" borderId="28" xfId="0" applyNumberFormat="1" applyFont="1" applyBorder="1" applyAlignment="1">
      <alignment horizontal="center" vertical="center" wrapText="1" readingOrder="1"/>
    </xf>
    <xf numFmtId="49" fontId="7" fillId="0" borderId="44" xfId="0" applyNumberFormat="1" applyFont="1" applyBorder="1" applyAlignment="1">
      <alignment horizontal="center" vertical="center" wrapText="1" readingOrder="1"/>
    </xf>
    <xf numFmtId="0" fontId="58" fillId="0" borderId="20" xfId="0" applyFont="1" applyBorder="1" applyAlignment="1">
      <alignment horizontal="center" vertical="center" wrapText="1" readingOrder="1"/>
    </xf>
    <xf numFmtId="0" fontId="106" fillId="0" borderId="38" xfId="0" applyFont="1" applyBorder="1" applyAlignment="1">
      <alignment horizontal="center" vertical="center" wrapText="1" readingOrder="1"/>
    </xf>
    <xf numFmtId="9" fontId="58" fillId="0" borderId="20" xfId="0" applyNumberFormat="1" applyFont="1" applyBorder="1" applyAlignment="1">
      <alignment horizontal="center" vertical="center" wrapText="1" readingOrder="1"/>
    </xf>
    <xf numFmtId="9" fontId="106" fillId="0" borderId="38" xfId="0" applyNumberFormat="1" applyFont="1" applyBorder="1" applyAlignment="1">
      <alignment horizontal="center" vertical="center" wrapText="1" readingOrder="1"/>
    </xf>
    <xf numFmtId="0" fontId="106" fillId="0" borderId="28" xfId="0" applyFont="1" applyBorder="1" applyAlignment="1">
      <alignment horizontal="center" vertical="center" wrapText="1" readingOrder="1"/>
    </xf>
    <xf numFmtId="0" fontId="106" fillId="0" borderId="44" xfId="0" applyFont="1" applyBorder="1" applyAlignment="1">
      <alignment horizontal="center" vertical="center" wrapText="1" readingOrder="1"/>
    </xf>
    <xf numFmtId="0" fontId="7" fillId="0" borderId="20" xfId="0" applyFont="1" applyBorder="1" applyAlignment="1">
      <alignment horizontal="left" vertical="center" wrapText="1" readingOrder="1"/>
    </xf>
    <xf numFmtId="0" fontId="51" fillId="0" borderId="20" xfId="0" applyFont="1" applyBorder="1" applyAlignment="1">
      <alignment horizontal="left" vertical="center" wrapText="1" readingOrder="1"/>
    </xf>
    <xf numFmtId="0" fontId="101" fillId="0" borderId="20" xfId="0" applyFont="1" applyBorder="1" applyAlignment="1">
      <alignment horizontal="left" vertical="center" wrapText="1" readingOrder="1"/>
    </xf>
    <xf numFmtId="49" fontId="7" fillId="0" borderId="38" xfId="0" applyNumberFormat="1" applyFont="1" applyBorder="1" applyAlignment="1">
      <alignment horizontal="center" vertical="center" wrapText="1" readingOrder="1"/>
    </xf>
    <xf numFmtId="0" fontId="106" fillId="0" borderId="20" xfId="0" applyFont="1" applyBorder="1" applyAlignment="1">
      <alignment horizontal="center" vertical="center" wrapText="1" readingOrder="1"/>
    </xf>
    <xf numFmtId="0" fontId="7" fillId="0" borderId="62" xfId="0" applyFont="1" applyBorder="1" applyAlignment="1">
      <alignment horizontal="center" vertical="center" wrapText="1" readingOrder="1"/>
    </xf>
    <xf numFmtId="49" fontId="7" fillId="0" borderId="30" xfId="0" applyNumberFormat="1" applyFont="1" applyBorder="1" applyAlignment="1">
      <alignment horizontal="center" vertical="center" wrapText="1" readingOrder="1"/>
    </xf>
    <xf numFmtId="49" fontId="7" fillId="0" borderId="31" xfId="0" applyNumberFormat="1" applyFont="1" applyBorder="1" applyAlignment="1">
      <alignment horizontal="center" vertical="center" wrapText="1" readingOrder="1"/>
    </xf>
    <xf numFmtId="49" fontId="7" fillId="0" borderId="39" xfId="0" applyNumberFormat="1" applyFont="1" applyBorder="1" applyAlignment="1">
      <alignment horizontal="center" vertical="center" wrapText="1" readingOrder="1"/>
    </xf>
    <xf numFmtId="49" fontId="7" fillId="0" borderId="43" xfId="0" applyNumberFormat="1" applyFont="1" applyBorder="1" applyAlignment="1">
      <alignment horizontal="center" vertical="center" wrapText="1" readingOrder="1"/>
    </xf>
    <xf numFmtId="49" fontId="7" fillId="0" borderId="46" xfId="0" applyNumberFormat="1" applyFont="1" applyBorder="1" applyAlignment="1">
      <alignment horizontal="center" vertical="center" wrapText="1" readingOrder="1"/>
    </xf>
    <xf numFmtId="0" fontId="7" fillId="0" borderId="46" xfId="0" quotePrefix="1" applyFont="1" applyBorder="1" applyAlignment="1">
      <alignment horizontal="left" vertical="center" wrapText="1" readingOrder="1"/>
    </xf>
    <xf numFmtId="49" fontId="7" fillId="0" borderId="63" xfId="0" applyNumberFormat="1" applyFont="1" applyBorder="1" applyAlignment="1">
      <alignment horizontal="center" vertical="center" wrapText="1" readingOrder="1"/>
    </xf>
    <xf numFmtId="0" fontId="101" fillId="0" borderId="68" xfId="0" applyFont="1" applyBorder="1" applyAlignment="1">
      <alignment horizontal="left" vertical="center" wrapText="1" readingOrder="1"/>
    </xf>
    <xf numFmtId="0" fontId="101" fillId="0" borderId="94" xfId="0" applyFont="1" applyBorder="1" applyAlignment="1">
      <alignment horizontal="left" vertical="center" wrapText="1" readingOrder="1"/>
    </xf>
    <xf numFmtId="0" fontId="101" fillId="0" borderId="64" xfId="0" applyFont="1" applyBorder="1" applyAlignment="1">
      <alignment horizontal="left" vertical="center" wrapText="1" readingOrder="1"/>
    </xf>
    <xf numFmtId="0" fontId="7" fillId="0" borderId="38" xfId="0" applyFont="1" applyBorder="1" applyAlignment="1">
      <alignment horizontal="center" vertical="center"/>
    </xf>
    <xf numFmtId="0" fontId="7" fillId="0" borderId="28" xfId="0" applyFont="1" applyBorder="1" applyAlignment="1">
      <alignment horizontal="center" vertical="center"/>
    </xf>
    <xf numFmtId="0" fontId="7" fillId="0" borderId="44" xfId="0" applyFont="1" applyBorder="1" applyAlignment="1">
      <alignment horizontal="center" vertical="center"/>
    </xf>
    <xf numFmtId="0" fontId="7" fillId="0" borderId="39" xfId="0" applyFont="1" applyBorder="1" applyAlignment="1">
      <alignment horizontal="center" vertical="center" wrapText="1" readingOrder="1"/>
    </xf>
    <xf numFmtId="0" fontId="7" fillId="0" borderId="95" xfId="0" quotePrefix="1" applyFont="1" applyBorder="1" applyAlignment="1">
      <alignment horizontal="left" vertical="center" wrapText="1" readingOrder="1"/>
    </xf>
    <xf numFmtId="0" fontId="7" fillId="0" borderId="0" xfId="0" applyFont="1" applyAlignment="1">
      <alignment horizontal="left" vertical="center" wrapText="1" readingOrder="1"/>
    </xf>
    <xf numFmtId="0" fontId="7" fillId="0" borderId="33" xfId="0" applyFont="1" applyBorder="1" applyAlignment="1">
      <alignment horizontal="left" vertical="center" wrapText="1" readingOrder="1"/>
    </xf>
    <xf numFmtId="0" fontId="10" fillId="30" borderId="23" xfId="513" applyFont="1" applyFill="1" applyBorder="1" applyAlignment="1">
      <alignment horizontal="left" vertical="center"/>
    </xf>
    <xf numFmtId="0" fontId="10" fillId="30" borderId="25" xfId="513" applyFont="1" applyFill="1" applyBorder="1" applyAlignment="1">
      <alignment horizontal="left" vertical="center"/>
    </xf>
    <xf numFmtId="0" fontId="10" fillId="30" borderId="24" xfId="513" applyFont="1" applyFill="1" applyBorder="1" applyAlignment="1">
      <alignment horizontal="left" vertical="center"/>
    </xf>
    <xf numFmtId="0" fontId="126" fillId="0" borderId="38" xfId="0" applyFont="1" applyBorder="1" applyAlignment="1">
      <alignment horizontal="center" vertical="center" wrapText="1"/>
    </xf>
    <xf numFmtId="0" fontId="126" fillId="0" borderId="44"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68"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20" xfId="0" applyFont="1" applyBorder="1" applyAlignment="1">
      <alignment horizontal="center" vertical="center" wrapText="1"/>
    </xf>
    <xf numFmtId="0" fontId="16" fillId="0" borderId="20"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44" xfId="0" applyFont="1" applyBorder="1" applyAlignment="1">
      <alignment horizontal="center" vertical="center" wrapText="1"/>
    </xf>
    <xf numFmtId="0" fontId="101" fillId="0" borderId="20" xfId="0" applyFont="1" applyBorder="1" applyAlignment="1">
      <alignment horizontal="center" vertical="center" wrapText="1"/>
    </xf>
    <xf numFmtId="0" fontId="10" fillId="0" borderId="45" xfId="0" applyFont="1" applyBorder="1" applyAlignment="1">
      <alignment horizontal="center" vertical="center"/>
    </xf>
    <xf numFmtId="0" fontId="10" fillId="0" borderId="26" xfId="0" applyFont="1" applyBorder="1" applyAlignment="1">
      <alignment horizontal="center" vertical="center"/>
    </xf>
    <xf numFmtId="0" fontId="16" fillId="71" borderId="20" xfId="0" applyFont="1" applyFill="1" applyBorder="1" applyAlignment="1" applyProtection="1">
      <alignment horizontal="left" vertical="center" wrapText="1"/>
      <protection locked="0"/>
    </xf>
    <xf numFmtId="0" fontId="126" fillId="0" borderId="20" xfId="0" applyFont="1" applyBorder="1" applyAlignment="1">
      <alignment horizontal="center" vertical="center" wrapText="1"/>
    </xf>
    <xf numFmtId="0" fontId="7" fillId="0" borderId="20" xfId="0" applyFont="1" applyBorder="1" applyAlignment="1">
      <alignment vertical="center" wrapText="1"/>
    </xf>
    <xf numFmtId="0" fontId="7" fillId="0" borderId="63" xfId="0" applyFont="1" applyBorder="1" applyAlignment="1">
      <alignment horizontal="center" vertical="center" wrapText="1" readingOrder="1"/>
    </xf>
    <xf numFmtId="49" fontId="7" fillId="0" borderId="62" xfId="0" applyNumberFormat="1" applyFont="1" applyBorder="1" applyAlignment="1">
      <alignment horizontal="center" vertical="center" wrapText="1" readingOrder="1"/>
    </xf>
    <xf numFmtId="0" fontId="16" fillId="0" borderId="44" xfId="0" applyFont="1" applyBorder="1" applyAlignment="1">
      <alignment horizontal="center" vertical="center" wrapText="1"/>
    </xf>
    <xf numFmtId="0" fontId="7" fillId="81" borderId="46" xfId="372" applyFont="1" applyFill="1" applyBorder="1" applyAlignment="1">
      <alignment horizontal="left" vertical="center" wrapText="1" readingOrder="1"/>
    </xf>
    <xf numFmtId="0" fontId="7" fillId="81" borderId="68" xfId="372" applyFont="1" applyFill="1" applyBorder="1" applyAlignment="1">
      <alignment horizontal="left" vertical="center" wrapText="1" readingOrder="1"/>
    </xf>
    <xf numFmtId="0" fontId="7" fillId="81" borderId="61" xfId="372" applyFont="1" applyFill="1" applyBorder="1" applyAlignment="1">
      <alignment horizontal="left" vertical="center" wrapText="1" readingOrder="1"/>
    </xf>
    <xf numFmtId="0" fontId="7" fillId="81" borderId="94" xfId="372" applyFont="1" applyFill="1" applyBorder="1" applyAlignment="1">
      <alignment horizontal="left" vertical="center" wrapText="1" readingOrder="1"/>
    </xf>
    <xf numFmtId="0" fontId="7" fillId="81" borderId="47" xfId="372" applyFont="1" applyFill="1" applyBorder="1" applyAlignment="1">
      <alignment horizontal="left" vertical="center" wrapText="1" readingOrder="1"/>
    </xf>
    <xf numFmtId="0" fontId="7" fillId="81" borderId="64" xfId="372" applyFont="1" applyFill="1" applyBorder="1" applyAlignment="1">
      <alignment horizontal="left" vertical="center" wrapText="1" readingOrder="1"/>
    </xf>
    <xf numFmtId="0" fontId="7" fillId="0" borderId="46" xfId="372" applyFont="1" applyBorder="1" applyAlignment="1">
      <alignment horizontal="left" vertical="center" wrapText="1" readingOrder="1"/>
    </xf>
    <xf numFmtId="0" fontId="7" fillId="0" borderId="68" xfId="372" applyFont="1" applyBorder="1" applyAlignment="1">
      <alignment horizontal="left" vertical="center" wrapText="1" readingOrder="1"/>
    </xf>
    <xf numFmtId="0" fontId="7" fillId="0" borderId="61" xfId="372" applyFont="1" applyBorder="1" applyAlignment="1">
      <alignment horizontal="left" vertical="center" wrapText="1" readingOrder="1"/>
    </xf>
    <xf numFmtId="0" fontId="7" fillId="0" borderId="94" xfId="372" applyFont="1" applyBorder="1" applyAlignment="1">
      <alignment horizontal="left" vertical="center" wrapText="1" readingOrder="1"/>
    </xf>
    <xf numFmtId="0" fontId="7" fillId="0" borderId="47" xfId="372" applyFont="1" applyBorder="1" applyAlignment="1">
      <alignment horizontal="left" vertical="center" wrapText="1" readingOrder="1"/>
    </xf>
    <xf numFmtId="0" fontId="7" fillId="0" borderId="64" xfId="372" applyFont="1" applyBorder="1" applyAlignment="1">
      <alignment horizontal="left" vertical="center" wrapText="1" readingOrder="1"/>
    </xf>
    <xf numFmtId="0" fontId="16" fillId="0" borderId="68"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64" xfId="0" applyFont="1" applyBorder="1" applyAlignment="1">
      <alignment horizontal="center" vertical="center" wrapText="1"/>
    </xf>
    <xf numFmtId="0" fontId="7" fillId="0" borderId="38" xfId="0" applyFont="1" applyBorder="1" applyAlignment="1">
      <alignment horizontal="left" vertical="center" wrapText="1"/>
    </xf>
    <xf numFmtId="0" fontId="7" fillId="0" borderId="28" xfId="0" applyFont="1" applyBorder="1" applyAlignment="1">
      <alignment horizontal="left" vertical="center" wrapText="1"/>
    </xf>
    <xf numFmtId="0" fontId="7" fillId="0" borderId="44" xfId="0" applyFont="1" applyBorder="1" applyAlignment="1">
      <alignment horizontal="left" vertical="center" wrapText="1"/>
    </xf>
    <xf numFmtId="0" fontId="16" fillId="71" borderId="52" xfId="0" quotePrefix="1" applyFont="1" applyFill="1" applyBorder="1" applyAlignment="1" applyProtection="1">
      <alignment horizontal="left" vertical="center" wrapText="1"/>
      <protection locked="0"/>
    </xf>
    <xf numFmtId="0" fontId="16" fillId="71" borderId="53" xfId="0" applyFont="1" applyFill="1" applyBorder="1" applyAlignment="1" applyProtection="1">
      <alignment horizontal="left" vertical="center" wrapText="1"/>
      <protection locked="0"/>
    </xf>
    <xf numFmtId="0" fontId="16" fillId="71" borderId="54" xfId="0" applyFont="1" applyFill="1" applyBorder="1" applyAlignment="1" applyProtection="1">
      <alignment horizontal="left" vertical="center" wrapText="1"/>
      <protection locked="0"/>
    </xf>
    <xf numFmtId="0" fontId="16" fillId="71" borderId="52" xfId="0" applyFont="1" applyFill="1" applyBorder="1" applyAlignment="1" applyProtection="1">
      <alignment horizontal="left" vertical="center" wrapText="1"/>
      <protection locked="0"/>
    </xf>
    <xf numFmtId="9" fontId="58" fillId="0" borderId="38" xfId="0" applyNumberFormat="1" applyFont="1" applyBorder="1" applyAlignment="1">
      <alignment horizontal="center" vertical="center" wrapText="1" readingOrder="1"/>
    </xf>
    <xf numFmtId="0" fontId="7" fillId="0" borderId="0" xfId="0" applyFont="1" applyAlignment="1">
      <alignment horizontal="left" vertical="center"/>
    </xf>
    <xf numFmtId="0" fontId="13" fillId="0" borderId="0" xfId="0" applyFont="1" applyAlignment="1">
      <alignment horizontal="justify" vertical="justify" wrapText="1"/>
    </xf>
    <xf numFmtId="0" fontId="7" fillId="0" borderId="0" xfId="0" applyFont="1" applyAlignment="1">
      <alignment horizontal="justify" vertical="center" wrapText="1"/>
    </xf>
    <xf numFmtId="0" fontId="92" fillId="0" borderId="0" xfId="0" applyFont="1" applyAlignment="1">
      <alignment horizontal="left"/>
    </xf>
    <xf numFmtId="0" fontId="96" fillId="0" borderId="22" xfId="0" applyFont="1" applyBorder="1" applyAlignment="1">
      <alignment horizontal="center" vertical="center" wrapText="1"/>
    </xf>
    <xf numFmtId="0" fontId="96" fillId="0" borderId="40" xfId="0" applyFont="1" applyBorder="1" applyAlignment="1">
      <alignment horizontal="center" vertical="center" wrapText="1"/>
    </xf>
    <xf numFmtId="0" fontId="96" fillId="0" borderId="23" xfId="0" applyFont="1" applyBorder="1" applyAlignment="1">
      <alignment horizontal="center" vertical="center" wrapText="1"/>
    </xf>
    <xf numFmtId="0" fontId="90" fillId="0" borderId="22" xfId="0" applyFont="1" applyBorder="1" applyAlignment="1">
      <alignment horizontal="center" vertical="center" wrapText="1"/>
    </xf>
    <xf numFmtId="0" fontId="96" fillId="0" borderId="18" xfId="0" applyFont="1" applyBorder="1" applyAlignment="1">
      <alignment horizontal="center" vertical="center" wrapText="1"/>
    </xf>
    <xf numFmtId="0" fontId="10" fillId="30" borderId="23" xfId="513" applyFont="1" applyFill="1" applyBorder="1" applyAlignment="1">
      <alignment vertical="center"/>
    </xf>
    <xf numFmtId="0" fontId="0" fillId="0" borderId="24" xfId="0" applyBorder="1" applyAlignment="1">
      <alignment vertical="center"/>
    </xf>
    <xf numFmtId="0" fontId="0" fillId="0" borderId="25" xfId="0" applyBorder="1"/>
    <xf numFmtId="0" fontId="96" fillId="0" borderId="0" xfId="0" applyFont="1" applyAlignment="1">
      <alignment horizontal="center" vertical="center" wrapText="1"/>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5" xfId="0" applyFont="1" applyBorder="1" applyAlignment="1">
      <alignment horizontal="center" vertical="center"/>
    </xf>
    <xf numFmtId="0" fontId="13" fillId="29" borderId="23" xfId="0" applyFont="1" applyFill="1" applyBorder="1" applyAlignment="1">
      <alignment horizontal="center" vertical="center" wrapText="1"/>
    </xf>
    <xf numFmtId="0" fontId="13" fillId="29" borderId="24" xfId="0" applyFont="1" applyFill="1" applyBorder="1" applyAlignment="1">
      <alignment horizontal="center" vertical="center" wrapText="1"/>
    </xf>
    <xf numFmtId="0" fontId="13" fillId="29" borderId="25" xfId="0" applyFont="1" applyFill="1" applyBorder="1" applyAlignment="1">
      <alignment horizontal="center" vertical="center" wrapText="1"/>
    </xf>
    <xf numFmtId="0" fontId="16" fillId="0" borderId="99" xfId="0" applyFont="1" applyBorder="1" applyAlignment="1">
      <alignment horizontal="center" textRotation="90" wrapText="1"/>
    </xf>
    <xf numFmtId="0" fontId="16" fillId="0" borderId="79" xfId="0" applyFont="1" applyBorder="1" applyAlignment="1">
      <alignment horizontal="center" textRotation="90" wrapText="1"/>
    </xf>
    <xf numFmtId="14" fontId="27" fillId="30" borderId="23" xfId="0" applyNumberFormat="1" applyFont="1" applyFill="1" applyBorder="1" applyAlignment="1">
      <alignment horizontal="center" vertical="center"/>
    </xf>
    <xf numFmtId="14" fontId="27" fillId="30" borderId="24" xfId="0" applyNumberFormat="1" applyFont="1" applyFill="1" applyBorder="1" applyAlignment="1">
      <alignment horizontal="center" vertical="center"/>
    </xf>
    <xf numFmtId="14" fontId="27" fillId="30" borderId="25" xfId="0" applyNumberFormat="1" applyFont="1" applyFill="1" applyBorder="1" applyAlignment="1">
      <alignment horizontal="center" vertical="center"/>
    </xf>
    <xf numFmtId="0" fontId="13" fillId="32" borderId="23" xfId="0" applyFont="1" applyFill="1" applyBorder="1" applyAlignment="1">
      <alignment horizontal="center" vertical="center" wrapText="1"/>
    </xf>
    <xf numFmtId="0" fontId="13" fillId="32" borderId="24" xfId="0" applyFont="1" applyFill="1" applyBorder="1" applyAlignment="1">
      <alignment horizontal="center" vertical="center" wrapText="1"/>
    </xf>
    <xf numFmtId="0" fontId="13" fillId="32" borderId="25" xfId="0" applyFont="1" applyFill="1" applyBorder="1" applyAlignment="1">
      <alignment horizontal="center" vertical="center" wrapText="1"/>
    </xf>
    <xf numFmtId="0" fontId="21" fillId="28" borderId="21" xfId="0" applyFont="1" applyFill="1" applyBorder="1" applyAlignment="1">
      <alignment horizontal="center" vertical="center" wrapText="1"/>
    </xf>
    <xf numFmtId="0" fontId="21" fillId="28" borderId="93" xfId="0" applyFont="1" applyFill="1" applyBorder="1" applyAlignment="1">
      <alignment horizontal="center" vertical="center" wrapText="1"/>
    </xf>
    <xf numFmtId="0" fontId="21" fillId="28" borderId="92" xfId="0" applyFont="1" applyFill="1" applyBorder="1" applyAlignment="1">
      <alignment horizontal="center" vertical="center" wrapText="1"/>
    </xf>
    <xf numFmtId="0" fontId="24" fillId="0" borderId="23" xfId="0" applyFont="1" applyBorder="1" applyAlignment="1">
      <alignment horizontal="center" vertical="center"/>
    </xf>
    <xf numFmtId="0" fontId="24" fillId="0" borderId="24" xfId="0" applyFont="1" applyBorder="1" applyAlignment="1">
      <alignment horizontal="center" vertical="center"/>
    </xf>
    <xf numFmtId="0" fontId="24" fillId="0" borderId="25" xfId="0" applyFont="1" applyBorder="1" applyAlignment="1">
      <alignment horizontal="center" vertical="center"/>
    </xf>
    <xf numFmtId="14" fontId="21" fillId="0" borderId="0" xfId="0" applyNumberFormat="1" applyFont="1" applyAlignment="1">
      <alignment horizontal="center" vertical="center"/>
    </xf>
    <xf numFmtId="0" fontId="16" fillId="0" borderId="68" xfId="0" applyFont="1" applyBorder="1" applyAlignment="1">
      <alignment horizontal="center" textRotation="90" wrapText="1"/>
    </xf>
    <xf numFmtId="0" fontId="16" fillId="0" borderId="64" xfId="0" applyFont="1" applyBorder="1" applyAlignment="1">
      <alignment horizontal="center" textRotation="90" wrapText="1"/>
    </xf>
    <xf numFmtId="0" fontId="10" fillId="0" borderId="46" xfId="0" applyFont="1" applyBorder="1" applyAlignment="1">
      <alignment horizontal="center" textRotation="90" wrapText="1"/>
    </xf>
    <xf numFmtId="0" fontId="10" fillId="0" borderId="47" xfId="0" applyFont="1" applyBorder="1" applyAlignment="1">
      <alignment horizontal="center" textRotation="90" wrapText="1"/>
    </xf>
    <xf numFmtId="0" fontId="21" fillId="29" borderId="59" xfId="0" applyFont="1" applyFill="1" applyBorder="1" applyAlignment="1">
      <alignment horizontal="center" vertical="center"/>
    </xf>
    <xf numFmtId="0" fontId="21" fillId="29" borderId="91" xfId="0" applyFont="1" applyFill="1" applyBorder="1" applyAlignment="1">
      <alignment horizontal="center" vertical="center"/>
    </xf>
    <xf numFmtId="0" fontId="21" fillId="29" borderId="93" xfId="0" applyFont="1" applyFill="1" applyBorder="1" applyAlignment="1">
      <alignment horizontal="center" vertical="center" wrapText="1"/>
    </xf>
    <xf numFmtId="0" fontId="21" fillId="29" borderId="92" xfId="0" applyFont="1" applyFill="1" applyBorder="1" applyAlignment="1">
      <alignment horizontal="center" vertical="center" wrapText="1"/>
    </xf>
    <xf numFmtId="0" fontId="10" fillId="27" borderId="75" xfId="0" applyFont="1" applyFill="1" applyBorder="1" applyAlignment="1">
      <alignment horizontal="center" vertical="center" wrapText="1"/>
    </xf>
    <xf numFmtId="0" fontId="10" fillId="27" borderId="97" xfId="0" applyFont="1" applyFill="1" applyBorder="1" applyAlignment="1">
      <alignment horizontal="center" vertical="center" wrapText="1"/>
    </xf>
    <xf numFmtId="0" fontId="13" fillId="28" borderId="23" xfId="0" applyFont="1" applyFill="1" applyBorder="1" applyAlignment="1">
      <alignment horizontal="center" vertical="center" wrapText="1"/>
    </xf>
    <xf numFmtId="0" fontId="13" fillId="28" borderId="24" xfId="0" applyFont="1" applyFill="1" applyBorder="1" applyAlignment="1">
      <alignment horizontal="center" vertical="center" wrapText="1"/>
    </xf>
    <xf numFmtId="0" fontId="13" fillId="28" borderId="25" xfId="0" applyFont="1" applyFill="1" applyBorder="1" applyAlignment="1">
      <alignment horizontal="center" vertical="center" wrapText="1"/>
    </xf>
    <xf numFmtId="0" fontId="13" fillId="0" borderId="0" xfId="0" applyFont="1" applyAlignment="1">
      <alignment horizontal="left" vertical="center"/>
    </xf>
    <xf numFmtId="0" fontId="21" fillId="32" borderId="19" xfId="0" applyFont="1" applyFill="1" applyBorder="1" applyAlignment="1">
      <alignment horizontal="center" vertical="center"/>
    </xf>
    <xf numFmtId="0" fontId="21" fillId="32" borderId="91" xfId="0" applyFont="1" applyFill="1" applyBorder="1" applyAlignment="1">
      <alignment horizontal="center" vertical="center"/>
    </xf>
    <xf numFmtId="0" fontId="21" fillId="32" borderId="21" xfId="0" applyFont="1" applyFill="1" applyBorder="1" applyAlignment="1">
      <alignment horizontal="center" vertical="center" wrapText="1"/>
    </xf>
    <xf numFmtId="0" fontId="21" fillId="32" borderId="92" xfId="0" applyFont="1" applyFill="1" applyBorder="1" applyAlignment="1">
      <alignment horizontal="center" vertical="center" wrapText="1"/>
    </xf>
    <xf numFmtId="0" fontId="10" fillId="27" borderId="98" xfId="0" applyFont="1" applyFill="1" applyBorder="1" applyAlignment="1">
      <alignment horizontal="center" vertical="center" wrapText="1"/>
    </xf>
    <xf numFmtId="0" fontId="10" fillId="27" borderId="74" xfId="0" applyFont="1" applyFill="1" applyBorder="1" applyAlignment="1">
      <alignment horizontal="center" vertical="center" wrapText="1"/>
    </xf>
    <xf numFmtId="0" fontId="10" fillId="0" borderId="38" xfId="0" applyFont="1" applyBorder="1" applyAlignment="1">
      <alignment horizontal="center" textRotation="90" wrapText="1"/>
    </xf>
    <xf numFmtId="0" fontId="0" fillId="0" borderId="44" xfId="0" applyBorder="1"/>
    <xf numFmtId="0" fontId="16" fillId="0" borderId="38" xfId="0" applyFont="1" applyBorder="1" applyAlignment="1">
      <alignment horizontal="center" textRotation="90" wrapText="1"/>
    </xf>
    <xf numFmtId="0" fontId="16" fillId="0" borderId="44" xfId="0" applyFont="1" applyBorder="1" applyAlignment="1">
      <alignment horizontal="center" textRotation="90" wrapText="1"/>
    </xf>
    <xf numFmtId="0" fontId="21" fillId="31" borderId="22" xfId="0" applyFont="1" applyFill="1" applyBorder="1" applyAlignment="1">
      <alignment horizontal="center" vertical="center"/>
    </xf>
    <xf numFmtId="0" fontId="10" fillId="0" borderId="82" xfId="0" applyFont="1" applyBorder="1" applyAlignment="1">
      <alignment horizontal="center" textRotation="90" wrapText="1"/>
    </xf>
    <xf numFmtId="0" fontId="10" fillId="0" borderId="96" xfId="0" applyFont="1" applyBorder="1" applyAlignment="1">
      <alignment horizontal="center" textRotation="90" wrapText="1"/>
    </xf>
    <xf numFmtId="0" fontId="21" fillId="28" borderId="19" xfId="0" applyFont="1" applyFill="1" applyBorder="1" applyAlignment="1">
      <alignment horizontal="center" vertical="center"/>
    </xf>
    <xf numFmtId="0" fontId="21" fillId="28" borderId="59" xfId="0" applyFont="1" applyFill="1" applyBorder="1" applyAlignment="1">
      <alignment horizontal="center" vertical="center"/>
    </xf>
    <xf numFmtId="0" fontId="21" fillId="28" borderId="91" xfId="0" applyFont="1" applyFill="1" applyBorder="1" applyAlignment="1">
      <alignment horizontal="center" vertical="center"/>
    </xf>
    <xf numFmtId="0" fontId="23" fillId="31" borderId="21" xfId="0" applyFont="1" applyFill="1" applyBorder="1" applyAlignment="1">
      <alignment horizontal="center" vertical="center" wrapText="1"/>
    </xf>
    <xf numFmtId="0" fontId="23" fillId="31" borderId="92" xfId="0" applyFont="1" applyFill="1" applyBorder="1" applyAlignment="1">
      <alignment horizontal="center" vertical="center" wrapText="1"/>
    </xf>
    <xf numFmtId="0" fontId="16" fillId="65" borderId="76" xfId="0" applyFont="1" applyFill="1" applyBorder="1" applyAlignment="1">
      <alignment horizontal="center" vertical="top" wrapText="1"/>
    </xf>
    <xf numFmtId="0" fontId="16" fillId="65" borderId="28" xfId="0" applyFont="1" applyFill="1" applyBorder="1" applyAlignment="1">
      <alignment horizontal="center" vertical="top" wrapText="1"/>
    </xf>
    <xf numFmtId="0" fontId="16" fillId="65" borderId="113" xfId="0" applyFont="1" applyFill="1" applyBorder="1" applyAlignment="1">
      <alignment horizontal="center" vertical="top" wrapText="1"/>
    </xf>
    <xf numFmtId="0" fontId="16" fillId="65" borderId="76" xfId="0" applyFont="1" applyFill="1" applyBorder="1" applyAlignment="1">
      <alignment horizontal="center" vertical="center" wrapText="1"/>
    </xf>
    <xf numFmtId="0" fontId="16" fillId="65" borderId="28" xfId="0" applyFont="1" applyFill="1" applyBorder="1" applyAlignment="1">
      <alignment horizontal="center" vertical="center" wrapText="1"/>
    </xf>
    <xf numFmtId="0" fontId="16" fillId="65" borderId="113" xfId="0" applyFont="1" applyFill="1" applyBorder="1" applyAlignment="1">
      <alignment horizontal="center" vertical="center" wrapText="1"/>
    </xf>
    <xf numFmtId="3" fontId="7" fillId="72" borderId="23" xfId="0" applyNumberFormat="1" applyFont="1" applyFill="1" applyBorder="1" applyAlignment="1">
      <alignment horizontal="center" vertical="center" wrapText="1"/>
    </xf>
    <xf numFmtId="3" fontId="7" fillId="72" borderId="24" xfId="0" applyNumberFormat="1" applyFont="1" applyFill="1" applyBorder="1" applyAlignment="1">
      <alignment horizontal="center" vertical="center" wrapText="1"/>
    </xf>
    <xf numFmtId="3" fontId="7" fillId="72" borderId="25" xfId="0" applyNumberFormat="1" applyFont="1" applyFill="1" applyBorder="1" applyAlignment="1">
      <alignment horizontal="center" vertical="center" wrapText="1"/>
    </xf>
    <xf numFmtId="0" fontId="24" fillId="86" borderId="23" xfId="0" applyFont="1" applyFill="1" applyBorder="1" applyAlignment="1">
      <alignment horizontal="center" vertical="center" wrapText="1"/>
    </xf>
    <xf numFmtId="0" fontId="24" fillId="86" borderId="24" xfId="0" applyFont="1" applyFill="1" applyBorder="1" applyAlignment="1">
      <alignment horizontal="center" vertical="center" wrapText="1"/>
    </xf>
    <xf numFmtId="0" fontId="24" fillId="86" borderId="25" xfId="0" applyFont="1" applyFill="1" applyBorder="1" applyAlignment="1">
      <alignment horizontal="center" vertical="center" wrapText="1"/>
    </xf>
    <xf numFmtId="0" fontId="13" fillId="0" borderId="18" xfId="0" applyFont="1" applyBorder="1" applyAlignment="1">
      <alignment horizontal="justify" vertical="center"/>
    </xf>
    <xf numFmtId="0" fontId="85" fillId="0" borderId="18" xfId="0" applyFont="1" applyBorder="1" applyAlignment="1">
      <alignment horizontal="justify" vertical="center"/>
    </xf>
    <xf numFmtId="0" fontId="90" fillId="0" borderId="18" xfId="0" applyFont="1" applyBorder="1" applyAlignment="1">
      <alignment horizontal="justify" vertical="center"/>
    </xf>
    <xf numFmtId="0" fontId="13" fillId="0" borderId="18" xfId="0" applyFont="1" applyBorder="1" applyAlignment="1">
      <alignment horizontal="justify" vertical="center" wrapText="1"/>
    </xf>
    <xf numFmtId="0" fontId="85" fillId="0" borderId="18" xfId="0" applyFont="1" applyBorder="1" applyAlignment="1">
      <alignment horizontal="justify" vertical="center" wrapText="1"/>
    </xf>
    <xf numFmtId="0" fontId="85" fillId="0" borderId="22" xfId="0" applyFont="1" applyBorder="1" applyAlignment="1">
      <alignment horizontal="justify" vertical="center" wrapText="1"/>
    </xf>
    <xf numFmtId="0" fontId="105" fillId="0" borderId="0" xfId="0" applyFont="1" applyAlignment="1">
      <alignment horizontal="left" vertical="center"/>
    </xf>
    <xf numFmtId="0" fontId="13" fillId="0" borderId="23" xfId="0" applyFont="1" applyBorder="1" applyAlignment="1">
      <alignment horizontal="left" vertical="center"/>
    </xf>
    <xf numFmtId="0" fontId="13" fillId="0" borderId="24" xfId="0" applyFont="1" applyBorder="1" applyAlignment="1">
      <alignment horizontal="left" vertical="center"/>
    </xf>
    <xf numFmtId="0" fontId="13" fillId="0" borderId="25" xfId="0" applyFont="1" applyBorder="1" applyAlignment="1">
      <alignment horizontal="left" vertical="center"/>
    </xf>
    <xf numFmtId="0" fontId="24" fillId="0" borderId="23" xfId="0" applyFont="1" applyBorder="1" applyAlignment="1">
      <alignment horizontal="left" vertical="center"/>
    </xf>
    <xf numFmtId="0" fontId="24" fillId="0" borderId="24" xfId="0" applyFont="1" applyBorder="1" applyAlignment="1">
      <alignment horizontal="left" vertical="center"/>
    </xf>
    <xf numFmtId="0" fontId="24" fillId="0" borderId="25" xfId="0" applyFont="1" applyBorder="1" applyAlignment="1">
      <alignment horizontal="left" vertical="center"/>
    </xf>
    <xf numFmtId="0" fontId="13" fillId="0" borderId="93" xfId="0" applyFont="1" applyBorder="1" applyAlignment="1">
      <alignment horizontal="left" vertical="center"/>
    </xf>
    <xf numFmtId="0" fontId="13" fillId="0" borderId="92" xfId="0" applyFont="1" applyBorder="1" applyAlignment="1">
      <alignment horizontal="left" vertical="center"/>
    </xf>
    <xf numFmtId="0" fontId="20" fillId="0" borderId="22" xfId="0" applyFont="1" applyBorder="1" applyAlignment="1">
      <alignment horizontal="center" vertical="center"/>
    </xf>
    <xf numFmtId="0" fontId="20" fillId="0" borderId="29" xfId="0" applyFont="1" applyBorder="1" applyAlignment="1">
      <alignment horizontal="center" vertical="center"/>
    </xf>
    <xf numFmtId="0" fontId="95" fillId="0" borderId="23" xfId="0" applyFont="1" applyBorder="1" applyAlignment="1">
      <alignment horizontal="left" vertical="center" wrapText="1"/>
    </xf>
    <xf numFmtId="0" fontId="95" fillId="0" borderId="25" xfId="0" applyFont="1" applyBorder="1" applyAlignment="1">
      <alignment horizontal="left" vertical="center" wrapText="1"/>
    </xf>
    <xf numFmtId="0" fontId="1" fillId="0" borderId="23" xfId="0" applyFont="1" applyBorder="1" applyAlignment="1">
      <alignment horizontal="left" vertical="center" wrapText="1"/>
    </xf>
    <xf numFmtId="0" fontId="27" fillId="0" borderId="18" xfId="0" applyFont="1" applyBorder="1" applyAlignment="1">
      <alignment horizontal="center" vertical="center"/>
    </xf>
    <xf numFmtId="0" fontId="20" fillId="0" borderId="18" xfId="0" applyFont="1" applyBorder="1" applyAlignment="1">
      <alignment horizontal="center" vertical="center"/>
    </xf>
    <xf numFmtId="0" fontId="27" fillId="0" borderId="19" xfId="0" applyFont="1" applyBorder="1" applyAlignment="1">
      <alignment horizontal="center" vertical="center" wrapText="1"/>
    </xf>
    <xf numFmtId="0" fontId="20" fillId="0" borderId="21" xfId="0" applyFont="1" applyBorder="1" applyAlignment="1">
      <alignment horizontal="center" vertical="center"/>
    </xf>
    <xf numFmtId="0" fontId="27" fillId="0" borderId="22" xfId="0" applyFont="1" applyBorder="1" applyAlignment="1">
      <alignment horizontal="center" vertical="center" wrapText="1"/>
    </xf>
    <xf numFmtId="0" fontId="27" fillId="0" borderId="29" xfId="0" applyFont="1" applyBorder="1" applyAlignment="1">
      <alignment horizontal="center" vertical="center" wrapText="1"/>
    </xf>
    <xf numFmtId="0" fontId="21" fillId="76" borderId="61" xfId="0" applyFont="1" applyFill="1" applyBorder="1" applyAlignment="1">
      <alignment horizontal="center" vertical="center" wrapText="1"/>
    </xf>
    <xf numFmtId="49" fontId="21" fillId="75" borderId="28" xfId="0" applyNumberFormat="1" applyFont="1" applyFill="1" applyBorder="1" applyAlignment="1">
      <alignment horizontal="center" vertical="center" wrapText="1"/>
    </xf>
    <xf numFmtId="0" fontId="97" fillId="73" borderId="0" xfId="0" applyFont="1" applyFill="1" applyAlignment="1">
      <alignment horizontal="center" vertical="center"/>
    </xf>
    <xf numFmtId="0" fontId="21" fillId="73" borderId="28" xfId="0" applyFont="1" applyFill="1" applyBorder="1" applyAlignment="1">
      <alignment horizontal="center" vertical="center" wrapText="1"/>
    </xf>
    <xf numFmtId="0" fontId="21" fillId="81" borderId="23" xfId="0" applyFont="1" applyFill="1" applyBorder="1" applyAlignment="1" applyProtection="1">
      <alignment horizontal="left" vertical="center" wrapText="1"/>
      <protection locked="0"/>
    </xf>
    <xf numFmtId="0" fontId="21" fillId="81" borderId="24" xfId="0" applyFont="1" applyFill="1" applyBorder="1" applyAlignment="1" applyProtection="1">
      <alignment horizontal="left" vertical="center" wrapText="1"/>
      <protection locked="0"/>
    </xf>
    <xf numFmtId="0" fontId="21" fillId="81" borderId="25" xfId="0" applyFont="1" applyFill="1" applyBorder="1" applyAlignment="1" applyProtection="1">
      <alignment horizontal="left" vertical="center" wrapText="1"/>
      <protection locked="0"/>
    </xf>
    <xf numFmtId="0" fontId="21" fillId="81" borderId="18" xfId="0" applyFont="1" applyFill="1" applyBorder="1" applyAlignment="1" applyProtection="1">
      <alignment horizontal="left" vertical="center" wrapText="1"/>
      <protection locked="0"/>
    </xf>
    <xf numFmtId="0" fontId="0" fillId="81" borderId="18" xfId="0" applyFill="1" applyBorder="1" applyAlignment="1" applyProtection="1">
      <alignment horizontal="left" vertical="center"/>
      <protection locked="0"/>
    </xf>
    <xf numFmtId="0" fontId="0" fillId="0" borderId="18" xfId="0" applyBorder="1" applyProtection="1">
      <protection locked="0"/>
    </xf>
    <xf numFmtId="0" fontId="12" fillId="0" borderId="18" xfId="0" applyFont="1" applyBorder="1" applyAlignment="1">
      <alignment horizontal="center" vertical="center"/>
    </xf>
    <xf numFmtId="0" fontId="27" fillId="0" borderId="18" xfId="0" applyFont="1" applyBorder="1" applyAlignment="1">
      <alignment horizontal="left" vertical="center" wrapText="1"/>
    </xf>
    <xf numFmtId="0" fontId="12" fillId="0" borderId="18" xfId="0" applyFont="1" applyBorder="1" applyAlignment="1">
      <alignment horizontal="left" vertical="center"/>
    </xf>
    <xf numFmtId="0" fontId="0" fillId="0" borderId="18" xfId="0" applyBorder="1"/>
  </cellXfs>
  <cellStyles count="1132">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2 3" xfId="6" xr:uid="{00000000-0005-0000-0000-000005000000}"/>
    <cellStyle name="20 % - Akzent1 2 3 3" xfId="7" xr:uid="{00000000-0005-0000-0000-000006000000}"/>
    <cellStyle name="20 % - Akzent1 2 4" xfId="8" xr:uid="{00000000-0005-0000-0000-000007000000}"/>
    <cellStyle name="20 % - Akzent1 3" xfId="9" xr:uid="{00000000-0005-0000-0000-000008000000}"/>
    <cellStyle name="20 % - Akzent1 3 2" xfId="10" xr:uid="{00000000-0005-0000-0000-000009000000}"/>
    <cellStyle name="20 % - Akzent1 3 2 2" xfId="584" xr:uid="{00000000-0005-0000-0000-00000A000000}"/>
    <cellStyle name="20 % - Akzent1 3 2 3" xfId="585" xr:uid="{00000000-0005-0000-0000-00000B000000}"/>
    <cellStyle name="20 % - Akzent1 3 2 4" xfId="586" xr:uid="{00000000-0005-0000-0000-00000C000000}"/>
    <cellStyle name="20 % - Akzent1 3 3" xfId="11" xr:uid="{00000000-0005-0000-0000-00000D000000}"/>
    <cellStyle name="20 % - Akzent1 3 4" xfId="587" xr:uid="{00000000-0005-0000-0000-00000E000000}"/>
    <cellStyle name="20 % - Akzent1 3 5" xfId="588" xr:uid="{00000000-0005-0000-0000-00000F000000}"/>
    <cellStyle name="20 % - Akzent1 4" xfId="12" xr:uid="{00000000-0005-0000-0000-000010000000}"/>
    <cellStyle name="20 % - Akzent1 4 2" xfId="13" xr:uid="{00000000-0005-0000-0000-000011000000}"/>
    <cellStyle name="20 % - Akzent1 4 2 2" xfId="589" xr:uid="{00000000-0005-0000-0000-000012000000}"/>
    <cellStyle name="20 % - Akzent1 4 2 3" xfId="590" xr:uid="{00000000-0005-0000-0000-000013000000}"/>
    <cellStyle name="20 % - Akzent1 4 2 4" xfId="591" xr:uid="{00000000-0005-0000-0000-000014000000}"/>
    <cellStyle name="20 % - Akzent1 4 3" xfId="14" xr:uid="{00000000-0005-0000-0000-000015000000}"/>
    <cellStyle name="20 % - Akzent1 4 4" xfId="592" xr:uid="{00000000-0005-0000-0000-000016000000}"/>
    <cellStyle name="20 % - Akzent1 4 5" xfId="593" xr:uid="{00000000-0005-0000-0000-000017000000}"/>
    <cellStyle name="20 % - Akzent1 5" xfId="15" xr:uid="{00000000-0005-0000-0000-000018000000}"/>
    <cellStyle name="20 % - Akzent1 5 2" xfId="594" xr:uid="{00000000-0005-0000-0000-000019000000}"/>
    <cellStyle name="20 % - Akzent1 5 3" xfId="595" xr:uid="{00000000-0005-0000-0000-00001A000000}"/>
    <cellStyle name="20 % - Akzent1 5 4" xfId="596" xr:uid="{00000000-0005-0000-0000-00001B000000}"/>
    <cellStyle name="20 % - Akzent1 6" xfId="16" xr:uid="{00000000-0005-0000-0000-00001C000000}"/>
    <cellStyle name="20 % - Akzent1 7" xfId="17" xr:uid="{00000000-0005-0000-0000-00001D000000}"/>
    <cellStyle name="20 % - Akzent2 2" xfId="18" xr:uid="{00000000-0005-0000-0000-00001E000000}"/>
    <cellStyle name="20 % - Akzent2 2 2" xfId="19" xr:uid="{00000000-0005-0000-0000-00001F000000}"/>
    <cellStyle name="20 % - Akzent2 2 3" xfId="20" xr:uid="{00000000-0005-0000-0000-000020000000}"/>
    <cellStyle name="20 % - Akzent2 2 3 2" xfId="21" xr:uid="{00000000-0005-0000-0000-000021000000}"/>
    <cellStyle name="20 % - Akzent2 2 3 2 2" xfId="22" xr:uid="{00000000-0005-0000-0000-000022000000}"/>
    <cellStyle name="20 % - Akzent2 2 3 2 3" xfId="23" xr:uid="{00000000-0005-0000-0000-000023000000}"/>
    <cellStyle name="20 % - Akzent2 2 3 3" xfId="24" xr:uid="{00000000-0005-0000-0000-000024000000}"/>
    <cellStyle name="20 % - Akzent2 2 4" xfId="25" xr:uid="{00000000-0005-0000-0000-000025000000}"/>
    <cellStyle name="20 % - Akzent2 3" xfId="26" xr:uid="{00000000-0005-0000-0000-000026000000}"/>
    <cellStyle name="20 % - Akzent2 3 2" xfId="27" xr:uid="{00000000-0005-0000-0000-000027000000}"/>
    <cellStyle name="20 % - Akzent2 3 2 2" xfId="597" xr:uid="{00000000-0005-0000-0000-000028000000}"/>
    <cellStyle name="20 % - Akzent2 3 2 3" xfId="598" xr:uid="{00000000-0005-0000-0000-000029000000}"/>
    <cellStyle name="20 % - Akzent2 3 2 4" xfId="599" xr:uid="{00000000-0005-0000-0000-00002A000000}"/>
    <cellStyle name="20 % - Akzent2 3 3" xfId="28" xr:uid="{00000000-0005-0000-0000-00002B000000}"/>
    <cellStyle name="20 % - Akzent2 3 4" xfId="600" xr:uid="{00000000-0005-0000-0000-00002C000000}"/>
    <cellStyle name="20 % - Akzent2 3 5" xfId="601" xr:uid="{00000000-0005-0000-0000-00002D000000}"/>
    <cellStyle name="20 % - Akzent2 4" xfId="29" xr:uid="{00000000-0005-0000-0000-00002E000000}"/>
    <cellStyle name="20 % - Akzent2 4 2" xfId="30" xr:uid="{00000000-0005-0000-0000-00002F000000}"/>
    <cellStyle name="20 % - Akzent2 4 2 2" xfId="602" xr:uid="{00000000-0005-0000-0000-000030000000}"/>
    <cellStyle name="20 % - Akzent2 4 2 3" xfId="603" xr:uid="{00000000-0005-0000-0000-000031000000}"/>
    <cellStyle name="20 % - Akzent2 4 2 4" xfId="604" xr:uid="{00000000-0005-0000-0000-000032000000}"/>
    <cellStyle name="20 % - Akzent2 4 3" xfId="31" xr:uid="{00000000-0005-0000-0000-000033000000}"/>
    <cellStyle name="20 % - Akzent2 4 4" xfId="605" xr:uid="{00000000-0005-0000-0000-000034000000}"/>
    <cellStyle name="20 % - Akzent2 4 5" xfId="606" xr:uid="{00000000-0005-0000-0000-000035000000}"/>
    <cellStyle name="20 % - Akzent2 5" xfId="32" xr:uid="{00000000-0005-0000-0000-000036000000}"/>
    <cellStyle name="20 % - Akzent2 5 2" xfId="607" xr:uid="{00000000-0005-0000-0000-000037000000}"/>
    <cellStyle name="20 % - Akzent2 5 3" xfId="608" xr:uid="{00000000-0005-0000-0000-000038000000}"/>
    <cellStyle name="20 % - Akzent2 5 4" xfId="609" xr:uid="{00000000-0005-0000-0000-000039000000}"/>
    <cellStyle name="20 % - Akzent2 6" xfId="33" xr:uid="{00000000-0005-0000-0000-00003A000000}"/>
    <cellStyle name="20 % - Akzent2 7" xfId="34" xr:uid="{00000000-0005-0000-0000-00003B000000}"/>
    <cellStyle name="20 % - Akzent3 2" xfId="35" xr:uid="{00000000-0005-0000-0000-00003C000000}"/>
    <cellStyle name="20 % - Akzent3 2 2" xfId="36" xr:uid="{00000000-0005-0000-0000-00003D000000}"/>
    <cellStyle name="20 % - Akzent3 2 3" xfId="37" xr:uid="{00000000-0005-0000-0000-00003E000000}"/>
    <cellStyle name="20 % - Akzent3 2 3 2" xfId="38" xr:uid="{00000000-0005-0000-0000-00003F000000}"/>
    <cellStyle name="20 % - Akzent3 2 3 2 2" xfId="39" xr:uid="{00000000-0005-0000-0000-000040000000}"/>
    <cellStyle name="20 % - Akzent3 2 3 2 3" xfId="40" xr:uid="{00000000-0005-0000-0000-000041000000}"/>
    <cellStyle name="20 % - Akzent3 2 3 3" xfId="41" xr:uid="{00000000-0005-0000-0000-000042000000}"/>
    <cellStyle name="20 % - Akzent3 2 4" xfId="42" xr:uid="{00000000-0005-0000-0000-000043000000}"/>
    <cellStyle name="20 % - Akzent3 3" xfId="43" xr:uid="{00000000-0005-0000-0000-000044000000}"/>
    <cellStyle name="20 % - Akzent3 3 2" xfId="44" xr:uid="{00000000-0005-0000-0000-000045000000}"/>
    <cellStyle name="20 % - Akzent3 3 2 2" xfId="610" xr:uid="{00000000-0005-0000-0000-000046000000}"/>
    <cellStyle name="20 % - Akzent3 3 2 3" xfId="611" xr:uid="{00000000-0005-0000-0000-000047000000}"/>
    <cellStyle name="20 % - Akzent3 3 2 4" xfId="612" xr:uid="{00000000-0005-0000-0000-000048000000}"/>
    <cellStyle name="20 % - Akzent3 3 3" xfId="45" xr:uid="{00000000-0005-0000-0000-000049000000}"/>
    <cellStyle name="20 % - Akzent3 3 4" xfId="613" xr:uid="{00000000-0005-0000-0000-00004A000000}"/>
    <cellStyle name="20 % - Akzent3 3 5" xfId="614" xr:uid="{00000000-0005-0000-0000-00004B000000}"/>
    <cellStyle name="20 % - Akzent3 4" xfId="46" xr:uid="{00000000-0005-0000-0000-00004C000000}"/>
    <cellStyle name="20 % - Akzent3 4 2" xfId="47" xr:uid="{00000000-0005-0000-0000-00004D000000}"/>
    <cellStyle name="20 % - Akzent3 4 2 2" xfId="615" xr:uid="{00000000-0005-0000-0000-00004E000000}"/>
    <cellStyle name="20 % - Akzent3 4 2 3" xfId="616" xr:uid="{00000000-0005-0000-0000-00004F000000}"/>
    <cellStyle name="20 % - Akzent3 4 2 4" xfId="617" xr:uid="{00000000-0005-0000-0000-000050000000}"/>
    <cellStyle name="20 % - Akzent3 4 3" xfId="48" xr:uid="{00000000-0005-0000-0000-000051000000}"/>
    <cellStyle name="20 % - Akzent3 4 4" xfId="618" xr:uid="{00000000-0005-0000-0000-000052000000}"/>
    <cellStyle name="20 % - Akzent3 4 5" xfId="619" xr:uid="{00000000-0005-0000-0000-000053000000}"/>
    <cellStyle name="20 % - Akzent3 5" xfId="49" xr:uid="{00000000-0005-0000-0000-000054000000}"/>
    <cellStyle name="20 % - Akzent3 5 2" xfId="620" xr:uid="{00000000-0005-0000-0000-000055000000}"/>
    <cellStyle name="20 % - Akzent3 5 3" xfId="621" xr:uid="{00000000-0005-0000-0000-000056000000}"/>
    <cellStyle name="20 % - Akzent3 5 4" xfId="622" xr:uid="{00000000-0005-0000-0000-000057000000}"/>
    <cellStyle name="20 % - Akzent3 6" xfId="50" xr:uid="{00000000-0005-0000-0000-000058000000}"/>
    <cellStyle name="20 % - Akzent3 7" xfId="51" xr:uid="{00000000-0005-0000-0000-000059000000}"/>
    <cellStyle name="20 % - Akzent4 2" xfId="52" xr:uid="{00000000-0005-0000-0000-00005A000000}"/>
    <cellStyle name="20 % - Akzent4 2 2" xfId="53" xr:uid="{00000000-0005-0000-0000-00005B000000}"/>
    <cellStyle name="20 % - Akzent4 2 3" xfId="54" xr:uid="{00000000-0005-0000-0000-00005C000000}"/>
    <cellStyle name="20 % - Akzent4 2 3 2" xfId="55" xr:uid="{00000000-0005-0000-0000-00005D000000}"/>
    <cellStyle name="20 % - Akzent4 2 3 2 2" xfId="56" xr:uid="{00000000-0005-0000-0000-00005E000000}"/>
    <cellStyle name="20 % - Akzent4 2 3 2 3" xfId="57" xr:uid="{00000000-0005-0000-0000-00005F000000}"/>
    <cellStyle name="20 % - Akzent4 2 3 3" xfId="58" xr:uid="{00000000-0005-0000-0000-000060000000}"/>
    <cellStyle name="20 % - Akzent4 2 4" xfId="59" xr:uid="{00000000-0005-0000-0000-000061000000}"/>
    <cellStyle name="20 % - Akzent4 3" xfId="60" xr:uid="{00000000-0005-0000-0000-000062000000}"/>
    <cellStyle name="20 % - Akzent4 3 2" xfId="61" xr:uid="{00000000-0005-0000-0000-000063000000}"/>
    <cellStyle name="20 % - Akzent4 3 2 2" xfId="623" xr:uid="{00000000-0005-0000-0000-000064000000}"/>
    <cellStyle name="20 % - Akzent4 3 2 3" xfId="624" xr:uid="{00000000-0005-0000-0000-000065000000}"/>
    <cellStyle name="20 % - Akzent4 3 2 4" xfId="625" xr:uid="{00000000-0005-0000-0000-000066000000}"/>
    <cellStyle name="20 % - Akzent4 3 3" xfId="62" xr:uid="{00000000-0005-0000-0000-000067000000}"/>
    <cellStyle name="20 % - Akzent4 3 4" xfId="626" xr:uid="{00000000-0005-0000-0000-000068000000}"/>
    <cellStyle name="20 % - Akzent4 3 5" xfId="627" xr:uid="{00000000-0005-0000-0000-000069000000}"/>
    <cellStyle name="20 % - Akzent4 4" xfId="63" xr:uid="{00000000-0005-0000-0000-00006A000000}"/>
    <cellStyle name="20 % - Akzent4 4 2" xfId="64" xr:uid="{00000000-0005-0000-0000-00006B000000}"/>
    <cellStyle name="20 % - Akzent4 4 2 2" xfId="628" xr:uid="{00000000-0005-0000-0000-00006C000000}"/>
    <cellStyle name="20 % - Akzent4 4 2 3" xfId="629" xr:uid="{00000000-0005-0000-0000-00006D000000}"/>
    <cellStyle name="20 % - Akzent4 4 2 4" xfId="630" xr:uid="{00000000-0005-0000-0000-00006E000000}"/>
    <cellStyle name="20 % - Akzent4 4 3" xfId="65" xr:uid="{00000000-0005-0000-0000-00006F000000}"/>
    <cellStyle name="20 % - Akzent4 4 4" xfId="631" xr:uid="{00000000-0005-0000-0000-000070000000}"/>
    <cellStyle name="20 % - Akzent4 4 5" xfId="632" xr:uid="{00000000-0005-0000-0000-000071000000}"/>
    <cellStyle name="20 % - Akzent4 5" xfId="66" xr:uid="{00000000-0005-0000-0000-000072000000}"/>
    <cellStyle name="20 % - Akzent4 5 2" xfId="633" xr:uid="{00000000-0005-0000-0000-000073000000}"/>
    <cellStyle name="20 % - Akzent4 5 3" xfId="634" xr:uid="{00000000-0005-0000-0000-000074000000}"/>
    <cellStyle name="20 % - Akzent4 5 4" xfId="635" xr:uid="{00000000-0005-0000-0000-000075000000}"/>
    <cellStyle name="20 % - Akzent4 6" xfId="67" xr:uid="{00000000-0005-0000-0000-000076000000}"/>
    <cellStyle name="20 % - Akzent4 7" xfId="68" xr:uid="{00000000-0005-0000-0000-000077000000}"/>
    <cellStyle name="20 % - Akzent5 2" xfId="69" xr:uid="{00000000-0005-0000-0000-000078000000}"/>
    <cellStyle name="20 % - Akzent5 2 2" xfId="70" xr:uid="{00000000-0005-0000-0000-000079000000}"/>
    <cellStyle name="20 % - Akzent5 2 2 2" xfId="71" xr:uid="{00000000-0005-0000-0000-00007A000000}"/>
    <cellStyle name="20 % - Akzent5 2 2 3" xfId="72" xr:uid="{00000000-0005-0000-0000-00007B000000}"/>
    <cellStyle name="20 % - Akzent5 2 3" xfId="73" xr:uid="{00000000-0005-0000-0000-00007C000000}"/>
    <cellStyle name="20 % - Akzent5 3" xfId="74" xr:uid="{00000000-0005-0000-0000-00007D000000}"/>
    <cellStyle name="20 % - Akzent5 3 2" xfId="75" xr:uid="{00000000-0005-0000-0000-00007E000000}"/>
    <cellStyle name="20 % - Akzent5 3 2 2" xfId="636" xr:uid="{00000000-0005-0000-0000-00007F000000}"/>
    <cellStyle name="20 % - Akzent5 3 2 3" xfId="637" xr:uid="{00000000-0005-0000-0000-000080000000}"/>
    <cellStyle name="20 % - Akzent5 3 2 4" xfId="638" xr:uid="{00000000-0005-0000-0000-000081000000}"/>
    <cellStyle name="20 % - Akzent5 3 3" xfId="76" xr:uid="{00000000-0005-0000-0000-000082000000}"/>
    <cellStyle name="20 % - Akzent5 3 4" xfId="639" xr:uid="{00000000-0005-0000-0000-000083000000}"/>
    <cellStyle name="20 % - Akzent5 3 5" xfId="640" xr:uid="{00000000-0005-0000-0000-000084000000}"/>
    <cellStyle name="20 % - Akzent5 4" xfId="77" xr:uid="{00000000-0005-0000-0000-000085000000}"/>
    <cellStyle name="20 % - Akzent5 4 2" xfId="78" xr:uid="{00000000-0005-0000-0000-000086000000}"/>
    <cellStyle name="20 % - Akzent5 4 2 2" xfId="641" xr:uid="{00000000-0005-0000-0000-000087000000}"/>
    <cellStyle name="20 % - Akzent5 4 2 3" xfId="642" xr:uid="{00000000-0005-0000-0000-000088000000}"/>
    <cellStyle name="20 % - Akzent5 4 2 4" xfId="643" xr:uid="{00000000-0005-0000-0000-000089000000}"/>
    <cellStyle name="20 % - Akzent5 4 3" xfId="79" xr:uid="{00000000-0005-0000-0000-00008A000000}"/>
    <cellStyle name="20 % - Akzent5 4 4" xfId="644" xr:uid="{00000000-0005-0000-0000-00008B000000}"/>
    <cellStyle name="20 % - Akzent5 4 5" xfId="645" xr:uid="{00000000-0005-0000-0000-00008C000000}"/>
    <cellStyle name="20 % - Akzent5 5" xfId="80" xr:uid="{00000000-0005-0000-0000-00008D000000}"/>
    <cellStyle name="20 % - Akzent5 5 2" xfId="646" xr:uid="{00000000-0005-0000-0000-00008E000000}"/>
    <cellStyle name="20 % - Akzent5 5 3" xfId="647" xr:uid="{00000000-0005-0000-0000-00008F000000}"/>
    <cellStyle name="20 % - Akzent5 5 4" xfId="648" xr:uid="{00000000-0005-0000-0000-000090000000}"/>
    <cellStyle name="20 % - Akzent5 6" xfId="81" xr:uid="{00000000-0005-0000-0000-000091000000}"/>
    <cellStyle name="20 % - Akzent5 7" xfId="82" xr:uid="{00000000-0005-0000-0000-000092000000}"/>
    <cellStyle name="20 % - Akzent6 2" xfId="83" xr:uid="{00000000-0005-0000-0000-000093000000}"/>
    <cellStyle name="20 % - Akzent6 3" xfId="84" xr:uid="{00000000-0005-0000-0000-000094000000}"/>
    <cellStyle name="20 % - Akzent6 3 2" xfId="85" xr:uid="{00000000-0005-0000-0000-000095000000}"/>
    <cellStyle name="20 % - Akzent6 3 2 2" xfId="649" xr:uid="{00000000-0005-0000-0000-000096000000}"/>
    <cellStyle name="20 % - Akzent6 3 2 3" xfId="650" xr:uid="{00000000-0005-0000-0000-000097000000}"/>
    <cellStyle name="20 % - Akzent6 3 2 4" xfId="651" xr:uid="{00000000-0005-0000-0000-000098000000}"/>
    <cellStyle name="20 % - Akzent6 3 3" xfId="86" xr:uid="{00000000-0005-0000-0000-000099000000}"/>
    <cellStyle name="20 % - Akzent6 3 4" xfId="652" xr:uid="{00000000-0005-0000-0000-00009A000000}"/>
    <cellStyle name="20 % - Akzent6 3 5" xfId="653" xr:uid="{00000000-0005-0000-0000-00009B000000}"/>
    <cellStyle name="20 % - Akzent6 4" xfId="87" xr:uid="{00000000-0005-0000-0000-00009C000000}"/>
    <cellStyle name="20 % - Akzent6 4 2" xfId="88" xr:uid="{00000000-0005-0000-0000-00009D000000}"/>
    <cellStyle name="20 % - Akzent6 4 2 2" xfId="654" xr:uid="{00000000-0005-0000-0000-00009E000000}"/>
    <cellStyle name="20 % - Akzent6 4 2 3" xfId="655" xr:uid="{00000000-0005-0000-0000-00009F000000}"/>
    <cellStyle name="20 % - Akzent6 4 2 4" xfId="656" xr:uid="{00000000-0005-0000-0000-0000A0000000}"/>
    <cellStyle name="20 % - Akzent6 4 3" xfId="89" xr:uid="{00000000-0005-0000-0000-0000A1000000}"/>
    <cellStyle name="20 % - Akzent6 4 4" xfId="657" xr:uid="{00000000-0005-0000-0000-0000A2000000}"/>
    <cellStyle name="20 % - Akzent6 4 5" xfId="658" xr:uid="{00000000-0005-0000-0000-0000A3000000}"/>
    <cellStyle name="20 % - Akzent6 5" xfId="90" xr:uid="{00000000-0005-0000-0000-0000A4000000}"/>
    <cellStyle name="20 % - Akzent6 5 2" xfId="659" xr:uid="{00000000-0005-0000-0000-0000A5000000}"/>
    <cellStyle name="20 % - Akzent6 5 3" xfId="660" xr:uid="{00000000-0005-0000-0000-0000A6000000}"/>
    <cellStyle name="20 % - Akzent6 5 4" xfId="661" xr:uid="{00000000-0005-0000-0000-0000A7000000}"/>
    <cellStyle name="20 % - Akzent6 6" xfId="91" xr:uid="{00000000-0005-0000-0000-0000A8000000}"/>
    <cellStyle name="20 % - Akzent6 7" xfId="92" xr:uid="{00000000-0005-0000-0000-0000A9000000}"/>
    <cellStyle name="40 % - Akzent1 2" xfId="93" xr:uid="{00000000-0005-0000-0000-0000AA000000}"/>
    <cellStyle name="40 % - Akzent1 2 2" xfId="94" xr:uid="{00000000-0005-0000-0000-0000AB000000}"/>
    <cellStyle name="40 % - Akzent1 2 3" xfId="95" xr:uid="{00000000-0005-0000-0000-0000AC000000}"/>
    <cellStyle name="40 % - Akzent1 3" xfId="96" xr:uid="{00000000-0005-0000-0000-0000AD000000}"/>
    <cellStyle name="40 % - Akzent1 3 2" xfId="97" xr:uid="{00000000-0005-0000-0000-0000AE000000}"/>
    <cellStyle name="40 % - Akzent1 3 2 2" xfId="662" xr:uid="{00000000-0005-0000-0000-0000AF000000}"/>
    <cellStyle name="40 % - Akzent1 3 2 3" xfId="663" xr:uid="{00000000-0005-0000-0000-0000B0000000}"/>
    <cellStyle name="40 % - Akzent1 3 2 4" xfId="664" xr:uid="{00000000-0005-0000-0000-0000B1000000}"/>
    <cellStyle name="40 % - Akzent1 3 3" xfId="98" xr:uid="{00000000-0005-0000-0000-0000B2000000}"/>
    <cellStyle name="40 % - Akzent1 3 4" xfId="665" xr:uid="{00000000-0005-0000-0000-0000B3000000}"/>
    <cellStyle name="40 % - Akzent1 3 5" xfId="666" xr:uid="{00000000-0005-0000-0000-0000B4000000}"/>
    <cellStyle name="40 % - Akzent1 4" xfId="99" xr:uid="{00000000-0005-0000-0000-0000B5000000}"/>
    <cellStyle name="40 % - Akzent1 4 2" xfId="100" xr:uid="{00000000-0005-0000-0000-0000B6000000}"/>
    <cellStyle name="40 % - Akzent1 4 2 2" xfId="667" xr:uid="{00000000-0005-0000-0000-0000B7000000}"/>
    <cellStyle name="40 % - Akzent1 4 2 3" xfId="668" xr:uid="{00000000-0005-0000-0000-0000B8000000}"/>
    <cellStyle name="40 % - Akzent1 4 2 4" xfId="669" xr:uid="{00000000-0005-0000-0000-0000B9000000}"/>
    <cellStyle name="40 % - Akzent1 4 3" xfId="101" xr:uid="{00000000-0005-0000-0000-0000BA000000}"/>
    <cellStyle name="40 % - Akzent1 4 4" xfId="670" xr:uid="{00000000-0005-0000-0000-0000BB000000}"/>
    <cellStyle name="40 % - Akzent1 4 5" xfId="671" xr:uid="{00000000-0005-0000-0000-0000BC000000}"/>
    <cellStyle name="40 % - Akzent1 5" xfId="102" xr:uid="{00000000-0005-0000-0000-0000BD000000}"/>
    <cellStyle name="40 % - Akzent1 5 2" xfId="672" xr:uid="{00000000-0005-0000-0000-0000BE000000}"/>
    <cellStyle name="40 % - Akzent1 5 3" xfId="673" xr:uid="{00000000-0005-0000-0000-0000BF000000}"/>
    <cellStyle name="40 % - Akzent1 5 4" xfId="674" xr:uid="{00000000-0005-0000-0000-0000C0000000}"/>
    <cellStyle name="40 % - Akzent1 6" xfId="103" xr:uid="{00000000-0005-0000-0000-0000C1000000}"/>
    <cellStyle name="40 % - Akzent1 7" xfId="104" xr:uid="{00000000-0005-0000-0000-0000C2000000}"/>
    <cellStyle name="40 % - Akzent2 2" xfId="105" xr:uid="{00000000-0005-0000-0000-0000C3000000}"/>
    <cellStyle name="40 % - Akzent2 3" xfId="106" xr:uid="{00000000-0005-0000-0000-0000C4000000}"/>
    <cellStyle name="40 % - Akzent2 3 2" xfId="107" xr:uid="{00000000-0005-0000-0000-0000C5000000}"/>
    <cellStyle name="40 % - Akzent2 3 2 2" xfId="675" xr:uid="{00000000-0005-0000-0000-0000C6000000}"/>
    <cellStyle name="40 % - Akzent2 3 2 3" xfId="676" xr:uid="{00000000-0005-0000-0000-0000C7000000}"/>
    <cellStyle name="40 % - Akzent2 3 2 4" xfId="677" xr:uid="{00000000-0005-0000-0000-0000C8000000}"/>
    <cellStyle name="40 % - Akzent2 3 3" xfId="108" xr:uid="{00000000-0005-0000-0000-0000C9000000}"/>
    <cellStyle name="40 % - Akzent2 3 4" xfId="678" xr:uid="{00000000-0005-0000-0000-0000CA000000}"/>
    <cellStyle name="40 % - Akzent2 3 5" xfId="679" xr:uid="{00000000-0005-0000-0000-0000CB000000}"/>
    <cellStyle name="40 % - Akzent2 4" xfId="109" xr:uid="{00000000-0005-0000-0000-0000CC000000}"/>
    <cellStyle name="40 % - Akzent2 4 2" xfId="110" xr:uid="{00000000-0005-0000-0000-0000CD000000}"/>
    <cellStyle name="40 % - Akzent2 4 2 2" xfId="680" xr:uid="{00000000-0005-0000-0000-0000CE000000}"/>
    <cellStyle name="40 % - Akzent2 4 2 3" xfId="681" xr:uid="{00000000-0005-0000-0000-0000CF000000}"/>
    <cellStyle name="40 % - Akzent2 4 2 4" xfId="682" xr:uid="{00000000-0005-0000-0000-0000D0000000}"/>
    <cellStyle name="40 % - Akzent2 4 3" xfId="111" xr:uid="{00000000-0005-0000-0000-0000D1000000}"/>
    <cellStyle name="40 % - Akzent2 4 4" xfId="683" xr:uid="{00000000-0005-0000-0000-0000D2000000}"/>
    <cellStyle name="40 % - Akzent2 4 5" xfId="684" xr:uid="{00000000-0005-0000-0000-0000D3000000}"/>
    <cellStyle name="40 % - Akzent2 5" xfId="112" xr:uid="{00000000-0005-0000-0000-0000D4000000}"/>
    <cellStyle name="40 % - Akzent2 5 2" xfId="685" xr:uid="{00000000-0005-0000-0000-0000D5000000}"/>
    <cellStyle name="40 % - Akzent2 5 3" xfId="686" xr:uid="{00000000-0005-0000-0000-0000D6000000}"/>
    <cellStyle name="40 % - Akzent2 5 4" xfId="687" xr:uid="{00000000-0005-0000-0000-0000D7000000}"/>
    <cellStyle name="40 % - Akzent2 6" xfId="113" xr:uid="{00000000-0005-0000-0000-0000D8000000}"/>
    <cellStyle name="40 % - Akzent2 7" xfId="114" xr:uid="{00000000-0005-0000-0000-0000D9000000}"/>
    <cellStyle name="40 % - Akzent3 2" xfId="115" xr:uid="{00000000-0005-0000-0000-0000DA000000}"/>
    <cellStyle name="40 % - Akzent3 2 2" xfId="116" xr:uid="{00000000-0005-0000-0000-0000DB000000}"/>
    <cellStyle name="40 % - Akzent3 2 3" xfId="117" xr:uid="{00000000-0005-0000-0000-0000DC000000}"/>
    <cellStyle name="40 % - Akzent3 2 3 2" xfId="118" xr:uid="{00000000-0005-0000-0000-0000DD000000}"/>
    <cellStyle name="40 % - Akzent3 2 3 2 2" xfId="119" xr:uid="{00000000-0005-0000-0000-0000DE000000}"/>
    <cellStyle name="40 % - Akzent3 2 3 2 3" xfId="120" xr:uid="{00000000-0005-0000-0000-0000DF000000}"/>
    <cellStyle name="40 % - Akzent3 2 3 3" xfId="121" xr:uid="{00000000-0005-0000-0000-0000E0000000}"/>
    <cellStyle name="40 % - Akzent3 2 4" xfId="122" xr:uid="{00000000-0005-0000-0000-0000E1000000}"/>
    <cellStyle name="40 % - Akzent3 3" xfId="123" xr:uid="{00000000-0005-0000-0000-0000E2000000}"/>
    <cellStyle name="40 % - Akzent3 3 2" xfId="124" xr:uid="{00000000-0005-0000-0000-0000E3000000}"/>
    <cellStyle name="40 % - Akzent3 3 2 2" xfId="688" xr:uid="{00000000-0005-0000-0000-0000E4000000}"/>
    <cellStyle name="40 % - Akzent3 3 2 3" xfId="689" xr:uid="{00000000-0005-0000-0000-0000E5000000}"/>
    <cellStyle name="40 % - Akzent3 3 2 4" xfId="690" xr:uid="{00000000-0005-0000-0000-0000E6000000}"/>
    <cellStyle name="40 % - Akzent3 3 3" xfId="125" xr:uid="{00000000-0005-0000-0000-0000E7000000}"/>
    <cellStyle name="40 % - Akzent3 3 4" xfId="691" xr:uid="{00000000-0005-0000-0000-0000E8000000}"/>
    <cellStyle name="40 % - Akzent3 3 5" xfId="692" xr:uid="{00000000-0005-0000-0000-0000E9000000}"/>
    <cellStyle name="40 % - Akzent3 4" xfId="126" xr:uid="{00000000-0005-0000-0000-0000EA000000}"/>
    <cellStyle name="40 % - Akzent3 4 2" xfId="127" xr:uid="{00000000-0005-0000-0000-0000EB000000}"/>
    <cellStyle name="40 % - Akzent3 4 2 2" xfId="693" xr:uid="{00000000-0005-0000-0000-0000EC000000}"/>
    <cellStyle name="40 % - Akzent3 4 2 3" xfId="694" xr:uid="{00000000-0005-0000-0000-0000ED000000}"/>
    <cellStyle name="40 % - Akzent3 4 2 4" xfId="695" xr:uid="{00000000-0005-0000-0000-0000EE000000}"/>
    <cellStyle name="40 % - Akzent3 4 3" xfId="128" xr:uid="{00000000-0005-0000-0000-0000EF000000}"/>
    <cellStyle name="40 % - Akzent3 4 4" xfId="696" xr:uid="{00000000-0005-0000-0000-0000F0000000}"/>
    <cellStyle name="40 % - Akzent3 4 5" xfId="697" xr:uid="{00000000-0005-0000-0000-0000F1000000}"/>
    <cellStyle name="40 % - Akzent3 5" xfId="129" xr:uid="{00000000-0005-0000-0000-0000F2000000}"/>
    <cellStyle name="40 % - Akzent3 5 2" xfId="698" xr:uid="{00000000-0005-0000-0000-0000F3000000}"/>
    <cellStyle name="40 % - Akzent3 5 3" xfId="699" xr:uid="{00000000-0005-0000-0000-0000F4000000}"/>
    <cellStyle name="40 % - Akzent3 5 4" xfId="700" xr:uid="{00000000-0005-0000-0000-0000F5000000}"/>
    <cellStyle name="40 % - Akzent3 6" xfId="130" xr:uid="{00000000-0005-0000-0000-0000F6000000}"/>
    <cellStyle name="40 % - Akzent3 7" xfId="131" xr:uid="{00000000-0005-0000-0000-0000F7000000}"/>
    <cellStyle name="40 % - Akzent4 2" xfId="132" xr:uid="{00000000-0005-0000-0000-0000F8000000}"/>
    <cellStyle name="40 % - Akzent4 2 2" xfId="133" xr:uid="{00000000-0005-0000-0000-0000F9000000}"/>
    <cellStyle name="40 % - Akzent4 2 2 2" xfId="134" xr:uid="{00000000-0005-0000-0000-0000FA000000}"/>
    <cellStyle name="40 % - Akzent4 2 2 3" xfId="135" xr:uid="{00000000-0005-0000-0000-0000FB000000}"/>
    <cellStyle name="40 % - Akzent4 2 3" xfId="136" xr:uid="{00000000-0005-0000-0000-0000FC000000}"/>
    <cellStyle name="40 % - Akzent4 3" xfId="137" xr:uid="{00000000-0005-0000-0000-0000FD000000}"/>
    <cellStyle name="40 % - Akzent4 3 2" xfId="138" xr:uid="{00000000-0005-0000-0000-0000FE000000}"/>
    <cellStyle name="40 % - Akzent4 3 2 2" xfId="701" xr:uid="{00000000-0005-0000-0000-0000FF000000}"/>
    <cellStyle name="40 % - Akzent4 3 2 3" xfId="702" xr:uid="{00000000-0005-0000-0000-000000010000}"/>
    <cellStyle name="40 % - Akzent4 3 2 4" xfId="703" xr:uid="{00000000-0005-0000-0000-000001010000}"/>
    <cellStyle name="40 % - Akzent4 3 3" xfId="139" xr:uid="{00000000-0005-0000-0000-000002010000}"/>
    <cellStyle name="40 % - Akzent4 3 4" xfId="704" xr:uid="{00000000-0005-0000-0000-000003010000}"/>
    <cellStyle name="40 % - Akzent4 3 5" xfId="705" xr:uid="{00000000-0005-0000-0000-000004010000}"/>
    <cellStyle name="40 % - Akzent4 4" xfId="140" xr:uid="{00000000-0005-0000-0000-000005010000}"/>
    <cellStyle name="40 % - Akzent4 4 2" xfId="141" xr:uid="{00000000-0005-0000-0000-000006010000}"/>
    <cellStyle name="40 % - Akzent4 4 2 2" xfId="706" xr:uid="{00000000-0005-0000-0000-000007010000}"/>
    <cellStyle name="40 % - Akzent4 4 2 3" xfId="707" xr:uid="{00000000-0005-0000-0000-000008010000}"/>
    <cellStyle name="40 % - Akzent4 4 2 4" xfId="708" xr:uid="{00000000-0005-0000-0000-000009010000}"/>
    <cellStyle name="40 % - Akzent4 4 3" xfId="142" xr:uid="{00000000-0005-0000-0000-00000A010000}"/>
    <cellStyle name="40 % - Akzent4 4 4" xfId="709" xr:uid="{00000000-0005-0000-0000-00000B010000}"/>
    <cellStyle name="40 % - Akzent4 4 5" xfId="710" xr:uid="{00000000-0005-0000-0000-00000C010000}"/>
    <cellStyle name="40 % - Akzent4 5" xfId="143" xr:uid="{00000000-0005-0000-0000-00000D010000}"/>
    <cellStyle name="40 % - Akzent4 5 2" xfId="711" xr:uid="{00000000-0005-0000-0000-00000E010000}"/>
    <cellStyle name="40 % - Akzent4 5 3" xfId="712" xr:uid="{00000000-0005-0000-0000-00000F010000}"/>
    <cellStyle name="40 % - Akzent4 5 4" xfId="713" xr:uid="{00000000-0005-0000-0000-000010010000}"/>
    <cellStyle name="40 % - Akzent4 6" xfId="144" xr:uid="{00000000-0005-0000-0000-000011010000}"/>
    <cellStyle name="40 % - Akzent4 7" xfId="145" xr:uid="{00000000-0005-0000-0000-000012010000}"/>
    <cellStyle name="40 % - Akzent5 2" xfId="146" xr:uid="{00000000-0005-0000-0000-000013010000}"/>
    <cellStyle name="40 % - Akzent5 2 2" xfId="147" xr:uid="{00000000-0005-0000-0000-000014010000}"/>
    <cellStyle name="40 % - Akzent5 2 3" xfId="148" xr:uid="{00000000-0005-0000-0000-000015010000}"/>
    <cellStyle name="40 % - Akzent5 3" xfId="149" xr:uid="{00000000-0005-0000-0000-000016010000}"/>
    <cellStyle name="40 % - Akzent5 3 2" xfId="150" xr:uid="{00000000-0005-0000-0000-000017010000}"/>
    <cellStyle name="40 % - Akzent5 3 2 2" xfId="714" xr:uid="{00000000-0005-0000-0000-000018010000}"/>
    <cellStyle name="40 % - Akzent5 3 2 3" xfId="715" xr:uid="{00000000-0005-0000-0000-000019010000}"/>
    <cellStyle name="40 % - Akzent5 3 2 4" xfId="716" xr:uid="{00000000-0005-0000-0000-00001A010000}"/>
    <cellStyle name="40 % - Akzent5 3 3" xfId="151" xr:uid="{00000000-0005-0000-0000-00001B010000}"/>
    <cellStyle name="40 % - Akzent5 3 4" xfId="717" xr:uid="{00000000-0005-0000-0000-00001C010000}"/>
    <cellStyle name="40 % - Akzent5 3 5" xfId="718" xr:uid="{00000000-0005-0000-0000-00001D010000}"/>
    <cellStyle name="40 % - Akzent5 4" xfId="152" xr:uid="{00000000-0005-0000-0000-00001E010000}"/>
    <cellStyle name="40 % - Akzent5 4 2" xfId="153" xr:uid="{00000000-0005-0000-0000-00001F010000}"/>
    <cellStyle name="40 % - Akzent5 4 2 2" xfId="719" xr:uid="{00000000-0005-0000-0000-000020010000}"/>
    <cellStyle name="40 % - Akzent5 4 2 3" xfId="720" xr:uid="{00000000-0005-0000-0000-000021010000}"/>
    <cellStyle name="40 % - Akzent5 4 2 4" xfId="721" xr:uid="{00000000-0005-0000-0000-000022010000}"/>
    <cellStyle name="40 % - Akzent5 4 3" xfId="154" xr:uid="{00000000-0005-0000-0000-000023010000}"/>
    <cellStyle name="40 % - Akzent5 4 4" xfId="722" xr:uid="{00000000-0005-0000-0000-000024010000}"/>
    <cellStyle name="40 % - Akzent5 4 5" xfId="723" xr:uid="{00000000-0005-0000-0000-000025010000}"/>
    <cellStyle name="40 % - Akzent5 5" xfId="155" xr:uid="{00000000-0005-0000-0000-000026010000}"/>
    <cellStyle name="40 % - Akzent5 5 2" xfId="724" xr:uid="{00000000-0005-0000-0000-000027010000}"/>
    <cellStyle name="40 % - Akzent5 5 3" xfId="725" xr:uid="{00000000-0005-0000-0000-000028010000}"/>
    <cellStyle name="40 % - Akzent5 5 4" xfId="726" xr:uid="{00000000-0005-0000-0000-000029010000}"/>
    <cellStyle name="40 % - Akzent5 6" xfId="156" xr:uid="{00000000-0005-0000-0000-00002A010000}"/>
    <cellStyle name="40 % - Akzent5 7" xfId="157" xr:uid="{00000000-0005-0000-0000-00002B010000}"/>
    <cellStyle name="40 % - Akzent6 2" xfId="158" xr:uid="{00000000-0005-0000-0000-00002C010000}"/>
    <cellStyle name="40 % - Akzent6 2 2" xfId="159" xr:uid="{00000000-0005-0000-0000-00002D010000}"/>
    <cellStyle name="40 % - Akzent6 2 2 2" xfId="160" xr:uid="{00000000-0005-0000-0000-00002E010000}"/>
    <cellStyle name="40 % - Akzent6 2 2 3" xfId="161" xr:uid="{00000000-0005-0000-0000-00002F010000}"/>
    <cellStyle name="40 % - Akzent6 2 3" xfId="162" xr:uid="{00000000-0005-0000-0000-000030010000}"/>
    <cellStyle name="40 % - Akzent6 3" xfId="163" xr:uid="{00000000-0005-0000-0000-000031010000}"/>
    <cellStyle name="40 % - Akzent6 3 2" xfId="164" xr:uid="{00000000-0005-0000-0000-000032010000}"/>
    <cellStyle name="40 % - Akzent6 3 2 2" xfId="727" xr:uid="{00000000-0005-0000-0000-000033010000}"/>
    <cellStyle name="40 % - Akzent6 3 2 3" xfId="728" xr:uid="{00000000-0005-0000-0000-000034010000}"/>
    <cellStyle name="40 % - Akzent6 3 2 4" xfId="729" xr:uid="{00000000-0005-0000-0000-000035010000}"/>
    <cellStyle name="40 % - Akzent6 3 3" xfId="165" xr:uid="{00000000-0005-0000-0000-000036010000}"/>
    <cellStyle name="40 % - Akzent6 3 4" xfId="730" xr:uid="{00000000-0005-0000-0000-000037010000}"/>
    <cellStyle name="40 % - Akzent6 3 5" xfId="731" xr:uid="{00000000-0005-0000-0000-000038010000}"/>
    <cellStyle name="40 % - Akzent6 4" xfId="166" xr:uid="{00000000-0005-0000-0000-000039010000}"/>
    <cellStyle name="40 % - Akzent6 4 2" xfId="167" xr:uid="{00000000-0005-0000-0000-00003A010000}"/>
    <cellStyle name="40 % - Akzent6 4 2 2" xfId="732" xr:uid="{00000000-0005-0000-0000-00003B010000}"/>
    <cellStyle name="40 % - Akzent6 4 2 3" xfId="733" xr:uid="{00000000-0005-0000-0000-00003C010000}"/>
    <cellStyle name="40 % - Akzent6 4 2 4" xfId="734" xr:uid="{00000000-0005-0000-0000-00003D010000}"/>
    <cellStyle name="40 % - Akzent6 4 3" xfId="168" xr:uid="{00000000-0005-0000-0000-00003E010000}"/>
    <cellStyle name="40 % - Akzent6 4 4" xfId="735" xr:uid="{00000000-0005-0000-0000-00003F010000}"/>
    <cellStyle name="40 % - Akzent6 4 5" xfId="736" xr:uid="{00000000-0005-0000-0000-000040010000}"/>
    <cellStyle name="40 % - Akzent6 5" xfId="169" xr:uid="{00000000-0005-0000-0000-000041010000}"/>
    <cellStyle name="40 % - Akzent6 5 2" xfId="737" xr:uid="{00000000-0005-0000-0000-000042010000}"/>
    <cellStyle name="40 % - Akzent6 5 3" xfId="738" xr:uid="{00000000-0005-0000-0000-000043010000}"/>
    <cellStyle name="40 % - Akzent6 5 4" xfId="739" xr:uid="{00000000-0005-0000-0000-000044010000}"/>
    <cellStyle name="40 % - Akzent6 6" xfId="170" xr:uid="{00000000-0005-0000-0000-000045010000}"/>
    <cellStyle name="40 % - Akzent6 7" xfId="171" xr:uid="{00000000-0005-0000-0000-000046010000}"/>
    <cellStyle name="60 % - Akzent1 2" xfId="172" xr:uid="{00000000-0005-0000-0000-000047010000}"/>
    <cellStyle name="60 % - Akzent1 2 2" xfId="173" xr:uid="{00000000-0005-0000-0000-000048010000}"/>
    <cellStyle name="60 % - Akzent1 2 2 2" xfId="174" xr:uid="{00000000-0005-0000-0000-000049010000}"/>
    <cellStyle name="60 % - Akzent1 2 2 3" xfId="175" xr:uid="{00000000-0005-0000-0000-00004A010000}"/>
    <cellStyle name="60 % - Akzent1 2 3" xfId="176" xr:uid="{00000000-0005-0000-0000-00004B010000}"/>
    <cellStyle name="60 % - Akzent1 3" xfId="177" xr:uid="{00000000-0005-0000-0000-00004C010000}"/>
    <cellStyle name="60 % - Akzent1 4" xfId="178" xr:uid="{00000000-0005-0000-0000-00004D010000}"/>
    <cellStyle name="60 % - Akzent1 5" xfId="179" xr:uid="{00000000-0005-0000-0000-00004E010000}"/>
    <cellStyle name="60 % - Akzent1 6" xfId="180" xr:uid="{00000000-0005-0000-0000-00004F010000}"/>
    <cellStyle name="60 % - Akzent2 2" xfId="181" xr:uid="{00000000-0005-0000-0000-000050010000}"/>
    <cellStyle name="60 % - Akzent2 3" xfId="182" xr:uid="{00000000-0005-0000-0000-000051010000}"/>
    <cellStyle name="60 % - Akzent2 4" xfId="183" xr:uid="{00000000-0005-0000-0000-000052010000}"/>
    <cellStyle name="60 % - Akzent2 5" xfId="184" xr:uid="{00000000-0005-0000-0000-000053010000}"/>
    <cellStyle name="60 % - Akzent2 6" xfId="185" xr:uid="{00000000-0005-0000-0000-000054010000}"/>
    <cellStyle name="60 % - Akzent3 2" xfId="186" xr:uid="{00000000-0005-0000-0000-000055010000}"/>
    <cellStyle name="60 % - Akzent3 3" xfId="187" xr:uid="{00000000-0005-0000-0000-000056010000}"/>
    <cellStyle name="60 % - Akzent3 4" xfId="188" xr:uid="{00000000-0005-0000-0000-000057010000}"/>
    <cellStyle name="60 % - Akzent3 5" xfId="189" xr:uid="{00000000-0005-0000-0000-000058010000}"/>
    <cellStyle name="60 % - Akzent3 6" xfId="190" xr:uid="{00000000-0005-0000-0000-000059010000}"/>
    <cellStyle name="60 % - Akzent4 2" xfId="191" xr:uid="{00000000-0005-0000-0000-00005A010000}"/>
    <cellStyle name="60 % - Akzent4 2 2" xfId="192" xr:uid="{00000000-0005-0000-0000-00005B010000}"/>
    <cellStyle name="60 % - Akzent4 2 3" xfId="193" xr:uid="{00000000-0005-0000-0000-00005C010000}"/>
    <cellStyle name="60 % - Akzent4 2 3 2" xfId="194" xr:uid="{00000000-0005-0000-0000-00005D010000}"/>
    <cellStyle name="60 % - Akzent4 2 3 2 2" xfId="195" xr:uid="{00000000-0005-0000-0000-00005E010000}"/>
    <cellStyle name="60 % - Akzent4 2 3 2 3" xfId="196" xr:uid="{00000000-0005-0000-0000-00005F010000}"/>
    <cellStyle name="60 % - Akzent4 2 3 3" xfId="197" xr:uid="{00000000-0005-0000-0000-000060010000}"/>
    <cellStyle name="60 % - Akzent4 2 4" xfId="198" xr:uid="{00000000-0005-0000-0000-000061010000}"/>
    <cellStyle name="60 % - Akzent4 3" xfId="199" xr:uid="{00000000-0005-0000-0000-000062010000}"/>
    <cellStyle name="60 % - Akzent4 4" xfId="200" xr:uid="{00000000-0005-0000-0000-000063010000}"/>
    <cellStyle name="60 % - Akzent4 5" xfId="201" xr:uid="{00000000-0005-0000-0000-000064010000}"/>
    <cellStyle name="60 % - Akzent4 6" xfId="202" xr:uid="{00000000-0005-0000-0000-000065010000}"/>
    <cellStyle name="60 % - Akzent5 2" xfId="203" xr:uid="{00000000-0005-0000-0000-000066010000}"/>
    <cellStyle name="60 % - Akzent5 2 2" xfId="204" xr:uid="{00000000-0005-0000-0000-000067010000}"/>
    <cellStyle name="60 % - Akzent5 2 2 2" xfId="205" xr:uid="{00000000-0005-0000-0000-000068010000}"/>
    <cellStyle name="60 % - Akzent5 2 2 3" xfId="206" xr:uid="{00000000-0005-0000-0000-000069010000}"/>
    <cellStyle name="60 % - Akzent5 2 3" xfId="207" xr:uid="{00000000-0005-0000-0000-00006A010000}"/>
    <cellStyle name="60 % - Akzent5 3" xfId="208" xr:uid="{00000000-0005-0000-0000-00006B010000}"/>
    <cellStyle name="60 % - Akzent5 4" xfId="209" xr:uid="{00000000-0005-0000-0000-00006C010000}"/>
    <cellStyle name="60 % - Akzent5 5" xfId="210" xr:uid="{00000000-0005-0000-0000-00006D010000}"/>
    <cellStyle name="60 % - Akzent5 6" xfId="211" xr:uid="{00000000-0005-0000-0000-00006E010000}"/>
    <cellStyle name="60 % - Akzent6 2" xfId="212" xr:uid="{00000000-0005-0000-0000-00006F010000}"/>
    <cellStyle name="60 % - Akzent6 2 2" xfId="213" xr:uid="{00000000-0005-0000-0000-000070010000}"/>
    <cellStyle name="60 % - Akzent6 2 3" xfId="214" xr:uid="{00000000-0005-0000-0000-000071010000}"/>
    <cellStyle name="60 % - Akzent6 2 3 2" xfId="215" xr:uid="{00000000-0005-0000-0000-000072010000}"/>
    <cellStyle name="60 % - Akzent6 2 3 2 2" xfId="216" xr:uid="{00000000-0005-0000-0000-000073010000}"/>
    <cellStyle name="60 % - Akzent6 2 3 2 3" xfId="217" xr:uid="{00000000-0005-0000-0000-000074010000}"/>
    <cellStyle name="60 % - Akzent6 2 3 3" xfId="218" xr:uid="{00000000-0005-0000-0000-000075010000}"/>
    <cellStyle name="60 % - Akzent6 2 4" xfId="219" xr:uid="{00000000-0005-0000-0000-000076010000}"/>
    <cellStyle name="60 % - Akzent6 3" xfId="220" xr:uid="{00000000-0005-0000-0000-000077010000}"/>
    <cellStyle name="60 % - Akzent6 4" xfId="221" xr:uid="{00000000-0005-0000-0000-000078010000}"/>
    <cellStyle name="60 % - Akzent6 5" xfId="222" xr:uid="{00000000-0005-0000-0000-000079010000}"/>
    <cellStyle name="60 % - Akzent6 6" xfId="223" xr:uid="{00000000-0005-0000-0000-00007A010000}"/>
    <cellStyle name="Accent1" xfId="224" xr:uid="{00000000-0005-0000-0000-00007B010000}"/>
    <cellStyle name="Accent1 2" xfId="225" xr:uid="{00000000-0005-0000-0000-00007C010000}"/>
    <cellStyle name="Accent1 3" xfId="226" xr:uid="{00000000-0005-0000-0000-00007D010000}"/>
    <cellStyle name="Accent1 3 2" xfId="227" xr:uid="{00000000-0005-0000-0000-00007E010000}"/>
    <cellStyle name="Accent1 3 3" xfId="228" xr:uid="{00000000-0005-0000-0000-00007F010000}"/>
    <cellStyle name="Accent1 4" xfId="229" xr:uid="{00000000-0005-0000-0000-000080010000}"/>
    <cellStyle name="Accent1 4 2" xfId="1109" xr:uid="{00000000-0005-0000-0000-000081010000}"/>
    <cellStyle name="Accent1 4 3" xfId="740" xr:uid="{00000000-0005-0000-0000-000082010000}"/>
    <cellStyle name="Accent1 5" xfId="230" xr:uid="{00000000-0005-0000-0000-000083010000}"/>
    <cellStyle name="Accent1 6" xfId="742" xr:uid="{00000000-0005-0000-0000-000084010000}"/>
    <cellStyle name="Accent2" xfId="231" xr:uid="{00000000-0005-0000-0000-000085010000}"/>
    <cellStyle name="Accent2 2" xfId="232" xr:uid="{00000000-0005-0000-0000-000086010000}"/>
    <cellStyle name="Accent2 3" xfId="233" xr:uid="{00000000-0005-0000-0000-000087010000}"/>
    <cellStyle name="Accent2 4" xfId="234" xr:uid="{00000000-0005-0000-0000-000088010000}"/>
    <cellStyle name="Accent2 4 2" xfId="744" xr:uid="{00000000-0005-0000-0000-000089010000}"/>
    <cellStyle name="Accent2 5" xfId="1111" xr:uid="{00000000-0005-0000-0000-00008A010000}"/>
    <cellStyle name="Accent3" xfId="249" xr:uid="{00000000-0005-0000-0000-00008B010000}"/>
    <cellStyle name="Accent3 2" xfId="235" xr:uid="{00000000-0005-0000-0000-00008C010000}"/>
    <cellStyle name="Accent3 3" xfId="746" xr:uid="{00000000-0005-0000-0000-00008D010000}"/>
    <cellStyle name="Accent4" xfId="236" xr:uid="{00000000-0005-0000-0000-00008E010000}"/>
    <cellStyle name="Accent4 2" xfId="237" xr:uid="{00000000-0005-0000-0000-00008F010000}"/>
    <cellStyle name="Accent4 3" xfId="238" xr:uid="{00000000-0005-0000-0000-000090010000}"/>
    <cellStyle name="Accent4 3 2" xfId="239" xr:uid="{00000000-0005-0000-0000-000091010000}"/>
    <cellStyle name="Accent4 3 3" xfId="240" xr:uid="{00000000-0005-0000-0000-000092010000}"/>
    <cellStyle name="Accent4 4" xfId="241" xr:uid="{00000000-0005-0000-0000-000093010000}"/>
    <cellStyle name="Accent4 4 2" xfId="1110" xr:uid="{00000000-0005-0000-0000-000094010000}"/>
    <cellStyle name="Accent4 4 3" xfId="741" xr:uid="{00000000-0005-0000-0000-000095010000}"/>
    <cellStyle name="Accent4 5" xfId="242" xr:uid="{00000000-0005-0000-0000-000096010000}"/>
    <cellStyle name="Accent4 6" xfId="747" xr:uid="{00000000-0005-0000-0000-000097010000}"/>
    <cellStyle name="Accent5" xfId="254" xr:uid="{00000000-0005-0000-0000-000098010000}"/>
    <cellStyle name="Accent5 2" xfId="243" xr:uid="{00000000-0005-0000-0000-000099010000}"/>
    <cellStyle name="Accent5 3" xfId="749" xr:uid="{00000000-0005-0000-0000-00009A010000}"/>
    <cellStyle name="Accent6" xfId="257" xr:uid="{00000000-0005-0000-0000-00009B010000}"/>
    <cellStyle name="Accent6 2" xfId="244" xr:uid="{00000000-0005-0000-0000-00009C010000}"/>
    <cellStyle name="Accent6 3" xfId="750" xr:uid="{00000000-0005-0000-0000-00009D010000}"/>
    <cellStyle name="Akzent1 2" xfId="245" xr:uid="{00000000-0005-0000-0000-00009E010000}"/>
    <cellStyle name="Akzent1 3" xfId="246" xr:uid="{00000000-0005-0000-0000-00009F010000}"/>
    <cellStyle name="Akzent1 4" xfId="743" xr:uid="{00000000-0005-0000-0000-0000A0010000}"/>
    <cellStyle name="Akzent2 2" xfId="247" xr:uid="{00000000-0005-0000-0000-0000A1010000}"/>
    <cellStyle name="Akzent2 3" xfId="248" xr:uid="{00000000-0005-0000-0000-0000A2010000}"/>
    <cellStyle name="Akzent2 4" xfId="745" xr:uid="{00000000-0005-0000-0000-0000A3010000}"/>
    <cellStyle name="Akzent3 2" xfId="250" xr:uid="{00000000-0005-0000-0000-0000A4010000}"/>
    <cellStyle name="Akzent3 3" xfId="251" xr:uid="{00000000-0005-0000-0000-0000A5010000}"/>
    <cellStyle name="Akzent4 2" xfId="252" xr:uid="{00000000-0005-0000-0000-0000A6010000}"/>
    <cellStyle name="Akzent4 3" xfId="253" xr:uid="{00000000-0005-0000-0000-0000A7010000}"/>
    <cellStyle name="Akzent4 4" xfId="748" xr:uid="{00000000-0005-0000-0000-0000A8010000}"/>
    <cellStyle name="Akzent5 2" xfId="255" xr:uid="{00000000-0005-0000-0000-0000A9010000}"/>
    <cellStyle name="Akzent5 3" xfId="256" xr:uid="{00000000-0005-0000-0000-0000AA010000}"/>
    <cellStyle name="Akzent6 2" xfId="258" xr:uid="{00000000-0005-0000-0000-0000AB010000}"/>
    <cellStyle name="Akzent6 3" xfId="259" xr:uid="{00000000-0005-0000-0000-0000AC010000}"/>
    <cellStyle name="Ausgabe 2" xfId="260" xr:uid="{00000000-0005-0000-0000-0000AD010000}"/>
    <cellStyle name="Ausgabe 2 2" xfId="261" xr:uid="{00000000-0005-0000-0000-0000AE010000}"/>
    <cellStyle name="Ausgabe 2 2 2" xfId="262" xr:uid="{00000000-0005-0000-0000-0000AF010000}"/>
    <cellStyle name="Ausgabe 2 2 3" xfId="263" xr:uid="{00000000-0005-0000-0000-0000B0010000}"/>
    <cellStyle name="Ausgabe 2 2 3 2" xfId="1112" xr:uid="{00000000-0005-0000-0000-0000B1010000}"/>
    <cellStyle name="Ausgabe 2 2 3 3" xfId="753" xr:uid="{00000000-0005-0000-0000-0000B2010000}"/>
    <cellStyle name="Ausgabe 2 2 4" xfId="752" xr:uid="{00000000-0005-0000-0000-0000B3010000}"/>
    <cellStyle name="Ausgabe 2 3" xfId="264" xr:uid="{00000000-0005-0000-0000-0000B4010000}"/>
    <cellStyle name="Ausgabe 2 3 2" xfId="265" xr:uid="{00000000-0005-0000-0000-0000B5010000}"/>
    <cellStyle name="Ausgabe 2 3 2 2" xfId="266" xr:uid="{00000000-0005-0000-0000-0000B6010000}"/>
    <cellStyle name="Ausgabe 2 3 2 3" xfId="267" xr:uid="{00000000-0005-0000-0000-0000B7010000}"/>
    <cellStyle name="Ausgabe 2 3 3" xfId="268" xr:uid="{00000000-0005-0000-0000-0000B8010000}"/>
    <cellStyle name="Ausgabe 2 3 3 2" xfId="1113" xr:uid="{00000000-0005-0000-0000-0000B9010000}"/>
    <cellStyle name="Ausgabe 2 3 3 3" xfId="754" xr:uid="{00000000-0005-0000-0000-0000BA010000}"/>
    <cellStyle name="Ausgabe 2 4" xfId="269" xr:uid="{00000000-0005-0000-0000-0000BB010000}"/>
    <cellStyle name="Ausgabe 2 5" xfId="270" xr:uid="{00000000-0005-0000-0000-0000BC010000}"/>
    <cellStyle name="Ausgabe 2 5 2" xfId="1114" xr:uid="{00000000-0005-0000-0000-0000BD010000}"/>
    <cellStyle name="Ausgabe 2 5 3" xfId="755" xr:uid="{00000000-0005-0000-0000-0000BE010000}"/>
    <cellStyle name="Ausgabe 2 6" xfId="751" xr:uid="{00000000-0005-0000-0000-0000BF010000}"/>
    <cellStyle name="Ausgabe 3" xfId="271" xr:uid="{00000000-0005-0000-0000-0000C0010000}"/>
    <cellStyle name="Ausgabe 3 2" xfId="272" xr:uid="{00000000-0005-0000-0000-0000C1010000}"/>
    <cellStyle name="Ausgabe 3 3" xfId="273" xr:uid="{00000000-0005-0000-0000-0000C2010000}"/>
    <cellStyle name="Ausgabe 3 3 2" xfId="1115" xr:uid="{00000000-0005-0000-0000-0000C3010000}"/>
    <cellStyle name="Ausgabe 3 3 3" xfId="757" xr:uid="{00000000-0005-0000-0000-0000C4010000}"/>
    <cellStyle name="Ausgabe 3 4" xfId="756" xr:uid="{00000000-0005-0000-0000-0000C5010000}"/>
    <cellStyle name="Ausgabe 4" xfId="274" xr:uid="{00000000-0005-0000-0000-0000C6010000}"/>
    <cellStyle name="Ausgabe 5" xfId="275" xr:uid="{00000000-0005-0000-0000-0000C7010000}"/>
    <cellStyle name="Ausgabe 6" xfId="276" xr:uid="{00000000-0005-0000-0000-0000C8010000}"/>
    <cellStyle name="Ausgabe 7" xfId="277" xr:uid="{00000000-0005-0000-0000-0000C9010000}"/>
    <cellStyle name="Ausgabe 7 2" xfId="278" xr:uid="{00000000-0005-0000-0000-0000CA010000}"/>
    <cellStyle name="Ausgabe 7 3" xfId="279" xr:uid="{00000000-0005-0000-0000-0000CB010000}"/>
    <cellStyle name="Ausgabe 7 3 2" xfId="280" xr:uid="{00000000-0005-0000-0000-0000CC010000}"/>
    <cellStyle name="Ausgabe 7 3 3" xfId="281" xr:uid="{00000000-0005-0000-0000-0000CD010000}"/>
    <cellStyle name="Ausgabe 7 3 4" xfId="758" xr:uid="{00000000-0005-0000-0000-0000CE010000}"/>
    <cellStyle name="Ausgabe 7 4" xfId="282" xr:uid="{00000000-0005-0000-0000-0000CF010000}"/>
    <cellStyle name="Ausgabe 8" xfId="283" xr:uid="{00000000-0005-0000-0000-0000D0010000}"/>
    <cellStyle name="Ausgabe 8 2" xfId="284" xr:uid="{00000000-0005-0000-0000-0000D1010000}"/>
    <cellStyle name="Ausgabe 8 3" xfId="285" xr:uid="{00000000-0005-0000-0000-0000D2010000}"/>
    <cellStyle name="Bad" xfId="510" xr:uid="{00000000-0005-0000-0000-0000D3010000}"/>
    <cellStyle name="Bad 2" xfId="286" xr:uid="{00000000-0005-0000-0000-0000D4010000}"/>
    <cellStyle name="Bad 2 2" xfId="759" xr:uid="{00000000-0005-0000-0000-0000D5010000}"/>
    <cellStyle name="Bad 3" xfId="1047" xr:uid="{00000000-0005-0000-0000-0000D6010000}"/>
    <cellStyle name="Berechnung 2" xfId="287" xr:uid="{00000000-0005-0000-0000-0000D7010000}"/>
    <cellStyle name="Berechnung 2 2" xfId="288" xr:uid="{00000000-0005-0000-0000-0000D8010000}"/>
    <cellStyle name="Berechnung 2 3" xfId="289" xr:uid="{00000000-0005-0000-0000-0000D9010000}"/>
    <cellStyle name="Berechnung 2 3 2" xfId="290" xr:uid="{00000000-0005-0000-0000-0000DA010000}"/>
    <cellStyle name="Berechnung 2 3 2 2" xfId="291" xr:uid="{00000000-0005-0000-0000-0000DB010000}"/>
    <cellStyle name="Berechnung 2 3 2 3" xfId="292" xr:uid="{00000000-0005-0000-0000-0000DC010000}"/>
    <cellStyle name="Berechnung 2 3 3" xfId="293" xr:uid="{00000000-0005-0000-0000-0000DD010000}"/>
    <cellStyle name="Berechnung 2 4" xfId="294" xr:uid="{00000000-0005-0000-0000-0000DE010000}"/>
    <cellStyle name="Berechnung 3" xfId="295" xr:uid="{00000000-0005-0000-0000-0000DF010000}"/>
    <cellStyle name="Berechnung 4" xfId="296" xr:uid="{00000000-0005-0000-0000-0000E0010000}"/>
    <cellStyle name="Berechnung 5" xfId="297" xr:uid="{00000000-0005-0000-0000-0000E1010000}"/>
    <cellStyle name="Berechnung 6" xfId="298" xr:uid="{00000000-0005-0000-0000-0000E2010000}"/>
    <cellStyle name="Berechnung 7" xfId="299" xr:uid="{00000000-0005-0000-0000-0000E3010000}"/>
    <cellStyle name="Berechnung 7 2" xfId="300" xr:uid="{00000000-0005-0000-0000-0000E4010000}"/>
    <cellStyle name="Berechnung 7 3" xfId="301" xr:uid="{00000000-0005-0000-0000-0000E5010000}"/>
    <cellStyle name="Berechnung 8" xfId="302" xr:uid="{00000000-0005-0000-0000-0000E6010000}"/>
    <cellStyle name="Calculation 2" xfId="303" xr:uid="{00000000-0005-0000-0000-0000E7010000}"/>
    <cellStyle name="Check Cell" xfId="578" xr:uid="{00000000-0005-0000-0000-0000E8010000}"/>
    <cellStyle name="Check Cell 2" xfId="304" xr:uid="{00000000-0005-0000-0000-0000E9010000}"/>
    <cellStyle name="Check Cell 2 2" xfId="760" xr:uid="{00000000-0005-0000-0000-0000EA010000}"/>
    <cellStyle name="Check Cell 3" xfId="305" xr:uid="{00000000-0005-0000-0000-0000EB010000}"/>
    <cellStyle name="Check Cell 3 2" xfId="762" xr:uid="{00000000-0005-0000-0000-0000EC010000}"/>
    <cellStyle name="Check Cell 3 3" xfId="761" xr:uid="{00000000-0005-0000-0000-0000ED010000}"/>
    <cellStyle name="Check Cell 4" xfId="306" xr:uid="{00000000-0005-0000-0000-0000EE010000}"/>
    <cellStyle name="Check Cell 4 2" xfId="1116" xr:uid="{00000000-0005-0000-0000-0000EF010000}"/>
    <cellStyle name="Check Cell 4 3" xfId="763" xr:uid="{00000000-0005-0000-0000-0000F0010000}"/>
    <cellStyle name="Check Cell 5" xfId="764" xr:uid="{00000000-0005-0000-0000-0000F1010000}"/>
    <cellStyle name="Check Cell 6" xfId="1106" xr:uid="{00000000-0005-0000-0000-0000F2010000}"/>
    <cellStyle name="Eingabe 2" xfId="307" xr:uid="{00000000-0005-0000-0000-0000F3010000}"/>
    <cellStyle name="Eingabe 3" xfId="308" xr:uid="{00000000-0005-0000-0000-0000F4010000}"/>
    <cellStyle name="Eingabe 4" xfId="309" xr:uid="{00000000-0005-0000-0000-0000F5010000}"/>
    <cellStyle name="Eingabe 5" xfId="310" xr:uid="{00000000-0005-0000-0000-0000F6010000}"/>
    <cellStyle name="Eingabe 6" xfId="311" xr:uid="{00000000-0005-0000-0000-0000F7010000}"/>
    <cellStyle name="Eingabe 7" xfId="312" xr:uid="{00000000-0005-0000-0000-0000F8010000}"/>
    <cellStyle name="Ergebnis 2" xfId="313" xr:uid="{00000000-0005-0000-0000-0000F9010000}"/>
    <cellStyle name="Ergebnis 2 2" xfId="314" xr:uid="{00000000-0005-0000-0000-0000FA010000}"/>
    <cellStyle name="Ergebnis 2 2 2" xfId="315" xr:uid="{00000000-0005-0000-0000-0000FB010000}"/>
    <cellStyle name="Ergebnis 2 3" xfId="316" xr:uid="{00000000-0005-0000-0000-0000FC010000}"/>
    <cellStyle name="Ergebnis 2 4" xfId="317" xr:uid="{00000000-0005-0000-0000-0000FD010000}"/>
    <cellStyle name="Ergebnis 2 4 2" xfId="318" xr:uid="{00000000-0005-0000-0000-0000FE010000}"/>
    <cellStyle name="Ergebnis 2 4 2 2" xfId="319" xr:uid="{00000000-0005-0000-0000-0000FF010000}"/>
    <cellStyle name="Ergebnis 2 4 2 3" xfId="320" xr:uid="{00000000-0005-0000-0000-000000020000}"/>
    <cellStyle name="Ergebnis 2 4 3" xfId="321" xr:uid="{00000000-0005-0000-0000-000001020000}"/>
    <cellStyle name="Ergebnis 2 5" xfId="322" xr:uid="{00000000-0005-0000-0000-000002020000}"/>
    <cellStyle name="Ergebnis 3" xfId="323" xr:uid="{00000000-0005-0000-0000-000003020000}"/>
    <cellStyle name="Ergebnis 3 2" xfId="324" xr:uid="{00000000-0005-0000-0000-000004020000}"/>
    <cellStyle name="Ergebnis 4" xfId="325" xr:uid="{00000000-0005-0000-0000-000005020000}"/>
    <cellStyle name="Ergebnis 4 2" xfId="326" xr:uid="{00000000-0005-0000-0000-000006020000}"/>
    <cellStyle name="Ergebnis 5" xfId="327" xr:uid="{00000000-0005-0000-0000-000007020000}"/>
    <cellStyle name="Ergebnis 6" xfId="328" xr:uid="{00000000-0005-0000-0000-000008020000}"/>
    <cellStyle name="Ergebnis 7" xfId="329" xr:uid="{00000000-0005-0000-0000-000009020000}"/>
    <cellStyle name="Ergebnis 8" xfId="330" xr:uid="{00000000-0005-0000-0000-00000A020000}"/>
    <cellStyle name="Ergebnis 8 2" xfId="331" xr:uid="{00000000-0005-0000-0000-00000B020000}"/>
    <cellStyle name="Ergebnis 8 3" xfId="332" xr:uid="{00000000-0005-0000-0000-00000C020000}"/>
    <cellStyle name="Ergebnis 9" xfId="333" xr:uid="{00000000-0005-0000-0000-00000D020000}"/>
    <cellStyle name="Erklärender Text 2" xfId="334" xr:uid="{00000000-0005-0000-0000-00000E020000}"/>
    <cellStyle name="Erklärender Text 3" xfId="335" xr:uid="{00000000-0005-0000-0000-00000F020000}"/>
    <cellStyle name="Erklärender Text 4" xfId="336" xr:uid="{00000000-0005-0000-0000-000010020000}"/>
    <cellStyle name="Erklärender Text 5" xfId="337" xr:uid="{00000000-0005-0000-0000-000011020000}"/>
    <cellStyle name="Erklärender Text 6" xfId="338" xr:uid="{00000000-0005-0000-0000-000012020000}"/>
    <cellStyle name="Good" xfId="340" xr:uid="{00000000-0005-0000-0000-000013020000}"/>
    <cellStyle name="Good 2" xfId="339" xr:uid="{00000000-0005-0000-0000-000014020000}"/>
    <cellStyle name="Good 2 2" xfId="765" xr:uid="{00000000-0005-0000-0000-000015020000}"/>
    <cellStyle name="Good 3" xfId="766" xr:uid="{00000000-0005-0000-0000-000016020000}"/>
    <cellStyle name="Gut 2" xfId="341" xr:uid="{00000000-0005-0000-0000-000017020000}"/>
    <cellStyle name="Gut 3" xfId="342" xr:uid="{00000000-0005-0000-0000-000018020000}"/>
    <cellStyle name="Heading 1" xfId="343" xr:uid="{00000000-0005-0000-0000-000019020000}"/>
    <cellStyle name="Heading 1 2" xfId="344" xr:uid="{00000000-0005-0000-0000-00001A020000}"/>
    <cellStyle name="Heading 1 2 2" xfId="345" xr:uid="{00000000-0005-0000-0000-00001B020000}"/>
    <cellStyle name="Heading 1 2 2 2" xfId="1117" xr:uid="{00000000-0005-0000-0000-00001C020000}"/>
    <cellStyle name="Heading 1 2 2 3" xfId="767" xr:uid="{00000000-0005-0000-0000-00001D020000}"/>
    <cellStyle name="Heading 1 2 3" xfId="346" xr:uid="{00000000-0005-0000-0000-00001E020000}"/>
    <cellStyle name="Heading 1 3" xfId="347" xr:uid="{00000000-0005-0000-0000-00001F020000}"/>
    <cellStyle name="Heading 1 3 2" xfId="1118" xr:uid="{00000000-0005-0000-0000-000020020000}"/>
    <cellStyle name="Heading 1 3 3" xfId="768" xr:uid="{00000000-0005-0000-0000-000021020000}"/>
    <cellStyle name="Heading 1 4" xfId="348" xr:uid="{00000000-0005-0000-0000-000022020000}"/>
    <cellStyle name="Heading 1 5" xfId="1096" xr:uid="{00000000-0005-0000-0000-000023020000}"/>
    <cellStyle name="Heading 2" xfId="349" xr:uid="{00000000-0005-0000-0000-000024020000}"/>
    <cellStyle name="Heading 2 2" xfId="350" xr:uid="{00000000-0005-0000-0000-000025020000}"/>
    <cellStyle name="Heading 2 2 2" xfId="351" xr:uid="{00000000-0005-0000-0000-000026020000}"/>
    <cellStyle name="Heading 2 2 2 2" xfId="1119" xr:uid="{00000000-0005-0000-0000-000027020000}"/>
    <cellStyle name="Heading 2 2 2 3" xfId="770" xr:uid="{00000000-0005-0000-0000-000028020000}"/>
    <cellStyle name="Heading 2 2 3" xfId="352" xr:uid="{00000000-0005-0000-0000-000029020000}"/>
    <cellStyle name="Heading 2 2 4" xfId="769" xr:uid="{00000000-0005-0000-0000-00002A020000}"/>
    <cellStyle name="Heading 2 3" xfId="353" xr:uid="{00000000-0005-0000-0000-00002B020000}"/>
    <cellStyle name="Heading 2 3 2" xfId="1120" xr:uid="{00000000-0005-0000-0000-00002C020000}"/>
    <cellStyle name="Heading 2 3 3" xfId="771" xr:uid="{00000000-0005-0000-0000-00002D020000}"/>
    <cellStyle name="Heading 2 4" xfId="354" xr:uid="{00000000-0005-0000-0000-00002E020000}"/>
    <cellStyle name="Heading 2 5" xfId="1098" xr:uid="{00000000-0005-0000-0000-00002F020000}"/>
    <cellStyle name="Heading 3" xfId="355" xr:uid="{00000000-0005-0000-0000-000030020000}"/>
    <cellStyle name="Heading 3 2" xfId="356" xr:uid="{00000000-0005-0000-0000-000031020000}"/>
    <cellStyle name="Heading 3 2 2" xfId="357" xr:uid="{00000000-0005-0000-0000-000032020000}"/>
    <cellStyle name="Heading 3 2 2 2" xfId="1121" xr:uid="{00000000-0005-0000-0000-000033020000}"/>
    <cellStyle name="Heading 3 2 2 3" xfId="773" xr:uid="{00000000-0005-0000-0000-000034020000}"/>
    <cellStyle name="Heading 3 2 3" xfId="358" xr:uid="{00000000-0005-0000-0000-000035020000}"/>
    <cellStyle name="Heading 3 2 4" xfId="772" xr:uid="{00000000-0005-0000-0000-000036020000}"/>
    <cellStyle name="Heading 3 3" xfId="359" xr:uid="{00000000-0005-0000-0000-000037020000}"/>
    <cellStyle name="Heading 3 3 2" xfId="1122" xr:uid="{00000000-0005-0000-0000-000038020000}"/>
    <cellStyle name="Heading 3 3 3" xfId="774" xr:uid="{00000000-0005-0000-0000-000039020000}"/>
    <cellStyle name="Heading 3 4" xfId="360" xr:uid="{00000000-0005-0000-0000-00003A020000}"/>
    <cellStyle name="Heading 3 5" xfId="1100" xr:uid="{00000000-0005-0000-0000-00003B020000}"/>
    <cellStyle name="Heading 4" xfId="361" xr:uid="{00000000-0005-0000-0000-00003C020000}"/>
    <cellStyle name="Heading 4 2" xfId="362" xr:uid="{00000000-0005-0000-0000-00003D020000}"/>
    <cellStyle name="Heading 4 2 2" xfId="363" xr:uid="{00000000-0005-0000-0000-00003E020000}"/>
    <cellStyle name="Heading 4 2 2 2" xfId="1123" xr:uid="{00000000-0005-0000-0000-00003F020000}"/>
    <cellStyle name="Heading 4 2 2 3" xfId="775" xr:uid="{00000000-0005-0000-0000-000040020000}"/>
    <cellStyle name="Heading 4 2 3" xfId="364" xr:uid="{00000000-0005-0000-0000-000041020000}"/>
    <cellStyle name="Heading 4 3" xfId="365" xr:uid="{00000000-0005-0000-0000-000042020000}"/>
    <cellStyle name="Heading 4 3 2" xfId="1124" xr:uid="{00000000-0005-0000-0000-000043020000}"/>
    <cellStyle name="Heading 4 3 3" xfId="776" xr:uid="{00000000-0005-0000-0000-000044020000}"/>
    <cellStyle name="Heading 4 4" xfId="366" xr:uid="{00000000-0005-0000-0000-000045020000}"/>
    <cellStyle name="Heading 4 5" xfId="1102" xr:uid="{00000000-0005-0000-0000-000046020000}"/>
    <cellStyle name="Hyperlink" xfId="367" builtinId="8"/>
    <cellStyle name="Input 2" xfId="368" xr:uid="{00000000-0005-0000-0000-000048020000}"/>
    <cellStyle name="Komma 2" xfId="369" xr:uid="{00000000-0005-0000-0000-000049020000}"/>
    <cellStyle name="Linked Cell" xfId="566" xr:uid="{00000000-0005-0000-0000-00004A020000}"/>
    <cellStyle name="Linked Cell 2" xfId="370" xr:uid="{00000000-0005-0000-0000-00004B020000}"/>
    <cellStyle name="Linked Cell 2 2" xfId="777" xr:uid="{00000000-0005-0000-0000-00004C020000}"/>
    <cellStyle name="Linked Cell 3" xfId="1105" xr:uid="{00000000-0005-0000-0000-00004D020000}"/>
    <cellStyle name="Neutral" xfId="371" builtinId="28" customBuiltin="1"/>
    <cellStyle name="Neutral 2" xfId="778" xr:uid="{00000000-0005-0000-0000-00004F020000}"/>
    <cellStyle name="Normal" xfId="0" builtinId="0"/>
    <cellStyle name="Normal 2" xfId="372" xr:uid="{00000000-0005-0000-0000-000050020000}"/>
    <cellStyle name="Note" xfId="373" xr:uid="{00000000-0005-0000-0000-000051020000}"/>
    <cellStyle name="Note 2" xfId="374" xr:uid="{00000000-0005-0000-0000-000052020000}"/>
    <cellStyle name="Note 2 2" xfId="375" xr:uid="{00000000-0005-0000-0000-000053020000}"/>
    <cellStyle name="Note 3" xfId="376" xr:uid="{00000000-0005-0000-0000-000054020000}"/>
    <cellStyle name="Note 3 2" xfId="779" xr:uid="{00000000-0005-0000-0000-000055020000}"/>
    <cellStyle name="Note 4" xfId="377" xr:uid="{00000000-0005-0000-0000-000056020000}"/>
    <cellStyle name="Note 4 2" xfId="781" xr:uid="{00000000-0005-0000-0000-000057020000}"/>
    <cellStyle name="Note 4 3" xfId="780" xr:uid="{00000000-0005-0000-0000-000058020000}"/>
    <cellStyle name="Note 5" xfId="378" xr:uid="{00000000-0005-0000-0000-000059020000}"/>
    <cellStyle name="Note 5 2" xfId="782" xr:uid="{00000000-0005-0000-0000-00005A020000}"/>
    <cellStyle name="Note 6" xfId="783" xr:uid="{00000000-0005-0000-0000-00005B020000}"/>
    <cellStyle name="Notiz 2" xfId="379" xr:uid="{00000000-0005-0000-0000-00005C020000}"/>
    <cellStyle name="Notiz 2 2" xfId="380" xr:uid="{00000000-0005-0000-0000-00005D020000}"/>
    <cellStyle name="Notiz 2 2 2" xfId="381" xr:uid="{00000000-0005-0000-0000-00005E020000}"/>
    <cellStyle name="Notiz 2 2 2 2" xfId="382" xr:uid="{00000000-0005-0000-0000-00005F020000}"/>
    <cellStyle name="Notiz 2 2 2 2 2" xfId="383" xr:uid="{00000000-0005-0000-0000-000060020000}"/>
    <cellStyle name="Notiz 2 2 2 2 2 2" xfId="784" xr:uid="{00000000-0005-0000-0000-000061020000}"/>
    <cellStyle name="Notiz 2 2 2 2 2 3" xfId="785" xr:uid="{00000000-0005-0000-0000-000062020000}"/>
    <cellStyle name="Notiz 2 2 2 2 2 4" xfId="786" xr:uid="{00000000-0005-0000-0000-000063020000}"/>
    <cellStyle name="Notiz 2 2 2 2 3" xfId="787" xr:uid="{00000000-0005-0000-0000-000064020000}"/>
    <cellStyle name="Notiz 2 2 2 2 4" xfId="788" xr:uid="{00000000-0005-0000-0000-000065020000}"/>
    <cellStyle name="Notiz 2 2 2 2 5" xfId="789" xr:uid="{00000000-0005-0000-0000-000066020000}"/>
    <cellStyle name="Notiz 2 2 2 3" xfId="384" xr:uid="{00000000-0005-0000-0000-000067020000}"/>
    <cellStyle name="Notiz 2 2 2 3 2" xfId="790" xr:uid="{00000000-0005-0000-0000-000068020000}"/>
    <cellStyle name="Notiz 2 2 2 3 3" xfId="791" xr:uid="{00000000-0005-0000-0000-000069020000}"/>
    <cellStyle name="Notiz 2 2 2 3 4" xfId="792" xr:uid="{00000000-0005-0000-0000-00006A020000}"/>
    <cellStyle name="Notiz 2 2 2 4" xfId="793" xr:uid="{00000000-0005-0000-0000-00006B020000}"/>
    <cellStyle name="Notiz 2 2 2 5" xfId="794" xr:uid="{00000000-0005-0000-0000-00006C020000}"/>
    <cellStyle name="Notiz 2 2 2 6" xfId="795" xr:uid="{00000000-0005-0000-0000-00006D020000}"/>
    <cellStyle name="Notiz 2 2 3" xfId="385" xr:uid="{00000000-0005-0000-0000-00006E020000}"/>
    <cellStyle name="Notiz 2 2 3 2" xfId="386" xr:uid="{00000000-0005-0000-0000-00006F020000}"/>
    <cellStyle name="Notiz 2 2 3 2 2" xfId="796" xr:uid="{00000000-0005-0000-0000-000070020000}"/>
    <cellStyle name="Notiz 2 2 3 2 3" xfId="797" xr:uid="{00000000-0005-0000-0000-000071020000}"/>
    <cellStyle name="Notiz 2 2 3 2 4" xfId="798" xr:uid="{00000000-0005-0000-0000-000072020000}"/>
    <cellStyle name="Notiz 2 2 3 3" xfId="799" xr:uid="{00000000-0005-0000-0000-000073020000}"/>
    <cellStyle name="Notiz 2 2 3 4" xfId="800" xr:uid="{00000000-0005-0000-0000-000074020000}"/>
    <cellStyle name="Notiz 2 2 3 5" xfId="801" xr:uid="{00000000-0005-0000-0000-000075020000}"/>
    <cellStyle name="Notiz 2 2 4" xfId="387" xr:uid="{00000000-0005-0000-0000-000076020000}"/>
    <cellStyle name="Notiz 2 2 4 2" xfId="388" xr:uid="{00000000-0005-0000-0000-000077020000}"/>
    <cellStyle name="Notiz 2 2 4 3" xfId="389" xr:uid="{00000000-0005-0000-0000-000078020000}"/>
    <cellStyle name="Notiz 2 2 4 3 2" xfId="390" xr:uid="{00000000-0005-0000-0000-000079020000}"/>
    <cellStyle name="Notiz 2 2 4 3 3" xfId="391" xr:uid="{00000000-0005-0000-0000-00007A020000}"/>
    <cellStyle name="Notiz 2 2 4 3 4" xfId="802" xr:uid="{00000000-0005-0000-0000-00007B020000}"/>
    <cellStyle name="Notiz 2 2 4 4" xfId="392" xr:uid="{00000000-0005-0000-0000-00007C020000}"/>
    <cellStyle name="Notiz 2 2 4 4 2" xfId="803" xr:uid="{00000000-0005-0000-0000-00007D020000}"/>
    <cellStyle name="Notiz 2 2 4 5" xfId="804" xr:uid="{00000000-0005-0000-0000-00007E020000}"/>
    <cellStyle name="Notiz 2 2 5" xfId="393" xr:uid="{00000000-0005-0000-0000-00007F020000}"/>
    <cellStyle name="Notiz 2 2 5 2" xfId="394" xr:uid="{00000000-0005-0000-0000-000080020000}"/>
    <cellStyle name="Notiz 2 2 5 3" xfId="395" xr:uid="{00000000-0005-0000-0000-000081020000}"/>
    <cellStyle name="Notiz 2 2 5 4" xfId="396" xr:uid="{00000000-0005-0000-0000-000082020000}"/>
    <cellStyle name="Notiz 2 2 5 4 2" xfId="1125" xr:uid="{00000000-0005-0000-0000-000083020000}"/>
    <cellStyle name="Notiz 2 2 5 4 3" xfId="805" xr:uid="{00000000-0005-0000-0000-000084020000}"/>
    <cellStyle name="Notiz 2 2 6" xfId="806" xr:uid="{00000000-0005-0000-0000-000085020000}"/>
    <cellStyle name="Notiz 2 3" xfId="397" xr:uid="{00000000-0005-0000-0000-000086020000}"/>
    <cellStyle name="Notiz 2 3 2" xfId="398" xr:uid="{00000000-0005-0000-0000-000087020000}"/>
    <cellStyle name="Notiz 2 3 2 2" xfId="399" xr:uid="{00000000-0005-0000-0000-000088020000}"/>
    <cellStyle name="Notiz 2 3 2 2 2" xfId="807" xr:uid="{00000000-0005-0000-0000-000089020000}"/>
    <cellStyle name="Notiz 2 3 2 2 3" xfId="808" xr:uid="{00000000-0005-0000-0000-00008A020000}"/>
    <cellStyle name="Notiz 2 3 2 2 4" xfId="809" xr:uid="{00000000-0005-0000-0000-00008B020000}"/>
    <cellStyle name="Notiz 2 3 2 3" xfId="810" xr:uid="{00000000-0005-0000-0000-00008C020000}"/>
    <cellStyle name="Notiz 2 3 2 4" xfId="811" xr:uid="{00000000-0005-0000-0000-00008D020000}"/>
    <cellStyle name="Notiz 2 3 2 5" xfId="812" xr:uid="{00000000-0005-0000-0000-00008E020000}"/>
    <cellStyle name="Notiz 2 3 3" xfId="400" xr:uid="{00000000-0005-0000-0000-00008F020000}"/>
    <cellStyle name="Notiz 2 3 3 2" xfId="813" xr:uid="{00000000-0005-0000-0000-000090020000}"/>
    <cellStyle name="Notiz 2 3 3 3" xfId="814" xr:uid="{00000000-0005-0000-0000-000091020000}"/>
    <cellStyle name="Notiz 2 3 3 4" xfId="815" xr:uid="{00000000-0005-0000-0000-000092020000}"/>
    <cellStyle name="Notiz 2 3 4" xfId="816" xr:uid="{00000000-0005-0000-0000-000093020000}"/>
    <cellStyle name="Notiz 2 3 5" xfId="817" xr:uid="{00000000-0005-0000-0000-000094020000}"/>
    <cellStyle name="Notiz 2 3 6" xfId="818" xr:uid="{00000000-0005-0000-0000-000095020000}"/>
    <cellStyle name="Notiz 2 4" xfId="401" xr:uid="{00000000-0005-0000-0000-000096020000}"/>
    <cellStyle name="Notiz 2 4 2" xfId="402" xr:uid="{00000000-0005-0000-0000-000097020000}"/>
    <cellStyle name="Notiz 2 4 2 2" xfId="819" xr:uid="{00000000-0005-0000-0000-000098020000}"/>
    <cellStyle name="Notiz 2 4 2 3" xfId="820" xr:uid="{00000000-0005-0000-0000-000099020000}"/>
    <cellStyle name="Notiz 2 4 2 4" xfId="821" xr:uid="{00000000-0005-0000-0000-00009A020000}"/>
    <cellStyle name="Notiz 2 4 3" xfId="822" xr:uid="{00000000-0005-0000-0000-00009B020000}"/>
    <cellStyle name="Notiz 2 4 4" xfId="823" xr:uid="{00000000-0005-0000-0000-00009C020000}"/>
    <cellStyle name="Notiz 2 4 5" xfId="824" xr:uid="{00000000-0005-0000-0000-00009D020000}"/>
    <cellStyle name="Notiz 2 5" xfId="403" xr:uid="{00000000-0005-0000-0000-00009E020000}"/>
    <cellStyle name="Notiz 2 5 2" xfId="825" xr:uid="{00000000-0005-0000-0000-00009F020000}"/>
    <cellStyle name="Notiz 2 5 3" xfId="826" xr:uid="{00000000-0005-0000-0000-0000A0020000}"/>
    <cellStyle name="Notiz 2 5 4" xfId="827" xr:uid="{00000000-0005-0000-0000-0000A1020000}"/>
    <cellStyle name="Notiz 2 6" xfId="828" xr:uid="{00000000-0005-0000-0000-0000A2020000}"/>
    <cellStyle name="Notiz 2 7" xfId="829" xr:uid="{00000000-0005-0000-0000-0000A3020000}"/>
    <cellStyle name="Notiz 2 8" xfId="830" xr:uid="{00000000-0005-0000-0000-0000A4020000}"/>
    <cellStyle name="Notiz 3" xfId="404" xr:uid="{00000000-0005-0000-0000-0000A5020000}"/>
    <cellStyle name="Notiz 3 2" xfId="405" xr:uid="{00000000-0005-0000-0000-0000A6020000}"/>
    <cellStyle name="Notiz 3 2 2" xfId="406" xr:uid="{00000000-0005-0000-0000-0000A7020000}"/>
    <cellStyle name="Notiz 3 2 2 2" xfId="407" xr:uid="{00000000-0005-0000-0000-0000A8020000}"/>
    <cellStyle name="Notiz 3 2 2 2 2" xfId="831" xr:uid="{00000000-0005-0000-0000-0000A9020000}"/>
    <cellStyle name="Notiz 3 2 2 2 3" xfId="832" xr:uid="{00000000-0005-0000-0000-0000AA020000}"/>
    <cellStyle name="Notiz 3 2 2 2 4" xfId="833" xr:uid="{00000000-0005-0000-0000-0000AB020000}"/>
    <cellStyle name="Notiz 3 2 2 3" xfId="834" xr:uid="{00000000-0005-0000-0000-0000AC020000}"/>
    <cellStyle name="Notiz 3 2 2 4" xfId="835" xr:uid="{00000000-0005-0000-0000-0000AD020000}"/>
    <cellStyle name="Notiz 3 2 2 5" xfId="836" xr:uid="{00000000-0005-0000-0000-0000AE020000}"/>
    <cellStyle name="Notiz 3 2 3" xfId="408" xr:uid="{00000000-0005-0000-0000-0000AF020000}"/>
    <cellStyle name="Notiz 3 2 3 2" xfId="837" xr:uid="{00000000-0005-0000-0000-0000B0020000}"/>
    <cellStyle name="Notiz 3 2 3 3" xfId="838" xr:uid="{00000000-0005-0000-0000-0000B1020000}"/>
    <cellStyle name="Notiz 3 2 3 4" xfId="839" xr:uid="{00000000-0005-0000-0000-0000B2020000}"/>
    <cellStyle name="Notiz 3 2 4" xfId="840" xr:uid="{00000000-0005-0000-0000-0000B3020000}"/>
    <cellStyle name="Notiz 3 2 5" xfId="841" xr:uid="{00000000-0005-0000-0000-0000B4020000}"/>
    <cellStyle name="Notiz 3 2 6" xfId="842" xr:uid="{00000000-0005-0000-0000-0000B5020000}"/>
    <cellStyle name="Notiz 3 3" xfId="409" xr:uid="{00000000-0005-0000-0000-0000B6020000}"/>
    <cellStyle name="Notiz 3 3 2" xfId="410" xr:uid="{00000000-0005-0000-0000-0000B7020000}"/>
    <cellStyle name="Notiz 3 3 2 2" xfId="843" xr:uid="{00000000-0005-0000-0000-0000B8020000}"/>
    <cellStyle name="Notiz 3 3 2 3" xfId="844" xr:uid="{00000000-0005-0000-0000-0000B9020000}"/>
    <cellStyle name="Notiz 3 3 2 4" xfId="845" xr:uid="{00000000-0005-0000-0000-0000BA020000}"/>
    <cellStyle name="Notiz 3 3 3" xfId="846" xr:uid="{00000000-0005-0000-0000-0000BB020000}"/>
    <cellStyle name="Notiz 3 3 4" xfId="847" xr:uid="{00000000-0005-0000-0000-0000BC020000}"/>
    <cellStyle name="Notiz 3 3 5" xfId="848" xr:uid="{00000000-0005-0000-0000-0000BD020000}"/>
    <cellStyle name="Notiz 3 4" xfId="411" xr:uid="{00000000-0005-0000-0000-0000BE020000}"/>
    <cellStyle name="Notiz 3 4 2" xfId="849" xr:uid="{00000000-0005-0000-0000-0000BF020000}"/>
    <cellStyle name="Notiz 3 4 3" xfId="850" xr:uid="{00000000-0005-0000-0000-0000C0020000}"/>
    <cellStyle name="Notiz 3 4 4" xfId="851" xr:uid="{00000000-0005-0000-0000-0000C1020000}"/>
    <cellStyle name="Notiz 3 5" xfId="852" xr:uid="{00000000-0005-0000-0000-0000C2020000}"/>
    <cellStyle name="Notiz 3 6" xfId="853" xr:uid="{00000000-0005-0000-0000-0000C3020000}"/>
    <cellStyle name="Notiz 3 7" xfId="854" xr:uid="{00000000-0005-0000-0000-0000C4020000}"/>
    <cellStyle name="Notiz 4" xfId="412" xr:uid="{00000000-0005-0000-0000-0000C5020000}"/>
    <cellStyle name="Notiz 4 2" xfId="413" xr:uid="{00000000-0005-0000-0000-0000C6020000}"/>
    <cellStyle name="Notiz 4 2 2" xfId="414" xr:uid="{00000000-0005-0000-0000-0000C7020000}"/>
    <cellStyle name="Notiz 4 2 2 2" xfId="855" xr:uid="{00000000-0005-0000-0000-0000C8020000}"/>
    <cellStyle name="Notiz 4 2 2 3" xfId="856" xr:uid="{00000000-0005-0000-0000-0000C9020000}"/>
    <cellStyle name="Notiz 4 2 2 4" xfId="857" xr:uid="{00000000-0005-0000-0000-0000CA020000}"/>
    <cellStyle name="Notiz 4 2 3" xfId="858" xr:uid="{00000000-0005-0000-0000-0000CB020000}"/>
    <cellStyle name="Notiz 4 2 4" xfId="859" xr:uid="{00000000-0005-0000-0000-0000CC020000}"/>
    <cellStyle name="Notiz 4 2 5" xfId="860" xr:uid="{00000000-0005-0000-0000-0000CD020000}"/>
    <cellStyle name="Notiz 4 3" xfId="415" xr:uid="{00000000-0005-0000-0000-0000CE020000}"/>
    <cellStyle name="Notiz 4 3 2" xfId="861" xr:uid="{00000000-0005-0000-0000-0000CF020000}"/>
    <cellStyle name="Notiz 4 3 3" xfId="862" xr:uid="{00000000-0005-0000-0000-0000D0020000}"/>
    <cellStyle name="Notiz 4 3 4" xfId="863" xr:uid="{00000000-0005-0000-0000-0000D1020000}"/>
    <cellStyle name="Notiz 4 4" xfId="864" xr:uid="{00000000-0005-0000-0000-0000D2020000}"/>
    <cellStyle name="Notiz 4 5" xfId="865" xr:uid="{00000000-0005-0000-0000-0000D3020000}"/>
    <cellStyle name="Notiz 4 6" xfId="866" xr:uid="{00000000-0005-0000-0000-0000D4020000}"/>
    <cellStyle name="Notiz 5" xfId="416" xr:uid="{00000000-0005-0000-0000-0000D5020000}"/>
    <cellStyle name="Notiz 5 2" xfId="417" xr:uid="{00000000-0005-0000-0000-0000D6020000}"/>
    <cellStyle name="Notiz 5 2 2" xfId="418" xr:uid="{00000000-0005-0000-0000-0000D7020000}"/>
    <cellStyle name="Notiz 5 2 2 2" xfId="867" xr:uid="{00000000-0005-0000-0000-0000D8020000}"/>
    <cellStyle name="Notiz 5 2 2 3" xfId="868" xr:uid="{00000000-0005-0000-0000-0000D9020000}"/>
    <cellStyle name="Notiz 5 2 2 4" xfId="869" xr:uid="{00000000-0005-0000-0000-0000DA020000}"/>
    <cellStyle name="Notiz 5 2 3" xfId="870" xr:uid="{00000000-0005-0000-0000-0000DB020000}"/>
    <cellStyle name="Notiz 5 2 4" xfId="871" xr:uid="{00000000-0005-0000-0000-0000DC020000}"/>
    <cellStyle name="Notiz 5 2 5" xfId="872" xr:uid="{00000000-0005-0000-0000-0000DD020000}"/>
    <cellStyle name="Notiz 5 3" xfId="419" xr:uid="{00000000-0005-0000-0000-0000DE020000}"/>
    <cellStyle name="Notiz 5 3 2" xfId="873" xr:uid="{00000000-0005-0000-0000-0000DF020000}"/>
    <cellStyle name="Notiz 5 3 3" xfId="874" xr:uid="{00000000-0005-0000-0000-0000E0020000}"/>
    <cellStyle name="Notiz 5 3 4" xfId="875" xr:uid="{00000000-0005-0000-0000-0000E1020000}"/>
    <cellStyle name="Notiz 5 4" xfId="876" xr:uid="{00000000-0005-0000-0000-0000E2020000}"/>
    <cellStyle name="Notiz 5 5" xfId="877" xr:uid="{00000000-0005-0000-0000-0000E3020000}"/>
    <cellStyle name="Notiz 5 6" xfId="878" xr:uid="{00000000-0005-0000-0000-0000E4020000}"/>
    <cellStyle name="Notiz 6" xfId="420" xr:uid="{00000000-0005-0000-0000-0000E5020000}"/>
    <cellStyle name="Notiz 6 2" xfId="421" xr:uid="{00000000-0005-0000-0000-0000E6020000}"/>
    <cellStyle name="Notiz 6 2 2" xfId="879" xr:uid="{00000000-0005-0000-0000-0000E7020000}"/>
    <cellStyle name="Notiz 6 2 3" xfId="880" xr:uid="{00000000-0005-0000-0000-0000E8020000}"/>
    <cellStyle name="Notiz 6 2 4" xfId="881" xr:uid="{00000000-0005-0000-0000-0000E9020000}"/>
    <cellStyle name="Notiz 6 3" xfId="882" xr:uid="{00000000-0005-0000-0000-0000EA020000}"/>
    <cellStyle name="Notiz 6 4" xfId="883" xr:uid="{00000000-0005-0000-0000-0000EB020000}"/>
    <cellStyle name="Notiz 6 5" xfId="884" xr:uid="{00000000-0005-0000-0000-0000EC020000}"/>
    <cellStyle name="Notiz 7" xfId="422" xr:uid="{00000000-0005-0000-0000-0000ED020000}"/>
    <cellStyle name="Notiz 7 2" xfId="885" xr:uid="{00000000-0005-0000-0000-0000EE020000}"/>
    <cellStyle name="Notiz 7 3" xfId="886" xr:uid="{00000000-0005-0000-0000-0000EF020000}"/>
    <cellStyle name="Notiz 7 4" xfId="887" xr:uid="{00000000-0005-0000-0000-0000F0020000}"/>
    <cellStyle name="Notiz 8" xfId="423" xr:uid="{00000000-0005-0000-0000-0000F1020000}"/>
    <cellStyle name="Notiz 9" xfId="888" xr:uid="{00000000-0005-0000-0000-0000F2020000}"/>
    <cellStyle name="Output 2" xfId="424" xr:uid="{00000000-0005-0000-0000-0000F3020000}"/>
    <cellStyle name="Percent" xfId="425" builtinId="5"/>
    <cellStyle name="Percent 2" xfId="889" xr:uid="{00000000-0005-0000-0000-0000F4020000}"/>
    <cellStyle name="Prozent 10" xfId="426" xr:uid="{00000000-0005-0000-0000-0000F6020000}"/>
    <cellStyle name="Prozent 10 2" xfId="427" xr:uid="{00000000-0005-0000-0000-0000F7020000}"/>
    <cellStyle name="Prozent 10 3" xfId="428" xr:uid="{00000000-0005-0000-0000-0000F8020000}"/>
    <cellStyle name="Prozent 10 3 2" xfId="891" xr:uid="{00000000-0005-0000-0000-0000F9020000}"/>
    <cellStyle name="Prozent 10 3 3" xfId="890" xr:uid="{00000000-0005-0000-0000-0000FA020000}"/>
    <cellStyle name="Prozent 10 4" xfId="429" xr:uid="{00000000-0005-0000-0000-0000FB020000}"/>
    <cellStyle name="Prozent 10 4 2" xfId="1126" xr:uid="{00000000-0005-0000-0000-0000FC020000}"/>
    <cellStyle name="Prozent 10 4 3" xfId="892" xr:uid="{00000000-0005-0000-0000-0000FD020000}"/>
    <cellStyle name="Prozent 11" xfId="430" xr:uid="{00000000-0005-0000-0000-0000FE020000}"/>
    <cellStyle name="Prozent 12" xfId="431" xr:uid="{00000000-0005-0000-0000-0000FF020000}"/>
    <cellStyle name="Prozent 13" xfId="893" xr:uid="{00000000-0005-0000-0000-000000030000}"/>
    <cellStyle name="Prozent 2" xfId="432" xr:uid="{00000000-0005-0000-0000-000001030000}"/>
    <cellStyle name="Prozent 3" xfId="433" xr:uid="{00000000-0005-0000-0000-000002030000}"/>
    <cellStyle name="Prozent 3 2" xfId="434" xr:uid="{00000000-0005-0000-0000-000003030000}"/>
    <cellStyle name="Prozent 3 2 2" xfId="435" xr:uid="{00000000-0005-0000-0000-000004030000}"/>
    <cellStyle name="Prozent 3 2 2 2" xfId="436" xr:uid="{00000000-0005-0000-0000-000005030000}"/>
    <cellStyle name="Prozent 3 2 2 2 2" xfId="437" xr:uid="{00000000-0005-0000-0000-000006030000}"/>
    <cellStyle name="Prozent 3 2 2 2 2 2" xfId="894" xr:uid="{00000000-0005-0000-0000-000007030000}"/>
    <cellStyle name="Prozent 3 2 2 2 2 3" xfId="895" xr:uid="{00000000-0005-0000-0000-000008030000}"/>
    <cellStyle name="Prozent 3 2 2 2 2 4" xfId="896" xr:uid="{00000000-0005-0000-0000-000009030000}"/>
    <cellStyle name="Prozent 3 2 2 2 3" xfId="897" xr:uid="{00000000-0005-0000-0000-00000A030000}"/>
    <cellStyle name="Prozent 3 2 2 2 4" xfId="898" xr:uid="{00000000-0005-0000-0000-00000B030000}"/>
    <cellStyle name="Prozent 3 2 2 2 5" xfId="899" xr:uid="{00000000-0005-0000-0000-00000C030000}"/>
    <cellStyle name="Prozent 3 2 2 3" xfId="438" xr:uid="{00000000-0005-0000-0000-00000D030000}"/>
    <cellStyle name="Prozent 3 2 2 3 2" xfId="900" xr:uid="{00000000-0005-0000-0000-00000E030000}"/>
    <cellStyle name="Prozent 3 2 2 3 3" xfId="901" xr:uid="{00000000-0005-0000-0000-00000F030000}"/>
    <cellStyle name="Prozent 3 2 2 3 4" xfId="902" xr:uid="{00000000-0005-0000-0000-000010030000}"/>
    <cellStyle name="Prozent 3 2 2 4" xfId="903" xr:uid="{00000000-0005-0000-0000-000011030000}"/>
    <cellStyle name="Prozent 3 2 2 5" xfId="904" xr:uid="{00000000-0005-0000-0000-000012030000}"/>
    <cellStyle name="Prozent 3 2 2 6" xfId="905" xr:uid="{00000000-0005-0000-0000-000013030000}"/>
    <cellStyle name="Prozent 3 2 3" xfId="439" xr:uid="{00000000-0005-0000-0000-000014030000}"/>
    <cellStyle name="Prozent 3 2 3 2" xfId="440" xr:uid="{00000000-0005-0000-0000-000015030000}"/>
    <cellStyle name="Prozent 3 2 3 2 2" xfId="906" xr:uid="{00000000-0005-0000-0000-000016030000}"/>
    <cellStyle name="Prozent 3 2 3 2 3" xfId="907" xr:uid="{00000000-0005-0000-0000-000017030000}"/>
    <cellStyle name="Prozent 3 2 3 2 4" xfId="908" xr:uid="{00000000-0005-0000-0000-000018030000}"/>
    <cellStyle name="Prozent 3 2 3 3" xfId="909" xr:uid="{00000000-0005-0000-0000-000019030000}"/>
    <cellStyle name="Prozent 3 2 3 4" xfId="910" xr:uid="{00000000-0005-0000-0000-00001A030000}"/>
    <cellStyle name="Prozent 3 2 3 5" xfId="911" xr:uid="{00000000-0005-0000-0000-00001B030000}"/>
    <cellStyle name="Prozent 3 2 4" xfId="441" xr:uid="{00000000-0005-0000-0000-00001C030000}"/>
    <cellStyle name="Prozent 3 2 4 2" xfId="442" xr:uid="{00000000-0005-0000-0000-00001D030000}"/>
    <cellStyle name="Prozent 3 2 4 3" xfId="443" xr:uid="{00000000-0005-0000-0000-00001E030000}"/>
    <cellStyle name="Prozent 3 2 4 4" xfId="912" xr:uid="{00000000-0005-0000-0000-00001F030000}"/>
    <cellStyle name="Prozent 3 2 4 5" xfId="913" xr:uid="{00000000-0005-0000-0000-000020030000}"/>
    <cellStyle name="Prozent 3 2 5" xfId="444" xr:uid="{00000000-0005-0000-0000-000021030000}"/>
    <cellStyle name="Prozent 3 3" xfId="445" xr:uid="{00000000-0005-0000-0000-000022030000}"/>
    <cellStyle name="Prozent 3 3 2" xfId="446" xr:uid="{00000000-0005-0000-0000-000023030000}"/>
    <cellStyle name="Prozent 3 3 2 2" xfId="447" xr:uid="{00000000-0005-0000-0000-000024030000}"/>
    <cellStyle name="Prozent 3 3 2 2 2" xfId="914" xr:uid="{00000000-0005-0000-0000-000025030000}"/>
    <cellStyle name="Prozent 3 3 2 2 3" xfId="915" xr:uid="{00000000-0005-0000-0000-000026030000}"/>
    <cellStyle name="Prozent 3 3 2 2 4" xfId="916" xr:uid="{00000000-0005-0000-0000-000027030000}"/>
    <cellStyle name="Prozent 3 3 2 3" xfId="917" xr:uid="{00000000-0005-0000-0000-000028030000}"/>
    <cellStyle name="Prozent 3 3 2 4" xfId="918" xr:uid="{00000000-0005-0000-0000-000029030000}"/>
    <cellStyle name="Prozent 3 3 2 5" xfId="919" xr:uid="{00000000-0005-0000-0000-00002A030000}"/>
    <cellStyle name="Prozent 3 3 3" xfId="448" xr:uid="{00000000-0005-0000-0000-00002B030000}"/>
    <cellStyle name="Prozent 3 3 3 2" xfId="920" xr:uid="{00000000-0005-0000-0000-00002C030000}"/>
    <cellStyle name="Prozent 3 3 3 3" xfId="921" xr:uid="{00000000-0005-0000-0000-00002D030000}"/>
    <cellStyle name="Prozent 3 3 3 4" xfId="922" xr:uid="{00000000-0005-0000-0000-00002E030000}"/>
    <cellStyle name="Prozent 3 3 4" xfId="923" xr:uid="{00000000-0005-0000-0000-00002F030000}"/>
    <cellStyle name="Prozent 3 3 5" xfId="924" xr:uid="{00000000-0005-0000-0000-000030030000}"/>
    <cellStyle name="Prozent 3 3 6" xfId="925" xr:uid="{00000000-0005-0000-0000-000031030000}"/>
    <cellStyle name="Prozent 3 4" xfId="449" xr:uid="{00000000-0005-0000-0000-000032030000}"/>
    <cellStyle name="Prozent 3 4 2" xfId="450" xr:uid="{00000000-0005-0000-0000-000033030000}"/>
    <cellStyle name="Prozent 3 4 2 2" xfId="926" xr:uid="{00000000-0005-0000-0000-000034030000}"/>
    <cellStyle name="Prozent 3 4 2 3" xfId="927" xr:uid="{00000000-0005-0000-0000-000035030000}"/>
    <cellStyle name="Prozent 3 4 2 4" xfId="928" xr:uid="{00000000-0005-0000-0000-000036030000}"/>
    <cellStyle name="Prozent 3 4 3" xfId="929" xr:uid="{00000000-0005-0000-0000-000037030000}"/>
    <cellStyle name="Prozent 3 4 4" xfId="930" xr:uid="{00000000-0005-0000-0000-000038030000}"/>
    <cellStyle name="Prozent 3 4 5" xfId="931" xr:uid="{00000000-0005-0000-0000-000039030000}"/>
    <cellStyle name="Prozent 3 5" xfId="451" xr:uid="{00000000-0005-0000-0000-00003A030000}"/>
    <cellStyle name="Prozent 3 5 2" xfId="932" xr:uid="{00000000-0005-0000-0000-00003B030000}"/>
    <cellStyle name="Prozent 3 5 3" xfId="933" xr:uid="{00000000-0005-0000-0000-00003C030000}"/>
    <cellStyle name="Prozent 3 5 4" xfId="934" xr:uid="{00000000-0005-0000-0000-00003D030000}"/>
    <cellStyle name="Prozent 3 6" xfId="935" xr:uid="{00000000-0005-0000-0000-00003E030000}"/>
    <cellStyle name="Prozent 3 7" xfId="936" xr:uid="{00000000-0005-0000-0000-00003F030000}"/>
    <cellStyle name="Prozent 3 8" xfId="937" xr:uid="{00000000-0005-0000-0000-000040030000}"/>
    <cellStyle name="Prozent 4" xfId="452" xr:uid="{00000000-0005-0000-0000-000041030000}"/>
    <cellStyle name="Prozent 4 2" xfId="453" xr:uid="{00000000-0005-0000-0000-000042030000}"/>
    <cellStyle name="Prozent 4 2 2" xfId="454" xr:uid="{00000000-0005-0000-0000-000043030000}"/>
    <cellStyle name="Prozent 4 2 2 2" xfId="455" xr:uid="{00000000-0005-0000-0000-000044030000}"/>
    <cellStyle name="Prozent 4 2 2 2 2" xfId="456" xr:uid="{00000000-0005-0000-0000-000045030000}"/>
    <cellStyle name="Prozent 4 2 2 2 2 2" xfId="938" xr:uid="{00000000-0005-0000-0000-000046030000}"/>
    <cellStyle name="Prozent 4 2 2 2 2 3" xfId="939" xr:uid="{00000000-0005-0000-0000-000047030000}"/>
    <cellStyle name="Prozent 4 2 2 2 2 4" xfId="940" xr:uid="{00000000-0005-0000-0000-000048030000}"/>
    <cellStyle name="Prozent 4 2 2 2 3" xfId="941" xr:uid="{00000000-0005-0000-0000-000049030000}"/>
    <cellStyle name="Prozent 4 2 2 2 4" xfId="942" xr:uid="{00000000-0005-0000-0000-00004A030000}"/>
    <cellStyle name="Prozent 4 2 2 2 5" xfId="943" xr:uid="{00000000-0005-0000-0000-00004B030000}"/>
    <cellStyle name="Prozent 4 2 2 3" xfId="457" xr:uid="{00000000-0005-0000-0000-00004C030000}"/>
    <cellStyle name="Prozent 4 2 2 3 2" xfId="944" xr:uid="{00000000-0005-0000-0000-00004D030000}"/>
    <cellStyle name="Prozent 4 2 2 3 3" xfId="945" xr:uid="{00000000-0005-0000-0000-00004E030000}"/>
    <cellStyle name="Prozent 4 2 2 3 4" xfId="946" xr:uid="{00000000-0005-0000-0000-00004F030000}"/>
    <cellStyle name="Prozent 4 2 2 4" xfId="947" xr:uid="{00000000-0005-0000-0000-000050030000}"/>
    <cellStyle name="Prozent 4 2 2 5" xfId="948" xr:uid="{00000000-0005-0000-0000-000051030000}"/>
    <cellStyle name="Prozent 4 2 2 6" xfId="949" xr:uid="{00000000-0005-0000-0000-000052030000}"/>
    <cellStyle name="Prozent 4 2 3" xfId="458" xr:uid="{00000000-0005-0000-0000-000053030000}"/>
    <cellStyle name="Prozent 4 2 3 2" xfId="459" xr:uid="{00000000-0005-0000-0000-000054030000}"/>
    <cellStyle name="Prozent 4 2 3 2 2" xfId="950" xr:uid="{00000000-0005-0000-0000-000055030000}"/>
    <cellStyle name="Prozent 4 2 3 2 3" xfId="951" xr:uid="{00000000-0005-0000-0000-000056030000}"/>
    <cellStyle name="Prozent 4 2 3 2 4" xfId="952" xr:uid="{00000000-0005-0000-0000-000057030000}"/>
    <cellStyle name="Prozent 4 2 3 3" xfId="953" xr:uid="{00000000-0005-0000-0000-000058030000}"/>
    <cellStyle name="Prozent 4 2 3 4" xfId="954" xr:uid="{00000000-0005-0000-0000-000059030000}"/>
    <cellStyle name="Prozent 4 2 3 5" xfId="955" xr:uid="{00000000-0005-0000-0000-00005A030000}"/>
    <cellStyle name="Prozent 4 2 4" xfId="460" xr:uid="{00000000-0005-0000-0000-00005B030000}"/>
    <cellStyle name="Prozent 4 2 4 2" xfId="956" xr:uid="{00000000-0005-0000-0000-00005C030000}"/>
    <cellStyle name="Prozent 4 2 4 3" xfId="957" xr:uid="{00000000-0005-0000-0000-00005D030000}"/>
    <cellStyle name="Prozent 4 2 4 4" xfId="958" xr:uid="{00000000-0005-0000-0000-00005E030000}"/>
    <cellStyle name="Prozent 4 2 5" xfId="959" xr:uid="{00000000-0005-0000-0000-00005F030000}"/>
    <cellStyle name="Prozent 4 2 6" xfId="960" xr:uid="{00000000-0005-0000-0000-000060030000}"/>
    <cellStyle name="Prozent 4 2 7" xfId="961" xr:uid="{00000000-0005-0000-0000-000061030000}"/>
    <cellStyle name="Prozent 4 3" xfId="461" xr:uid="{00000000-0005-0000-0000-000062030000}"/>
    <cellStyle name="Prozent 4 3 2" xfId="462" xr:uid="{00000000-0005-0000-0000-000063030000}"/>
    <cellStyle name="Prozent 4 3 2 2" xfId="463" xr:uid="{00000000-0005-0000-0000-000064030000}"/>
    <cellStyle name="Prozent 4 3 2 2 2" xfId="962" xr:uid="{00000000-0005-0000-0000-000065030000}"/>
    <cellStyle name="Prozent 4 3 2 2 3" xfId="963" xr:uid="{00000000-0005-0000-0000-000066030000}"/>
    <cellStyle name="Prozent 4 3 2 2 4" xfId="964" xr:uid="{00000000-0005-0000-0000-000067030000}"/>
    <cellStyle name="Prozent 4 3 2 3" xfId="965" xr:uid="{00000000-0005-0000-0000-000068030000}"/>
    <cellStyle name="Prozent 4 3 2 4" xfId="966" xr:uid="{00000000-0005-0000-0000-000069030000}"/>
    <cellStyle name="Prozent 4 3 2 5" xfId="967" xr:uid="{00000000-0005-0000-0000-00006A030000}"/>
    <cellStyle name="Prozent 4 3 3" xfId="464" xr:uid="{00000000-0005-0000-0000-00006B030000}"/>
    <cellStyle name="Prozent 4 3 3 2" xfId="465" xr:uid="{00000000-0005-0000-0000-00006C030000}"/>
    <cellStyle name="Prozent 4 3 3 2 2" xfId="968" xr:uid="{00000000-0005-0000-0000-00006D030000}"/>
    <cellStyle name="Prozent 4 3 3 2 3" xfId="969" xr:uid="{00000000-0005-0000-0000-00006E030000}"/>
    <cellStyle name="Prozent 4 3 3 2 4" xfId="970" xr:uid="{00000000-0005-0000-0000-00006F030000}"/>
    <cellStyle name="Prozent 4 3 3 3" xfId="971" xr:uid="{00000000-0005-0000-0000-000070030000}"/>
    <cellStyle name="Prozent 4 3 3 4" xfId="972" xr:uid="{00000000-0005-0000-0000-000071030000}"/>
    <cellStyle name="Prozent 4 3 3 5" xfId="973" xr:uid="{00000000-0005-0000-0000-000072030000}"/>
    <cellStyle name="Prozent 4 3 4" xfId="466" xr:uid="{00000000-0005-0000-0000-000073030000}"/>
    <cellStyle name="Prozent 4 3 4 2" xfId="467" xr:uid="{00000000-0005-0000-0000-000074030000}"/>
    <cellStyle name="Prozent 4 3 4 3" xfId="468" xr:uid="{00000000-0005-0000-0000-000075030000}"/>
    <cellStyle name="Prozent 4 3 4 4" xfId="469" xr:uid="{00000000-0005-0000-0000-000076030000}"/>
    <cellStyle name="Prozent 4 3 4 4 2" xfId="1127" xr:uid="{00000000-0005-0000-0000-000077030000}"/>
    <cellStyle name="Prozent 4 3 4 4 3" xfId="974" xr:uid="{00000000-0005-0000-0000-000078030000}"/>
    <cellStyle name="Prozent 4 3 5" xfId="975" xr:uid="{00000000-0005-0000-0000-000079030000}"/>
    <cellStyle name="Prozent 4 4" xfId="470" xr:uid="{00000000-0005-0000-0000-00007A030000}"/>
    <cellStyle name="Prozent 4 4 2" xfId="471" xr:uid="{00000000-0005-0000-0000-00007B030000}"/>
    <cellStyle name="Prozent 4 4 2 2" xfId="976" xr:uid="{00000000-0005-0000-0000-00007C030000}"/>
    <cellStyle name="Prozent 4 4 2 3" xfId="977" xr:uid="{00000000-0005-0000-0000-00007D030000}"/>
    <cellStyle name="Prozent 4 4 2 4" xfId="978" xr:uid="{00000000-0005-0000-0000-00007E030000}"/>
    <cellStyle name="Prozent 4 4 3" xfId="979" xr:uid="{00000000-0005-0000-0000-00007F030000}"/>
    <cellStyle name="Prozent 4 4 4" xfId="980" xr:uid="{00000000-0005-0000-0000-000080030000}"/>
    <cellStyle name="Prozent 4 4 5" xfId="981" xr:uid="{00000000-0005-0000-0000-000081030000}"/>
    <cellStyle name="Prozent 4 5" xfId="472" xr:uid="{00000000-0005-0000-0000-000082030000}"/>
    <cellStyle name="Prozent 4 5 2" xfId="982" xr:uid="{00000000-0005-0000-0000-000083030000}"/>
    <cellStyle name="Prozent 4 5 3" xfId="983" xr:uid="{00000000-0005-0000-0000-000084030000}"/>
    <cellStyle name="Prozent 4 5 4" xfId="984" xr:uid="{00000000-0005-0000-0000-000085030000}"/>
    <cellStyle name="Prozent 4 6" xfId="985" xr:uid="{00000000-0005-0000-0000-000086030000}"/>
    <cellStyle name="Prozent 4 7" xfId="986" xr:uid="{00000000-0005-0000-0000-000087030000}"/>
    <cellStyle name="Prozent 4 8" xfId="987" xr:uid="{00000000-0005-0000-0000-000088030000}"/>
    <cellStyle name="Prozent 5" xfId="473" xr:uid="{00000000-0005-0000-0000-000089030000}"/>
    <cellStyle name="Prozent 5 2" xfId="474" xr:uid="{00000000-0005-0000-0000-00008A030000}"/>
    <cellStyle name="Prozent 5 2 2" xfId="475" xr:uid="{00000000-0005-0000-0000-00008B030000}"/>
    <cellStyle name="Prozent 5 2 2 2" xfId="476" xr:uid="{00000000-0005-0000-0000-00008C030000}"/>
    <cellStyle name="Prozent 5 2 2 2 2" xfId="988" xr:uid="{00000000-0005-0000-0000-00008D030000}"/>
    <cellStyle name="Prozent 5 2 2 2 3" xfId="989" xr:uid="{00000000-0005-0000-0000-00008E030000}"/>
    <cellStyle name="Prozent 5 2 2 2 4" xfId="990" xr:uid="{00000000-0005-0000-0000-00008F030000}"/>
    <cellStyle name="Prozent 5 2 2 3" xfId="991" xr:uid="{00000000-0005-0000-0000-000090030000}"/>
    <cellStyle name="Prozent 5 2 2 4" xfId="992" xr:uid="{00000000-0005-0000-0000-000091030000}"/>
    <cellStyle name="Prozent 5 2 2 5" xfId="993" xr:uid="{00000000-0005-0000-0000-000092030000}"/>
    <cellStyle name="Prozent 5 2 3" xfId="477" xr:uid="{00000000-0005-0000-0000-000093030000}"/>
    <cellStyle name="Prozent 5 2 3 2" xfId="994" xr:uid="{00000000-0005-0000-0000-000094030000}"/>
    <cellStyle name="Prozent 5 2 3 3" xfId="995" xr:uid="{00000000-0005-0000-0000-000095030000}"/>
    <cellStyle name="Prozent 5 2 3 4" xfId="996" xr:uid="{00000000-0005-0000-0000-000096030000}"/>
    <cellStyle name="Prozent 5 2 4" xfId="997" xr:uid="{00000000-0005-0000-0000-000097030000}"/>
    <cellStyle name="Prozent 5 2 5" xfId="998" xr:uid="{00000000-0005-0000-0000-000098030000}"/>
    <cellStyle name="Prozent 5 2 6" xfId="999" xr:uid="{00000000-0005-0000-0000-000099030000}"/>
    <cellStyle name="Prozent 5 3" xfId="478" xr:uid="{00000000-0005-0000-0000-00009A030000}"/>
    <cellStyle name="Prozent 5 3 2" xfId="479" xr:uid="{00000000-0005-0000-0000-00009B030000}"/>
    <cellStyle name="Prozent 5 3 2 2" xfId="1000" xr:uid="{00000000-0005-0000-0000-00009C030000}"/>
    <cellStyle name="Prozent 5 3 2 3" xfId="1001" xr:uid="{00000000-0005-0000-0000-00009D030000}"/>
    <cellStyle name="Prozent 5 3 2 4" xfId="1002" xr:uid="{00000000-0005-0000-0000-00009E030000}"/>
    <cellStyle name="Prozent 5 3 3" xfId="1003" xr:uid="{00000000-0005-0000-0000-00009F030000}"/>
    <cellStyle name="Prozent 5 3 4" xfId="1004" xr:uid="{00000000-0005-0000-0000-0000A0030000}"/>
    <cellStyle name="Prozent 5 3 5" xfId="1005" xr:uid="{00000000-0005-0000-0000-0000A1030000}"/>
    <cellStyle name="Prozent 5 4" xfId="480" xr:uid="{00000000-0005-0000-0000-0000A2030000}"/>
    <cellStyle name="Prozent 5 4 2" xfId="481" xr:uid="{00000000-0005-0000-0000-0000A3030000}"/>
    <cellStyle name="Prozent 5 4 3" xfId="482" xr:uid="{00000000-0005-0000-0000-0000A4030000}"/>
    <cellStyle name="Prozent 5 4 3 2" xfId="483" xr:uid="{00000000-0005-0000-0000-0000A5030000}"/>
    <cellStyle name="Prozent 5 4 3 3" xfId="484" xr:uid="{00000000-0005-0000-0000-0000A6030000}"/>
    <cellStyle name="Prozent 5 4 3 4" xfId="1006" xr:uid="{00000000-0005-0000-0000-0000A7030000}"/>
    <cellStyle name="Prozent 5 4 4" xfId="485" xr:uid="{00000000-0005-0000-0000-0000A8030000}"/>
    <cellStyle name="Prozent 5 4 4 2" xfId="1007" xr:uid="{00000000-0005-0000-0000-0000A9030000}"/>
    <cellStyle name="Prozent 5 4 5" xfId="1008" xr:uid="{00000000-0005-0000-0000-0000AA030000}"/>
    <cellStyle name="Prozent 5 5" xfId="486" xr:uid="{00000000-0005-0000-0000-0000AB030000}"/>
    <cellStyle name="Prozent 5 5 2" xfId="487" xr:uid="{00000000-0005-0000-0000-0000AC030000}"/>
    <cellStyle name="Prozent 5 5 3" xfId="488" xr:uid="{00000000-0005-0000-0000-0000AD030000}"/>
    <cellStyle name="Prozent 5 5 4" xfId="489" xr:uid="{00000000-0005-0000-0000-0000AE030000}"/>
    <cellStyle name="Prozent 5 5 4 2" xfId="1128" xr:uid="{00000000-0005-0000-0000-0000AF030000}"/>
    <cellStyle name="Prozent 5 5 4 3" xfId="1009" xr:uid="{00000000-0005-0000-0000-0000B0030000}"/>
    <cellStyle name="Prozent 5 6" xfId="1010" xr:uid="{00000000-0005-0000-0000-0000B1030000}"/>
    <cellStyle name="Prozent 6" xfId="490" xr:uid="{00000000-0005-0000-0000-0000B2030000}"/>
    <cellStyle name="Prozent 6 2" xfId="491" xr:uid="{00000000-0005-0000-0000-0000B3030000}"/>
    <cellStyle name="Prozent 6 2 2" xfId="492" xr:uid="{00000000-0005-0000-0000-0000B4030000}"/>
    <cellStyle name="Prozent 6 2 2 2" xfId="1011" xr:uid="{00000000-0005-0000-0000-0000B5030000}"/>
    <cellStyle name="Prozent 6 2 2 3" xfId="1012" xr:uid="{00000000-0005-0000-0000-0000B6030000}"/>
    <cellStyle name="Prozent 6 2 2 4" xfId="1013" xr:uid="{00000000-0005-0000-0000-0000B7030000}"/>
    <cellStyle name="Prozent 6 2 3" xfId="1014" xr:uid="{00000000-0005-0000-0000-0000B8030000}"/>
    <cellStyle name="Prozent 6 2 4" xfId="1015" xr:uid="{00000000-0005-0000-0000-0000B9030000}"/>
    <cellStyle name="Prozent 6 2 5" xfId="1016" xr:uid="{00000000-0005-0000-0000-0000BA030000}"/>
    <cellStyle name="Prozent 6 3" xfId="493" xr:uid="{00000000-0005-0000-0000-0000BB030000}"/>
    <cellStyle name="Prozent 6 3 2" xfId="1017" xr:uid="{00000000-0005-0000-0000-0000BC030000}"/>
    <cellStyle name="Prozent 6 3 3" xfId="1018" xr:uid="{00000000-0005-0000-0000-0000BD030000}"/>
    <cellStyle name="Prozent 6 3 4" xfId="1019" xr:uid="{00000000-0005-0000-0000-0000BE030000}"/>
    <cellStyle name="Prozent 6 4" xfId="1020" xr:uid="{00000000-0005-0000-0000-0000BF030000}"/>
    <cellStyle name="Prozent 6 5" xfId="1021" xr:uid="{00000000-0005-0000-0000-0000C0030000}"/>
    <cellStyle name="Prozent 6 6" xfId="1022" xr:uid="{00000000-0005-0000-0000-0000C1030000}"/>
    <cellStyle name="Prozent 7" xfId="494" xr:uid="{00000000-0005-0000-0000-0000C2030000}"/>
    <cellStyle name="Prozent 7 2" xfId="495" xr:uid="{00000000-0005-0000-0000-0000C3030000}"/>
    <cellStyle name="Prozent 7 2 2" xfId="496" xr:uid="{00000000-0005-0000-0000-0000C4030000}"/>
    <cellStyle name="Prozent 7 2 2 2" xfId="1023" xr:uid="{00000000-0005-0000-0000-0000C5030000}"/>
    <cellStyle name="Prozent 7 2 2 3" xfId="1024" xr:uid="{00000000-0005-0000-0000-0000C6030000}"/>
    <cellStyle name="Prozent 7 2 2 4" xfId="1025" xr:uid="{00000000-0005-0000-0000-0000C7030000}"/>
    <cellStyle name="Prozent 7 2 3" xfId="1026" xr:uid="{00000000-0005-0000-0000-0000C8030000}"/>
    <cellStyle name="Prozent 7 2 4" xfId="1027" xr:uid="{00000000-0005-0000-0000-0000C9030000}"/>
    <cellStyle name="Prozent 7 2 5" xfId="1028" xr:uid="{00000000-0005-0000-0000-0000CA030000}"/>
    <cellStyle name="Prozent 7 3" xfId="497" xr:uid="{00000000-0005-0000-0000-0000CB030000}"/>
    <cellStyle name="Prozent 7 3 2" xfId="1029" xr:uid="{00000000-0005-0000-0000-0000CC030000}"/>
    <cellStyle name="Prozent 7 3 3" xfId="1030" xr:uid="{00000000-0005-0000-0000-0000CD030000}"/>
    <cellStyle name="Prozent 7 3 4" xfId="1031" xr:uid="{00000000-0005-0000-0000-0000CE030000}"/>
    <cellStyle name="Prozent 7 4" xfId="1032" xr:uid="{00000000-0005-0000-0000-0000CF030000}"/>
    <cellStyle name="Prozent 7 5" xfId="1033" xr:uid="{00000000-0005-0000-0000-0000D0030000}"/>
    <cellStyle name="Prozent 7 6" xfId="1034" xr:uid="{00000000-0005-0000-0000-0000D1030000}"/>
    <cellStyle name="Prozent 8" xfId="498" xr:uid="{00000000-0005-0000-0000-0000D2030000}"/>
    <cellStyle name="Prozent 8 2" xfId="499" xr:uid="{00000000-0005-0000-0000-0000D3030000}"/>
    <cellStyle name="Prozent 8 2 2" xfId="500" xr:uid="{00000000-0005-0000-0000-0000D4030000}"/>
    <cellStyle name="Prozent 8 2 3" xfId="501" xr:uid="{00000000-0005-0000-0000-0000D5030000}"/>
    <cellStyle name="Prozent 8 2 4" xfId="1035" xr:uid="{00000000-0005-0000-0000-0000D6030000}"/>
    <cellStyle name="Prozent 8 3" xfId="502" xr:uid="{00000000-0005-0000-0000-0000D7030000}"/>
    <cellStyle name="Prozent 8 3 2" xfId="503" xr:uid="{00000000-0005-0000-0000-0000D8030000}"/>
    <cellStyle name="Prozent 8 3 2 2" xfId="504" xr:uid="{00000000-0005-0000-0000-0000D9030000}"/>
    <cellStyle name="Prozent 8 3 2 2 2" xfId="1037" xr:uid="{00000000-0005-0000-0000-0000DA030000}"/>
    <cellStyle name="Prozent 8 3 2 2 3" xfId="1036" xr:uid="{00000000-0005-0000-0000-0000DB030000}"/>
    <cellStyle name="Prozent 8 3 2 3" xfId="505" xr:uid="{00000000-0005-0000-0000-0000DC030000}"/>
    <cellStyle name="Prozent 8 3 2 3 2" xfId="1129" xr:uid="{00000000-0005-0000-0000-0000DD030000}"/>
    <cellStyle name="Prozent 8 3 2 3 3" xfId="1038" xr:uid="{00000000-0005-0000-0000-0000DE030000}"/>
    <cellStyle name="Prozent 8 3 2 4" xfId="1039" xr:uid="{00000000-0005-0000-0000-0000DF030000}"/>
    <cellStyle name="Prozent 8 3 2 5" xfId="1040" xr:uid="{00000000-0005-0000-0000-0000E0030000}"/>
    <cellStyle name="Prozent 8 3 3" xfId="506" xr:uid="{00000000-0005-0000-0000-0000E1030000}"/>
    <cellStyle name="Prozent 8 3 3 2" xfId="507" xr:uid="{00000000-0005-0000-0000-0000E2030000}"/>
    <cellStyle name="Prozent 8 3 3 3" xfId="508" xr:uid="{00000000-0005-0000-0000-0000E3030000}"/>
    <cellStyle name="Prozent 8 3 4" xfId="1041" xr:uid="{00000000-0005-0000-0000-0000E4030000}"/>
    <cellStyle name="Prozent 8 3 5" xfId="1042" xr:uid="{00000000-0005-0000-0000-0000E5030000}"/>
    <cellStyle name="Prozent 8 3 6" xfId="1043" xr:uid="{00000000-0005-0000-0000-0000E6030000}"/>
    <cellStyle name="Prozent 9" xfId="509" xr:uid="{00000000-0005-0000-0000-0000E7030000}"/>
    <cellStyle name="Prozent 9 2" xfId="1044" xr:uid="{00000000-0005-0000-0000-0000E8030000}"/>
    <cellStyle name="Prozent 9 3" xfId="1045" xr:uid="{00000000-0005-0000-0000-0000E9030000}"/>
    <cellStyle name="Prozent 9 4" xfId="1046" xr:uid="{00000000-0005-0000-0000-0000EA030000}"/>
    <cellStyle name="Schlecht 2" xfId="511" xr:uid="{00000000-0005-0000-0000-0000EB030000}"/>
    <cellStyle name="Schlecht 3" xfId="512" xr:uid="{00000000-0005-0000-0000-0000EC030000}"/>
    <cellStyle name="Standard 2" xfId="513" xr:uid="{00000000-0005-0000-0000-0000EE030000}"/>
    <cellStyle name="Standard 2 2" xfId="514" xr:uid="{00000000-0005-0000-0000-0000EF030000}"/>
    <cellStyle name="Standard 2 2 2" xfId="515" xr:uid="{00000000-0005-0000-0000-0000F0030000}"/>
    <cellStyle name="Standard 2 2 3" xfId="516" xr:uid="{00000000-0005-0000-0000-0000F1030000}"/>
    <cellStyle name="Standard 2 3" xfId="517" xr:uid="{00000000-0005-0000-0000-0000F2030000}"/>
    <cellStyle name="Standard 2 4" xfId="518" xr:uid="{00000000-0005-0000-0000-0000F3030000}"/>
    <cellStyle name="Standard 2 5" xfId="519" xr:uid="{00000000-0005-0000-0000-0000F4030000}"/>
    <cellStyle name="Standard 2 6" xfId="520" xr:uid="{00000000-0005-0000-0000-0000F5030000}"/>
    <cellStyle name="Standard 3" xfId="521" xr:uid="{00000000-0005-0000-0000-0000F6030000}"/>
    <cellStyle name="Standard 3 2" xfId="522" xr:uid="{00000000-0005-0000-0000-0000F7030000}"/>
    <cellStyle name="Standard 3 2 2" xfId="523" xr:uid="{00000000-0005-0000-0000-0000F8030000}"/>
    <cellStyle name="Standard 3 2 2 2" xfId="524" xr:uid="{00000000-0005-0000-0000-0000F9030000}"/>
    <cellStyle name="Standard 3 2 2 2 2" xfId="525" xr:uid="{00000000-0005-0000-0000-0000FA030000}"/>
    <cellStyle name="Standard 3 2 2 2 2 2" xfId="1048" xr:uid="{00000000-0005-0000-0000-0000FB030000}"/>
    <cellStyle name="Standard 3 2 2 2 2 3" xfId="1049" xr:uid="{00000000-0005-0000-0000-0000FC030000}"/>
    <cellStyle name="Standard 3 2 2 2 2 4" xfId="1050" xr:uid="{00000000-0005-0000-0000-0000FD030000}"/>
    <cellStyle name="Standard 3 2 2 2 3" xfId="1051" xr:uid="{00000000-0005-0000-0000-0000FE030000}"/>
    <cellStyle name="Standard 3 2 2 2 4" xfId="1052" xr:uid="{00000000-0005-0000-0000-0000FF030000}"/>
    <cellStyle name="Standard 3 2 2 2 5" xfId="1053" xr:uid="{00000000-0005-0000-0000-000000040000}"/>
    <cellStyle name="Standard 3 2 2 3" xfId="526" xr:uid="{00000000-0005-0000-0000-000001040000}"/>
    <cellStyle name="Standard 3 2 2 3 2" xfId="1054" xr:uid="{00000000-0005-0000-0000-000002040000}"/>
    <cellStyle name="Standard 3 2 2 3 3" xfId="1055" xr:uid="{00000000-0005-0000-0000-000003040000}"/>
    <cellStyle name="Standard 3 2 2 3 4" xfId="1056" xr:uid="{00000000-0005-0000-0000-000004040000}"/>
    <cellStyle name="Standard 3 2 2 4" xfId="1057" xr:uid="{00000000-0005-0000-0000-000005040000}"/>
    <cellStyle name="Standard 3 2 2 5" xfId="1058" xr:uid="{00000000-0005-0000-0000-000006040000}"/>
    <cellStyle name="Standard 3 2 2 6" xfId="1059" xr:uid="{00000000-0005-0000-0000-000007040000}"/>
    <cellStyle name="Standard 3 2 3" xfId="527" xr:uid="{00000000-0005-0000-0000-000008040000}"/>
    <cellStyle name="Standard 3 2 3 2" xfId="528" xr:uid="{00000000-0005-0000-0000-000009040000}"/>
    <cellStyle name="Standard 3 2 3 2 2" xfId="1060" xr:uid="{00000000-0005-0000-0000-00000A040000}"/>
    <cellStyle name="Standard 3 2 3 2 3" xfId="1061" xr:uid="{00000000-0005-0000-0000-00000B040000}"/>
    <cellStyle name="Standard 3 2 3 2 4" xfId="1062" xr:uid="{00000000-0005-0000-0000-00000C040000}"/>
    <cellStyle name="Standard 3 2 3 3" xfId="1063" xr:uid="{00000000-0005-0000-0000-00000D040000}"/>
    <cellStyle name="Standard 3 2 3 4" xfId="1064" xr:uid="{00000000-0005-0000-0000-00000E040000}"/>
    <cellStyle name="Standard 3 2 3 5" xfId="1065" xr:uid="{00000000-0005-0000-0000-00000F040000}"/>
    <cellStyle name="Standard 3 2 4" xfId="529" xr:uid="{00000000-0005-0000-0000-000010040000}"/>
    <cellStyle name="Standard 3 2 4 2" xfId="530" xr:uid="{00000000-0005-0000-0000-000011040000}"/>
    <cellStyle name="Standard 3 2 4 3" xfId="531" xr:uid="{00000000-0005-0000-0000-000012040000}"/>
    <cellStyle name="Standard 3 2 4 4" xfId="1066" xr:uid="{00000000-0005-0000-0000-000013040000}"/>
    <cellStyle name="Standard 3 2 4 5" xfId="1067" xr:uid="{00000000-0005-0000-0000-000014040000}"/>
    <cellStyle name="Standard 3 2 5" xfId="532" xr:uid="{00000000-0005-0000-0000-000015040000}"/>
    <cellStyle name="Standard 3 2 6" xfId="533" xr:uid="{00000000-0005-0000-0000-000016040000}"/>
    <cellStyle name="Standard 3 3" xfId="534" xr:uid="{00000000-0005-0000-0000-000017040000}"/>
    <cellStyle name="Standard 3 3 2" xfId="535" xr:uid="{00000000-0005-0000-0000-000018040000}"/>
    <cellStyle name="Standard 3 3 2 2" xfId="536" xr:uid="{00000000-0005-0000-0000-000019040000}"/>
    <cellStyle name="Standard 3 3 2 2 2" xfId="1068" xr:uid="{00000000-0005-0000-0000-00001A040000}"/>
    <cellStyle name="Standard 3 3 2 2 3" xfId="1069" xr:uid="{00000000-0005-0000-0000-00001B040000}"/>
    <cellStyle name="Standard 3 3 2 2 4" xfId="1070" xr:uid="{00000000-0005-0000-0000-00001C040000}"/>
    <cellStyle name="Standard 3 3 2 3" xfId="1071" xr:uid="{00000000-0005-0000-0000-00001D040000}"/>
    <cellStyle name="Standard 3 3 2 4" xfId="1072" xr:uid="{00000000-0005-0000-0000-00001E040000}"/>
    <cellStyle name="Standard 3 3 2 5" xfId="1073" xr:uid="{00000000-0005-0000-0000-00001F040000}"/>
    <cellStyle name="Standard 3 3 3" xfId="537" xr:uid="{00000000-0005-0000-0000-000020040000}"/>
    <cellStyle name="Standard 3 3 3 2" xfId="1074" xr:uid="{00000000-0005-0000-0000-000021040000}"/>
    <cellStyle name="Standard 3 3 3 3" xfId="1075" xr:uid="{00000000-0005-0000-0000-000022040000}"/>
    <cellStyle name="Standard 3 3 3 4" xfId="1076" xr:uid="{00000000-0005-0000-0000-000023040000}"/>
    <cellStyle name="Standard 3 3 4" xfId="1077" xr:uid="{00000000-0005-0000-0000-000024040000}"/>
    <cellStyle name="Standard 3 3 5" xfId="1078" xr:uid="{00000000-0005-0000-0000-000025040000}"/>
    <cellStyle name="Standard 3 3 6" xfId="1079" xr:uid="{00000000-0005-0000-0000-000026040000}"/>
    <cellStyle name="Standard 3 4" xfId="538" xr:uid="{00000000-0005-0000-0000-000027040000}"/>
    <cellStyle name="Standard 3 4 2" xfId="539" xr:uid="{00000000-0005-0000-0000-000028040000}"/>
    <cellStyle name="Standard 3 4 2 2" xfId="1080" xr:uid="{00000000-0005-0000-0000-000029040000}"/>
    <cellStyle name="Standard 3 4 2 3" xfId="1081" xr:uid="{00000000-0005-0000-0000-00002A040000}"/>
    <cellStyle name="Standard 3 4 2 4" xfId="1082" xr:uid="{00000000-0005-0000-0000-00002B040000}"/>
    <cellStyle name="Standard 3 4 3" xfId="1083" xr:uid="{00000000-0005-0000-0000-00002C040000}"/>
    <cellStyle name="Standard 3 4 4" xfId="1084" xr:uid="{00000000-0005-0000-0000-00002D040000}"/>
    <cellStyle name="Standard 3 4 5" xfId="1085" xr:uid="{00000000-0005-0000-0000-00002E040000}"/>
    <cellStyle name="Standard 3 5" xfId="540" xr:uid="{00000000-0005-0000-0000-00002F040000}"/>
    <cellStyle name="Standard 3 5 2" xfId="1086" xr:uid="{00000000-0005-0000-0000-000030040000}"/>
    <cellStyle name="Standard 3 5 3" xfId="1087" xr:uid="{00000000-0005-0000-0000-000031040000}"/>
    <cellStyle name="Standard 3 5 4" xfId="1088" xr:uid="{00000000-0005-0000-0000-000032040000}"/>
    <cellStyle name="Standard 3 6" xfId="541" xr:uid="{00000000-0005-0000-0000-000033040000}"/>
    <cellStyle name="Standard 3 6 2" xfId="1090" xr:uid="{00000000-0005-0000-0000-000034040000}"/>
    <cellStyle name="Standard 3 6 3" xfId="1089" xr:uid="{00000000-0005-0000-0000-000035040000}"/>
    <cellStyle name="Standard 3 7" xfId="1091" xr:uid="{00000000-0005-0000-0000-000036040000}"/>
    <cellStyle name="Standard 3 8" xfId="1092" xr:uid="{00000000-0005-0000-0000-000037040000}"/>
    <cellStyle name="Standard 4" xfId="542" xr:uid="{00000000-0005-0000-0000-000038040000}"/>
    <cellStyle name="Standard 5" xfId="543" xr:uid="{00000000-0005-0000-0000-000039040000}"/>
    <cellStyle name="Standard 5 2" xfId="544" xr:uid="{00000000-0005-0000-0000-00003A040000}"/>
    <cellStyle name="Standard 6" xfId="545" xr:uid="{00000000-0005-0000-0000-00003B040000}"/>
    <cellStyle name="Standard 7" xfId="546" xr:uid="{00000000-0005-0000-0000-00003C040000}"/>
    <cellStyle name="Standard_Bearbeitungsqualität 2011" xfId="547" xr:uid="{00000000-0005-0000-0000-00003D040000}"/>
    <cellStyle name="Standard_Werte" xfId="548" xr:uid="{00000000-0005-0000-0000-00003E040000}"/>
    <cellStyle name="Title" xfId="549" xr:uid="{00000000-0005-0000-0000-00003F040000}"/>
    <cellStyle name="Title 2" xfId="550" xr:uid="{00000000-0005-0000-0000-000040040000}"/>
    <cellStyle name="Title 2 2" xfId="551" xr:uid="{00000000-0005-0000-0000-000041040000}"/>
    <cellStyle name="Title 2 2 2" xfId="1130" xr:uid="{00000000-0005-0000-0000-000042040000}"/>
    <cellStyle name="Title 2 2 3" xfId="1093" xr:uid="{00000000-0005-0000-0000-000043040000}"/>
    <cellStyle name="Title 2 3" xfId="552" xr:uid="{00000000-0005-0000-0000-000044040000}"/>
    <cellStyle name="Title 3" xfId="553" xr:uid="{00000000-0005-0000-0000-000045040000}"/>
    <cellStyle name="Title 3 2" xfId="1131" xr:uid="{00000000-0005-0000-0000-000046040000}"/>
    <cellStyle name="Title 3 3" xfId="1094" xr:uid="{00000000-0005-0000-0000-000047040000}"/>
    <cellStyle name="Title 4" xfId="554" xr:uid="{00000000-0005-0000-0000-000048040000}"/>
    <cellStyle name="Title 5" xfId="1095" xr:uid="{00000000-0005-0000-0000-000049040000}"/>
    <cellStyle name="Total 2" xfId="555" xr:uid="{00000000-0005-0000-0000-00004A040000}"/>
    <cellStyle name="Überschrift 1 2" xfId="556" xr:uid="{00000000-0005-0000-0000-00004B040000}"/>
    <cellStyle name="Überschrift 1 3" xfId="557" xr:uid="{00000000-0005-0000-0000-00004C040000}"/>
    <cellStyle name="Überschrift 1 4" xfId="1097" xr:uid="{00000000-0005-0000-0000-00004D040000}"/>
    <cellStyle name="Überschrift 2 2" xfId="558" xr:uid="{00000000-0005-0000-0000-00004E040000}"/>
    <cellStyle name="Überschrift 2 3" xfId="559" xr:uid="{00000000-0005-0000-0000-00004F040000}"/>
    <cellStyle name="Überschrift 2 4" xfId="1099" xr:uid="{00000000-0005-0000-0000-000050040000}"/>
    <cellStyle name="Überschrift 3 2" xfId="560" xr:uid="{00000000-0005-0000-0000-000051040000}"/>
    <cellStyle name="Überschrift 3 3" xfId="561" xr:uid="{00000000-0005-0000-0000-000052040000}"/>
    <cellStyle name="Überschrift 3 4" xfId="1101" xr:uid="{00000000-0005-0000-0000-000053040000}"/>
    <cellStyle name="Überschrift 4 2" xfId="562" xr:uid="{00000000-0005-0000-0000-000054040000}"/>
    <cellStyle name="Überschrift 4 3" xfId="563" xr:uid="{00000000-0005-0000-0000-000055040000}"/>
    <cellStyle name="Überschrift 4 4" xfId="1103" xr:uid="{00000000-0005-0000-0000-000056040000}"/>
    <cellStyle name="Überschrift 5" xfId="564" xr:uid="{00000000-0005-0000-0000-000057040000}"/>
    <cellStyle name="Überschrift 6" xfId="565" xr:uid="{00000000-0005-0000-0000-000058040000}"/>
    <cellStyle name="Überschrift 7" xfId="1104" xr:uid="{00000000-0005-0000-0000-000059040000}"/>
    <cellStyle name="Verknüpfte Zelle 2" xfId="567" xr:uid="{00000000-0005-0000-0000-00005A040000}"/>
    <cellStyle name="Verknüpfte Zelle 3" xfId="568" xr:uid="{00000000-0005-0000-0000-00005B040000}"/>
    <cellStyle name="Warnender Text 2" xfId="569" xr:uid="{00000000-0005-0000-0000-00005C040000}"/>
    <cellStyle name="Warnender Text 2 2" xfId="570" xr:uid="{00000000-0005-0000-0000-00005D040000}"/>
    <cellStyle name="Warnender Text 2 3" xfId="571" xr:uid="{00000000-0005-0000-0000-00005E040000}"/>
    <cellStyle name="Warnender Text 2 3 2" xfId="572" xr:uid="{00000000-0005-0000-0000-00005F040000}"/>
    <cellStyle name="Warnender Text 2 3 2 2" xfId="573" xr:uid="{00000000-0005-0000-0000-000060040000}"/>
    <cellStyle name="Warnender Text 3" xfId="574" xr:uid="{00000000-0005-0000-0000-000061040000}"/>
    <cellStyle name="Warnender Text 4" xfId="575" xr:uid="{00000000-0005-0000-0000-000062040000}"/>
    <cellStyle name="Warnender Text 5" xfId="576" xr:uid="{00000000-0005-0000-0000-000063040000}"/>
    <cellStyle name="Warnender Text 6" xfId="577" xr:uid="{00000000-0005-0000-0000-000064040000}"/>
    <cellStyle name="Zelle überprüfen 2" xfId="579" xr:uid="{00000000-0005-0000-0000-000065040000}"/>
    <cellStyle name="Zelle überprüfen 2 2" xfId="580" xr:uid="{00000000-0005-0000-0000-000066040000}"/>
    <cellStyle name="Zelle überprüfen 2 3" xfId="581" xr:uid="{00000000-0005-0000-0000-000067040000}"/>
    <cellStyle name="Zelle überprüfen 3" xfId="582" xr:uid="{00000000-0005-0000-0000-000068040000}"/>
    <cellStyle name="Zelle überprüfen 3 2" xfId="1108" xr:uid="{00000000-0005-0000-0000-000069040000}"/>
    <cellStyle name="Zelle überprüfen 3 3" xfId="1107" xr:uid="{00000000-0005-0000-0000-00006A040000}"/>
    <cellStyle name="Zelle überprüfen 4" xfId="583" xr:uid="{00000000-0005-0000-0000-00006B040000}"/>
  </cellStyles>
  <dxfs count="172">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rgb="FFBFBFBF"/>
        </patternFill>
      </fill>
    </dxf>
    <dxf>
      <fill>
        <patternFill>
          <bgColor theme="4" tint="0.79998168889431442"/>
        </patternFill>
      </fill>
    </dxf>
    <dxf>
      <fill>
        <patternFill>
          <bgColor rgb="FFFF7C8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1" tint="0.34998626667073579"/>
        </patternFill>
      </fill>
    </dxf>
    <dxf>
      <fill>
        <patternFill>
          <bgColor theme="0" tint="-0.24994659260841701"/>
        </patternFill>
      </fill>
    </dxf>
    <dxf>
      <fill>
        <patternFill>
          <bgColor theme="0" tint="-0.24994659260841701"/>
        </patternFill>
      </fill>
    </dxf>
    <dxf>
      <fill>
        <patternFill>
          <bgColor rgb="FFCCFFCC"/>
        </patternFill>
      </fill>
    </dxf>
    <dxf>
      <fill>
        <patternFill>
          <bgColor theme="0"/>
        </patternFill>
      </fill>
    </dxf>
    <dxf>
      <fill>
        <patternFill>
          <bgColor rgb="FFCCFFCC"/>
        </patternFill>
      </fill>
    </dxf>
    <dxf>
      <fill>
        <patternFill>
          <bgColor rgb="FF777777"/>
        </patternFill>
      </fill>
    </dxf>
    <dxf>
      <fill>
        <patternFill>
          <bgColor rgb="FFFF7C80"/>
        </patternFill>
      </fill>
    </dxf>
    <dxf>
      <fill>
        <patternFill>
          <bgColor rgb="FFC0C0C0"/>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rgb="FF777777"/>
        </patternFill>
      </fill>
    </dxf>
    <dxf>
      <fill>
        <patternFill>
          <bgColor rgb="FFC0C0C0"/>
        </patternFill>
      </fill>
    </dxf>
    <dxf>
      <fill>
        <patternFill>
          <bgColor rgb="FFFF7C80"/>
        </patternFill>
      </fill>
    </dxf>
    <dxf>
      <fill>
        <patternFill>
          <bgColor rgb="FFFFFF99"/>
        </patternFill>
      </fill>
    </dxf>
    <dxf>
      <fill>
        <patternFill>
          <bgColor rgb="FFCCFFCC"/>
        </patternFill>
      </fill>
    </dxf>
    <dxf>
      <fill>
        <patternFill>
          <bgColor indexed="9"/>
        </patternFill>
      </fill>
    </dxf>
    <dxf>
      <fill>
        <patternFill>
          <bgColor rgb="FFCCFFCC"/>
        </patternFill>
      </fill>
    </dxf>
    <dxf>
      <fill>
        <patternFill>
          <bgColor theme="0"/>
        </patternFill>
      </fill>
    </dxf>
    <dxf>
      <fill>
        <patternFill>
          <bgColor rgb="FF777777"/>
        </patternFill>
      </fill>
    </dxf>
    <dxf>
      <fill>
        <patternFill>
          <bgColor rgb="FFFF7C80"/>
        </patternFill>
      </fill>
    </dxf>
    <dxf>
      <fill>
        <patternFill>
          <bgColor rgb="FFC0C0C0"/>
        </patternFill>
      </fill>
    </dxf>
    <dxf>
      <fill>
        <patternFill>
          <bgColor theme="0" tint="-0.24994659260841701"/>
        </patternFill>
      </fill>
    </dxf>
    <dxf>
      <fill>
        <patternFill>
          <bgColor rgb="FFC0C0C0"/>
        </patternFill>
      </fill>
    </dxf>
    <dxf>
      <fill>
        <patternFill>
          <bgColor rgb="FFFF7C80"/>
        </patternFill>
      </fill>
    </dxf>
    <dxf>
      <fill>
        <patternFill>
          <bgColor rgb="FF777777"/>
        </patternFill>
      </fill>
    </dxf>
    <dxf>
      <fill>
        <patternFill>
          <bgColor rgb="FFFF7C80"/>
        </patternFill>
      </fill>
    </dxf>
    <dxf>
      <fill>
        <patternFill>
          <bgColor rgb="FFFF7C80"/>
        </patternFill>
      </fill>
    </dxf>
    <dxf>
      <border>
        <left/>
        <right/>
        <top/>
        <bottom/>
      </border>
    </dxf>
    <dxf>
      <border>
        <left style="thin">
          <color indexed="64"/>
        </left>
        <right style="thin">
          <color indexed="64"/>
        </right>
        <top style="thin">
          <color indexed="64"/>
        </top>
        <bottom style="thin">
          <color indexed="64"/>
        </bottom>
      </border>
    </dxf>
    <dxf>
      <border>
        <left/>
        <right/>
        <top/>
        <bottom/>
      </border>
    </dxf>
    <dxf>
      <fill>
        <patternFill>
          <bgColor theme="0"/>
        </patternFill>
      </fill>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auto="1"/>
        </left>
        <right style="thin">
          <color auto="1"/>
        </right>
        <top style="thin">
          <color auto="1"/>
        </top>
        <bottom style="thin">
          <color auto="1"/>
        </bottom>
        <vertical/>
        <horizontal/>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indexed="41"/>
        </patternFill>
      </fill>
    </dxf>
    <dxf>
      <fill>
        <patternFill>
          <bgColor rgb="FF99FF66"/>
        </patternFill>
      </fill>
    </dxf>
    <dxf>
      <fill>
        <patternFill>
          <bgColor indexed="42"/>
        </patternFill>
      </fill>
    </dxf>
    <dxf>
      <fill>
        <patternFill>
          <bgColor indexed="43"/>
        </patternFill>
      </fill>
    </dxf>
    <dxf>
      <fill>
        <patternFill>
          <bgColor indexed="14"/>
        </patternFill>
      </fill>
    </dxf>
    <dxf>
      <fill>
        <patternFill>
          <bgColor rgb="FFFF7C80"/>
        </patternFill>
      </fill>
    </dxf>
    <dxf>
      <fill>
        <patternFill>
          <bgColor indexed="42"/>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rgb="FFC0C0C0"/>
        </patternFill>
      </fill>
    </dxf>
    <dxf>
      <fill>
        <patternFill>
          <bgColor theme="4" tint="0.79998168889431442"/>
        </patternFill>
      </fill>
    </dxf>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FF"/>
        </patternFill>
      </fill>
    </dxf>
    <dxf>
      <fill>
        <patternFill>
          <bgColor theme="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theme="0" tint="-0.24994659260841701"/>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patternType="lightUp">
          <fgColor auto="1"/>
        </patternFill>
      </fill>
    </dxf>
    <dxf>
      <fill>
        <patternFill>
          <bgColor theme="0" tint="-0.24994659260841701"/>
        </patternFill>
      </fill>
    </dxf>
    <dxf>
      <fill>
        <patternFill patternType="lightUp">
          <fgColor auto="1"/>
        </patternFill>
      </fill>
    </dxf>
    <dxf>
      <fill>
        <patternFill>
          <bgColor theme="0" tint="-0.24994659260841701"/>
        </patternFill>
      </fill>
    </dxf>
    <dxf>
      <fill>
        <patternFill>
          <bgColor theme="0" tint="-0.24994659260841701"/>
        </patternFill>
      </fill>
    </dxf>
    <dxf>
      <fill>
        <patternFill>
          <bgColor theme="0" tint="-0.24994659260841701"/>
        </patternFill>
      </fill>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textRotation="0" wrapText="0" indent="0" justifyLastLine="0" shrinkToFit="0" readingOrder="0"/>
    </dxf>
    <dxf>
      <font>
        <b val="0"/>
        <i val="0"/>
        <strike val="0"/>
        <condense val="0"/>
        <extend val="0"/>
        <outline val="0"/>
        <shadow val="0"/>
        <u val="none"/>
        <vertAlign val="baseline"/>
        <sz val="8"/>
        <color auto="1"/>
        <name val="Arial"/>
        <scheme val="none"/>
      </font>
      <alignment horizontal="left" textRotation="0" wrapText="0" indent="0" justifyLastLine="0" shrinkToFit="0" readingOrder="0"/>
    </dxf>
    <dxf>
      <font>
        <b val="0"/>
        <i val="0"/>
        <strike val="0"/>
        <condense val="0"/>
        <extend val="0"/>
        <outline val="0"/>
        <shadow val="0"/>
        <u val="none"/>
        <vertAlign val="baseline"/>
        <sz val="8"/>
        <color indexed="8"/>
        <name val="Arial"/>
        <scheme val="none"/>
      </font>
      <alignment horizontal="left" vertical="center" textRotation="0" wrapText="0"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textRotation="0" wrapText="0" indent="0" justifyLastLine="0" shrinkToFit="0" readingOrder="0"/>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left" textRotation="0" wrapText="0" indent="0" justifyLastLine="0" shrinkToFit="0" readingOrder="0"/>
    </dxf>
    <dxf>
      <font>
        <b val="0"/>
        <i val="0"/>
        <strike val="0"/>
        <condense val="0"/>
        <extend val="0"/>
        <outline val="0"/>
        <shadow val="0"/>
        <u val="none"/>
        <vertAlign val="baseline"/>
        <sz val="8"/>
        <color auto="1"/>
        <name val="Arial"/>
        <scheme val="none"/>
      </font>
      <alignment horizontal="left" textRotation="0" wrapText="0" indent="0" justifyLastLine="0" shrinkToFit="0" readingOrder="0"/>
    </dxf>
    <dxf>
      <font>
        <b val="0"/>
        <i val="0"/>
        <strike val="0"/>
        <condense val="0"/>
        <extend val="0"/>
        <outline val="0"/>
        <shadow val="0"/>
        <u val="none"/>
        <vertAlign val="baseline"/>
        <sz val="8"/>
        <color theme="1"/>
        <name val="Arial"/>
        <scheme val="none"/>
      </font>
      <alignment horizontal="left" textRotation="0" wrapText="0" indent="0" justifyLastLine="0" shrinkToFit="0" readingOrder="0"/>
    </dxf>
    <dxf>
      <font>
        <b val="0"/>
        <i val="0"/>
        <strike val="0"/>
        <condense val="0"/>
        <extend val="0"/>
        <outline val="0"/>
        <shadow val="0"/>
        <u val="none"/>
        <vertAlign val="baseline"/>
        <sz val="8"/>
        <color auto="1"/>
        <name val="Arial"/>
        <scheme val="none"/>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FF7C80"/>
      <color rgb="FFCCFFCC"/>
      <color rgb="FFFFFF99"/>
      <color rgb="FFDCE6F1"/>
      <color rgb="FFE6E6F1"/>
      <color rgb="FFEAF0F6"/>
      <color rgb="FF99FF66"/>
      <color rgb="FFFFFFCC"/>
      <color rgb="FF99FFCC"/>
      <color rgb="FFC1C1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4.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16</xdr:col>
      <xdr:colOff>400050</xdr:colOff>
      <xdr:row>13</xdr:row>
      <xdr:rowOff>3175</xdr:rowOff>
    </xdr:from>
    <xdr:to>
      <xdr:col>17</xdr:col>
      <xdr:colOff>1587</xdr:colOff>
      <xdr:row>13</xdr:row>
      <xdr:rowOff>107950</xdr:rowOff>
    </xdr:to>
    <xdr:pic>
      <xdr:nvPicPr>
        <xdr:cNvPr id="206265" name="Grafik 15">
          <a:extLst>
            <a:ext uri="{FF2B5EF4-FFF2-40B4-BE49-F238E27FC236}">
              <a16:creationId xmlns:a16="http://schemas.microsoft.com/office/drawing/2014/main" id="{00000000-0008-0000-0000-0000B9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4450" y="1825625"/>
          <a:ext cx="11588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374650</xdr:colOff>
      <xdr:row>5</xdr:row>
      <xdr:rowOff>3175</xdr:rowOff>
    </xdr:from>
    <xdr:to>
      <xdr:col>5</xdr:col>
      <xdr:colOff>0</xdr:colOff>
      <xdr:row>5</xdr:row>
      <xdr:rowOff>107950</xdr:rowOff>
    </xdr:to>
    <xdr:pic>
      <xdr:nvPicPr>
        <xdr:cNvPr id="206266" name="Grafik 15">
          <a:extLst>
            <a:ext uri="{FF2B5EF4-FFF2-40B4-BE49-F238E27FC236}">
              <a16:creationId xmlns:a16="http://schemas.microsoft.com/office/drawing/2014/main" id="{00000000-0008-0000-0000-0000B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67050" y="860425"/>
          <a:ext cx="1016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396875</xdr:colOff>
      <xdr:row>11</xdr:row>
      <xdr:rowOff>12700</xdr:rowOff>
    </xdr:from>
    <xdr:to>
      <xdr:col>16</xdr:col>
      <xdr:colOff>512762</xdr:colOff>
      <xdr:row>11</xdr:row>
      <xdr:rowOff>117475</xdr:rowOff>
    </xdr:to>
    <xdr:pic>
      <xdr:nvPicPr>
        <xdr:cNvPr id="206274" name="Grafik 15">
          <a:extLst>
            <a:ext uri="{FF2B5EF4-FFF2-40B4-BE49-F238E27FC236}">
              <a16:creationId xmlns:a16="http://schemas.microsoft.com/office/drawing/2014/main" id="{00000000-0008-0000-0000-0000C2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9250" y="1746250"/>
          <a:ext cx="11588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365125</xdr:colOff>
      <xdr:row>15</xdr:row>
      <xdr:rowOff>3175</xdr:rowOff>
    </xdr:from>
    <xdr:to>
      <xdr:col>5</xdr:col>
      <xdr:colOff>0</xdr:colOff>
      <xdr:row>15</xdr:row>
      <xdr:rowOff>107950</xdr:rowOff>
    </xdr:to>
    <xdr:pic>
      <xdr:nvPicPr>
        <xdr:cNvPr id="206282" name="Grafik 15">
          <a:extLst>
            <a:ext uri="{FF2B5EF4-FFF2-40B4-BE49-F238E27FC236}">
              <a16:creationId xmlns:a16="http://schemas.microsoft.com/office/drawing/2014/main" id="{00000000-0008-0000-0000-0000C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7525" y="1584325"/>
          <a:ext cx="1111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32</xdr:row>
      <xdr:rowOff>3175</xdr:rowOff>
    </xdr:from>
    <xdr:to>
      <xdr:col>16</xdr:col>
      <xdr:colOff>504825</xdr:colOff>
      <xdr:row>32</xdr:row>
      <xdr:rowOff>107950</xdr:rowOff>
    </xdr:to>
    <xdr:pic>
      <xdr:nvPicPr>
        <xdr:cNvPr id="23" name="Grafik 14">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4450" y="5864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33</xdr:row>
      <xdr:rowOff>3175</xdr:rowOff>
    </xdr:from>
    <xdr:to>
      <xdr:col>16</xdr:col>
      <xdr:colOff>504825</xdr:colOff>
      <xdr:row>33</xdr:row>
      <xdr:rowOff>107950</xdr:rowOff>
    </xdr:to>
    <xdr:pic>
      <xdr:nvPicPr>
        <xdr:cNvPr id="24" name="Grafik 14">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4450" y="6105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34</xdr:row>
      <xdr:rowOff>3175</xdr:rowOff>
    </xdr:from>
    <xdr:to>
      <xdr:col>16</xdr:col>
      <xdr:colOff>504825</xdr:colOff>
      <xdr:row>34</xdr:row>
      <xdr:rowOff>107950</xdr:rowOff>
    </xdr:to>
    <xdr:pic>
      <xdr:nvPicPr>
        <xdr:cNvPr id="25" name="Grafik 14">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4450" y="6346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406400</xdr:colOff>
      <xdr:row>39</xdr:row>
      <xdr:rowOff>3175</xdr:rowOff>
    </xdr:from>
    <xdr:to>
      <xdr:col>16</xdr:col>
      <xdr:colOff>511175</xdr:colOff>
      <xdr:row>39</xdr:row>
      <xdr:rowOff>107950</xdr:rowOff>
    </xdr:to>
    <xdr:pic>
      <xdr:nvPicPr>
        <xdr:cNvPr id="27" name="Grafik 14">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0800" y="7553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381000</xdr:colOff>
      <xdr:row>39</xdr:row>
      <xdr:rowOff>12700</xdr:rowOff>
    </xdr:from>
    <xdr:to>
      <xdr:col>10</xdr:col>
      <xdr:colOff>0</xdr:colOff>
      <xdr:row>39</xdr:row>
      <xdr:rowOff>117475</xdr:rowOff>
    </xdr:to>
    <xdr:pic>
      <xdr:nvPicPr>
        <xdr:cNvPr id="28" name="Grafik 14">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7699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377825</xdr:colOff>
      <xdr:row>39</xdr:row>
      <xdr:rowOff>3175</xdr:rowOff>
    </xdr:from>
    <xdr:to>
      <xdr:col>13</xdr:col>
      <xdr:colOff>0</xdr:colOff>
      <xdr:row>39</xdr:row>
      <xdr:rowOff>107950</xdr:rowOff>
    </xdr:to>
    <xdr:pic>
      <xdr:nvPicPr>
        <xdr:cNvPr id="30" name="Grafik 14">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31050" y="7689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406400</xdr:colOff>
      <xdr:row>52</xdr:row>
      <xdr:rowOff>3175</xdr:rowOff>
    </xdr:from>
    <xdr:to>
      <xdr:col>16</xdr:col>
      <xdr:colOff>511175</xdr:colOff>
      <xdr:row>52</xdr:row>
      <xdr:rowOff>107950</xdr:rowOff>
    </xdr:to>
    <xdr:pic>
      <xdr:nvPicPr>
        <xdr:cNvPr id="31" name="Grafik 14">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70800" y="10467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44</xdr:row>
      <xdr:rowOff>3175</xdr:rowOff>
    </xdr:from>
    <xdr:to>
      <xdr:col>16</xdr:col>
      <xdr:colOff>504825</xdr:colOff>
      <xdr:row>44</xdr:row>
      <xdr:rowOff>107950</xdr:rowOff>
    </xdr:to>
    <xdr:pic>
      <xdr:nvPicPr>
        <xdr:cNvPr id="35" name="Grafik 14">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4450" y="8518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45</xdr:row>
      <xdr:rowOff>3175</xdr:rowOff>
    </xdr:from>
    <xdr:to>
      <xdr:col>16</xdr:col>
      <xdr:colOff>504825</xdr:colOff>
      <xdr:row>45</xdr:row>
      <xdr:rowOff>107950</xdr:rowOff>
    </xdr:to>
    <xdr:pic>
      <xdr:nvPicPr>
        <xdr:cNvPr id="36" name="Grafik 14">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4450" y="8816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23</xdr:row>
      <xdr:rowOff>3175</xdr:rowOff>
    </xdr:from>
    <xdr:to>
      <xdr:col>17</xdr:col>
      <xdr:colOff>1587</xdr:colOff>
      <xdr:row>23</xdr:row>
      <xdr:rowOff>107950</xdr:rowOff>
    </xdr:to>
    <xdr:pic>
      <xdr:nvPicPr>
        <xdr:cNvPr id="33" name="Grafik 15">
          <a:extLst>
            <a:ext uri="{FF2B5EF4-FFF2-40B4-BE49-F238E27FC236}">
              <a16:creationId xmlns:a16="http://schemas.microsoft.com/office/drawing/2014/main" id="{E3D4AF63-5A4B-4F3F-BC0C-CB70C7958E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64450" y="3063875"/>
          <a:ext cx="115887"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342900</xdr:colOff>
      <xdr:row>32</xdr:row>
      <xdr:rowOff>3175</xdr:rowOff>
    </xdr:from>
    <xdr:to>
      <xdr:col>4</xdr:col>
      <xdr:colOff>0</xdr:colOff>
      <xdr:row>32</xdr:row>
      <xdr:rowOff>107950</xdr:rowOff>
    </xdr:to>
    <xdr:pic>
      <xdr:nvPicPr>
        <xdr:cNvPr id="37" name="Grafik 14">
          <a:extLst>
            <a:ext uri="{FF2B5EF4-FFF2-40B4-BE49-F238E27FC236}">
              <a16:creationId xmlns:a16="http://schemas.microsoft.com/office/drawing/2014/main" id="{0C44DCCD-A2BC-4B8D-913A-750828B999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4450" y="5864225"/>
          <a:ext cx="1079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381000</xdr:colOff>
      <xdr:row>34</xdr:row>
      <xdr:rowOff>12700</xdr:rowOff>
    </xdr:from>
    <xdr:to>
      <xdr:col>10</xdr:col>
      <xdr:colOff>0</xdr:colOff>
      <xdr:row>34</xdr:row>
      <xdr:rowOff>117475</xdr:rowOff>
    </xdr:to>
    <xdr:pic>
      <xdr:nvPicPr>
        <xdr:cNvPr id="39" name="Grafik 14">
          <a:extLst>
            <a:ext uri="{FF2B5EF4-FFF2-40B4-BE49-F238E27FC236}">
              <a16:creationId xmlns:a16="http://schemas.microsoft.com/office/drawing/2014/main" id="{89964FA4-885A-4D4A-892A-B3B2D267C1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6508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209550</xdr:colOff>
      <xdr:row>0</xdr:row>
      <xdr:rowOff>47625</xdr:rowOff>
    </xdr:from>
    <xdr:to>
      <xdr:col>16</xdr:col>
      <xdr:colOff>499369</xdr:colOff>
      <xdr:row>4</xdr:row>
      <xdr:rowOff>117673</xdr:rowOff>
    </xdr:to>
    <xdr:pic>
      <xdr:nvPicPr>
        <xdr:cNvPr id="42" name="Grafik 38">
          <a:extLst>
            <a:ext uri="{FF2B5EF4-FFF2-40B4-BE49-F238E27FC236}">
              <a16:creationId xmlns:a16="http://schemas.microsoft.com/office/drawing/2014/main" id="{6C630D1E-A854-4120-8DAD-C3160441D8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400800" y="47625"/>
          <a:ext cx="1670944" cy="727273"/>
        </a:xfrm>
        <a:prstGeom prst="rect">
          <a:avLst/>
        </a:prstGeom>
      </xdr:spPr>
    </xdr:pic>
    <xdr:clientData/>
  </xdr:twoCellAnchor>
  <xdr:twoCellAnchor editAs="oneCell">
    <xdr:from>
      <xdr:col>5</xdr:col>
      <xdr:colOff>342900</xdr:colOff>
      <xdr:row>32</xdr:row>
      <xdr:rowOff>9525</xdr:rowOff>
    </xdr:from>
    <xdr:to>
      <xdr:col>6</xdr:col>
      <xdr:colOff>0</xdr:colOff>
      <xdr:row>32</xdr:row>
      <xdr:rowOff>114300</xdr:rowOff>
    </xdr:to>
    <xdr:pic>
      <xdr:nvPicPr>
        <xdr:cNvPr id="2" name="Grafik 14">
          <a:extLst>
            <a:ext uri="{FF2B5EF4-FFF2-40B4-BE49-F238E27FC236}">
              <a16:creationId xmlns:a16="http://schemas.microsoft.com/office/drawing/2014/main" id="{BAC6F3FE-E868-4F1D-A3D6-11BEF42095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05200" y="5791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342900</xdr:colOff>
      <xdr:row>39</xdr:row>
      <xdr:rowOff>9525</xdr:rowOff>
    </xdr:from>
    <xdr:to>
      <xdr:col>6</xdr:col>
      <xdr:colOff>0</xdr:colOff>
      <xdr:row>39</xdr:row>
      <xdr:rowOff>114300</xdr:rowOff>
    </xdr:to>
    <xdr:pic>
      <xdr:nvPicPr>
        <xdr:cNvPr id="4" name="Grafik 14">
          <a:extLst>
            <a:ext uri="{FF2B5EF4-FFF2-40B4-BE49-F238E27FC236}">
              <a16:creationId xmlns:a16="http://schemas.microsoft.com/office/drawing/2014/main" id="{13DBAFCC-FAD2-442F-A03E-119A348571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05200" y="7458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342900</xdr:colOff>
      <xdr:row>39</xdr:row>
      <xdr:rowOff>9525</xdr:rowOff>
    </xdr:from>
    <xdr:to>
      <xdr:col>8</xdr:col>
      <xdr:colOff>0</xdr:colOff>
      <xdr:row>39</xdr:row>
      <xdr:rowOff>114300</xdr:rowOff>
    </xdr:to>
    <xdr:pic>
      <xdr:nvPicPr>
        <xdr:cNvPr id="5" name="Grafik 14">
          <a:extLst>
            <a:ext uri="{FF2B5EF4-FFF2-40B4-BE49-F238E27FC236}">
              <a16:creationId xmlns:a16="http://schemas.microsoft.com/office/drawing/2014/main" id="{95ED180D-D07D-42FD-83C5-12E94CF37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5" y="7458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365125</xdr:colOff>
      <xdr:row>13</xdr:row>
      <xdr:rowOff>3175</xdr:rowOff>
    </xdr:from>
    <xdr:ext cx="111125" cy="104775"/>
    <xdr:pic>
      <xdr:nvPicPr>
        <xdr:cNvPr id="6" name="Grafik 15">
          <a:extLst>
            <a:ext uri="{FF2B5EF4-FFF2-40B4-BE49-F238E27FC236}">
              <a16:creationId xmlns:a16="http://schemas.microsoft.com/office/drawing/2014/main" id="{D85AB8D6-836F-48EF-8896-B8677404A6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1175" y="2041525"/>
          <a:ext cx="1111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365125</xdr:colOff>
      <xdr:row>11</xdr:row>
      <xdr:rowOff>3175</xdr:rowOff>
    </xdr:from>
    <xdr:ext cx="111125" cy="104775"/>
    <xdr:pic>
      <xdr:nvPicPr>
        <xdr:cNvPr id="7" name="Grafik 15">
          <a:extLst>
            <a:ext uri="{FF2B5EF4-FFF2-40B4-BE49-F238E27FC236}">
              <a16:creationId xmlns:a16="http://schemas.microsoft.com/office/drawing/2014/main" id="{1D703AA3-32E9-4A02-9554-EDAC66594D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51175" y="2041525"/>
          <a:ext cx="1111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371475</xdr:colOff>
      <xdr:row>32</xdr:row>
      <xdr:rowOff>3175</xdr:rowOff>
    </xdr:from>
    <xdr:ext cx="104775" cy="104775"/>
    <xdr:pic>
      <xdr:nvPicPr>
        <xdr:cNvPr id="8" name="Grafik 14">
          <a:extLst>
            <a:ext uri="{FF2B5EF4-FFF2-40B4-BE49-F238E27FC236}">
              <a16:creationId xmlns:a16="http://schemas.microsoft.com/office/drawing/2014/main" id="{A2C1FF45-44DB-4ACC-A485-133FB00662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00425" y="6022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381000</xdr:colOff>
      <xdr:row>32</xdr:row>
      <xdr:rowOff>12700</xdr:rowOff>
    </xdr:from>
    <xdr:ext cx="104775" cy="104775"/>
    <xdr:pic>
      <xdr:nvPicPr>
        <xdr:cNvPr id="11" name="Grafik 14">
          <a:extLst>
            <a:ext uri="{FF2B5EF4-FFF2-40B4-BE49-F238E27FC236}">
              <a16:creationId xmlns:a16="http://schemas.microsoft.com/office/drawing/2014/main" id="{CD185418-C5AC-40D0-B6D4-EEADC6BE0C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603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381000</xdr:colOff>
      <xdr:row>32</xdr:row>
      <xdr:rowOff>12700</xdr:rowOff>
    </xdr:from>
    <xdr:ext cx="104775" cy="104775"/>
    <xdr:pic>
      <xdr:nvPicPr>
        <xdr:cNvPr id="12" name="Grafik 14">
          <a:extLst>
            <a:ext uri="{FF2B5EF4-FFF2-40B4-BE49-F238E27FC236}">
              <a16:creationId xmlns:a16="http://schemas.microsoft.com/office/drawing/2014/main" id="{DD9FD600-D9FB-45C4-84B1-039FC352959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603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381000</xdr:colOff>
      <xdr:row>32</xdr:row>
      <xdr:rowOff>12700</xdr:rowOff>
    </xdr:from>
    <xdr:ext cx="104775" cy="104775"/>
    <xdr:pic>
      <xdr:nvPicPr>
        <xdr:cNvPr id="13" name="Grafik 14">
          <a:extLst>
            <a:ext uri="{FF2B5EF4-FFF2-40B4-BE49-F238E27FC236}">
              <a16:creationId xmlns:a16="http://schemas.microsoft.com/office/drawing/2014/main" id="{BE3184EF-C915-4654-963D-832D7E1E9E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603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342900</xdr:colOff>
      <xdr:row>32</xdr:row>
      <xdr:rowOff>12700</xdr:rowOff>
    </xdr:from>
    <xdr:ext cx="104775" cy="104775"/>
    <xdr:pic>
      <xdr:nvPicPr>
        <xdr:cNvPr id="14" name="Grafik 14">
          <a:extLst>
            <a:ext uri="{FF2B5EF4-FFF2-40B4-BE49-F238E27FC236}">
              <a16:creationId xmlns:a16="http://schemas.microsoft.com/office/drawing/2014/main" id="{AC46D03F-0426-4EEB-BE08-ABB50629AD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81900" y="603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381000</xdr:colOff>
      <xdr:row>32</xdr:row>
      <xdr:rowOff>12700</xdr:rowOff>
    </xdr:from>
    <xdr:ext cx="104775" cy="104775"/>
    <xdr:pic>
      <xdr:nvPicPr>
        <xdr:cNvPr id="15" name="Grafik 14">
          <a:extLst>
            <a:ext uri="{FF2B5EF4-FFF2-40B4-BE49-F238E27FC236}">
              <a16:creationId xmlns:a16="http://schemas.microsoft.com/office/drawing/2014/main" id="{A77B4C7B-696B-4595-91FD-02D2403AC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603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342900</xdr:colOff>
      <xdr:row>32</xdr:row>
      <xdr:rowOff>12700</xdr:rowOff>
    </xdr:from>
    <xdr:ext cx="104775" cy="104775"/>
    <xdr:pic>
      <xdr:nvPicPr>
        <xdr:cNvPr id="16" name="Grafik 14">
          <a:extLst>
            <a:ext uri="{FF2B5EF4-FFF2-40B4-BE49-F238E27FC236}">
              <a16:creationId xmlns:a16="http://schemas.microsoft.com/office/drawing/2014/main" id="{7878D7E5-F968-4E64-937E-1D361BAAC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5350" y="6032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381000</xdr:colOff>
      <xdr:row>34</xdr:row>
      <xdr:rowOff>12700</xdr:rowOff>
    </xdr:from>
    <xdr:ext cx="104775" cy="104775"/>
    <xdr:pic>
      <xdr:nvPicPr>
        <xdr:cNvPr id="18" name="Grafik 14">
          <a:extLst>
            <a:ext uri="{FF2B5EF4-FFF2-40B4-BE49-F238E27FC236}">
              <a16:creationId xmlns:a16="http://schemas.microsoft.com/office/drawing/2014/main" id="{E6B9F605-14AD-469B-9609-1204CFD00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6508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342900</xdr:colOff>
      <xdr:row>39</xdr:row>
      <xdr:rowOff>9525</xdr:rowOff>
    </xdr:from>
    <xdr:ext cx="104775" cy="104775"/>
    <xdr:pic>
      <xdr:nvPicPr>
        <xdr:cNvPr id="19" name="Grafik 14">
          <a:extLst>
            <a:ext uri="{FF2B5EF4-FFF2-40B4-BE49-F238E27FC236}">
              <a16:creationId xmlns:a16="http://schemas.microsoft.com/office/drawing/2014/main" id="{4262DE4C-9F6B-4ABE-87C3-78A807D799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7696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381000</xdr:colOff>
      <xdr:row>39</xdr:row>
      <xdr:rowOff>12700</xdr:rowOff>
    </xdr:from>
    <xdr:ext cx="104775" cy="104775"/>
    <xdr:pic>
      <xdr:nvPicPr>
        <xdr:cNvPr id="20" name="Grafik 14">
          <a:extLst>
            <a:ext uri="{FF2B5EF4-FFF2-40B4-BE49-F238E27FC236}">
              <a16:creationId xmlns:a16="http://schemas.microsoft.com/office/drawing/2014/main" id="{F809B8D8-82BE-44C2-8034-2DB44E46E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7699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381000</xdr:colOff>
      <xdr:row>39</xdr:row>
      <xdr:rowOff>12700</xdr:rowOff>
    </xdr:from>
    <xdr:ext cx="104775" cy="104775"/>
    <xdr:pic>
      <xdr:nvPicPr>
        <xdr:cNvPr id="21" name="Grafik 14">
          <a:extLst>
            <a:ext uri="{FF2B5EF4-FFF2-40B4-BE49-F238E27FC236}">
              <a16:creationId xmlns:a16="http://schemas.microsoft.com/office/drawing/2014/main" id="{95421846-2A09-46F1-9922-1B366C9FD1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7699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390525</xdr:colOff>
      <xdr:row>29</xdr:row>
      <xdr:rowOff>9525</xdr:rowOff>
    </xdr:from>
    <xdr:ext cx="104775" cy="104775"/>
    <xdr:pic>
      <xdr:nvPicPr>
        <xdr:cNvPr id="22" name="Grafik 14">
          <a:extLst>
            <a:ext uri="{FF2B5EF4-FFF2-40B4-BE49-F238E27FC236}">
              <a16:creationId xmlns:a16="http://schemas.microsoft.com/office/drawing/2014/main" id="{BB5EA465-7C86-4E5B-AA49-AB8B9C01C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86425" y="4533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342900</xdr:colOff>
      <xdr:row>28</xdr:row>
      <xdr:rowOff>9525</xdr:rowOff>
    </xdr:from>
    <xdr:ext cx="104775" cy="104775"/>
    <xdr:pic>
      <xdr:nvPicPr>
        <xdr:cNvPr id="26" name="Grafik 14">
          <a:extLst>
            <a:ext uri="{FF2B5EF4-FFF2-40B4-BE49-F238E27FC236}">
              <a16:creationId xmlns:a16="http://schemas.microsoft.com/office/drawing/2014/main" id="{5A598F5E-FF52-4A01-919C-F3A8E9EB54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5350" y="4238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342900</xdr:colOff>
      <xdr:row>32</xdr:row>
      <xdr:rowOff>9525</xdr:rowOff>
    </xdr:from>
    <xdr:ext cx="104775" cy="104775"/>
    <xdr:pic>
      <xdr:nvPicPr>
        <xdr:cNvPr id="10" name="Grafik 14">
          <a:extLst>
            <a:ext uri="{FF2B5EF4-FFF2-40B4-BE49-F238E27FC236}">
              <a16:creationId xmlns:a16="http://schemas.microsoft.com/office/drawing/2014/main" id="{A1407CE6-AEEA-4B73-AB1A-80AA70332E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6172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342900</xdr:colOff>
      <xdr:row>32</xdr:row>
      <xdr:rowOff>9525</xdr:rowOff>
    </xdr:from>
    <xdr:ext cx="104775" cy="104775"/>
    <xdr:pic>
      <xdr:nvPicPr>
        <xdr:cNvPr id="17" name="Grafik 14">
          <a:extLst>
            <a:ext uri="{FF2B5EF4-FFF2-40B4-BE49-F238E27FC236}">
              <a16:creationId xmlns:a16="http://schemas.microsoft.com/office/drawing/2014/main" id="{D8C76F9F-C5EA-4385-98BD-3496209893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6172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381000</xdr:colOff>
      <xdr:row>32</xdr:row>
      <xdr:rowOff>3175</xdr:rowOff>
    </xdr:from>
    <xdr:ext cx="104775" cy="104775"/>
    <xdr:pic>
      <xdr:nvPicPr>
        <xdr:cNvPr id="32" name="Grafik 14">
          <a:extLst>
            <a:ext uri="{FF2B5EF4-FFF2-40B4-BE49-F238E27FC236}">
              <a16:creationId xmlns:a16="http://schemas.microsoft.com/office/drawing/2014/main" id="{BEF224FF-CD0B-4AFA-95E6-90FACB2AA4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62675" y="6165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0</xdr:colOff>
      <xdr:row>0</xdr:row>
      <xdr:rowOff>114300</xdr:rowOff>
    </xdr:to>
    <xdr:pic>
      <xdr:nvPicPr>
        <xdr:cNvPr id="89955" name="Grafik 15">
          <a:extLst>
            <a:ext uri="{FF2B5EF4-FFF2-40B4-BE49-F238E27FC236}">
              <a16:creationId xmlns:a16="http://schemas.microsoft.com/office/drawing/2014/main" id="{00000000-0008-0000-0100-0000635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7425" y="9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1276350</xdr:colOff>
      <xdr:row>4</xdr:row>
      <xdr:rowOff>9525</xdr:rowOff>
    </xdr:from>
    <xdr:to>
      <xdr:col>5</xdr:col>
      <xdr:colOff>0</xdr:colOff>
      <xdr:row>4</xdr:row>
      <xdr:rowOff>114300</xdr:rowOff>
    </xdr:to>
    <xdr:pic>
      <xdr:nvPicPr>
        <xdr:cNvPr id="3" name="Grafik 15">
          <a:extLst>
            <a:ext uri="{FF2B5EF4-FFF2-40B4-BE49-F238E27FC236}">
              <a16:creationId xmlns:a16="http://schemas.microsoft.com/office/drawing/2014/main" id="{D176FD84-0DF9-4CA0-8634-62BC989912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34650"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92BD3035-D2C6-4BDD-8CB9-136C05343D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305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29CC22EF-D527-4925-875A-F1DC9FE0C5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3465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6" name="Grafik 15">
          <a:extLst>
            <a:ext uri="{FF2B5EF4-FFF2-40B4-BE49-F238E27FC236}">
              <a16:creationId xmlns:a16="http://schemas.microsoft.com/office/drawing/2014/main" id="{384CCE4A-A034-48AC-8C84-A4507422C2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9900" y="1647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1303326</xdr:colOff>
      <xdr:row>0</xdr:row>
      <xdr:rowOff>1</xdr:rowOff>
    </xdr:from>
    <xdr:to>
      <xdr:col>4</xdr:col>
      <xdr:colOff>1381124</xdr:colOff>
      <xdr:row>3</xdr:row>
      <xdr:rowOff>190501</xdr:rowOff>
    </xdr:to>
    <xdr:pic>
      <xdr:nvPicPr>
        <xdr:cNvPr id="7" name="Grafik 38">
          <a:extLst>
            <a:ext uri="{FF2B5EF4-FFF2-40B4-BE49-F238E27FC236}">
              <a16:creationId xmlns:a16="http://schemas.microsoft.com/office/drawing/2014/main" id="{B8602F59-7E0D-49B6-9E27-EF5E0FFDB90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80501" y="1"/>
          <a:ext cx="1458923" cy="6667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2619375</xdr:colOff>
      <xdr:row>5</xdr:row>
      <xdr:rowOff>9525</xdr:rowOff>
    </xdr:from>
    <xdr:to>
      <xdr:col>3</xdr:col>
      <xdr:colOff>0</xdr:colOff>
      <xdr:row>5</xdr:row>
      <xdr:rowOff>104775</xdr:rowOff>
    </xdr:to>
    <xdr:pic>
      <xdr:nvPicPr>
        <xdr:cNvPr id="3" name="Grafik 18">
          <a:extLst>
            <a:ext uri="{FF2B5EF4-FFF2-40B4-BE49-F238E27FC236}">
              <a16:creationId xmlns:a16="http://schemas.microsoft.com/office/drawing/2014/main" id="{7D14CA2D-8BFD-4357-90D1-4328477E96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05525" y="11049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981075</xdr:colOff>
      <xdr:row>5</xdr:row>
      <xdr:rowOff>9525</xdr:rowOff>
    </xdr:from>
    <xdr:to>
      <xdr:col>4</xdr:col>
      <xdr:colOff>0</xdr:colOff>
      <xdr:row>5</xdr:row>
      <xdr:rowOff>104775</xdr:rowOff>
    </xdr:to>
    <xdr:pic>
      <xdr:nvPicPr>
        <xdr:cNvPr id="4" name="Grafik 18">
          <a:extLst>
            <a:ext uri="{FF2B5EF4-FFF2-40B4-BE49-F238E27FC236}">
              <a16:creationId xmlns:a16="http://schemas.microsoft.com/office/drawing/2014/main" id="{16769BCE-7670-41EE-9630-87FEDF8F4C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91375" y="11049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609600</xdr:colOff>
      <xdr:row>24</xdr:row>
      <xdr:rowOff>9525</xdr:rowOff>
    </xdr:from>
    <xdr:to>
      <xdr:col>5</xdr:col>
      <xdr:colOff>0</xdr:colOff>
      <xdr:row>24</xdr:row>
      <xdr:rowOff>104775</xdr:rowOff>
    </xdr:to>
    <xdr:pic>
      <xdr:nvPicPr>
        <xdr:cNvPr id="5" name="Grafik 18">
          <a:extLst>
            <a:ext uri="{FF2B5EF4-FFF2-40B4-BE49-F238E27FC236}">
              <a16:creationId xmlns:a16="http://schemas.microsoft.com/office/drawing/2014/main" id="{6B841A71-D121-4AE8-8325-DB1C62ADF1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5750" y="70770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609600</xdr:colOff>
      <xdr:row>5</xdr:row>
      <xdr:rowOff>9525</xdr:rowOff>
    </xdr:from>
    <xdr:to>
      <xdr:col>5</xdr:col>
      <xdr:colOff>0</xdr:colOff>
      <xdr:row>5</xdr:row>
      <xdr:rowOff>104775</xdr:rowOff>
    </xdr:to>
    <xdr:pic>
      <xdr:nvPicPr>
        <xdr:cNvPr id="6" name="Grafik 18">
          <a:extLst>
            <a:ext uri="{FF2B5EF4-FFF2-40B4-BE49-F238E27FC236}">
              <a16:creationId xmlns:a16="http://schemas.microsoft.com/office/drawing/2014/main" id="{9262A9FC-04C6-44DA-A3AE-091450A691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5750" y="11049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1504950</xdr:colOff>
      <xdr:row>0</xdr:row>
      <xdr:rowOff>0</xdr:rowOff>
    </xdr:from>
    <xdr:to>
      <xdr:col>10</xdr:col>
      <xdr:colOff>2963873</xdr:colOff>
      <xdr:row>3</xdr:row>
      <xdr:rowOff>171450</xdr:rowOff>
    </xdr:to>
    <xdr:pic>
      <xdr:nvPicPr>
        <xdr:cNvPr id="7" name="Grafik 38">
          <a:extLst>
            <a:ext uri="{FF2B5EF4-FFF2-40B4-BE49-F238E27FC236}">
              <a16:creationId xmlns:a16="http://schemas.microsoft.com/office/drawing/2014/main" id="{02917130-385D-47B9-82B4-95C1F315E2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7350" y="0"/>
          <a:ext cx="1458923" cy="6667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781050</xdr:colOff>
      <xdr:row>3</xdr:row>
      <xdr:rowOff>9525</xdr:rowOff>
    </xdr:from>
    <xdr:to>
      <xdr:col>6</xdr:col>
      <xdr:colOff>0</xdr:colOff>
      <xdr:row>3</xdr:row>
      <xdr:rowOff>114300</xdr:rowOff>
    </xdr:to>
    <xdr:pic>
      <xdr:nvPicPr>
        <xdr:cNvPr id="205519" name="Grafik 4">
          <a:extLst>
            <a:ext uri="{FF2B5EF4-FFF2-40B4-BE49-F238E27FC236}">
              <a16:creationId xmlns:a16="http://schemas.microsoft.com/office/drawing/2014/main" id="{00000000-0008-0000-0400-0000CF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78113" y="1112838"/>
          <a:ext cx="920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50</xdr:row>
      <xdr:rowOff>9525</xdr:rowOff>
    </xdr:from>
    <xdr:to>
      <xdr:col>16</xdr:col>
      <xdr:colOff>514350</xdr:colOff>
      <xdr:row>50</xdr:row>
      <xdr:rowOff>114300</xdr:rowOff>
    </xdr:to>
    <xdr:pic>
      <xdr:nvPicPr>
        <xdr:cNvPr id="205521" name="Grafik 7">
          <a:extLst>
            <a:ext uri="{FF2B5EF4-FFF2-40B4-BE49-F238E27FC236}">
              <a16:creationId xmlns:a16="http://schemas.microsoft.com/office/drawing/2014/main" id="{00000000-0008-0000-0400-0000D1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20175" y="19145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38</xdr:row>
      <xdr:rowOff>9525</xdr:rowOff>
    </xdr:from>
    <xdr:to>
      <xdr:col>17</xdr:col>
      <xdr:colOff>0</xdr:colOff>
      <xdr:row>38</xdr:row>
      <xdr:rowOff>114300</xdr:rowOff>
    </xdr:to>
    <xdr:pic>
      <xdr:nvPicPr>
        <xdr:cNvPr id="205523" name="Grafik 11">
          <a:extLst>
            <a:ext uri="{FF2B5EF4-FFF2-40B4-BE49-F238E27FC236}">
              <a16:creationId xmlns:a16="http://schemas.microsoft.com/office/drawing/2014/main" id="{00000000-0008-0000-0400-0000D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15344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7</xdr:row>
      <xdr:rowOff>9525</xdr:rowOff>
    </xdr:from>
    <xdr:to>
      <xdr:col>16</xdr:col>
      <xdr:colOff>514350</xdr:colOff>
      <xdr:row>7</xdr:row>
      <xdr:rowOff>114300</xdr:rowOff>
    </xdr:to>
    <xdr:pic>
      <xdr:nvPicPr>
        <xdr:cNvPr id="205524" name="Grafik 12">
          <a:extLst>
            <a:ext uri="{FF2B5EF4-FFF2-40B4-BE49-F238E27FC236}">
              <a16:creationId xmlns:a16="http://schemas.microsoft.com/office/drawing/2014/main" id="{00000000-0008-0000-0400-0000D4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461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44</xdr:row>
      <xdr:rowOff>9525</xdr:rowOff>
    </xdr:from>
    <xdr:to>
      <xdr:col>16</xdr:col>
      <xdr:colOff>514350</xdr:colOff>
      <xdr:row>44</xdr:row>
      <xdr:rowOff>114300</xdr:rowOff>
    </xdr:to>
    <xdr:pic>
      <xdr:nvPicPr>
        <xdr:cNvPr id="205525" name="Grafik 13">
          <a:extLst>
            <a:ext uri="{FF2B5EF4-FFF2-40B4-BE49-F238E27FC236}">
              <a16:creationId xmlns:a16="http://schemas.microsoft.com/office/drawing/2014/main" id="{00000000-0008-0000-0400-0000D5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7973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47</xdr:row>
      <xdr:rowOff>9525</xdr:rowOff>
    </xdr:from>
    <xdr:to>
      <xdr:col>16</xdr:col>
      <xdr:colOff>514350</xdr:colOff>
      <xdr:row>47</xdr:row>
      <xdr:rowOff>114300</xdr:rowOff>
    </xdr:to>
    <xdr:pic>
      <xdr:nvPicPr>
        <xdr:cNvPr id="205526" name="Grafik 14">
          <a:extLst>
            <a:ext uri="{FF2B5EF4-FFF2-40B4-BE49-F238E27FC236}">
              <a16:creationId xmlns:a16="http://schemas.microsoft.com/office/drawing/2014/main" id="{00000000-0008-0000-0400-0000D6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9288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52</xdr:row>
      <xdr:rowOff>9525</xdr:rowOff>
    </xdr:from>
    <xdr:to>
      <xdr:col>16</xdr:col>
      <xdr:colOff>514350</xdr:colOff>
      <xdr:row>52</xdr:row>
      <xdr:rowOff>114300</xdr:rowOff>
    </xdr:to>
    <xdr:pic>
      <xdr:nvPicPr>
        <xdr:cNvPr id="205527" name="Grafik 15">
          <a:extLst>
            <a:ext uri="{FF2B5EF4-FFF2-40B4-BE49-F238E27FC236}">
              <a16:creationId xmlns:a16="http://schemas.microsoft.com/office/drawing/2014/main" id="{00000000-0008-0000-0400-0000D7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1478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59</xdr:row>
      <xdr:rowOff>9525</xdr:rowOff>
    </xdr:from>
    <xdr:to>
      <xdr:col>16</xdr:col>
      <xdr:colOff>514350</xdr:colOff>
      <xdr:row>59</xdr:row>
      <xdr:rowOff>114300</xdr:rowOff>
    </xdr:to>
    <xdr:pic>
      <xdr:nvPicPr>
        <xdr:cNvPr id="205528" name="Grafik 17">
          <a:extLst>
            <a:ext uri="{FF2B5EF4-FFF2-40B4-BE49-F238E27FC236}">
              <a16:creationId xmlns:a16="http://schemas.microsoft.com/office/drawing/2014/main" id="{00000000-0008-0000-0400-0000D8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974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10</xdr:row>
      <xdr:rowOff>9525</xdr:rowOff>
    </xdr:from>
    <xdr:to>
      <xdr:col>16</xdr:col>
      <xdr:colOff>514350</xdr:colOff>
      <xdr:row>10</xdr:row>
      <xdr:rowOff>114300</xdr:rowOff>
    </xdr:to>
    <xdr:pic>
      <xdr:nvPicPr>
        <xdr:cNvPr id="205531" name="Grafik 12">
          <a:extLst>
            <a:ext uri="{FF2B5EF4-FFF2-40B4-BE49-F238E27FC236}">
              <a16:creationId xmlns:a16="http://schemas.microsoft.com/office/drawing/2014/main" id="{00000000-0008-0000-0400-0000DB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5905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13</xdr:row>
      <xdr:rowOff>9525</xdr:rowOff>
    </xdr:from>
    <xdr:to>
      <xdr:col>16</xdr:col>
      <xdr:colOff>514350</xdr:colOff>
      <xdr:row>13</xdr:row>
      <xdr:rowOff>114300</xdr:rowOff>
    </xdr:to>
    <xdr:pic>
      <xdr:nvPicPr>
        <xdr:cNvPr id="205532" name="Grafik 12">
          <a:extLst>
            <a:ext uri="{FF2B5EF4-FFF2-40B4-BE49-F238E27FC236}">
              <a16:creationId xmlns:a16="http://schemas.microsoft.com/office/drawing/2014/main" id="{00000000-0008-0000-0400-0000DC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7191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16</xdr:row>
      <xdr:rowOff>9525</xdr:rowOff>
    </xdr:from>
    <xdr:to>
      <xdr:col>16</xdr:col>
      <xdr:colOff>514350</xdr:colOff>
      <xdr:row>16</xdr:row>
      <xdr:rowOff>114300</xdr:rowOff>
    </xdr:to>
    <xdr:pic>
      <xdr:nvPicPr>
        <xdr:cNvPr id="205533" name="Grafik 12">
          <a:extLst>
            <a:ext uri="{FF2B5EF4-FFF2-40B4-BE49-F238E27FC236}">
              <a16:creationId xmlns:a16="http://schemas.microsoft.com/office/drawing/2014/main" id="{00000000-0008-0000-0400-0000DD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847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58</xdr:row>
      <xdr:rowOff>9525</xdr:rowOff>
    </xdr:from>
    <xdr:to>
      <xdr:col>16</xdr:col>
      <xdr:colOff>514350</xdr:colOff>
      <xdr:row>58</xdr:row>
      <xdr:rowOff>114300</xdr:rowOff>
    </xdr:to>
    <xdr:pic>
      <xdr:nvPicPr>
        <xdr:cNvPr id="205534" name="Grafik 17">
          <a:extLst>
            <a:ext uri="{FF2B5EF4-FFF2-40B4-BE49-F238E27FC236}">
              <a16:creationId xmlns:a16="http://schemas.microsoft.com/office/drawing/2014/main" id="{00000000-0008-0000-0400-0000DE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536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65</xdr:row>
      <xdr:rowOff>9525</xdr:rowOff>
    </xdr:from>
    <xdr:to>
      <xdr:col>16</xdr:col>
      <xdr:colOff>514350</xdr:colOff>
      <xdr:row>65</xdr:row>
      <xdr:rowOff>114300</xdr:rowOff>
    </xdr:to>
    <xdr:pic>
      <xdr:nvPicPr>
        <xdr:cNvPr id="205536" name="Grafik 20">
          <a:extLst>
            <a:ext uri="{FF2B5EF4-FFF2-40B4-BE49-F238E27FC236}">
              <a16:creationId xmlns:a16="http://schemas.microsoft.com/office/drawing/2014/main" id="{00000000-0008-0000-0400-0000E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28603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37</xdr:row>
      <xdr:rowOff>9525</xdr:rowOff>
    </xdr:from>
    <xdr:to>
      <xdr:col>16</xdr:col>
      <xdr:colOff>514350</xdr:colOff>
      <xdr:row>37</xdr:row>
      <xdr:rowOff>114300</xdr:rowOff>
    </xdr:to>
    <xdr:pic>
      <xdr:nvPicPr>
        <xdr:cNvPr id="205539" name="Grafik 11">
          <a:extLst>
            <a:ext uri="{FF2B5EF4-FFF2-40B4-BE49-F238E27FC236}">
              <a16:creationId xmlns:a16="http://schemas.microsoft.com/office/drawing/2014/main" id="{00000000-0008-0000-0400-0000E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906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23</xdr:row>
      <xdr:rowOff>9525</xdr:rowOff>
    </xdr:from>
    <xdr:to>
      <xdr:col>16</xdr:col>
      <xdr:colOff>514350</xdr:colOff>
      <xdr:row>23</xdr:row>
      <xdr:rowOff>95250</xdr:rowOff>
    </xdr:to>
    <xdr:pic>
      <xdr:nvPicPr>
        <xdr:cNvPr id="205541" name="Grafik 29">
          <a:extLst>
            <a:ext uri="{FF2B5EF4-FFF2-40B4-BE49-F238E27FC236}">
              <a16:creationId xmlns:a16="http://schemas.microsoft.com/office/drawing/2014/main" id="{00000000-0008-0000-0400-0000E52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10191750"/>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26</xdr:row>
      <xdr:rowOff>9525</xdr:rowOff>
    </xdr:from>
    <xdr:to>
      <xdr:col>16</xdr:col>
      <xdr:colOff>514350</xdr:colOff>
      <xdr:row>26</xdr:row>
      <xdr:rowOff>95250</xdr:rowOff>
    </xdr:to>
    <xdr:pic>
      <xdr:nvPicPr>
        <xdr:cNvPr id="205542" name="Grafik 29">
          <a:extLst>
            <a:ext uri="{FF2B5EF4-FFF2-40B4-BE49-F238E27FC236}">
              <a16:creationId xmlns:a16="http://schemas.microsoft.com/office/drawing/2014/main" id="{00000000-0008-0000-0400-0000E62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114776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61</xdr:row>
      <xdr:rowOff>9525</xdr:rowOff>
    </xdr:from>
    <xdr:to>
      <xdr:col>16</xdr:col>
      <xdr:colOff>514350</xdr:colOff>
      <xdr:row>61</xdr:row>
      <xdr:rowOff>95250</xdr:rowOff>
    </xdr:to>
    <xdr:pic>
      <xdr:nvPicPr>
        <xdr:cNvPr id="205543" name="Grafik 29">
          <a:extLst>
            <a:ext uri="{FF2B5EF4-FFF2-40B4-BE49-F238E27FC236}">
              <a16:creationId xmlns:a16="http://schemas.microsoft.com/office/drawing/2014/main" id="{00000000-0008-0000-0400-0000E722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268509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41</xdr:row>
      <xdr:rowOff>9525</xdr:rowOff>
    </xdr:from>
    <xdr:to>
      <xdr:col>16</xdr:col>
      <xdr:colOff>514350</xdr:colOff>
      <xdr:row>41</xdr:row>
      <xdr:rowOff>114300</xdr:rowOff>
    </xdr:to>
    <xdr:pic>
      <xdr:nvPicPr>
        <xdr:cNvPr id="31" name="Grafik 11">
          <a:extLst>
            <a:ext uri="{FF2B5EF4-FFF2-40B4-BE49-F238E27FC236}">
              <a16:creationId xmlns:a16="http://schemas.microsoft.com/office/drawing/2014/main" id="{00000000-0008-0000-04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6659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428625</xdr:colOff>
      <xdr:row>64</xdr:row>
      <xdr:rowOff>9525</xdr:rowOff>
    </xdr:from>
    <xdr:to>
      <xdr:col>17</xdr:col>
      <xdr:colOff>0</xdr:colOff>
      <xdr:row>64</xdr:row>
      <xdr:rowOff>114300</xdr:rowOff>
    </xdr:to>
    <xdr:pic>
      <xdr:nvPicPr>
        <xdr:cNvPr id="33" name="Grafik 20">
          <a:extLst>
            <a:ext uri="{FF2B5EF4-FFF2-40B4-BE49-F238E27FC236}">
              <a16:creationId xmlns:a16="http://schemas.microsoft.com/office/drawing/2014/main" id="{00000000-0008-0000-0400-000021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01100" y="281654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49</xdr:row>
      <xdr:rowOff>9525</xdr:rowOff>
    </xdr:from>
    <xdr:to>
      <xdr:col>16</xdr:col>
      <xdr:colOff>514350</xdr:colOff>
      <xdr:row>49</xdr:row>
      <xdr:rowOff>95250</xdr:rowOff>
    </xdr:to>
    <xdr:pic>
      <xdr:nvPicPr>
        <xdr:cNvPr id="37" name="Grafik 29">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72525" y="201644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409575</xdr:colOff>
      <xdr:row>35</xdr:row>
      <xdr:rowOff>9525</xdr:rowOff>
    </xdr:from>
    <xdr:ext cx="104775" cy="104775"/>
    <xdr:pic>
      <xdr:nvPicPr>
        <xdr:cNvPr id="36" name="Grafik 11">
          <a:extLst>
            <a:ext uri="{FF2B5EF4-FFF2-40B4-BE49-F238E27FC236}">
              <a16:creationId xmlns:a16="http://schemas.microsoft.com/office/drawing/2014/main" id="{00000000-0008-0000-04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001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409575</xdr:colOff>
      <xdr:row>5</xdr:row>
      <xdr:rowOff>9525</xdr:rowOff>
    </xdr:from>
    <xdr:to>
      <xdr:col>16</xdr:col>
      <xdr:colOff>514350</xdr:colOff>
      <xdr:row>5</xdr:row>
      <xdr:rowOff>114300</xdr:rowOff>
    </xdr:to>
    <xdr:pic>
      <xdr:nvPicPr>
        <xdr:cNvPr id="32" name="Grafik 12">
          <a:extLst>
            <a:ext uri="{FF2B5EF4-FFF2-40B4-BE49-F238E27FC236}">
              <a16:creationId xmlns:a16="http://schemas.microsoft.com/office/drawing/2014/main" id="{E4EC1B7A-F6EE-4E27-94F7-B56F6D63E2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72550" y="4267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157163</xdr:colOff>
      <xdr:row>5</xdr:row>
      <xdr:rowOff>9525</xdr:rowOff>
    </xdr:from>
    <xdr:to>
      <xdr:col>3</xdr:col>
      <xdr:colOff>271463</xdr:colOff>
      <xdr:row>5</xdr:row>
      <xdr:rowOff>114300</xdr:rowOff>
    </xdr:to>
    <xdr:pic>
      <xdr:nvPicPr>
        <xdr:cNvPr id="34" name="Grafik 5">
          <a:extLst>
            <a:ext uri="{FF2B5EF4-FFF2-40B4-BE49-F238E27FC236}">
              <a16:creationId xmlns:a16="http://schemas.microsoft.com/office/drawing/2014/main" id="{F75A221B-EAAC-4141-B686-9407EB27E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2788" y="1089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144463</xdr:colOff>
      <xdr:row>5</xdr:row>
      <xdr:rowOff>9525</xdr:rowOff>
    </xdr:from>
    <xdr:to>
      <xdr:col>2</xdr:col>
      <xdr:colOff>258763</xdr:colOff>
      <xdr:row>5</xdr:row>
      <xdr:rowOff>114300</xdr:rowOff>
    </xdr:to>
    <xdr:pic>
      <xdr:nvPicPr>
        <xdr:cNvPr id="35" name="Grafik 5">
          <a:extLst>
            <a:ext uri="{FF2B5EF4-FFF2-40B4-BE49-F238E27FC236}">
              <a16:creationId xmlns:a16="http://schemas.microsoft.com/office/drawing/2014/main" id="{D64FBA2A-F0EE-4A03-A3F9-F53490CF4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0213" y="1414463"/>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4737735</xdr:colOff>
      <xdr:row>6</xdr:row>
      <xdr:rowOff>9525</xdr:rowOff>
    </xdr:from>
    <xdr:to>
      <xdr:col>19</xdr:col>
      <xdr:colOff>6986</xdr:colOff>
      <xdr:row>6</xdr:row>
      <xdr:rowOff>104775</xdr:rowOff>
    </xdr:to>
    <xdr:pic>
      <xdr:nvPicPr>
        <xdr:cNvPr id="39" name="Grafik 6">
          <a:extLst>
            <a:ext uri="{FF2B5EF4-FFF2-40B4-BE49-F238E27FC236}">
              <a16:creationId xmlns:a16="http://schemas.microsoft.com/office/drawing/2014/main" id="{ACFB668A-DC80-4C53-BF69-B19C3DA47C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96085" y="4476750"/>
          <a:ext cx="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4615815</xdr:colOff>
      <xdr:row>6</xdr:row>
      <xdr:rowOff>5398</xdr:rowOff>
    </xdr:from>
    <xdr:to>
      <xdr:col>18</xdr:col>
      <xdr:colOff>4711065</xdr:colOff>
      <xdr:row>6</xdr:row>
      <xdr:rowOff>110173</xdr:rowOff>
    </xdr:to>
    <xdr:pic>
      <xdr:nvPicPr>
        <xdr:cNvPr id="42" name="Grafik 12">
          <a:extLst>
            <a:ext uri="{FF2B5EF4-FFF2-40B4-BE49-F238E27FC236}">
              <a16:creationId xmlns:a16="http://schemas.microsoft.com/office/drawing/2014/main" id="{336B3CD7-4C1B-480D-88F2-DCCD7D3D47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93253" y="1616711"/>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60960</xdr:colOff>
      <xdr:row>0</xdr:row>
      <xdr:rowOff>17145</xdr:rowOff>
    </xdr:from>
    <xdr:to>
      <xdr:col>17</xdr:col>
      <xdr:colOff>569854</xdr:colOff>
      <xdr:row>4</xdr:row>
      <xdr:rowOff>12580</xdr:rowOff>
    </xdr:to>
    <xdr:pic>
      <xdr:nvPicPr>
        <xdr:cNvPr id="43" name="Grafik 33">
          <a:extLst>
            <a:ext uri="{FF2B5EF4-FFF2-40B4-BE49-F238E27FC236}">
              <a16:creationId xmlns:a16="http://schemas.microsoft.com/office/drawing/2014/main" id="{6837622E-DD92-4015-948F-CDE29241B8A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023860" y="17145"/>
          <a:ext cx="1680469" cy="728860"/>
        </a:xfrm>
        <a:prstGeom prst="rect">
          <a:avLst/>
        </a:prstGeom>
      </xdr:spPr>
    </xdr:pic>
    <xdr:clientData/>
  </xdr:twoCellAnchor>
  <xdr:twoCellAnchor editAs="oneCell">
    <xdr:from>
      <xdr:col>16</xdr:col>
      <xdr:colOff>419100</xdr:colOff>
      <xdr:row>19</xdr:row>
      <xdr:rowOff>9525</xdr:rowOff>
    </xdr:from>
    <xdr:to>
      <xdr:col>17</xdr:col>
      <xdr:colOff>0</xdr:colOff>
      <xdr:row>19</xdr:row>
      <xdr:rowOff>114300</xdr:rowOff>
    </xdr:to>
    <xdr:pic>
      <xdr:nvPicPr>
        <xdr:cNvPr id="40" name="Grafik 12">
          <a:extLst>
            <a:ext uri="{FF2B5EF4-FFF2-40B4-BE49-F238E27FC236}">
              <a16:creationId xmlns:a16="http://schemas.microsoft.com/office/drawing/2014/main" id="{22D8310E-40BE-4586-8BEE-7123694AED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10650" y="889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85</xdr:row>
      <xdr:rowOff>9525</xdr:rowOff>
    </xdr:from>
    <xdr:to>
      <xdr:col>16</xdr:col>
      <xdr:colOff>514350</xdr:colOff>
      <xdr:row>85</xdr:row>
      <xdr:rowOff>114300</xdr:rowOff>
    </xdr:to>
    <xdr:pic>
      <xdr:nvPicPr>
        <xdr:cNvPr id="6" name="Grafik 20">
          <a:extLst>
            <a:ext uri="{FF2B5EF4-FFF2-40B4-BE49-F238E27FC236}">
              <a16:creationId xmlns:a16="http://schemas.microsoft.com/office/drawing/2014/main" id="{430CED81-D873-452A-B24C-00C444AE37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73856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427038</xdr:colOff>
      <xdr:row>86</xdr:row>
      <xdr:rowOff>9525</xdr:rowOff>
    </xdr:from>
    <xdr:to>
      <xdr:col>16</xdr:col>
      <xdr:colOff>522288</xdr:colOff>
      <xdr:row>86</xdr:row>
      <xdr:rowOff>114300</xdr:rowOff>
    </xdr:to>
    <xdr:pic>
      <xdr:nvPicPr>
        <xdr:cNvPr id="7" name="Grafik 20">
          <a:extLst>
            <a:ext uri="{FF2B5EF4-FFF2-40B4-BE49-F238E27FC236}">
              <a16:creationId xmlns:a16="http://schemas.microsoft.com/office/drawing/2014/main" id="{3DCE4DCF-E018-41FE-9454-85D017B175F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88476" y="38276213"/>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88</xdr:row>
      <xdr:rowOff>9525</xdr:rowOff>
    </xdr:from>
    <xdr:to>
      <xdr:col>16</xdr:col>
      <xdr:colOff>514350</xdr:colOff>
      <xdr:row>88</xdr:row>
      <xdr:rowOff>114300</xdr:rowOff>
    </xdr:to>
    <xdr:pic>
      <xdr:nvPicPr>
        <xdr:cNvPr id="8" name="Grafik 20">
          <a:extLst>
            <a:ext uri="{FF2B5EF4-FFF2-40B4-BE49-F238E27FC236}">
              <a16:creationId xmlns:a16="http://schemas.microsoft.com/office/drawing/2014/main" id="{BCCA9E22-1FBA-4A27-9E51-D9EE41A61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86715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89</xdr:row>
      <xdr:rowOff>9525</xdr:rowOff>
    </xdr:from>
    <xdr:to>
      <xdr:col>16</xdr:col>
      <xdr:colOff>514350</xdr:colOff>
      <xdr:row>89</xdr:row>
      <xdr:rowOff>114300</xdr:rowOff>
    </xdr:to>
    <xdr:pic>
      <xdr:nvPicPr>
        <xdr:cNvPr id="9" name="Grafik 20">
          <a:extLst>
            <a:ext uri="{FF2B5EF4-FFF2-40B4-BE49-F238E27FC236}">
              <a16:creationId xmlns:a16="http://schemas.microsoft.com/office/drawing/2014/main" id="{10D73D92-A5B4-4FB2-9300-D0C1FDB41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91001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342900</xdr:colOff>
      <xdr:row>3</xdr:row>
      <xdr:rowOff>9525</xdr:rowOff>
    </xdr:from>
    <xdr:ext cx="101600" cy="104775"/>
    <xdr:pic>
      <xdr:nvPicPr>
        <xdr:cNvPr id="10" name="Grafik 2">
          <a:extLst>
            <a:ext uri="{FF2B5EF4-FFF2-40B4-BE49-F238E27FC236}">
              <a16:creationId xmlns:a16="http://schemas.microsoft.com/office/drawing/2014/main" id="{635F514F-6D96-45D4-B423-A14EDB61134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7338" y="787400"/>
          <a:ext cx="1016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4</xdr:col>
      <xdr:colOff>974725</xdr:colOff>
      <xdr:row>43</xdr:row>
      <xdr:rowOff>7938</xdr:rowOff>
    </xdr:from>
    <xdr:to>
      <xdr:col>5</xdr:col>
      <xdr:colOff>3175</xdr:colOff>
      <xdr:row>43</xdr:row>
      <xdr:rowOff>112713</xdr:rowOff>
    </xdr:to>
    <xdr:pic>
      <xdr:nvPicPr>
        <xdr:cNvPr id="11" name="Grafik 5">
          <a:extLst>
            <a:ext uri="{FF2B5EF4-FFF2-40B4-BE49-F238E27FC236}">
              <a16:creationId xmlns:a16="http://schemas.microsoft.com/office/drawing/2014/main" id="{845FDB55-8FC0-4923-BBD0-84D201FFF2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3400" y="15905163"/>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571500</xdr:colOff>
      <xdr:row>43</xdr:row>
      <xdr:rowOff>7938</xdr:rowOff>
    </xdr:from>
    <xdr:to>
      <xdr:col>9</xdr:col>
      <xdr:colOff>3175</xdr:colOff>
      <xdr:row>43</xdr:row>
      <xdr:rowOff>112713</xdr:rowOff>
    </xdr:to>
    <xdr:pic>
      <xdr:nvPicPr>
        <xdr:cNvPr id="12" name="Grafik 5">
          <a:extLst>
            <a:ext uri="{FF2B5EF4-FFF2-40B4-BE49-F238E27FC236}">
              <a16:creationId xmlns:a16="http://schemas.microsoft.com/office/drawing/2014/main" id="{175B504F-C5DD-4A1E-91BA-175765B652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18063" y="16121063"/>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971550</xdr:colOff>
      <xdr:row>55</xdr:row>
      <xdr:rowOff>9525</xdr:rowOff>
    </xdr:from>
    <xdr:to>
      <xdr:col>5</xdr:col>
      <xdr:colOff>0</xdr:colOff>
      <xdr:row>55</xdr:row>
      <xdr:rowOff>114300</xdr:rowOff>
    </xdr:to>
    <xdr:pic>
      <xdr:nvPicPr>
        <xdr:cNvPr id="2" name="Grafik 5">
          <a:extLst>
            <a:ext uri="{FF2B5EF4-FFF2-40B4-BE49-F238E27FC236}">
              <a16:creationId xmlns:a16="http://schemas.microsoft.com/office/drawing/2014/main" id="{5BCE3547-1903-491A-9DDD-E344409701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209931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352425</xdr:colOff>
      <xdr:row>7</xdr:row>
      <xdr:rowOff>9525</xdr:rowOff>
    </xdr:from>
    <xdr:to>
      <xdr:col>6</xdr:col>
      <xdr:colOff>0</xdr:colOff>
      <xdr:row>7</xdr:row>
      <xdr:rowOff>104775</xdr:rowOff>
    </xdr:to>
    <xdr:pic>
      <xdr:nvPicPr>
        <xdr:cNvPr id="189372" name="Grafik 4">
          <a:extLst>
            <a:ext uri="{FF2B5EF4-FFF2-40B4-BE49-F238E27FC236}">
              <a16:creationId xmlns:a16="http://schemas.microsoft.com/office/drawing/2014/main" id="{00000000-0008-0000-0700-0000BC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1825"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514350</xdr:colOff>
      <xdr:row>1</xdr:row>
      <xdr:rowOff>114300</xdr:rowOff>
    </xdr:from>
    <xdr:to>
      <xdr:col>11</xdr:col>
      <xdr:colOff>1952625</xdr:colOff>
      <xdr:row>2</xdr:row>
      <xdr:rowOff>171450</xdr:rowOff>
    </xdr:to>
    <xdr:pic>
      <xdr:nvPicPr>
        <xdr:cNvPr id="189373" name="Grafik 1">
          <a:extLst>
            <a:ext uri="{FF2B5EF4-FFF2-40B4-BE49-F238E27FC236}">
              <a16:creationId xmlns:a16="http://schemas.microsoft.com/office/drawing/2014/main" id="{00000000-0008-0000-0700-0000BDE3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9550" y="1143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7</xdr:row>
      <xdr:rowOff>9525</xdr:rowOff>
    </xdr:from>
    <xdr:to>
      <xdr:col>11</xdr:col>
      <xdr:colOff>0</xdr:colOff>
      <xdr:row>7</xdr:row>
      <xdr:rowOff>104775</xdr:rowOff>
    </xdr:to>
    <xdr:pic>
      <xdr:nvPicPr>
        <xdr:cNvPr id="189374" name="Grafik 4">
          <a:extLst>
            <a:ext uri="{FF2B5EF4-FFF2-40B4-BE49-F238E27FC236}">
              <a16:creationId xmlns:a16="http://schemas.microsoft.com/office/drawing/2014/main" id="{00000000-0008-0000-0700-0000BE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5</xdr:row>
      <xdr:rowOff>9525</xdr:rowOff>
    </xdr:from>
    <xdr:to>
      <xdr:col>11</xdr:col>
      <xdr:colOff>0</xdr:colOff>
      <xdr:row>5</xdr:row>
      <xdr:rowOff>104775</xdr:rowOff>
    </xdr:to>
    <xdr:pic>
      <xdr:nvPicPr>
        <xdr:cNvPr id="189375" name="Grafik 4">
          <a:extLst>
            <a:ext uri="{FF2B5EF4-FFF2-40B4-BE49-F238E27FC236}">
              <a16:creationId xmlns:a16="http://schemas.microsoft.com/office/drawing/2014/main" id="{00000000-0008-0000-0700-0000BF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7620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600075</xdr:colOff>
      <xdr:row>5</xdr:row>
      <xdr:rowOff>9525</xdr:rowOff>
    </xdr:from>
    <xdr:to>
      <xdr:col>13</xdr:col>
      <xdr:colOff>0</xdr:colOff>
      <xdr:row>5</xdr:row>
      <xdr:rowOff>104775</xdr:rowOff>
    </xdr:to>
    <xdr:pic>
      <xdr:nvPicPr>
        <xdr:cNvPr id="200107" name="Grafik 2">
          <a:extLst>
            <a:ext uri="{FF2B5EF4-FFF2-40B4-BE49-F238E27FC236}">
              <a16:creationId xmlns:a16="http://schemas.microsoft.com/office/drawing/2014/main" id="{00000000-0008-0000-0900-0000AB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8858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600075</xdr:colOff>
      <xdr:row>7</xdr:row>
      <xdr:rowOff>9525</xdr:rowOff>
    </xdr:from>
    <xdr:to>
      <xdr:col>13</xdr:col>
      <xdr:colOff>0</xdr:colOff>
      <xdr:row>7</xdr:row>
      <xdr:rowOff>104775</xdr:rowOff>
    </xdr:to>
    <xdr:pic>
      <xdr:nvPicPr>
        <xdr:cNvPr id="200108" name="Grafik 3">
          <a:extLst>
            <a:ext uri="{FF2B5EF4-FFF2-40B4-BE49-F238E27FC236}">
              <a16:creationId xmlns:a16="http://schemas.microsoft.com/office/drawing/2014/main" id="{00000000-0008-0000-0900-0000AC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11620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895350</xdr:colOff>
      <xdr:row>7</xdr:row>
      <xdr:rowOff>9525</xdr:rowOff>
    </xdr:from>
    <xdr:to>
      <xdr:col>5</xdr:col>
      <xdr:colOff>0</xdr:colOff>
      <xdr:row>7</xdr:row>
      <xdr:rowOff>104775</xdr:rowOff>
    </xdr:to>
    <xdr:pic>
      <xdr:nvPicPr>
        <xdr:cNvPr id="200109" name="Grafik 4">
          <a:extLst>
            <a:ext uri="{FF2B5EF4-FFF2-40B4-BE49-F238E27FC236}">
              <a16:creationId xmlns:a16="http://schemas.microsoft.com/office/drawing/2014/main" id="{00000000-0008-0000-0900-0000AD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86050" y="11620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590550</xdr:colOff>
      <xdr:row>25</xdr:row>
      <xdr:rowOff>9525</xdr:rowOff>
    </xdr:from>
    <xdr:to>
      <xdr:col>6</xdr:col>
      <xdr:colOff>704850</xdr:colOff>
      <xdr:row>25</xdr:row>
      <xdr:rowOff>104775</xdr:rowOff>
    </xdr:to>
    <xdr:pic>
      <xdr:nvPicPr>
        <xdr:cNvPr id="200110" name="Grafik 2">
          <a:extLst>
            <a:ext uri="{FF2B5EF4-FFF2-40B4-BE49-F238E27FC236}">
              <a16:creationId xmlns:a16="http://schemas.microsoft.com/office/drawing/2014/main" id="{00000000-0008-0000-0900-0000AE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0" y="63436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200025</xdr:colOff>
      <xdr:row>0</xdr:row>
      <xdr:rowOff>104775</xdr:rowOff>
    </xdr:from>
    <xdr:to>
      <xdr:col>13</xdr:col>
      <xdr:colOff>66675</xdr:colOff>
      <xdr:row>3</xdr:row>
      <xdr:rowOff>114300</xdr:rowOff>
    </xdr:to>
    <xdr:pic>
      <xdr:nvPicPr>
        <xdr:cNvPr id="200111" name="Grafik 1">
          <a:extLst>
            <a:ext uri="{FF2B5EF4-FFF2-40B4-BE49-F238E27FC236}">
              <a16:creationId xmlns:a16="http://schemas.microsoft.com/office/drawing/2014/main" id="{00000000-0008-0000-0900-0000AF0D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48375" y="10477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1876425</xdr:colOff>
      <xdr:row>7</xdr:row>
      <xdr:rowOff>9525</xdr:rowOff>
    </xdr:from>
    <xdr:to>
      <xdr:col>3</xdr:col>
      <xdr:colOff>0</xdr:colOff>
      <xdr:row>7</xdr:row>
      <xdr:rowOff>104775</xdr:rowOff>
    </xdr:to>
    <xdr:pic>
      <xdr:nvPicPr>
        <xdr:cNvPr id="201131" name="Grafik 5">
          <a:extLst>
            <a:ext uri="{FF2B5EF4-FFF2-40B4-BE49-F238E27FC236}">
              <a16:creationId xmlns:a16="http://schemas.microsoft.com/office/drawing/2014/main" id="{00000000-0008-0000-0E00-0000AB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1866900</xdr:colOff>
      <xdr:row>13</xdr:row>
      <xdr:rowOff>9525</xdr:rowOff>
    </xdr:from>
    <xdr:to>
      <xdr:col>3</xdr:col>
      <xdr:colOff>0</xdr:colOff>
      <xdr:row>13</xdr:row>
      <xdr:rowOff>104775</xdr:rowOff>
    </xdr:to>
    <xdr:pic>
      <xdr:nvPicPr>
        <xdr:cNvPr id="201132" name="Grafik 4">
          <a:extLst>
            <a:ext uri="{FF2B5EF4-FFF2-40B4-BE49-F238E27FC236}">
              <a16:creationId xmlns:a16="http://schemas.microsoft.com/office/drawing/2014/main" id="{00000000-0008-0000-0E00-0000AC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4175" y="1962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5</xdr:row>
      <xdr:rowOff>9525</xdr:rowOff>
    </xdr:from>
    <xdr:to>
      <xdr:col>7</xdr:col>
      <xdr:colOff>0</xdr:colOff>
      <xdr:row>5</xdr:row>
      <xdr:rowOff>104775</xdr:rowOff>
    </xdr:to>
    <xdr:pic>
      <xdr:nvPicPr>
        <xdr:cNvPr id="201133" name="Grafik 5">
          <a:extLst>
            <a:ext uri="{FF2B5EF4-FFF2-40B4-BE49-F238E27FC236}">
              <a16:creationId xmlns:a16="http://schemas.microsoft.com/office/drawing/2014/main" id="{00000000-0008-0000-0E00-0000AD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7334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7</xdr:row>
      <xdr:rowOff>9525</xdr:rowOff>
    </xdr:from>
    <xdr:to>
      <xdr:col>7</xdr:col>
      <xdr:colOff>0</xdr:colOff>
      <xdr:row>7</xdr:row>
      <xdr:rowOff>104775</xdr:rowOff>
    </xdr:to>
    <xdr:pic>
      <xdr:nvPicPr>
        <xdr:cNvPr id="201134" name="Grafik 5">
          <a:extLst>
            <a:ext uri="{FF2B5EF4-FFF2-40B4-BE49-F238E27FC236}">
              <a16:creationId xmlns:a16="http://schemas.microsoft.com/office/drawing/2014/main" id="{00000000-0008-0000-0E00-0000AE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419100</xdr:colOff>
      <xdr:row>1</xdr:row>
      <xdr:rowOff>57150</xdr:rowOff>
    </xdr:from>
    <xdr:to>
      <xdr:col>7</xdr:col>
      <xdr:colOff>457200</xdr:colOff>
      <xdr:row>2</xdr:row>
      <xdr:rowOff>180975</xdr:rowOff>
    </xdr:to>
    <xdr:pic>
      <xdr:nvPicPr>
        <xdr:cNvPr id="201135" name="Grafik 1">
          <a:extLst>
            <a:ext uri="{FF2B5EF4-FFF2-40B4-BE49-F238E27FC236}">
              <a16:creationId xmlns:a16="http://schemas.microsoft.com/office/drawing/2014/main" id="{00000000-0008-0000-0E00-0000AF11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48600" y="1524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6_daten\09_excel-kennzahlenb&#246;gen\15_excel-kb%20auditjahr%202026\organe\uro\prostata\eb_pz-Q1-1_daten_251119.xlsx" TargetMode="External"/><Relationship Id="rId1" Type="http://schemas.openxmlformats.org/officeDocument/2006/relationships/externalLinkPath" Target="eb_pz-Q1-1_daten_251119.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14_excel-kb%20auditjahr%202025/organe/uro/prostata/eb_pz-P1-1_daten_240918.xlsx" TargetMode="External"/><Relationship Id="rId2" Type="http://schemas.openxmlformats.org/officeDocument/2006/relationships/externalLinkPath" Target="file:///L:\06_daten\09_excel-kennzahlenb&#246;gen\14_excel-kb%20auditjahr%202025\organe\uro\prostata\eb_pz-P1-1_daten_240918.xlsx" TargetMode="External"/><Relationship Id="rId1" Type="http://schemas.openxmlformats.org/officeDocument/2006/relationships/externalLinkPath" Target="/06_daten/09_excel-kennzahlenb&#246;gen/14_excel-kb%20auditjahr%202025/organe/uro/prostata/eb_pz-P1-1_daten_2409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isdaten"/>
      <sheetName val="Studien"/>
      <sheetName val="HilfstabelleStudien"/>
      <sheetName val="HilfstabelleB"/>
      <sheetName val="HilfstabelleSD"/>
      <sheetName val="Datenquelle"/>
      <sheetName val="Operateure"/>
      <sheetName val="Kennzahlenbogen_(KB)"/>
      <sheetName val="HilfstabelleKB"/>
      <sheetName val="Berechnung1"/>
      <sheetName val="Datendefizite_KB"/>
      <sheetName val="Hilfstabelle Datendef KB"/>
      <sheetName val="Matrix"/>
      <sheetName val="Berechnung2"/>
      <sheetName val="HilfstabelleM"/>
      <sheetName val="Berechnung3"/>
      <sheetName val="HilfstabelleDM"/>
      <sheetName val="Datendefizite_Matrix"/>
    </sheetNames>
    <sheetDataSet>
      <sheetData sheetId="0" refreshError="1"/>
      <sheetData sheetId="1" refreshError="1"/>
      <sheetData sheetId="2" refreshError="1"/>
      <sheetData sheetId="3" refreshError="1"/>
      <sheetData sheetId="4" refreshError="1"/>
      <sheetData sheetId="5">
        <row r="43">
          <cell r="F43" t="str">
            <v/>
          </cell>
        </row>
        <row r="46">
          <cell r="A46" t="str">
            <v>FAP-MF-002-U</v>
          </cell>
        </row>
        <row r="47">
          <cell r="A47" t="str">
            <v>FAP-MF-005-U</v>
          </cell>
        </row>
        <row r="48">
          <cell r="A48" t="str">
            <v>FAP-MF-007-U</v>
          </cell>
        </row>
        <row r="49">
          <cell r="A49" t="str">
            <v>FAP-MF-009-U</v>
          </cell>
        </row>
        <row r="50">
          <cell r="A50" t="str">
            <v>FAP-MF-010-U</v>
          </cell>
        </row>
        <row r="51">
          <cell r="A51" t="str">
            <v>FAP-MF-011-U</v>
          </cell>
        </row>
        <row r="52">
          <cell r="A52" t="str">
            <v>FAP-MF-013-U</v>
          </cell>
        </row>
        <row r="53">
          <cell r="A53" t="str">
            <v>FAP-MF-014-U</v>
          </cell>
        </row>
        <row r="54">
          <cell r="A54" t="str">
            <v>FAP-MF-015-U</v>
          </cell>
        </row>
        <row r="55">
          <cell r="A55" t="str">
            <v>FAP-MF-017-1-U</v>
          </cell>
        </row>
        <row r="56">
          <cell r="A56" t="str">
            <v>FAP-MF-017-2-U</v>
          </cell>
        </row>
        <row r="57">
          <cell r="A57" t="str">
            <v>FAP-MF-021-U</v>
          </cell>
        </row>
        <row r="58">
          <cell r="A58" t="str">
            <v>FAP-MF-022-U</v>
          </cell>
        </row>
        <row r="59">
          <cell r="A59" t="str">
            <v>FAP-MF-024-U</v>
          </cell>
        </row>
        <row r="60">
          <cell r="A60" t="str">
            <v>FAP-MF-026-U</v>
          </cell>
        </row>
        <row r="61">
          <cell r="A61" t="str">
            <v>FAP-MF-031-U</v>
          </cell>
        </row>
        <row r="62">
          <cell r="A62" t="str">
            <v>FAP-MF-033-U</v>
          </cell>
        </row>
        <row r="63">
          <cell r="A63" t="str">
            <v>FAP-MF-036-U</v>
          </cell>
        </row>
        <row r="64">
          <cell r="A64" t="str">
            <v>FAP-MF-038-U</v>
          </cell>
        </row>
        <row r="65">
          <cell r="A65" t="str">
            <v>FAP-MF-040-U</v>
          </cell>
        </row>
        <row r="66">
          <cell r="A66" t="str">
            <v>FAP-MF-041-U</v>
          </cell>
        </row>
        <row r="67">
          <cell r="A67" t="str">
            <v>FAP-MF-043-U</v>
          </cell>
        </row>
        <row r="68">
          <cell r="A68" t="str">
            <v>FAP-MF-046-U</v>
          </cell>
        </row>
        <row r="69">
          <cell r="A69" t="str">
            <v>FAP-MF-047-U</v>
          </cell>
        </row>
        <row r="70">
          <cell r="A70" t="str">
            <v>FAP-MF-049-U</v>
          </cell>
        </row>
        <row r="71">
          <cell r="A71" t="str">
            <v>FAP-MF-051-U</v>
          </cell>
        </row>
        <row r="72">
          <cell r="A72" t="str">
            <v>FAP-MF-053-U</v>
          </cell>
        </row>
        <row r="73">
          <cell r="A73" t="str">
            <v>FAP-MF-054-U</v>
          </cell>
        </row>
        <row r="74">
          <cell r="A74" t="str">
            <v>FAP-MF-055-U</v>
          </cell>
        </row>
        <row r="75">
          <cell r="A75" t="str">
            <v>FAP-MF-059-U</v>
          </cell>
        </row>
        <row r="76">
          <cell r="A76" t="str">
            <v>FAP-MF-061-U</v>
          </cell>
        </row>
        <row r="77">
          <cell r="A77" t="str">
            <v>FAP-MF-062-U</v>
          </cell>
        </row>
        <row r="78">
          <cell r="A78" t="str">
            <v>FAP-MF-066-U</v>
          </cell>
        </row>
        <row r="79">
          <cell r="A79" t="str">
            <v>FAP-MF-070-U</v>
          </cell>
        </row>
        <row r="80">
          <cell r="A80" t="str">
            <v>FAP-MF-072-U</v>
          </cell>
        </row>
        <row r="81">
          <cell r="A81" t="str">
            <v>FAP-MF-073-U</v>
          </cell>
        </row>
        <row r="82">
          <cell r="A82" t="str">
            <v>FAP-MF-074-U</v>
          </cell>
        </row>
        <row r="83">
          <cell r="A83" t="str">
            <v>FAP-MF-079-U</v>
          </cell>
        </row>
        <row r="84">
          <cell r="A84" t="str">
            <v>FAP-MF-080-U</v>
          </cell>
        </row>
        <row r="85">
          <cell r="A85" t="str">
            <v>FAP-MF-081-U</v>
          </cell>
        </row>
        <row r="86">
          <cell r="A86" t="str">
            <v>FAP-MF-082-U</v>
          </cell>
        </row>
        <row r="87">
          <cell r="A87" t="str">
            <v>FAP-MF-083-U</v>
          </cell>
        </row>
        <row r="88">
          <cell r="A88" t="str">
            <v>FAP-MF-087-U</v>
          </cell>
        </row>
        <row r="89">
          <cell r="A89" t="str">
            <v>FAP-MF-089-U</v>
          </cell>
        </row>
        <row r="90">
          <cell r="A90" t="str">
            <v>FAP-MF-090-U</v>
          </cell>
        </row>
        <row r="91">
          <cell r="A91" t="str">
            <v>FAP-MF-091-U</v>
          </cell>
        </row>
        <row r="92">
          <cell r="A92" t="str">
            <v>FAP-MF-092-U</v>
          </cell>
        </row>
        <row r="93">
          <cell r="A93" t="str">
            <v>FAP-MF-093-U</v>
          </cell>
        </row>
        <row r="94">
          <cell r="A94" t="str">
            <v>FAP-MF-095-U</v>
          </cell>
        </row>
        <row r="95">
          <cell r="A95" t="str">
            <v>FAP-MF-097-U</v>
          </cell>
        </row>
        <row r="96">
          <cell r="A96" t="str">
            <v>FAP-MF-100-U</v>
          </cell>
        </row>
        <row r="97">
          <cell r="A97" t="str">
            <v>FAP-MF-101-U</v>
          </cell>
        </row>
        <row r="98">
          <cell r="A98" t="str">
            <v>FAP-MF-102-U</v>
          </cell>
        </row>
        <row r="99">
          <cell r="A99" t="str">
            <v>FAP-MF-104-U</v>
          </cell>
        </row>
        <row r="100">
          <cell r="A100" t="str">
            <v>FAP-MF-106-U</v>
          </cell>
        </row>
        <row r="101">
          <cell r="A101" t="str">
            <v>FAP-MF-109-U</v>
          </cell>
        </row>
        <row r="102">
          <cell r="A102" t="str">
            <v>FAP-MF-110-U</v>
          </cell>
        </row>
        <row r="103">
          <cell r="A103" t="str">
            <v>FAP-MF-113-U</v>
          </cell>
        </row>
        <row r="104">
          <cell r="A104" t="str">
            <v>FAP-MF-116-U</v>
          </cell>
        </row>
        <row r="105">
          <cell r="A105" t="str">
            <v>FAP-MF-117-U</v>
          </cell>
        </row>
        <row r="106">
          <cell r="A106" t="str">
            <v>FAP-MF-118-U</v>
          </cell>
        </row>
        <row r="107">
          <cell r="A107" t="str">
            <v>FAP-MF-119-U</v>
          </cell>
        </row>
        <row r="108">
          <cell r="A108" t="str">
            <v>FAP-MF-120-U</v>
          </cell>
        </row>
        <row r="109">
          <cell r="A109" t="str">
            <v>FAP-MF-121-U</v>
          </cell>
        </row>
        <row r="110">
          <cell r="A110" t="str">
            <v>FAP-MF-123-U</v>
          </cell>
        </row>
        <row r="111">
          <cell r="A111" t="str">
            <v>FAP-MF-125-U</v>
          </cell>
        </row>
        <row r="112">
          <cell r="A112" t="str">
            <v>FAP-MF-126-U</v>
          </cell>
        </row>
        <row r="113">
          <cell r="A113" t="str">
            <v>FAP-MF-127-U</v>
          </cell>
        </row>
        <row r="114">
          <cell r="A114" t="str">
            <v>FAP-MF-129-U</v>
          </cell>
        </row>
        <row r="115">
          <cell r="A115" t="str">
            <v>FAP-MF-133-U</v>
          </cell>
        </row>
        <row r="116">
          <cell r="A116" t="str">
            <v>FAP-MF-134-U</v>
          </cell>
        </row>
        <row r="117">
          <cell r="A117" t="str">
            <v>FAP-MF-135-U</v>
          </cell>
        </row>
        <row r="118">
          <cell r="A118" t="str">
            <v>FAP-MF-139-U</v>
          </cell>
        </row>
        <row r="119">
          <cell r="A119" t="str">
            <v>FAP-MF-140-U</v>
          </cell>
        </row>
        <row r="120">
          <cell r="A120" t="str">
            <v>FAP-MF-142-U</v>
          </cell>
        </row>
        <row r="121">
          <cell r="A121" t="str">
            <v>FAP-MF-143-U</v>
          </cell>
        </row>
        <row r="122">
          <cell r="A122" t="str">
            <v>FAP-MF-144-U</v>
          </cell>
        </row>
        <row r="123">
          <cell r="A123" t="str">
            <v>FAP-MF-145-U</v>
          </cell>
        </row>
        <row r="124">
          <cell r="A124" t="str">
            <v>FAP-MF-146-U</v>
          </cell>
        </row>
        <row r="125">
          <cell r="A125" t="str">
            <v>FAP-MF-147-U</v>
          </cell>
        </row>
        <row r="126">
          <cell r="A126" t="str">
            <v>FAP-MF-148-U</v>
          </cell>
        </row>
        <row r="127">
          <cell r="A127" t="str">
            <v>FAP-MF-149-U</v>
          </cell>
        </row>
        <row r="128">
          <cell r="A128" t="str">
            <v>FAP-MF-153-U</v>
          </cell>
        </row>
        <row r="129">
          <cell r="A129" t="str">
            <v>FAP-MF-155-U</v>
          </cell>
        </row>
        <row r="130">
          <cell r="A130" t="str">
            <v>FAP-MF-158-U</v>
          </cell>
        </row>
        <row r="131">
          <cell r="A131" t="str">
            <v>FAP-MF-160-U</v>
          </cell>
        </row>
        <row r="132">
          <cell r="A132" t="str">
            <v>FAP-MF-161-U</v>
          </cell>
        </row>
        <row r="133">
          <cell r="A133" t="str">
            <v>FAP-MF-162-U</v>
          </cell>
        </row>
        <row r="134">
          <cell r="A134" t="str">
            <v>FAP-MF-166-U</v>
          </cell>
        </row>
        <row r="135">
          <cell r="A135" t="str">
            <v>FAP-MF-167-1-U</v>
          </cell>
        </row>
        <row r="136">
          <cell r="A136" t="str">
            <v>FAP-MF-167-2-U</v>
          </cell>
        </row>
        <row r="137">
          <cell r="A137" t="str">
            <v>FAP-MF-168-U</v>
          </cell>
        </row>
        <row r="138">
          <cell r="A138" t="str">
            <v>FAP-MF-169-U</v>
          </cell>
        </row>
        <row r="139">
          <cell r="A139" t="str">
            <v>FAP-MF-171-U</v>
          </cell>
        </row>
        <row r="140">
          <cell r="A140" t="str">
            <v>FAP-MF-172-U</v>
          </cell>
        </row>
        <row r="141">
          <cell r="A141" t="str">
            <v>FAP-MF-175-U</v>
          </cell>
        </row>
        <row r="142">
          <cell r="A142" t="str">
            <v>FAP-MF-176-U</v>
          </cell>
        </row>
        <row r="143">
          <cell r="A143" t="str">
            <v>FAP-MF-179-U</v>
          </cell>
        </row>
        <row r="144">
          <cell r="A144" t="str">
            <v>FAP-MF-184-U</v>
          </cell>
        </row>
        <row r="145">
          <cell r="A145" t="str">
            <v>FAP-MF-185-U</v>
          </cell>
        </row>
        <row r="146">
          <cell r="A146" t="str">
            <v>FAP-MF-189-U</v>
          </cell>
        </row>
        <row r="147">
          <cell r="A147" t="str">
            <v>FAP-MF-191-U</v>
          </cell>
        </row>
        <row r="148">
          <cell r="A148" t="str">
            <v>FAP-MF-194-U</v>
          </cell>
        </row>
        <row r="149">
          <cell r="A149" t="str">
            <v>FAP-MF-195-U</v>
          </cell>
        </row>
        <row r="150">
          <cell r="A150" t="str">
            <v>FAP-MF-197-U</v>
          </cell>
        </row>
        <row r="151">
          <cell r="A151" t="str">
            <v>FAP-MF-201-U</v>
          </cell>
        </row>
        <row r="152">
          <cell r="A152" t="str">
            <v>FAP-MF-204-U</v>
          </cell>
        </row>
        <row r="153">
          <cell r="A153" t="str">
            <v>FAP-MF-210-U</v>
          </cell>
        </row>
        <row r="154">
          <cell r="A154" t="str">
            <v>FAP-MF-214-U</v>
          </cell>
        </row>
        <row r="155">
          <cell r="A155" t="str">
            <v>FAP-MF-218-U</v>
          </cell>
        </row>
        <row r="156">
          <cell r="A156" t="str">
            <v>FAP-MF-219-U</v>
          </cell>
        </row>
        <row r="157">
          <cell r="A157" t="str">
            <v>FAP-MF-223-U</v>
          </cell>
        </row>
        <row r="158">
          <cell r="A158" t="str">
            <v>FAP-Z-004</v>
          </cell>
        </row>
        <row r="159">
          <cell r="A159" t="str">
            <v>FAP-Z-008</v>
          </cell>
        </row>
        <row r="160">
          <cell r="A160" t="str">
            <v>FAP-Z-012</v>
          </cell>
        </row>
        <row r="161">
          <cell r="A161" t="str">
            <v>FAP-Z-018</v>
          </cell>
        </row>
        <row r="162">
          <cell r="A162" t="str">
            <v>FAP-Z-019</v>
          </cell>
        </row>
        <row r="163">
          <cell r="A163" t="str">
            <v>FAP-Z-023</v>
          </cell>
        </row>
        <row r="164">
          <cell r="A164" t="str">
            <v>FAP-Z-025</v>
          </cell>
        </row>
        <row r="165">
          <cell r="A165" t="str">
            <v>FAP-Z-027</v>
          </cell>
        </row>
        <row r="166">
          <cell r="A166" t="str">
            <v>FAP-Z-028</v>
          </cell>
        </row>
        <row r="167">
          <cell r="A167" t="str">
            <v>FAP-Z-029</v>
          </cell>
        </row>
        <row r="168">
          <cell r="A168" t="str">
            <v>FAP-Z-030</v>
          </cell>
        </row>
        <row r="169">
          <cell r="A169" t="str">
            <v>FAP-Z-032</v>
          </cell>
        </row>
        <row r="170">
          <cell r="A170" t="str">
            <v>FAP-Z-034</v>
          </cell>
        </row>
        <row r="171">
          <cell r="A171" t="str">
            <v>FAP-Z-035</v>
          </cell>
        </row>
        <row r="172">
          <cell r="A172" t="str">
            <v>FAP-Z-039</v>
          </cell>
        </row>
        <row r="173">
          <cell r="A173" t="str">
            <v>FAP-Z-042</v>
          </cell>
        </row>
        <row r="174">
          <cell r="A174" t="str">
            <v>FAP-Z-044</v>
          </cell>
        </row>
        <row r="175">
          <cell r="A175" t="str">
            <v>FAP-Z-045</v>
          </cell>
        </row>
        <row r="176">
          <cell r="A176" t="str">
            <v>FAP-Z-048</v>
          </cell>
        </row>
        <row r="177">
          <cell r="A177" t="str">
            <v>FAP-Z-050</v>
          </cell>
        </row>
        <row r="178">
          <cell r="A178" t="str">
            <v>FAP-Z-057</v>
          </cell>
        </row>
        <row r="179">
          <cell r="A179" t="str">
            <v>FAP-Z-067</v>
          </cell>
        </row>
        <row r="180">
          <cell r="A180" t="str">
            <v>FAP-Z-068</v>
          </cell>
        </row>
        <row r="181">
          <cell r="A181" t="str">
            <v>FAP-Z-069</v>
          </cell>
        </row>
        <row r="182">
          <cell r="A182" t="str">
            <v>FAP-Z-075</v>
          </cell>
        </row>
        <row r="183">
          <cell r="A183" t="str">
            <v>FAP-Z-084</v>
          </cell>
        </row>
        <row r="184">
          <cell r="A184" t="str">
            <v>FAP-Z-086</v>
          </cell>
        </row>
        <row r="185">
          <cell r="A185" t="str">
            <v>FAP-Z-088</v>
          </cell>
        </row>
        <row r="186">
          <cell r="A186" t="str">
            <v>FAP-Z-094</v>
          </cell>
        </row>
        <row r="187">
          <cell r="A187" t="str">
            <v>FAP-Z-096</v>
          </cell>
        </row>
        <row r="188">
          <cell r="A188" t="str">
            <v>FAP-Z-103</v>
          </cell>
        </row>
        <row r="189">
          <cell r="A189" t="str">
            <v>FAP-Z-105</v>
          </cell>
        </row>
        <row r="190">
          <cell r="A190" t="str">
            <v>FAP-Z-108</v>
          </cell>
        </row>
        <row r="191">
          <cell r="A191" t="str">
            <v>FAP-Z-111</v>
          </cell>
        </row>
        <row r="192">
          <cell r="A192" t="str">
            <v>FAP-Z-112</v>
          </cell>
        </row>
        <row r="193">
          <cell r="A193" t="str">
            <v>FAP-Z-114</v>
          </cell>
        </row>
        <row r="194">
          <cell r="A194" t="str">
            <v>FAP-Z-122</v>
          </cell>
        </row>
        <row r="195">
          <cell r="A195" t="str">
            <v>FAP-Z-124</v>
          </cell>
        </row>
        <row r="196">
          <cell r="A196" t="str">
            <v>FAP-Z-128</v>
          </cell>
        </row>
        <row r="197">
          <cell r="A197" t="str">
            <v>FAP-Z-131-U</v>
          </cell>
        </row>
        <row r="198">
          <cell r="A198" t="str">
            <v>FAP-Z-132</v>
          </cell>
        </row>
        <row r="199">
          <cell r="A199" t="str">
            <v>FAP-Z-137</v>
          </cell>
        </row>
        <row r="200">
          <cell r="A200" t="str">
            <v>FAP-Z-138</v>
          </cell>
        </row>
        <row r="201">
          <cell r="A201" t="str">
            <v>FAP-Z-141</v>
          </cell>
        </row>
        <row r="202">
          <cell r="A202" t="str">
            <v>FAP-Z-150</v>
          </cell>
        </row>
        <row r="203">
          <cell r="A203" t="str">
            <v>FAP-Z-151</v>
          </cell>
        </row>
        <row r="204">
          <cell r="A204" t="str">
            <v>FAP-Z-152</v>
          </cell>
        </row>
        <row r="205">
          <cell r="A205" t="str">
            <v>FAP-Z-157</v>
          </cell>
        </row>
        <row r="206">
          <cell r="A206" t="str">
            <v>FAP-Z-159</v>
          </cell>
        </row>
        <row r="207">
          <cell r="A207" t="str">
            <v>FAP-Z-165</v>
          </cell>
        </row>
        <row r="208">
          <cell r="A208" t="str">
            <v>FAP-Z-173</v>
          </cell>
        </row>
        <row r="209">
          <cell r="A209" t="str">
            <v>FAP-Z-177</v>
          </cell>
        </row>
        <row r="210">
          <cell r="A210" t="str">
            <v>FAP-Z-178</v>
          </cell>
        </row>
        <row r="211">
          <cell r="A211" t="str">
            <v>FAP-Z-181</v>
          </cell>
        </row>
        <row r="212">
          <cell r="A212" t="str">
            <v>FAP-Z-182</v>
          </cell>
        </row>
        <row r="213">
          <cell r="A213" t="str">
            <v>FAP-Z-186</v>
          </cell>
        </row>
        <row r="214">
          <cell r="A214" t="str">
            <v>FAP-Z-187</v>
          </cell>
        </row>
        <row r="215">
          <cell r="A215" t="str">
            <v>FAP-Z-188</v>
          </cell>
        </row>
        <row r="216">
          <cell r="A216" t="str">
            <v>FAP-Z-190</v>
          </cell>
        </row>
        <row r="217">
          <cell r="A217" t="str">
            <v>FAP-Z-193</v>
          </cell>
        </row>
        <row r="218">
          <cell r="A218" t="str">
            <v>FAP-Z-196</v>
          </cell>
        </row>
        <row r="219">
          <cell r="A219" t="str">
            <v>FAP-Z-198</v>
          </cell>
        </row>
        <row r="220">
          <cell r="A220" t="str">
            <v>FAP-Z-199</v>
          </cell>
        </row>
        <row r="221">
          <cell r="A221" t="str">
            <v>FAP-Z-200</v>
          </cell>
        </row>
        <row r="222">
          <cell r="A222" t="str">
            <v>FAP-Z-203</v>
          </cell>
        </row>
        <row r="223">
          <cell r="A223" t="str">
            <v>FAP-Z-205</v>
          </cell>
        </row>
        <row r="224">
          <cell r="A224" t="str">
            <v>FAP-Z-207</v>
          </cell>
        </row>
        <row r="225">
          <cell r="A225" t="str">
            <v>FAP-Z-209</v>
          </cell>
        </row>
        <row r="226">
          <cell r="A226" t="str">
            <v>FAP-Z-211</v>
          </cell>
        </row>
        <row r="227">
          <cell r="A227" t="str">
            <v>FAP-Z-212</v>
          </cell>
        </row>
        <row r="228">
          <cell r="A228" t="str">
            <v>FAP-Z-213</v>
          </cell>
        </row>
        <row r="229">
          <cell r="A229" t="str">
            <v>FAP-Z-215</v>
          </cell>
        </row>
        <row r="230">
          <cell r="A230" t="str">
            <v>FAP-Z-216</v>
          </cell>
        </row>
        <row r="231">
          <cell r="A231" t="str">
            <v>FAP-Z-217</v>
          </cell>
        </row>
        <row r="232">
          <cell r="A232" t="str">
            <v>FAP-Z-220</v>
          </cell>
        </row>
        <row r="233">
          <cell r="A233" t="str">
            <v>FAP-Z-222</v>
          </cell>
        </row>
        <row r="234">
          <cell r="A234" t="str">
            <v>Nicht gelistet</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Basisdaten"/>
      <sheetName val="Studien"/>
      <sheetName val="HilfstabelleStudien"/>
      <sheetName val="HilfstabelleB"/>
      <sheetName val="HilfstabelleSD"/>
      <sheetName val="Datenquelle"/>
      <sheetName val="Operateure"/>
      <sheetName val="Kennzahlenbogen_(KB)"/>
      <sheetName val="HilfstabelleKB"/>
      <sheetName val="Berechnung1"/>
      <sheetName val="Datendefizite_KB"/>
      <sheetName val="Hilfstabelle Datendef KB"/>
      <sheetName val="Matrix"/>
      <sheetName val="Berechnung2"/>
      <sheetName val="HilfstabelleM"/>
      <sheetName val="Berechnung3"/>
      <sheetName val="HilfstabelleDM"/>
      <sheetName val="Datendefizite_Matrix"/>
    </sheetNames>
    <sheetDataSet>
      <sheetData sheetId="0" refreshError="1"/>
      <sheetData sheetId="1" refreshError="1"/>
      <sheetData sheetId="2" refreshError="1"/>
      <sheetData sheetId="3" refreshError="1"/>
      <sheetData sheetId="4" refreshError="1"/>
      <sheetData sheetId="5">
        <row r="2">
          <cell r="B2" t="str">
            <v>Eigenentwicklung (MS Excel, MS Access etc.)</v>
          </cell>
        </row>
        <row r="3">
          <cell r="B3" t="str">
            <v>c37.CancerCenter</v>
          </cell>
        </row>
        <row r="4">
          <cell r="B4" t="str">
            <v>Clinical Information Catalogue (CIC) (Eigenentwicklung)</v>
          </cell>
        </row>
        <row r="5">
          <cell r="B5" t="str">
            <v>CREDOS</v>
          </cell>
        </row>
        <row r="6">
          <cell r="B6" t="str">
            <v>GTDS</v>
          </cell>
        </row>
        <row r="7">
          <cell r="B7" t="str">
            <v>KIS-Erweiterung</v>
          </cell>
        </row>
        <row r="8">
          <cell r="B8" t="str">
            <v>KRAZTUR</v>
          </cell>
        </row>
        <row r="9">
          <cell r="B9" t="str">
            <v>Martini-Data</v>
          </cell>
        </row>
        <row r="10">
          <cell r="B10" t="str">
            <v>ODSeasy / ODSeasyNet</v>
          </cell>
        </row>
        <row r="11">
          <cell r="B11" t="str">
            <v>OncoAssist Tumordokumentation</v>
          </cell>
        </row>
        <row r="12">
          <cell r="B12" t="str">
            <v>Oncodossier (Eigenentwicklung auf Basis ORBIS)</v>
          </cell>
        </row>
        <row r="13">
          <cell r="B13" t="str">
            <v>ONDIS</v>
          </cell>
        </row>
        <row r="14">
          <cell r="B14" t="str">
            <v>ONKOSTAR</v>
          </cell>
        </row>
        <row r="15">
          <cell r="B15" t="str">
            <v>ORBIS-ODOK</v>
          </cell>
        </row>
        <row r="16">
          <cell r="B16" t="str">
            <v>ProDos</v>
          </cell>
        </row>
        <row r="17">
          <cell r="B17" t="str">
            <v>TD System KEM (Eigenentwicklung)</v>
          </cell>
        </row>
        <row r="18">
          <cell r="B18" t="str">
            <v>Tudok (Tumorzentrum Regensburg)</v>
          </cell>
        </row>
        <row r="19">
          <cell r="B19" t="str">
            <v>Tumordokumentation des Instituts für Krebsepidemiologie</v>
          </cell>
        </row>
        <row r="20">
          <cell r="B20" t="str">
            <v>UCC-TDS (Tumorzentrum Dresden)</v>
          </cell>
        </row>
        <row r="21">
          <cell r="B21" t="str">
            <v>UroCloud</v>
          </cell>
        </row>
        <row r="22">
          <cell r="B22" t="str">
            <v>Nicht gelistet</v>
          </cell>
        </row>
        <row r="23">
          <cell r="B23" t="str">
            <v>Unbekannt</v>
          </cell>
        </row>
        <row r="27">
          <cell r="A27" t="str">
            <v>Baden-Württemberg</v>
          </cell>
          <cell r="B27" t="str">
            <v>Bayern</v>
          </cell>
          <cell r="C27" t="str">
            <v>Berlin</v>
          </cell>
          <cell r="D27" t="str">
            <v>Brandenburg</v>
          </cell>
          <cell r="E27" t="str">
            <v>Bremen</v>
          </cell>
          <cell r="F27" t="str">
            <v>Hamburg</v>
          </cell>
          <cell r="G27" t="str">
            <v>Hessen</v>
          </cell>
          <cell r="H27" t="str">
            <v>Mecklenburg-Vorpommern</v>
          </cell>
          <cell r="I27" t="str">
            <v>Niedersachsen</v>
          </cell>
          <cell r="J27" t="str">
            <v>Nordrhein-Westfalen</v>
          </cell>
          <cell r="K27" t="str">
            <v>Rheinland-Pfalz</v>
          </cell>
          <cell r="L27" t="str">
            <v>Saarland</v>
          </cell>
          <cell r="M27" t="str">
            <v>Sachsen</v>
          </cell>
          <cell r="N27" t="str">
            <v>Sachsen-Anhalt</v>
          </cell>
          <cell r="O27" t="str">
            <v>Schleswig-Holstein</v>
          </cell>
          <cell r="P27" t="str">
            <v>Thüringen</v>
          </cell>
          <cell r="Q27" t="str">
            <v>Schweiz</v>
          </cell>
          <cell r="R27" t="str">
            <v>Österreich</v>
          </cell>
          <cell r="S27" t="str">
            <v>Italien</v>
          </cell>
        </row>
        <row r="28">
          <cell r="A28" t="str">
            <v>Comprehensive Cancer Center Freiburg</v>
          </cell>
          <cell r="B28" t="str">
            <v>Bevölkerungsbezogenes Krebsregister Bayern</v>
          </cell>
          <cell r="C28" t="str">
            <v>Charité Comprehensive Cancer Center</v>
          </cell>
          <cell r="D28" t="str">
            <v>Gemeinsames Krebsregister Berlin-Brandenburg</v>
          </cell>
          <cell r="E28" t="str">
            <v>Krebsregister des Landes Bremen</v>
          </cell>
          <cell r="F28" t="str">
            <v>Hamburgisches Krebsregister</v>
          </cell>
          <cell r="G28" t="str">
            <v>Hessisches Krebsregister</v>
          </cell>
          <cell r="H28" t="str">
            <v>Tumorzentrum Neubrandenburg</v>
          </cell>
          <cell r="I28" t="str">
            <v>Epidemiologisches Krebsregister Niedersachsen</v>
          </cell>
          <cell r="J28" t="str">
            <v>Westdeutsches Tumorzentrum Essen</v>
          </cell>
          <cell r="K28" t="str">
            <v>Krebsregister Rheinland-Pfalz</v>
          </cell>
          <cell r="L28" t="str">
            <v>Epidemiologisches Krebsregister Saarland</v>
          </cell>
          <cell r="M28" t="str">
            <v>Tumorzentrum Chemnitz</v>
          </cell>
          <cell r="N28" t="str">
            <v>Tumorzentrum Anhalt</v>
          </cell>
          <cell r="O28" t="str">
            <v>klinisches Krebsregister Schleswig Holstein/Lübeck</v>
          </cell>
          <cell r="P28" t="str">
            <v>Tumorzentrum Altenburg</v>
          </cell>
          <cell r="Q28" t="str">
            <v>Krebsregister Schweiz</v>
          </cell>
          <cell r="R28" t="str">
            <v>Krebsregister Österreich</v>
          </cell>
          <cell r="S28" t="str">
            <v>Krebsregister Italien</v>
          </cell>
        </row>
        <row r="29">
          <cell r="A29" t="str">
            <v>Comprehensive Cancer Center Tübingen</v>
          </cell>
          <cell r="B29" t="str">
            <v>Tumorzentrum Augsburg</v>
          </cell>
          <cell r="C29" t="str">
            <v>Gemeinsames Krebsregister Berlin-Brandenburg</v>
          </cell>
          <cell r="D29" t="str">
            <v>Tumorzentrum Land Brandenburg</v>
          </cell>
          <cell r="E29" t="str">
            <v>Keine Anbindung an Klinisches Krebsregister</v>
          </cell>
          <cell r="F29" t="str">
            <v>Keine Anbindung an Klinisches Krebsregister</v>
          </cell>
          <cell r="G29" t="str">
            <v>Krebsregister Hessen</v>
          </cell>
          <cell r="H29" t="str">
            <v>Tumorzentrum Rostock</v>
          </cell>
          <cell r="I29" t="str">
            <v>Kassenärztliche Vereinigung Niedersachsen</v>
          </cell>
          <cell r="J29" t="str">
            <v>Comprehensive Cancer Center Münster</v>
          </cell>
          <cell r="K29" t="str">
            <v>Tumorzentrum Koblenz</v>
          </cell>
          <cell r="L29" t="str">
            <v>Tumorzentrum Homburg</v>
          </cell>
          <cell r="M29" t="str">
            <v>Tumorzentrum Dresden</v>
          </cell>
          <cell r="N29" t="str">
            <v>Tumorzentrum Halle</v>
          </cell>
          <cell r="O29" t="str">
            <v>Krebsregister Schleswig-Holstein</v>
          </cell>
          <cell r="P29" t="str">
            <v>Tumorzentrum Erfurt</v>
          </cell>
          <cell r="Q29" t="str">
            <v>Nicht gelistet</v>
          </cell>
          <cell r="R29" t="str">
            <v>Nicht gelistet</v>
          </cell>
          <cell r="S29" t="str">
            <v>Nicht gelistet</v>
          </cell>
        </row>
        <row r="30">
          <cell r="A30" t="str">
            <v>Comprehensive Cancer Center Ulm</v>
          </cell>
          <cell r="B30" t="str">
            <v>Tumorzentrum Erlangen-Nürnberg</v>
          </cell>
          <cell r="C30" t="str">
            <v>Tumorzentrum Berlin-Buch</v>
          </cell>
          <cell r="D30" t="str">
            <v>GKR (Gemeinsames Krebsregister der Länder)</v>
          </cell>
          <cell r="E30" t="str">
            <v>Nicht gelistet</v>
          </cell>
          <cell r="F30" t="str">
            <v>Nicht gelistet</v>
          </cell>
          <cell r="G30" t="str">
            <v>Onkologischer Schwerpunkt Wiesbaden</v>
          </cell>
          <cell r="H30" t="str">
            <v>Tumorzentrum Schwerin</v>
          </cell>
          <cell r="I30" t="str">
            <v>Krebsregister Niedersachsen</v>
          </cell>
          <cell r="J30" t="str">
            <v xml:space="preserve">Epidemiologisches Krebsregister Münster </v>
          </cell>
          <cell r="K30" t="str">
            <v>Tumorzentrum Rheinland-Pfalz</v>
          </cell>
          <cell r="L30" t="str">
            <v>Keine Anbindung an Klinisches Krebsregister</v>
          </cell>
          <cell r="M30" t="str">
            <v>Tumorzentrum Leipzig</v>
          </cell>
          <cell r="N30" t="str">
            <v>Tumorzentrum Magdeburg</v>
          </cell>
          <cell r="O30" t="str">
            <v>Tumorzentrum Kiel</v>
          </cell>
          <cell r="P30" t="str">
            <v>Tumorzentrum Gera</v>
          </cell>
        </row>
        <row r="31">
          <cell r="A31" t="str">
            <v>Epidemiologisches Krebsregister Baden-Württemberg</v>
          </cell>
          <cell r="B31" t="str">
            <v>Tumorzentrum München</v>
          </cell>
          <cell r="C31" t="str">
            <v>Tumorzentrum für Klinik &amp; Praxis in Berlin</v>
          </cell>
          <cell r="D31" t="str">
            <v>Keine Anbindung an Klinisches Krebsregister</v>
          </cell>
          <cell r="E31" t="str">
            <v>Unbekannt</v>
          </cell>
          <cell r="F31" t="str">
            <v>Unbekannt</v>
          </cell>
          <cell r="G31" t="str">
            <v>Tumorzentrum Kassel</v>
          </cell>
          <cell r="H31" t="str">
            <v>Tumorzentrum Vorpommern</v>
          </cell>
          <cell r="I31" t="str">
            <v>Tumorzentrum Göttingen</v>
          </cell>
          <cell r="J31" t="str">
            <v>Epidemiologisches Krebsregister NRW</v>
          </cell>
          <cell r="K31" t="str">
            <v>Keine Anbindung an Klinisches Krebsregister</v>
          </cell>
          <cell r="L31" t="str">
            <v>Nicht gelistet</v>
          </cell>
          <cell r="M31" t="str">
            <v>Tumorzentrum Ostsachsen</v>
          </cell>
          <cell r="N31" t="str">
            <v>GKR (Gemeinsames Krebsregister der Länder)</v>
          </cell>
          <cell r="O31" t="str">
            <v>Keine Anbindung an Klinisches Krebsregister</v>
          </cell>
          <cell r="P31" t="str">
            <v>Tumorzentrum Jena</v>
          </cell>
        </row>
        <row r="32">
          <cell r="A32" t="str">
            <v>Krebsregister Baden-Württemberg</v>
          </cell>
          <cell r="B32" t="str">
            <v>Tumorzentrum Oberfranken</v>
          </cell>
          <cell r="C32" t="str">
            <v>Tumorzentrum Spandau</v>
          </cell>
          <cell r="D32" t="str">
            <v>Nicht gelistet</v>
          </cell>
          <cell r="G32" t="str">
            <v>Tumorzentrum Marburg</v>
          </cell>
          <cell r="H32" t="str">
            <v>GKR (Gemeinsames Krebsregister der Länder)</v>
          </cell>
          <cell r="I32" t="str">
            <v>Tumorzentrum Hannover</v>
          </cell>
          <cell r="J32" t="str">
            <v>Krebsregister NRW</v>
          </cell>
          <cell r="K32" t="str">
            <v>Nicht gelistet</v>
          </cell>
          <cell r="L32" t="str">
            <v>Unbekannt</v>
          </cell>
          <cell r="M32" t="str">
            <v>Tumorzentrum Zwickau</v>
          </cell>
          <cell r="N32" t="str">
            <v>Keine Anbindung an Klinisches Krebsregister</v>
          </cell>
          <cell r="O32" t="str">
            <v>Nicht gelistet</v>
          </cell>
          <cell r="P32" t="str">
            <v>Tumorzentrum Suhl</v>
          </cell>
        </row>
        <row r="33">
          <cell r="A33" t="str">
            <v>NCT Heidelberg</v>
          </cell>
          <cell r="B33" t="str">
            <v>Tumorzentrum Regensburg</v>
          </cell>
          <cell r="C33" t="str">
            <v>Tumorzentrum Vivantes</v>
          </cell>
          <cell r="D33" t="str">
            <v>Unbekannt</v>
          </cell>
          <cell r="G33" t="str">
            <v>Keine Anbindung an Klinisches Krebsregister</v>
          </cell>
          <cell r="H33" t="str">
            <v>Keine Anbindung an Klinisches Krebsregister</v>
          </cell>
          <cell r="I33" t="str">
            <v>Tumorzentrum Weser-Ems</v>
          </cell>
          <cell r="J33" t="str">
            <v>Onkologischer Schwerpunkt Hamm</v>
          </cell>
          <cell r="K33" t="str">
            <v>Unbekannt</v>
          </cell>
          <cell r="M33" t="str">
            <v>GKR (Gemeinsames Krebsregister der Länder)</v>
          </cell>
          <cell r="N33" t="str">
            <v>Nicht gelistet</v>
          </cell>
          <cell r="O33" t="str">
            <v>Unbekannt</v>
          </cell>
          <cell r="P33" t="str">
            <v>Tumorzentrum Südharz</v>
          </cell>
        </row>
        <row r="34">
          <cell r="A34" t="str">
            <v>Onkol. Schwerpunkt Lörrach-Rheinfelden</v>
          </cell>
          <cell r="B34" t="str">
            <v>Tumorzentrum Würzburg</v>
          </cell>
          <cell r="C34" t="str">
            <v>GKR (Gemeinsames Krebsregister der Länder)</v>
          </cell>
          <cell r="G34" t="str">
            <v>Nicht gelistet</v>
          </cell>
          <cell r="H34" t="str">
            <v>Nicht gelistet</v>
          </cell>
          <cell r="I34" t="str">
            <v>Keine Anbindung an Klinisches Krebsregister</v>
          </cell>
          <cell r="J34" t="str">
            <v>Keine Anbindung an Klinisches Krebsregister</v>
          </cell>
          <cell r="M34" t="str">
            <v>Keine Anbindung an Klinisches Krebsregister</v>
          </cell>
          <cell r="N34" t="str">
            <v>Unbekannt</v>
          </cell>
          <cell r="P34" t="str">
            <v>GKR (Gemeinsames Krebsregister der Länder)</v>
          </cell>
        </row>
        <row r="35">
          <cell r="A35" t="str">
            <v>Onkol. Schwerpunkt Ludwigsburg-Bietigheim</v>
          </cell>
          <cell r="B35" t="str">
            <v>Keine Anbindung an Klinisches Krebsregister</v>
          </cell>
          <cell r="C35" t="str">
            <v>Keine Anbindung an Klinisches Krebsregister</v>
          </cell>
          <cell r="G35" t="str">
            <v>Unbekannt</v>
          </cell>
          <cell r="H35" t="str">
            <v>Unbekannt</v>
          </cell>
          <cell r="I35" t="str">
            <v>Nicht gelistet</v>
          </cell>
          <cell r="J35" t="str">
            <v>Nicht gelistet</v>
          </cell>
          <cell r="M35" t="str">
            <v>Nicht gelistet</v>
          </cell>
          <cell r="P35" t="str">
            <v>Keine Anbindung an Klinisches Krebsregister</v>
          </cell>
        </row>
        <row r="36">
          <cell r="A36" t="str">
            <v>Onkol. Schwerpunkt Villingen-Schwenningen</v>
          </cell>
          <cell r="B36" t="str">
            <v>Nicht gelistet</v>
          </cell>
          <cell r="C36" t="str">
            <v>Nicht gelistet</v>
          </cell>
          <cell r="I36" t="str">
            <v>Unbekannt</v>
          </cell>
          <cell r="J36" t="str">
            <v>Unbekannt</v>
          </cell>
          <cell r="M36" t="str">
            <v>Unbekannt</v>
          </cell>
          <cell r="P36" t="str">
            <v>Nicht gelistet</v>
          </cell>
        </row>
        <row r="37">
          <cell r="A37" t="str">
            <v>Onkologischer Schwerpunkt Göppingen</v>
          </cell>
          <cell r="B37" t="str">
            <v>Unbekannt</v>
          </cell>
          <cell r="C37" t="str">
            <v>Unbekannt</v>
          </cell>
          <cell r="P37" t="str">
            <v>Unbekannt</v>
          </cell>
        </row>
        <row r="38">
          <cell r="A38" t="str">
            <v>Onkologischer Schwerpunkt Heilbronn</v>
          </cell>
        </row>
        <row r="39">
          <cell r="A39" t="str">
            <v>Onkologischer Schwerpunkt Karlsruhe</v>
          </cell>
        </row>
        <row r="40">
          <cell r="A40" t="str">
            <v>Onkologischer Schwerpunkt Konstanz-Singen</v>
          </cell>
        </row>
        <row r="41">
          <cell r="A41" t="str">
            <v>Onkologischer Schwerpunkt Oberschwaben</v>
          </cell>
        </row>
        <row r="42">
          <cell r="A42" t="str">
            <v>Onkologischer Schwerpunkt Ortenaukreis</v>
          </cell>
        </row>
        <row r="43">
          <cell r="A43" t="str">
            <v>Onkologischer Schwerpunkt Ostwürttemberg</v>
          </cell>
        </row>
        <row r="44">
          <cell r="A44" t="str">
            <v>Onkologischer Schwerpunkt Reutlingen</v>
          </cell>
        </row>
        <row r="45">
          <cell r="A45" t="str">
            <v>Onkologischer Schwerpunkt Stuttgart</v>
          </cell>
        </row>
        <row r="46">
          <cell r="A46" t="str">
            <v>Keine Anbindung an Klinisches Krebsregister</v>
          </cell>
        </row>
        <row r="47">
          <cell r="A47" t="str">
            <v>Nicht gelistet</v>
          </cell>
        </row>
        <row r="48">
          <cell r="A48" t="str">
            <v>Unbekannt</v>
          </cell>
        </row>
        <row r="68">
          <cell r="F68" t="str">
            <v/>
          </cell>
        </row>
        <row r="71">
          <cell r="A71" t="str">
            <v>FAP-Z-002-U</v>
          </cell>
        </row>
        <row r="72">
          <cell r="A72" t="str">
            <v>FAP-Z-004</v>
          </cell>
        </row>
        <row r="73">
          <cell r="A73" t="str">
            <v>FAP-Z-005-U</v>
          </cell>
        </row>
        <row r="74">
          <cell r="A74" t="str">
            <v>FAP-Z-007-U</v>
          </cell>
        </row>
        <row r="75">
          <cell r="A75" t="str">
            <v>FAP-Z-008</v>
          </cell>
        </row>
        <row r="76">
          <cell r="A76" t="str">
            <v>FAP-Z-009-U</v>
          </cell>
        </row>
        <row r="77">
          <cell r="A77" t="str">
            <v>FAP-Z-010-U</v>
          </cell>
        </row>
        <row r="78">
          <cell r="A78" t="str">
            <v>FAP-Z-011-U</v>
          </cell>
        </row>
        <row r="79">
          <cell r="A79" t="str">
            <v>FAP-Z-012</v>
          </cell>
        </row>
        <row r="80">
          <cell r="A80" t="str">
            <v>FAP-Z-013-U</v>
          </cell>
        </row>
        <row r="81">
          <cell r="A81" t="str">
            <v>FAP-Z-014</v>
          </cell>
        </row>
        <row r="82">
          <cell r="A82" t="str">
            <v>FAP-Z-015-U</v>
          </cell>
        </row>
        <row r="83">
          <cell r="A83" t="str">
            <v>FAP-Z-017-1-U</v>
          </cell>
        </row>
        <row r="84">
          <cell r="A84" t="str">
            <v>FAP-Z-017-2-U</v>
          </cell>
        </row>
        <row r="85">
          <cell r="A85" t="str">
            <v>FAP-Z-018</v>
          </cell>
        </row>
        <row r="86">
          <cell r="A86" t="str">
            <v>FAP-Z-019</v>
          </cell>
        </row>
        <row r="87">
          <cell r="A87" t="str">
            <v>FAP-Z-021</v>
          </cell>
        </row>
        <row r="88">
          <cell r="A88" t="str">
            <v>FAP-Z-022-U</v>
          </cell>
        </row>
        <row r="89">
          <cell r="A89" t="str">
            <v>FAP-Z-023-U</v>
          </cell>
        </row>
        <row r="90">
          <cell r="A90" t="str">
            <v>FAP-Z-024-U</v>
          </cell>
        </row>
        <row r="91">
          <cell r="A91" t="str">
            <v>FAP-Z-025</v>
          </cell>
        </row>
        <row r="92">
          <cell r="A92" t="str">
            <v>FAP-Z-026-U</v>
          </cell>
        </row>
        <row r="93">
          <cell r="A93" t="str">
            <v>FAP-Z-027-U</v>
          </cell>
        </row>
        <row r="94">
          <cell r="A94" t="str">
            <v>FAP-Z-028</v>
          </cell>
        </row>
        <row r="95">
          <cell r="A95" t="str">
            <v>FAP-Z-029</v>
          </cell>
        </row>
        <row r="96">
          <cell r="A96" t="str">
            <v>FAP-Z-030</v>
          </cell>
        </row>
        <row r="97">
          <cell r="A97" t="str">
            <v>FAP-Z-031-U</v>
          </cell>
        </row>
        <row r="98">
          <cell r="A98" t="str">
            <v>FAP-Z-032</v>
          </cell>
        </row>
        <row r="99">
          <cell r="A99" t="str">
            <v>FAP-Z-033-U</v>
          </cell>
        </row>
        <row r="100">
          <cell r="A100" t="str">
            <v>FAP-Z-034</v>
          </cell>
        </row>
        <row r="101">
          <cell r="A101" t="str">
            <v>FAP-Z-035</v>
          </cell>
        </row>
        <row r="102">
          <cell r="A102" t="str">
            <v>FAP-Z-036-U</v>
          </cell>
        </row>
        <row r="103">
          <cell r="A103" t="str">
            <v>FAP-Z-038-U</v>
          </cell>
        </row>
        <row r="104">
          <cell r="A104" t="str">
            <v>FAP-Z-039</v>
          </cell>
        </row>
        <row r="105">
          <cell r="A105" t="str">
            <v>FAP-Z-040-U</v>
          </cell>
        </row>
        <row r="106">
          <cell r="A106" t="str">
            <v>FAP-Z-041-U</v>
          </cell>
        </row>
        <row r="107">
          <cell r="A107" t="str">
            <v>FAP-Z-042</v>
          </cell>
        </row>
        <row r="108">
          <cell r="A108" t="str">
            <v>FAP-Z-043-U</v>
          </cell>
        </row>
        <row r="109">
          <cell r="A109" t="str">
            <v>FAP-Z-044</v>
          </cell>
        </row>
        <row r="110">
          <cell r="A110" t="str">
            <v>FAP-Z-045</v>
          </cell>
        </row>
        <row r="111">
          <cell r="A111" t="str">
            <v>FAP-Z-046-U</v>
          </cell>
        </row>
        <row r="112">
          <cell r="A112" t="str">
            <v>FAP-Z-047-U</v>
          </cell>
        </row>
        <row r="113">
          <cell r="A113" t="str">
            <v>FAP-Z-048</v>
          </cell>
        </row>
        <row r="114">
          <cell r="A114" t="str">
            <v>FAP-Z-049-U</v>
          </cell>
        </row>
        <row r="115">
          <cell r="A115" t="str">
            <v>FAP-Z-050</v>
          </cell>
        </row>
        <row r="116">
          <cell r="A116" t="str">
            <v>FAP-Z-051-U</v>
          </cell>
        </row>
        <row r="117">
          <cell r="A117" t="str">
            <v>FAP-Z-053</v>
          </cell>
        </row>
        <row r="118">
          <cell r="A118" t="str">
            <v>FAP-Z-054-U</v>
          </cell>
        </row>
        <row r="119">
          <cell r="A119" t="str">
            <v>FAP-Z-055-U</v>
          </cell>
        </row>
        <row r="120">
          <cell r="A120" t="str">
            <v>FAP-Z-057</v>
          </cell>
        </row>
        <row r="121">
          <cell r="A121" t="str">
            <v>FAP-Z-061-U</v>
          </cell>
        </row>
        <row r="122">
          <cell r="A122" t="str">
            <v>FAP-Z-062</v>
          </cell>
        </row>
        <row r="123">
          <cell r="A123" t="str">
            <v>FAP-Z-066-U</v>
          </cell>
        </row>
        <row r="124">
          <cell r="A124" t="str">
            <v>FAP-Z-067</v>
          </cell>
        </row>
        <row r="125">
          <cell r="A125" t="str">
            <v>FAP-Z-068</v>
          </cell>
        </row>
        <row r="126">
          <cell r="A126" t="str">
            <v>FAP-Z-069</v>
          </cell>
        </row>
        <row r="127">
          <cell r="A127" t="str">
            <v>FAP-Z-070-U</v>
          </cell>
        </row>
        <row r="128">
          <cell r="A128" t="str">
            <v>FAP-Z-072-U</v>
          </cell>
        </row>
        <row r="129">
          <cell r="A129" t="str">
            <v>FAP-Z-073-U</v>
          </cell>
        </row>
        <row r="130">
          <cell r="A130" t="str">
            <v>FAP-Z-074-U</v>
          </cell>
        </row>
        <row r="131">
          <cell r="A131" t="str">
            <v>FAP-Z-075</v>
          </cell>
        </row>
        <row r="132">
          <cell r="A132" t="str">
            <v>FAP-Z-079-U</v>
          </cell>
        </row>
        <row r="133">
          <cell r="A133" t="str">
            <v>FAP-Z-081</v>
          </cell>
        </row>
        <row r="134">
          <cell r="A134" t="str">
            <v>FAP-Z-082-U</v>
          </cell>
        </row>
        <row r="135">
          <cell r="A135" t="str">
            <v>FAP-Z-083-U</v>
          </cell>
        </row>
        <row r="136">
          <cell r="A136" t="str">
            <v>FAP-Z-084</v>
          </cell>
        </row>
        <row r="137">
          <cell r="A137" t="str">
            <v>FAP-Z-087-U</v>
          </cell>
        </row>
        <row r="138">
          <cell r="A138" t="str">
            <v>FAP-Z-088</v>
          </cell>
        </row>
        <row r="139">
          <cell r="A139" t="str">
            <v>FAP-Z-089</v>
          </cell>
        </row>
        <row r="140">
          <cell r="A140" t="str">
            <v>FAP-Z-090-U</v>
          </cell>
        </row>
        <row r="141">
          <cell r="A141" t="str">
            <v>FAP-Z-091-U</v>
          </cell>
        </row>
        <row r="142">
          <cell r="A142" t="str">
            <v>FAP-Z-092</v>
          </cell>
        </row>
        <row r="143">
          <cell r="A143" t="str">
            <v>FAP-Z-093-U</v>
          </cell>
        </row>
        <row r="144">
          <cell r="A144" t="str">
            <v>FAP-Z-094</v>
          </cell>
        </row>
        <row r="145">
          <cell r="A145" t="str">
            <v>FAP-Z-095-U</v>
          </cell>
        </row>
        <row r="146">
          <cell r="A146" t="str">
            <v>FAP-Z-096</v>
          </cell>
        </row>
        <row r="147">
          <cell r="A147" t="str">
            <v>FAP-Z-097-U</v>
          </cell>
        </row>
        <row r="148">
          <cell r="A148" t="str">
            <v>FAP-Z-100</v>
          </cell>
        </row>
        <row r="149">
          <cell r="A149" t="str">
            <v>FAP-Z-101-U</v>
          </cell>
        </row>
        <row r="150">
          <cell r="A150" t="str">
            <v>FAP-Z-102-U</v>
          </cell>
        </row>
        <row r="151">
          <cell r="A151" t="str">
            <v>FAP-Z-103</v>
          </cell>
        </row>
        <row r="152">
          <cell r="A152" t="str">
            <v>FAP-Z-104</v>
          </cell>
        </row>
        <row r="153">
          <cell r="A153" t="str">
            <v>FAP-Z-105</v>
          </cell>
        </row>
        <row r="154">
          <cell r="A154" t="str">
            <v>FAP-Z-106-U</v>
          </cell>
        </row>
        <row r="155">
          <cell r="A155" t="str">
            <v>FAP-Z-108</v>
          </cell>
        </row>
        <row r="156">
          <cell r="A156" t="str">
            <v>FAP-Z-109</v>
          </cell>
        </row>
        <row r="157">
          <cell r="A157" t="str">
            <v>FAP-Z-110-U</v>
          </cell>
        </row>
        <row r="158">
          <cell r="A158" t="str">
            <v>FAP-Z-111</v>
          </cell>
        </row>
        <row r="159">
          <cell r="A159" t="str">
            <v>FAP-Z-112</v>
          </cell>
        </row>
        <row r="160">
          <cell r="A160" t="str">
            <v>FAP-Z-113-U</v>
          </cell>
        </row>
        <row r="161">
          <cell r="A161" t="str">
            <v>FAP-Z-114</v>
          </cell>
        </row>
        <row r="162">
          <cell r="A162" t="str">
            <v>FAP-Z-116-U</v>
          </cell>
        </row>
        <row r="163">
          <cell r="A163" t="str">
            <v>FAP-Z-117</v>
          </cell>
        </row>
        <row r="164">
          <cell r="A164" t="str">
            <v>FAP-Z-118-U</v>
          </cell>
        </row>
        <row r="165">
          <cell r="A165" t="str">
            <v>FAP-Z-119-U</v>
          </cell>
        </row>
        <row r="166">
          <cell r="A166" t="str">
            <v>FAP-Z-120-U</v>
          </cell>
        </row>
        <row r="167">
          <cell r="A167" t="str">
            <v>FAP-Z-121-U</v>
          </cell>
        </row>
        <row r="168">
          <cell r="A168" t="str">
            <v>FAP-Z-122</v>
          </cell>
        </row>
        <row r="169">
          <cell r="A169" t="str">
            <v>FAP-Z-123-U</v>
          </cell>
        </row>
        <row r="170">
          <cell r="A170" t="str">
            <v>FAP-Z-124</v>
          </cell>
        </row>
        <row r="171">
          <cell r="A171" t="str">
            <v>FAP-Z-125-U</v>
          </cell>
        </row>
        <row r="172">
          <cell r="A172" t="str">
            <v>FAP-Z-126-U</v>
          </cell>
        </row>
        <row r="173">
          <cell r="A173" t="str">
            <v>FAP-Z-127-U</v>
          </cell>
        </row>
        <row r="174">
          <cell r="A174" t="str">
            <v>FAP-Z-128</v>
          </cell>
        </row>
        <row r="175">
          <cell r="A175" t="str">
            <v>FAP-Z-129-U</v>
          </cell>
        </row>
        <row r="176">
          <cell r="A176" t="str">
            <v>FAP-Z-130</v>
          </cell>
        </row>
        <row r="177">
          <cell r="A177" t="str">
            <v>FAP-Z-131</v>
          </cell>
        </row>
        <row r="178">
          <cell r="A178" t="str">
            <v>FAP-Z-132</v>
          </cell>
        </row>
        <row r="179">
          <cell r="A179" t="str">
            <v>FAP-Z-133-U</v>
          </cell>
        </row>
        <row r="180">
          <cell r="A180" t="str">
            <v>FAP-Z-134-U</v>
          </cell>
        </row>
        <row r="181">
          <cell r="A181" t="str">
            <v>FAP-Z-135</v>
          </cell>
        </row>
        <row r="182">
          <cell r="A182" t="str">
            <v>FAP-Z-137</v>
          </cell>
        </row>
        <row r="183">
          <cell r="A183" t="str">
            <v>FAP-Z-138</v>
          </cell>
        </row>
        <row r="184">
          <cell r="A184" t="str">
            <v>FAP-Z-139-U</v>
          </cell>
        </row>
        <row r="185">
          <cell r="A185" t="str">
            <v>FAP-Z-140-U</v>
          </cell>
        </row>
        <row r="186">
          <cell r="A186" t="str">
            <v>FAP-Z-141</v>
          </cell>
        </row>
        <row r="187">
          <cell r="A187" t="str">
            <v>FAP-Z-142-U</v>
          </cell>
        </row>
        <row r="188">
          <cell r="A188" t="str">
            <v>FAP-Z-143-U</v>
          </cell>
        </row>
        <row r="189">
          <cell r="A189" t="str">
            <v>FAP-Z-144</v>
          </cell>
        </row>
        <row r="190">
          <cell r="A190" t="str">
            <v>FAP-Z-145-U</v>
          </cell>
        </row>
        <row r="191">
          <cell r="A191" t="str">
            <v>FAP-Z-146-U</v>
          </cell>
        </row>
        <row r="192">
          <cell r="A192" t="str">
            <v>FAP-Z-147</v>
          </cell>
        </row>
        <row r="193">
          <cell r="A193" t="str">
            <v>FAP-Z-148-U</v>
          </cell>
        </row>
        <row r="194">
          <cell r="A194" t="str">
            <v>FAP-Z-149-U</v>
          </cell>
        </row>
        <row r="195">
          <cell r="A195" t="str">
            <v>FAP-Z-150</v>
          </cell>
        </row>
        <row r="196">
          <cell r="A196" t="str">
            <v>FAP-Z-151</v>
          </cell>
        </row>
        <row r="197">
          <cell r="A197" t="str">
            <v>FAP-Z-152</v>
          </cell>
        </row>
        <row r="198">
          <cell r="A198" t="str">
            <v>FAP-Z-153-U</v>
          </cell>
        </row>
        <row r="199">
          <cell r="A199" t="str">
            <v>FAP-Z-155-U</v>
          </cell>
        </row>
        <row r="200">
          <cell r="A200" t="str">
            <v>FAP-Z-157</v>
          </cell>
        </row>
        <row r="201">
          <cell r="A201" t="str">
            <v>FAP-Z-158-U</v>
          </cell>
        </row>
        <row r="202">
          <cell r="A202" t="str">
            <v>FAP-Z-159</v>
          </cell>
        </row>
        <row r="203">
          <cell r="A203" t="str">
            <v>FAP-Z-160-U</v>
          </cell>
        </row>
        <row r="204">
          <cell r="A204" t="str">
            <v>FAP-Z-161-U</v>
          </cell>
        </row>
        <row r="205">
          <cell r="A205" t="str">
            <v>FAP-Z-162-U</v>
          </cell>
        </row>
        <row r="206">
          <cell r="A206" t="str">
            <v>FAP-Z-163</v>
          </cell>
        </row>
        <row r="207">
          <cell r="A207" t="str">
            <v>FAP-Z-165</v>
          </cell>
        </row>
        <row r="208">
          <cell r="A208" t="str">
            <v>FAP-Z-166-U</v>
          </cell>
        </row>
        <row r="209">
          <cell r="A209" t="str">
            <v>FAP-Z-167-1</v>
          </cell>
        </row>
        <row r="210">
          <cell r="A210" t="str">
            <v>FAP-Z-167-2</v>
          </cell>
        </row>
        <row r="211">
          <cell r="A211" t="str">
            <v>FAP-Z-168-U</v>
          </cell>
        </row>
        <row r="212">
          <cell r="A212" t="str">
            <v>FAP-Z-169-U</v>
          </cell>
        </row>
        <row r="213">
          <cell r="A213" t="str">
            <v>FAP-Z-171</v>
          </cell>
        </row>
        <row r="214">
          <cell r="A214" t="str">
            <v>FAP-Z-172</v>
          </cell>
        </row>
        <row r="215">
          <cell r="A215" t="str">
            <v>FAP-Z-173</v>
          </cell>
        </row>
        <row r="216">
          <cell r="A216" t="str">
            <v>FAP-Z-175-U</v>
          </cell>
        </row>
        <row r="217">
          <cell r="A217" t="str">
            <v>FAP-Z-176-U</v>
          </cell>
        </row>
        <row r="218">
          <cell r="A218" t="str">
            <v>FAP-Z-177</v>
          </cell>
        </row>
        <row r="219">
          <cell r="A219" t="str">
            <v>FAP-Z-179-U</v>
          </cell>
        </row>
        <row r="220">
          <cell r="A220" t="str">
            <v>FAP-Z-181</v>
          </cell>
        </row>
        <row r="221">
          <cell r="A221" t="str">
            <v>FAP-Z-182</v>
          </cell>
        </row>
        <row r="222">
          <cell r="A222" t="str">
            <v>FAP-Z-184-U</v>
          </cell>
        </row>
        <row r="223">
          <cell r="A223" t="str">
            <v>FAP-Z-185-U</v>
          </cell>
        </row>
        <row r="224">
          <cell r="A224" t="str">
            <v>FAP-Z-186</v>
          </cell>
        </row>
        <row r="225">
          <cell r="A225" t="str">
            <v>FAP-Z-187</v>
          </cell>
        </row>
        <row r="226">
          <cell r="A226" t="str">
            <v>FAP-Z-188</v>
          </cell>
        </row>
        <row r="227">
          <cell r="A227" t="str">
            <v>FAP-Z-189</v>
          </cell>
        </row>
        <row r="228">
          <cell r="A228" t="str">
            <v>FAP-Z-190</v>
          </cell>
        </row>
        <row r="229">
          <cell r="A229" t="str">
            <v>FAP-Z-193</v>
          </cell>
        </row>
        <row r="230">
          <cell r="A230" t="str">
            <v>FAP-Z-194-U</v>
          </cell>
        </row>
        <row r="231">
          <cell r="A231" t="str">
            <v>FAP-Z-195-U</v>
          </cell>
        </row>
        <row r="232">
          <cell r="A232" t="str">
            <v>FAP-Z-196</v>
          </cell>
        </row>
        <row r="233">
          <cell r="A233" t="str">
            <v>FAP-Z-197-U</v>
          </cell>
        </row>
        <row r="234">
          <cell r="A234" t="str">
            <v>FAP-Z-198</v>
          </cell>
        </row>
        <row r="235">
          <cell r="A235" t="str">
            <v>FAP-Z-199</v>
          </cell>
        </row>
        <row r="236">
          <cell r="A236" t="str">
            <v>FAP-Z-200</v>
          </cell>
        </row>
        <row r="237">
          <cell r="A237" t="str">
            <v>FAP-Z-203</v>
          </cell>
        </row>
        <row r="238">
          <cell r="A238" t="str">
            <v>FAP-Z-204-U</v>
          </cell>
        </row>
        <row r="239">
          <cell r="A239" t="str">
            <v>FAP-Z-205</v>
          </cell>
        </row>
        <row r="240">
          <cell r="A240" t="str">
            <v>FAP-Z-207</v>
          </cell>
        </row>
        <row r="241">
          <cell r="A241" t="str">
            <v>FAP-Z-209</v>
          </cell>
        </row>
        <row r="242">
          <cell r="A242" t="str">
            <v>FAP-Z-210</v>
          </cell>
        </row>
        <row r="243">
          <cell r="A243" t="str">
            <v>FAP-Z-212</v>
          </cell>
        </row>
        <row r="244">
          <cell r="A244" t="str">
            <v>Nicht gelistet</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29:S50" totalsRowShown="0" headerRowDxfId="171" dataDxfId="170">
  <autoFilter ref="A29:S50" xr:uid="{00000000-0009-0000-0100-000001000000}"/>
  <tableColumns count="19">
    <tableColumn id="1" xr3:uid="{00000000-0010-0000-0000-000001000000}" name="Baden-Württemberg" dataDxfId="169" dataCellStyle="Standard_Werte"/>
    <tableColumn id="2" xr3:uid="{00000000-0010-0000-0000-000002000000}" name="Bayern" dataDxfId="168"/>
    <tableColumn id="3" xr3:uid="{00000000-0010-0000-0000-000003000000}" name="Berlin" dataDxfId="167"/>
    <tableColumn id="4" xr3:uid="{00000000-0010-0000-0000-000004000000}" name="Brandenburg" dataDxfId="166"/>
    <tableColumn id="5" xr3:uid="{00000000-0010-0000-0000-000005000000}" name="Bremen" dataDxfId="165"/>
    <tableColumn id="6" xr3:uid="{00000000-0010-0000-0000-000006000000}" name="Hamburg" dataDxfId="164"/>
    <tableColumn id="7" xr3:uid="{00000000-0010-0000-0000-000007000000}" name="Hessen" dataDxfId="163"/>
    <tableColumn id="8" xr3:uid="{00000000-0010-0000-0000-000008000000}" name="Mecklenburg-Vorpommern" dataDxfId="162"/>
    <tableColumn id="9" xr3:uid="{00000000-0010-0000-0000-000009000000}" name="Niedersachsen" dataDxfId="161"/>
    <tableColumn id="10" xr3:uid="{00000000-0010-0000-0000-00000A000000}" name="Nordrhein-Westfalen" dataDxfId="160"/>
    <tableColumn id="11" xr3:uid="{00000000-0010-0000-0000-00000B000000}" name="Rheinland-Pfalz" dataDxfId="159"/>
    <tableColumn id="12" xr3:uid="{00000000-0010-0000-0000-00000C000000}" name="Saarland" dataDxfId="158"/>
    <tableColumn id="13" xr3:uid="{00000000-0010-0000-0000-00000D000000}" name="Sachsen" dataDxfId="157"/>
    <tableColumn id="14" xr3:uid="{00000000-0010-0000-0000-00000E000000}" name="Sachsen-Anhalt" dataDxfId="156"/>
    <tableColumn id="15" xr3:uid="{00000000-0010-0000-0000-00000F000000}" name="Schleswig-Holstein" dataDxfId="155"/>
    <tableColumn id="16" xr3:uid="{00000000-0010-0000-0000-000010000000}" name="Thüringen" dataDxfId="154"/>
    <tableColumn id="17" xr3:uid="{00000000-0010-0000-0000-000011000000}" name="Schweiz" dataDxfId="153"/>
    <tableColumn id="18" xr3:uid="{00000000-0010-0000-0000-000012000000}" name="Österreich" dataDxfId="152"/>
    <tableColumn id="19" xr3:uid="{00000000-0010-0000-0000-000013000000}" name="Italien" dataDxfId="15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omments" Target="../comments5.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6.xml"/><Relationship Id="rId5" Type="http://schemas.openxmlformats.org/officeDocument/2006/relationships/vmlDrawing" Target="../drawings/vmlDrawing8.vml"/><Relationship Id="rId4"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6" Type="http://schemas.openxmlformats.org/officeDocument/2006/relationships/comments" Target="../comments8.xml"/><Relationship Id="rId5" Type="http://schemas.openxmlformats.org/officeDocument/2006/relationships/vmlDrawing" Target="../drawings/vmlDrawing10.vml"/><Relationship Id="rId4"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U81"/>
  <sheetViews>
    <sheetView showGridLines="0" tabSelected="1" zoomScaleNormal="100" zoomScaleSheetLayoutView="75" zoomScalePageLayoutView="69" workbookViewId="0">
      <selection activeCell="C6" sqref="C6:E6"/>
    </sheetView>
  </sheetViews>
  <sheetFormatPr defaultColWidth="11.42578125" defaultRowHeight="14.25" x14ac:dyDescent="0.2"/>
  <cols>
    <col min="1" max="1" width="0.85546875" style="388" customWidth="1"/>
    <col min="2" max="2" width="19.7109375" style="388" customWidth="1"/>
    <col min="3" max="3" width="18.140625" style="388" customWidth="1"/>
    <col min="4" max="4" width="6.7109375" style="388" customWidth="1"/>
    <col min="5" max="5" width="7.140625" style="388" customWidth="1"/>
    <col min="6" max="9" width="6.7109375" style="388" customWidth="1"/>
    <col min="10" max="13" width="7.28515625" style="388" customWidth="1"/>
    <col min="14" max="14" width="6.7109375" style="388" customWidth="1"/>
    <col min="15" max="15" width="7.28515625" style="388" customWidth="1"/>
    <col min="16" max="16" width="6.7109375" style="388" customWidth="1"/>
    <col min="17" max="17" width="7.7109375" style="388" customWidth="1"/>
    <col min="18" max="16384" width="11.42578125" style="388"/>
  </cols>
  <sheetData>
    <row r="1" spans="1:21" ht="9.9499999999999993" customHeight="1" x14ac:dyDescent="0.25">
      <c r="A1" s="387"/>
    </row>
    <row r="2" spans="1:21" ht="12.95" customHeight="1" x14ac:dyDescent="0.2">
      <c r="A2" s="389"/>
      <c r="B2" s="441" t="s">
        <v>892</v>
      </c>
    </row>
    <row r="3" spans="1:21" ht="16.5" x14ac:dyDescent="0.25">
      <c r="A3" s="390"/>
      <c r="B3" s="458" t="s">
        <v>729</v>
      </c>
    </row>
    <row r="4" spans="1:21" ht="12.75" customHeight="1" x14ac:dyDescent="0.25">
      <c r="A4" s="391"/>
      <c r="B4" s="641"/>
      <c r="C4" s="641"/>
      <c r="D4" s="641"/>
      <c r="E4" s="641"/>
      <c r="F4" s="641"/>
      <c r="G4" s="641"/>
      <c r="H4" s="641"/>
      <c r="I4" s="641"/>
      <c r="J4" s="641"/>
      <c r="K4" s="641"/>
      <c r="L4" s="641"/>
      <c r="M4" s="641"/>
      <c r="N4" s="641"/>
      <c r="O4" s="641"/>
      <c r="P4" s="641"/>
      <c r="Q4" s="641"/>
      <c r="S4" s="392"/>
    </row>
    <row r="5" spans="1:21" ht="15" customHeight="1" x14ac:dyDescent="0.2">
      <c r="E5" s="393"/>
      <c r="F5" s="393"/>
      <c r="G5" s="393"/>
      <c r="H5" s="393"/>
      <c r="I5" s="393"/>
      <c r="J5" s="393"/>
      <c r="K5" s="393"/>
      <c r="L5" s="393"/>
      <c r="M5" s="393"/>
      <c r="N5" s="393"/>
      <c r="O5" s="393"/>
      <c r="P5" s="393"/>
      <c r="Q5" s="393"/>
      <c r="R5" s="393"/>
      <c r="S5" s="392"/>
    </row>
    <row r="6" spans="1:21" ht="15" customHeight="1" x14ac:dyDescent="0.2">
      <c r="A6" s="389"/>
      <c r="B6" s="459" t="s">
        <v>418</v>
      </c>
      <c r="C6" s="581"/>
      <c r="D6" s="582"/>
      <c r="E6" s="583"/>
      <c r="F6" s="394"/>
      <c r="G6" s="394"/>
      <c r="H6" s="394"/>
      <c r="O6" s="578"/>
      <c r="P6" s="578"/>
      <c r="Q6" s="578"/>
    </row>
    <row r="7" spans="1:21" ht="6.95" customHeight="1" x14ac:dyDescent="0.2">
      <c r="A7" s="389"/>
      <c r="B7" s="23"/>
      <c r="C7" s="389"/>
      <c r="D7" s="389"/>
      <c r="E7" s="396"/>
      <c r="F7" s="396"/>
      <c r="G7" s="396"/>
      <c r="H7" s="396"/>
      <c r="I7" s="396"/>
      <c r="J7" s="396"/>
      <c r="K7" s="396"/>
      <c r="L7" s="396"/>
      <c r="M7" s="396"/>
      <c r="N7" s="396"/>
      <c r="O7" s="396"/>
      <c r="P7" s="396"/>
      <c r="Q7" s="396"/>
    </row>
    <row r="8" spans="1:21" s="389" customFormat="1" ht="15" customHeight="1" x14ac:dyDescent="0.2">
      <c r="B8" s="459" t="s">
        <v>419</v>
      </c>
      <c r="C8" s="579" t="str">
        <f>IF($C$6="","",Datenquelle!B66)</f>
        <v/>
      </c>
      <c r="D8" s="579"/>
      <c r="E8" s="580"/>
      <c r="F8" s="580"/>
      <c r="G8" s="580"/>
      <c r="H8" s="580"/>
      <c r="I8" s="580"/>
      <c r="J8" s="580"/>
      <c r="K8" s="580"/>
      <c r="L8" s="580"/>
      <c r="M8" s="580"/>
      <c r="N8" s="580"/>
      <c r="O8" s="580"/>
      <c r="P8" s="580"/>
      <c r="Q8" s="580"/>
    </row>
    <row r="9" spans="1:21" s="389" customFormat="1" ht="6.95" customHeight="1" x14ac:dyDescent="0.2">
      <c r="B9" s="20"/>
      <c r="C9" s="396"/>
      <c r="D9" s="396"/>
      <c r="E9" s="396"/>
      <c r="F9" s="396"/>
      <c r="G9" s="396"/>
      <c r="H9" s="396"/>
      <c r="I9" s="396"/>
      <c r="J9" s="396"/>
      <c r="K9" s="396"/>
      <c r="L9" s="396"/>
      <c r="M9" s="396"/>
    </row>
    <row r="10" spans="1:21" s="389" customFormat="1" ht="15" customHeight="1" x14ac:dyDescent="0.2">
      <c r="B10" s="459" t="s">
        <v>420</v>
      </c>
      <c r="C10" s="579" t="str">
        <f>IF($C$6="","",Datenquelle!C66)</f>
        <v/>
      </c>
      <c r="D10" s="579"/>
      <c r="E10" s="580"/>
      <c r="F10" s="580"/>
      <c r="G10" s="580"/>
      <c r="H10" s="580"/>
      <c r="I10" s="580"/>
      <c r="J10" s="580"/>
      <c r="K10" s="580"/>
      <c r="L10" s="580"/>
      <c r="M10" s="580"/>
      <c r="N10" s="580"/>
      <c r="O10" s="580"/>
      <c r="P10" s="580"/>
      <c r="Q10" s="580"/>
    </row>
    <row r="11" spans="1:21" s="389" customFormat="1" ht="6.95" customHeight="1" x14ac:dyDescent="0.2">
      <c r="B11" s="20"/>
      <c r="C11" s="396"/>
      <c r="D11" s="396"/>
      <c r="E11" s="396"/>
      <c r="F11" s="396"/>
      <c r="G11" s="396"/>
      <c r="H11" s="396"/>
      <c r="I11" s="396"/>
      <c r="J11" s="396"/>
      <c r="K11" s="396"/>
      <c r="L11" s="396"/>
      <c r="M11" s="396"/>
    </row>
    <row r="12" spans="1:21" s="389" customFormat="1" ht="15" customHeight="1" x14ac:dyDescent="0.2">
      <c r="B12" s="651" t="s">
        <v>820</v>
      </c>
      <c r="C12" s="644"/>
      <c r="D12" s="645"/>
      <c r="E12" s="646"/>
      <c r="F12" s="400"/>
      <c r="G12" s="400"/>
      <c r="H12" s="400"/>
      <c r="J12" s="460" t="s">
        <v>422</v>
      </c>
      <c r="K12" s="460"/>
      <c r="L12" s="399"/>
      <c r="M12" s="399"/>
      <c r="N12" s="401"/>
      <c r="O12" s="584"/>
      <c r="P12" s="585"/>
      <c r="Q12" s="586"/>
    </row>
    <row r="13" spans="1:21" s="389" customFormat="1" ht="6.95" customHeight="1" x14ac:dyDescent="0.2">
      <c r="B13" s="651"/>
      <c r="E13" s="396"/>
      <c r="F13" s="396"/>
      <c r="G13" s="396"/>
      <c r="H13" s="396"/>
      <c r="J13" s="26"/>
      <c r="K13" s="26"/>
      <c r="L13" s="397"/>
      <c r="M13" s="397"/>
      <c r="N13" s="397"/>
      <c r="O13" s="396"/>
      <c r="P13" s="396"/>
      <c r="Q13" s="396"/>
    </row>
    <row r="14" spans="1:21" s="389" customFormat="1" ht="15" customHeight="1" x14ac:dyDescent="0.2">
      <c r="B14" s="576" t="s">
        <v>821</v>
      </c>
      <c r="C14" s="644"/>
      <c r="D14" s="645"/>
      <c r="E14" s="646"/>
      <c r="F14" s="431"/>
      <c r="G14" s="431"/>
      <c r="H14" s="431"/>
      <c r="J14" s="459" t="s">
        <v>423</v>
      </c>
      <c r="K14" s="459"/>
      <c r="L14" s="397"/>
      <c r="M14" s="397"/>
      <c r="N14" s="403"/>
      <c r="O14" s="649" t="str">
        <f>IF($C$6="","",Datenquelle!G66)</f>
        <v/>
      </c>
      <c r="P14" s="649"/>
      <c r="Q14" s="649"/>
    </row>
    <row r="15" spans="1:21" ht="6.95" customHeight="1" x14ac:dyDescent="0.2">
      <c r="J15" s="46"/>
      <c r="K15" s="46"/>
      <c r="L15" s="399"/>
      <c r="M15" s="399"/>
      <c r="N15" s="399"/>
      <c r="U15" s="389"/>
    </row>
    <row r="16" spans="1:21" s="389" customFormat="1" ht="15" customHeight="1" x14ac:dyDescent="0.2">
      <c r="B16" s="460" t="s">
        <v>421</v>
      </c>
      <c r="C16" s="587"/>
      <c r="D16" s="588"/>
      <c r="E16" s="589"/>
      <c r="F16" s="432"/>
      <c r="G16" s="432"/>
      <c r="H16" s="432"/>
      <c r="J16" s="461" t="s">
        <v>424</v>
      </c>
      <c r="K16" s="461"/>
      <c r="L16" s="405"/>
      <c r="M16" s="405"/>
      <c r="N16" s="406"/>
      <c r="O16" s="652">
        <v>2025</v>
      </c>
      <c r="P16" s="652"/>
      <c r="Q16" s="652"/>
    </row>
    <row r="17" spans="2:19" s="389" customFormat="1" ht="6.75" customHeight="1" x14ac:dyDescent="0.2">
      <c r="B17" s="404"/>
      <c r="I17" s="407"/>
      <c r="J17" s="407"/>
      <c r="K17" s="407"/>
      <c r="L17" s="407"/>
      <c r="M17" s="407"/>
      <c r="O17" s="408"/>
      <c r="P17" s="408"/>
      <c r="Q17" s="408"/>
    </row>
    <row r="18" spans="2:19" s="389" customFormat="1" ht="6.75" customHeight="1" x14ac:dyDescent="0.2">
      <c r="I18" s="397"/>
      <c r="J18" s="648"/>
      <c r="K18" s="648"/>
      <c r="L18" s="648"/>
      <c r="M18" s="648"/>
      <c r="N18" s="648"/>
      <c r="O18" s="648"/>
      <c r="P18" s="648"/>
      <c r="Q18" s="648"/>
    </row>
    <row r="19" spans="2:19" s="389" customFormat="1" ht="6.75" customHeight="1" x14ac:dyDescent="0.2">
      <c r="I19" s="397"/>
      <c r="J19" s="647"/>
      <c r="K19" s="647"/>
      <c r="L19" s="647"/>
      <c r="M19" s="647"/>
      <c r="N19" s="647"/>
      <c r="O19" s="647"/>
      <c r="P19" s="647"/>
      <c r="Q19" s="647"/>
    </row>
    <row r="20" spans="2:19" s="389" customFormat="1" ht="6.75" customHeight="1" x14ac:dyDescent="0.2">
      <c r="B20" s="397"/>
      <c r="C20" s="395"/>
      <c r="D20" s="395"/>
      <c r="E20" s="395"/>
      <c r="F20" s="395"/>
      <c r="G20" s="395"/>
      <c r="H20" s="395"/>
      <c r="I20" s="409"/>
      <c r="J20" s="409"/>
      <c r="K20" s="409"/>
      <c r="L20" s="409"/>
      <c r="M20" s="409"/>
      <c r="N20" s="395"/>
      <c r="O20" s="410"/>
      <c r="P20" s="410"/>
      <c r="Q20" s="410"/>
    </row>
    <row r="21" spans="2:19" s="389" customFormat="1" ht="15" customHeight="1" x14ac:dyDescent="0.2">
      <c r="B21" s="653" t="s">
        <v>425</v>
      </c>
      <c r="C21" s="654"/>
      <c r="D21" s="654"/>
      <c r="E21" s="655"/>
      <c r="I21" s="647"/>
      <c r="J21" s="647"/>
      <c r="K21" s="647"/>
      <c r="L21" s="647"/>
      <c r="M21" s="647"/>
      <c r="N21" s="647"/>
      <c r="O21" s="647"/>
      <c r="P21" s="647"/>
      <c r="Q21" s="454"/>
    </row>
    <row r="22" spans="2:19" s="389" customFormat="1" ht="15" customHeight="1" x14ac:dyDescent="0.2">
      <c r="B22" s="656"/>
      <c r="C22" s="657"/>
      <c r="D22" s="657"/>
      <c r="E22" s="658"/>
      <c r="I22" s="647"/>
      <c r="J22" s="647"/>
      <c r="K22" s="647"/>
      <c r="L22" s="647"/>
      <c r="M22" s="647"/>
      <c r="N22" s="647"/>
      <c r="O22" s="647"/>
      <c r="P22" s="647"/>
      <c r="Q22" s="454"/>
    </row>
    <row r="23" spans="2:19" s="389" customFormat="1" ht="6.95" customHeight="1" x14ac:dyDescent="0.2">
      <c r="B23" s="398"/>
      <c r="C23" s="398"/>
      <c r="D23" s="398"/>
      <c r="E23" s="398"/>
      <c r="F23" s="398"/>
      <c r="G23" s="398"/>
      <c r="H23" s="398"/>
      <c r="I23" s="398"/>
      <c r="J23" s="398"/>
      <c r="K23" s="398"/>
      <c r="L23" s="398"/>
      <c r="M23" s="398"/>
      <c r="N23" s="398"/>
      <c r="O23" s="395"/>
      <c r="P23" s="395"/>
      <c r="Q23" s="395"/>
    </row>
    <row r="24" spans="2:19" s="389" customFormat="1" ht="15" customHeight="1" x14ac:dyDescent="0.2">
      <c r="B24" s="659" t="s">
        <v>426</v>
      </c>
      <c r="C24" s="660"/>
      <c r="D24" s="660"/>
      <c r="E24" s="661"/>
      <c r="F24" s="665" t="s">
        <v>427</v>
      </c>
      <c r="G24" s="665"/>
      <c r="H24" s="665"/>
      <c r="I24" s="665"/>
      <c r="J24" s="665"/>
      <c r="K24" s="665"/>
      <c r="L24" s="665"/>
      <c r="M24" s="665"/>
      <c r="N24" s="665"/>
      <c r="O24" s="665"/>
      <c r="P24" s="665"/>
      <c r="Q24" s="665"/>
      <c r="S24" s="407"/>
    </row>
    <row r="25" spans="2:19" s="389" customFormat="1" ht="15" customHeight="1" x14ac:dyDescent="0.2">
      <c r="B25" s="662"/>
      <c r="C25" s="663"/>
      <c r="D25" s="663"/>
      <c r="E25" s="664"/>
      <c r="F25" s="666" t="s">
        <v>823</v>
      </c>
      <c r="G25" s="666"/>
      <c r="H25" s="666"/>
      <c r="I25" s="666"/>
      <c r="J25" s="666"/>
      <c r="K25" s="666"/>
      <c r="L25" s="666"/>
      <c r="M25" s="666"/>
      <c r="N25" s="666"/>
      <c r="O25" s="666"/>
      <c r="P25" s="666"/>
      <c r="Q25" s="666"/>
      <c r="S25" s="407"/>
    </row>
    <row r="26" spans="2:19" s="389" customFormat="1" ht="17.25" customHeight="1" x14ac:dyDescent="0.2">
      <c r="B26" s="481"/>
      <c r="C26" s="482"/>
      <c r="D26" s="482"/>
      <c r="E26" s="482"/>
      <c r="F26" s="482"/>
      <c r="G26" s="482"/>
      <c r="H26" s="482"/>
      <c r="I26" s="634"/>
      <c r="J26" s="634"/>
      <c r="K26" s="634"/>
      <c r="L26" s="634"/>
      <c r="M26" s="634"/>
      <c r="N26" s="634"/>
      <c r="O26" s="634"/>
      <c r="P26" s="634"/>
      <c r="Q26" s="634"/>
      <c r="S26" s="407"/>
    </row>
    <row r="27" spans="2:19" s="389" customFormat="1" ht="8.25" customHeight="1" thickBot="1" x14ac:dyDescent="0.25">
      <c r="B27" s="596"/>
      <c r="C27" s="596"/>
      <c r="D27" s="596"/>
      <c r="E27" s="596"/>
      <c r="F27" s="596"/>
      <c r="G27" s="596"/>
      <c r="H27" s="596"/>
      <c r="I27" s="596"/>
      <c r="J27" s="596"/>
      <c r="K27" s="596"/>
      <c r="L27" s="596"/>
      <c r="M27" s="596"/>
      <c r="N27" s="596"/>
      <c r="O27" s="596"/>
      <c r="P27" s="596"/>
      <c r="Q27" s="596"/>
    </row>
    <row r="28" spans="2:19" s="389" customFormat="1" ht="23.25" customHeight="1" x14ac:dyDescent="0.2">
      <c r="B28" s="620" t="s">
        <v>428</v>
      </c>
      <c r="C28" s="597"/>
      <c r="D28" s="597" t="s">
        <v>429</v>
      </c>
      <c r="E28" s="597"/>
      <c r="F28" s="597" t="s">
        <v>430</v>
      </c>
      <c r="G28" s="597"/>
      <c r="H28" s="597"/>
      <c r="I28" s="597"/>
      <c r="J28" s="597"/>
      <c r="K28" s="597"/>
      <c r="L28" s="597"/>
      <c r="M28" s="597"/>
      <c r="N28" s="597"/>
      <c r="O28" s="597"/>
      <c r="P28" s="597"/>
      <c r="Q28" s="629" t="s">
        <v>431</v>
      </c>
    </row>
    <row r="29" spans="2:19" s="389" customFormat="1" ht="23.25" customHeight="1" x14ac:dyDescent="0.2">
      <c r="B29" s="621"/>
      <c r="C29" s="622"/>
      <c r="D29" s="622"/>
      <c r="E29" s="622"/>
      <c r="F29" s="622" t="s">
        <v>432</v>
      </c>
      <c r="G29" s="622"/>
      <c r="H29" s="622"/>
      <c r="I29" s="622"/>
      <c r="J29" s="622"/>
      <c r="K29" s="622"/>
      <c r="L29" s="622"/>
      <c r="M29" s="622"/>
      <c r="N29" s="622"/>
      <c r="O29" s="600" t="s">
        <v>433</v>
      </c>
      <c r="P29" s="602" t="s">
        <v>434</v>
      </c>
      <c r="Q29" s="630"/>
    </row>
    <row r="30" spans="2:19" s="389" customFormat="1" ht="103.5" customHeight="1" x14ac:dyDescent="0.2">
      <c r="B30" s="621"/>
      <c r="C30" s="622"/>
      <c r="D30" s="462" t="s">
        <v>866</v>
      </c>
      <c r="E30" s="462" t="s">
        <v>380</v>
      </c>
      <c r="F30" s="462" t="s">
        <v>873</v>
      </c>
      <c r="G30" s="462" t="s">
        <v>867</v>
      </c>
      <c r="H30" s="462" t="s">
        <v>786</v>
      </c>
      <c r="I30" s="462" t="s">
        <v>435</v>
      </c>
      <c r="J30" s="462" t="s">
        <v>874</v>
      </c>
      <c r="K30" s="462" t="s">
        <v>868</v>
      </c>
      <c r="L30" s="462" t="s">
        <v>875</v>
      </c>
      <c r="M30" s="462" t="s">
        <v>876</v>
      </c>
      <c r="N30" s="462" t="s">
        <v>436</v>
      </c>
      <c r="O30" s="601"/>
      <c r="P30" s="602"/>
      <c r="Q30" s="631"/>
    </row>
    <row r="31" spans="2:19" s="389" customFormat="1" ht="6.95" customHeight="1" thickBot="1" x14ac:dyDescent="0.25">
      <c r="B31" s="411"/>
      <c r="C31" s="411"/>
      <c r="D31" s="412"/>
      <c r="E31" s="412"/>
      <c r="F31" s="412"/>
      <c r="G31" s="412"/>
      <c r="H31" s="412"/>
      <c r="I31" s="413"/>
      <c r="J31" s="413"/>
      <c r="K31" s="413"/>
      <c r="L31" s="412"/>
      <c r="M31" s="412"/>
      <c r="N31" s="412"/>
      <c r="O31" s="414"/>
      <c r="P31" s="414"/>
      <c r="Q31" s="415"/>
    </row>
    <row r="32" spans="2:19" s="389" customFormat="1" ht="18.95" customHeight="1" thickBot="1" x14ac:dyDescent="0.25">
      <c r="B32" s="637" t="s">
        <v>437</v>
      </c>
      <c r="C32" s="637"/>
      <c r="D32" s="638"/>
      <c r="E32" s="638"/>
      <c r="F32" s="638"/>
      <c r="G32" s="638"/>
      <c r="H32" s="638"/>
      <c r="I32" s="638"/>
      <c r="J32" s="638"/>
      <c r="K32" s="638"/>
      <c r="L32" s="638"/>
      <c r="M32" s="638"/>
      <c r="N32" s="638"/>
      <c r="O32" s="638"/>
      <c r="P32" s="638"/>
      <c r="Q32" s="637"/>
    </row>
    <row r="33" spans="2:19" s="389" customFormat="1" ht="18.95" customHeight="1" x14ac:dyDescent="0.2">
      <c r="B33" s="607" t="s">
        <v>822</v>
      </c>
      <c r="C33" s="463" t="s">
        <v>438</v>
      </c>
      <c r="D33" s="509"/>
      <c r="E33" s="509"/>
      <c r="F33" s="509"/>
      <c r="G33" s="509"/>
      <c r="H33" s="509"/>
      <c r="I33" s="509"/>
      <c r="J33" s="509"/>
      <c r="K33" s="509"/>
      <c r="L33" s="509"/>
      <c r="M33" s="509"/>
      <c r="N33" s="509"/>
      <c r="O33" s="509"/>
      <c r="P33" s="509"/>
      <c r="Q33" s="416" t="str">
        <f>IF(AND(D33="",E33="",F33="",H33="",I33="",J33="",L33="",M33="",N33="",O33="",P33=""),"",SUM(D33:P33))</f>
        <v/>
      </c>
    </row>
    <row r="34" spans="2:19" s="389" customFormat="1" ht="18.95" customHeight="1" x14ac:dyDescent="0.2">
      <c r="B34" s="608"/>
      <c r="C34" s="464" t="s">
        <v>439</v>
      </c>
      <c r="D34" s="510"/>
      <c r="E34" s="510"/>
      <c r="F34" s="510"/>
      <c r="G34" s="510"/>
      <c r="H34" s="510"/>
      <c r="I34" s="510"/>
      <c r="J34" s="510"/>
      <c r="K34" s="510"/>
      <c r="L34" s="510"/>
      <c r="M34" s="510"/>
      <c r="N34" s="510"/>
      <c r="O34" s="510"/>
      <c r="P34" s="510"/>
      <c r="Q34" s="417" t="str">
        <f t="shared" ref="Q34:Q39" si="0">IF(AND(D34="",E34="",F34="",H34="",I34="",J34="",L34="",M34="",N34="",O34="",P34=""),"",SUM(D34:P34))</f>
        <v/>
      </c>
    </row>
    <row r="35" spans="2:19" s="389" customFormat="1" ht="18.95" customHeight="1" x14ac:dyDescent="0.2">
      <c r="B35" s="608"/>
      <c r="C35" s="464" t="s">
        <v>440</v>
      </c>
      <c r="D35" s="507"/>
      <c r="E35" s="510"/>
      <c r="F35" s="510"/>
      <c r="G35" s="510"/>
      <c r="H35" s="510"/>
      <c r="I35" s="510"/>
      <c r="J35" s="563"/>
      <c r="K35" s="563"/>
      <c r="L35" s="510"/>
      <c r="M35" s="510"/>
      <c r="N35" s="510"/>
      <c r="O35" s="510"/>
      <c r="P35" s="510"/>
      <c r="Q35" s="417" t="str">
        <f t="shared" si="0"/>
        <v/>
      </c>
    </row>
    <row r="36" spans="2:19" s="389" customFormat="1" ht="18.95" customHeight="1" x14ac:dyDescent="0.2">
      <c r="B36" s="605" t="s">
        <v>441</v>
      </c>
      <c r="C36" s="606"/>
      <c r="D36" s="507"/>
      <c r="E36" s="510"/>
      <c r="F36" s="510"/>
      <c r="G36" s="510"/>
      <c r="H36" s="510"/>
      <c r="I36" s="510"/>
      <c r="J36" s="510"/>
      <c r="K36" s="510"/>
      <c r="L36" s="510"/>
      <c r="M36" s="510"/>
      <c r="N36" s="510"/>
      <c r="O36" s="510"/>
      <c r="P36" s="510"/>
      <c r="Q36" s="417" t="str">
        <f t="shared" si="0"/>
        <v/>
      </c>
    </row>
    <row r="37" spans="2:19" s="389" customFormat="1" ht="18.95" customHeight="1" x14ac:dyDescent="0.2">
      <c r="B37" s="605" t="s">
        <v>442</v>
      </c>
      <c r="C37" s="606"/>
      <c r="D37" s="507"/>
      <c r="E37" s="511"/>
      <c r="F37" s="510"/>
      <c r="G37" s="510"/>
      <c r="H37" s="510"/>
      <c r="I37" s="510"/>
      <c r="J37" s="510"/>
      <c r="K37" s="510"/>
      <c r="L37" s="510"/>
      <c r="M37" s="510"/>
      <c r="N37" s="510"/>
      <c r="O37" s="510"/>
      <c r="P37" s="510"/>
      <c r="Q37" s="417" t="str">
        <f t="shared" si="0"/>
        <v/>
      </c>
    </row>
    <row r="38" spans="2:19" s="389" customFormat="1" ht="18.95" customHeight="1" x14ac:dyDescent="0.2">
      <c r="B38" s="605" t="s">
        <v>443</v>
      </c>
      <c r="C38" s="606"/>
      <c r="D38" s="507"/>
      <c r="E38" s="511"/>
      <c r="F38" s="510"/>
      <c r="G38" s="510"/>
      <c r="H38" s="510"/>
      <c r="I38" s="510"/>
      <c r="J38" s="510"/>
      <c r="K38" s="510"/>
      <c r="L38" s="510"/>
      <c r="M38" s="510"/>
      <c r="N38" s="510"/>
      <c r="O38" s="510"/>
      <c r="P38" s="510"/>
      <c r="Q38" s="417" t="str">
        <f>IF(AND(D38="",E38="",F38="",H38="",I38="",J38="",L38="",M38="",N38="",O38="",P38=""),"",SUM(D38:P38))</f>
        <v/>
      </c>
      <c r="S38" s="418"/>
    </row>
    <row r="39" spans="2:19" s="389" customFormat="1" ht="18.95" customHeight="1" x14ac:dyDescent="0.2">
      <c r="B39" s="605" t="s">
        <v>444</v>
      </c>
      <c r="C39" s="606"/>
      <c r="D39" s="512"/>
      <c r="E39" s="510"/>
      <c r="F39" s="510"/>
      <c r="G39" s="510"/>
      <c r="H39" s="510"/>
      <c r="I39" s="510"/>
      <c r="J39" s="510"/>
      <c r="K39" s="510"/>
      <c r="L39" s="510"/>
      <c r="M39" s="510"/>
      <c r="N39" s="510"/>
      <c r="O39" s="510"/>
      <c r="P39" s="510"/>
      <c r="Q39" s="417" t="str">
        <f t="shared" si="0"/>
        <v/>
      </c>
    </row>
    <row r="40" spans="2:19" s="389" customFormat="1" ht="18.95" customHeight="1" thickBot="1" x14ac:dyDescent="0.25">
      <c r="B40" s="598" t="s">
        <v>445</v>
      </c>
      <c r="C40" s="599"/>
      <c r="D40" s="419" t="str">
        <f>IF(AND(D33="",D34="",D35="",D36="",D37="",D38="",D39=""),"",SUM(D33:D39))</f>
        <v/>
      </c>
      <c r="E40" s="419" t="str">
        <f t="shared" ref="E40:O40" si="1">IF(AND(E33="",E34="",E35="",E36="",E37="",E38="",E39=""),"",SUM(E33:E39))</f>
        <v/>
      </c>
      <c r="F40" s="419" t="str">
        <f t="shared" si="1"/>
        <v/>
      </c>
      <c r="G40" s="419" t="str">
        <f>IF(AND(G33="",G34="",G35="",G36="",G37="",G38="",G39=""),"",SUM(G33:G39))</f>
        <v/>
      </c>
      <c r="H40" s="419" t="str">
        <f t="shared" si="1"/>
        <v/>
      </c>
      <c r="I40" s="419" t="str">
        <f t="shared" si="1"/>
        <v/>
      </c>
      <c r="J40" s="419" t="str">
        <f t="shared" si="1"/>
        <v/>
      </c>
      <c r="K40" s="419" t="str">
        <f t="shared" si="1"/>
        <v/>
      </c>
      <c r="L40" s="419" t="str">
        <f t="shared" si="1"/>
        <v/>
      </c>
      <c r="M40" s="419" t="str">
        <f t="shared" si="1"/>
        <v/>
      </c>
      <c r="N40" s="419" t="str">
        <f t="shared" si="1"/>
        <v/>
      </c>
      <c r="O40" s="419" t="str">
        <f t="shared" si="1"/>
        <v/>
      </c>
      <c r="P40" s="419" t="str">
        <f>IF(AND(P33="",P34="",P35="",P36="",P37="",P38="",P39=""),"",SUM(P33:P39))</f>
        <v/>
      </c>
      <c r="Q40" s="420" t="str">
        <f>IF(AND(Q33="",Q34="",Q35="",Q36="",Q37="",Q38="",Q39=""),"",SUM(Q33:Q39))</f>
        <v/>
      </c>
    </row>
    <row r="41" spans="2:19" s="389" customFormat="1" ht="6.95" customHeight="1" thickBot="1" x14ac:dyDescent="0.25">
      <c r="B41" s="421"/>
      <c r="C41" s="421"/>
      <c r="D41" s="402"/>
      <c r="E41" s="422"/>
      <c r="F41" s="422"/>
      <c r="G41" s="422"/>
      <c r="H41" s="422"/>
      <c r="I41" s="422"/>
      <c r="J41" s="422"/>
      <c r="K41" s="422"/>
      <c r="L41" s="422"/>
      <c r="M41" s="422"/>
      <c r="N41" s="422"/>
      <c r="O41" s="422"/>
      <c r="P41" s="422"/>
      <c r="Q41" s="422"/>
    </row>
    <row r="42" spans="2:19" s="389" customFormat="1" ht="18.95" customHeight="1" thickBot="1" x14ac:dyDescent="0.25">
      <c r="B42" s="632" t="s">
        <v>880</v>
      </c>
      <c r="C42" s="633"/>
      <c r="D42" s="423"/>
      <c r="E42" s="424"/>
      <c r="F42" s="513"/>
      <c r="G42" s="513"/>
      <c r="H42" s="513"/>
      <c r="I42" s="513"/>
      <c r="J42" s="513"/>
      <c r="K42" s="513"/>
      <c r="L42" s="513"/>
      <c r="M42" s="513"/>
      <c r="N42" s="513"/>
      <c r="O42" s="513"/>
      <c r="P42" s="513"/>
      <c r="Q42" s="425" t="str">
        <f>IF(AND(F42="",H42="",I42="",J42="",L42="",M42="",N42="",O42="",P42=""),"",SUM(F42:P42))</f>
        <v/>
      </c>
    </row>
    <row r="43" spans="2:19" s="389" customFormat="1" ht="12" customHeight="1" thickBot="1" x14ac:dyDescent="0.25">
      <c r="B43" s="426"/>
      <c r="C43" s="402"/>
      <c r="D43" s="402"/>
      <c r="E43" s="422"/>
      <c r="F43" s="422"/>
      <c r="G43" s="422"/>
      <c r="H43" s="422"/>
      <c r="I43" s="422"/>
      <c r="J43" s="422"/>
      <c r="K43" s="422"/>
      <c r="L43" s="422"/>
      <c r="M43" s="422"/>
      <c r="N43" s="422"/>
      <c r="O43" s="422"/>
      <c r="P43" s="422"/>
      <c r="Q43" s="422"/>
    </row>
    <row r="44" spans="2:19" s="389" customFormat="1" ht="18.95" customHeight="1" thickBot="1" x14ac:dyDescent="0.25">
      <c r="B44" s="609" t="s">
        <v>732</v>
      </c>
      <c r="C44" s="610"/>
      <c r="D44" s="610"/>
      <c r="E44" s="610"/>
      <c r="F44" s="610"/>
      <c r="G44" s="610"/>
      <c r="H44" s="610"/>
      <c r="I44" s="610"/>
      <c r="J44" s="610"/>
      <c r="K44" s="610"/>
      <c r="L44" s="610"/>
      <c r="M44" s="610"/>
      <c r="N44" s="610"/>
      <c r="O44" s="610"/>
      <c r="P44" s="610"/>
      <c r="Q44" s="611"/>
    </row>
    <row r="45" spans="2:19" s="389" customFormat="1" ht="23.25" customHeight="1" x14ac:dyDescent="0.2">
      <c r="B45" s="612" t="s">
        <v>733</v>
      </c>
      <c r="C45" s="613"/>
      <c r="D45" s="507"/>
      <c r="E45" s="514"/>
      <c r="F45" s="514"/>
      <c r="G45" s="514"/>
      <c r="H45" s="514"/>
      <c r="I45" s="514"/>
      <c r="J45" s="514"/>
      <c r="K45" s="514"/>
      <c r="L45" s="514"/>
      <c r="M45" s="514"/>
      <c r="N45" s="514"/>
      <c r="O45" s="514"/>
      <c r="P45" s="514"/>
      <c r="Q45" s="417" t="str">
        <f>IF(AND(D45="",E45="",F45="",H45="",I45="",J45="",L45="",M45="",N45="",O45="",P45=""),"",SUM(D45:P45))</f>
        <v/>
      </c>
    </row>
    <row r="46" spans="2:19" s="389" customFormat="1" ht="23.25" customHeight="1" x14ac:dyDescent="0.2">
      <c r="B46" s="614" t="s">
        <v>734</v>
      </c>
      <c r="C46" s="615"/>
      <c r="D46" s="507"/>
      <c r="E46" s="510"/>
      <c r="F46" s="507"/>
      <c r="G46" s="507"/>
      <c r="H46" s="507"/>
      <c r="I46" s="507"/>
      <c r="J46" s="507"/>
      <c r="K46" s="507"/>
      <c r="L46" s="507"/>
      <c r="M46" s="507"/>
      <c r="N46" s="507"/>
      <c r="O46" s="510"/>
      <c r="P46" s="510"/>
      <c r="Q46" s="417" t="str">
        <f>IF(AND(D46="",E46="",F46="",H46="",I46="",J46="",L46="",M46="",N46="",O46="",P46=""),"",SUM(D46:P46))</f>
        <v/>
      </c>
    </row>
    <row r="47" spans="2:19" s="389" customFormat="1" ht="23.25" customHeight="1" thickBot="1" x14ac:dyDescent="0.25">
      <c r="B47" s="616" t="s">
        <v>446</v>
      </c>
      <c r="C47" s="617"/>
      <c r="D47" s="508"/>
      <c r="E47" s="515"/>
      <c r="F47" s="515"/>
      <c r="G47" s="515"/>
      <c r="H47" s="515"/>
      <c r="I47" s="515"/>
      <c r="J47" s="515"/>
      <c r="K47" s="515"/>
      <c r="L47" s="515"/>
      <c r="M47" s="515"/>
      <c r="N47" s="515"/>
      <c r="O47" s="515"/>
      <c r="P47" s="515"/>
      <c r="Q47" s="420" t="str">
        <f>IF(AND(D47="",E47="",F47="",H47="",I47="",J47="",L47="",M47="",N47="",O47="",P47=""),"",SUM(D47:P47))</f>
        <v/>
      </c>
    </row>
    <row r="48" spans="2:19" s="389" customFormat="1" ht="6.95" customHeight="1" thickBot="1" x14ac:dyDescent="0.25">
      <c r="B48" s="400"/>
      <c r="C48" s="400"/>
      <c r="D48" s="422"/>
      <c r="E48" s="422"/>
      <c r="F48" s="422"/>
      <c r="G48" s="422"/>
      <c r="H48" s="422"/>
      <c r="I48" s="422"/>
      <c r="J48" s="422"/>
      <c r="K48" s="422"/>
      <c r="L48" s="422"/>
      <c r="M48" s="422"/>
      <c r="N48" s="422"/>
      <c r="O48" s="422"/>
      <c r="P48" s="422"/>
      <c r="Q48" s="422"/>
    </row>
    <row r="49" spans="2:19" s="389" customFormat="1" ht="27" customHeight="1" thickBot="1" x14ac:dyDescent="0.25">
      <c r="B49" s="603" t="s">
        <v>447</v>
      </c>
      <c r="C49" s="604"/>
      <c r="D49" s="423"/>
      <c r="E49" s="513"/>
      <c r="F49" s="513"/>
      <c r="G49" s="513"/>
      <c r="H49" s="513"/>
      <c r="I49" s="513"/>
      <c r="J49" s="513"/>
      <c r="K49" s="513"/>
      <c r="L49" s="513"/>
      <c r="M49" s="513"/>
      <c r="N49" s="513"/>
      <c r="O49" s="513"/>
      <c r="P49" s="513"/>
      <c r="Q49" s="425" t="str">
        <f>IF(AND(D49="",E49="",F49="",H49="",I49="",J49="",L49="",M49="",N49="",O49="",P49=""),"",SUM(D49:P49))</f>
        <v/>
      </c>
    </row>
    <row r="50" spans="2:19" s="389" customFormat="1" ht="12" customHeight="1" thickBot="1" x14ac:dyDescent="0.25">
      <c r="B50" s="426"/>
      <c r="C50" s="402"/>
      <c r="D50" s="402"/>
      <c r="E50" s="422"/>
      <c r="F50" s="422"/>
      <c r="G50" s="422"/>
      <c r="H50" s="422"/>
      <c r="I50" s="422"/>
      <c r="J50" s="422"/>
      <c r="K50" s="422"/>
      <c r="L50" s="422"/>
      <c r="M50" s="422"/>
      <c r="N50" s="422"/>
      <c r="O50" s="422"/>
      <c r="P50" s="422"/>
      <c r="Q50" s="422"/>
    </row>
    <row r="51" spans="2:19" s="389" customFormat="1" ht="27" customHeight="1" thickBot="1" x14ac:dyDescent="0.25">
      <c r="B51" s="642" t="s">
        <v>448</v>
      </c>
      <c r="C51" s="643"/>
      <c r="D51" s="427" t="str">
        <f>IF(D40="","",D40)</f>
        <v/>
      </c>
      <c r="E51" s="427" t="str">
        <f t="shared" ref="E51:P51" si="2">IF(OR(E40="",E47="",E49=""),"",(E40+E47-E49))</f>
        <v/>
      </c>
      <c r="F51" s="427" t="str">
        <f t="shared" si="2"/>
        <v/>
      </c>
      <c r="G51" s="427" t="str">
        <f t="shared" si="2"/>
        <v/>
      </c>
      <c r="H51" s="427" t="str">
        <f t="shared" si="2"/>
        <v/>
      </c>
      <c r="I51" s="427" t="str">
        <f t="shared" si="2"/>
        <v/>
      </c>
      <c r="J51" s="427" t="str">
        <f t="shared" si="2"/>
        <v/>
      </c>
      <c r="K51" s="427" t="str">
        <f>IF(OR(K40="",K47="",K49=""),"",(K40+K47-K49))</f>
        <v/>
      </c>
      <c r="L51" s="427" t="str">
        <f t="shared" si="2"/>
        <v/>
      </c>
      <c r="M51" s="427" t="str">
        <f t="shared" si="2"/>
        <v/>
      </c>
      <c r="N51" s="427" t="str">
        <f t="shared" si="2"/>
        <v/>
      </c>
      <c r="O51" s="427" t="str">
        <f t="shared" si="2"/>
        <v/>
      </c>
      <c r="P51" s="427" t="str">
        <f t="shared" si="2"/>
        <v/>
      </c>
      <c r="Q51" s="425" t="str">
        <f>IF(AND(D51="",E51="",F51="",H51="",I51="",J51="",L51="",M51="",N51="",O51="",P51=""),"",SUM(D51:P51))</f>
        <v/>
      </c>
    </row>
    <row r="52" spans="2:19" s="389" customFormat="1" ht="12" customHeight="1" thickBot="1" x14ac:dyDescent="0.25">
      <c r="B52" s="426"/>
      <c r="C52" s="402"/>
      <c r="D52" s="402"/>
      <c r="E52" s="422"/>
      <c r="F52" s="422"/>
      <c r="G52" s="422"/>
      <c r="H52" s="422"/>
      <c r="I52" s="422"/>
      <c r="J52" s="422"/>
      <c r="K52" s="422"/>
      <c r="L52" s="422"/>
      <c r="M52" s="422"/>
      <c r="N52" s="422"/>
      <c r="O52" s="422"/>
      <c r="P52" s="422"/>
      <c r="Q52" s="422"/>
    </row>
    <row r="53" spans="2:19" s="389" customFormat="1" ht="18.95" customHeight="1" thickBot="1" x14ac:dyDescent="0.25">
      <c r="B53" s="623" t="s">
        <v>449</v>
      </c>
      <c r="C53" s="624"/>
      <c r="D53" s="635" t="s">
        <v>869</v>
      </c>
      <c r="E53" s="636"/>
      <c r="F53" s="636"/>
      <c r="G53" s="636"/>
      <c r="H53" s="636"/>
      <c r="I53" s="636"/>
      <c r="J53" s="636"/>
      <c r="K53" s="636"/>
      <c r="L53" s="636"/>
      <c r="M53" s="636"/>
      <c r="N53" s="636"/>
      <c r="O53" s="636"/>
      <c r="P53" s="428" t="str">
        <f>IF(OR(F40="",F47="",G40="",G47=""),"",(F40+F47+G40+G47))</f>
        <v/>
      </c>
      <c r="Q53" s="650" t="str">
        <f>IF(AND(P53&lt;&gt;"",P54&lt;&gt;"",P55&lt;&gt;""),P53+P54+P55,IF(AND(P53&lt;&gt;"",P54="",P55=""),P53,IF(AND(P53="",P54&lt;&gt;"",P55=""),P54,IF(AND(P53="",P54="",P55&lt;&gt;""),P55,IF(AND(P53="",P54="",P55=""),"",IF(AND(P53&lt;&gt;"",P54&lt;&gt;"",P55=""),P53+P54,IF(AND(P54&lt;&gt;"",P55&lt;&gt;"",P53=""),P54+P55,IF(AND(P53&lt;&gt;"",P55&lt;&gt;"",P54=""),P53+P55))))))))</f>
        <v/>
      </c>
    </row>
    <row r="54" spans="2:19" s="389" customFormat="1" ht="18.95" customHeight="1" thickBot="1" x14ac:dyDescent="0.25">
      <c r="B54" s="625"/>
      <c r="C54" s="626"/>
      <c r="D54" s="635" t="s">
        <v>870</v>
      </c>
      <c r="E54" s="636"/>
      <c r="F54" s="636"/>
      <c r="G54" s="636"/>
      <c r="H54" s="636"/>
      <c r="I54" s="636"/>
      <c r="J54" s="636"/>
      <c r="K54" s="636"/>
      <c r="L54" s="636"/>
      <c r="M54" s="636"/>
      <c r="N54" s="636"/>
      <c r="O54" s="636"/>
      <c r="P54" s="428" t="str">
        <f>IF(OR(H40="",H47=""),"",(H40+H47))</f>
        <v/>
      </c>
      <c r="Q54" s="650"/>
    </row>
    <row r="55" spans="2:19" s="389" customFormat="1" ht="18.95" customHeight="1" thickBot="1" x14ac:dyDescent="0.25">
      <c r="B55" s="627"/>
      <c r="C55" s="628"/>
      <c r="D55" s="635" t="s">
        <v>877</v>
      </c>
      <c r="E55" s="636"/>
      <c r="F55" s="636"/>
      <c r="G55" s="636"/>
      <c r="H55" s="636"/>
      <c r="I55" s="636"/>
      <c r="J55" s="636"/>
      <c r="K55" s="636"/>
      <c r="L55" s="636"/>
      <c r="M55" s="636"/>
      <c r="N55" s="636"/>
      <c r="O55" s="636"/>
      <c r="P55" s="428" t="str">
        <f>IF(OR(I40="",I47=""),"",(I40+I47))</f>
        <v/>
      </c>
      <c r="Q55" s="650"/>
    </row>
    <row r="56" spans="2:19" s="389" customFormat="1" ht="11.25" customHeight="1" x14ac:dyDescent="0.2">
      <c r="B56" s="426"/>
      <c r="E56" s="429"/>
      <c r="F56" s="429"/>
      <c r="G56" s="429"/>
      <c r="H56" s="429"/>
      <c r="I56" s="429"/>
      <c r="J56" s="429"/>
      <c r="K56" s="429"/>
      <c r="L56" s="429"/>
      <c r="M56" s="429"/>
      <c r="N56" s="429"/>
      <c r="O56" s="429"/>
      <c r="P56" s="429"/>
      <c r="Q56" s="429"/>
    </row>
    <row r="57" spans="2:19" s="389" customFormat="1" ht="27" customHeight="1" x14ac:dyDescent="0.2">
      <c r="B57" s="618" t="s">
        <v>890</v>
      </c>
      <c r="C57" s="619"/>
      <c r="D57" s="619"/>
      <c r="E57" s="619"/>
      <c r="F57" s="619"/>
      <c r="G57" s="619"/>
      <c r="H57" s="619"/>
      <c r="I57" s="619"/>
      <c r="J57" s="619"/>
      <c r="K57" s="619"/>
      <c r="L57" s="619"/>
      <c r="M57" s="619"/>
      <c r="N57" s="619"/>
      <c r="O57" s="619"/>
      <c r="P57" s="619"/>
      <c r="Q57" s="619"/>
    </row>
    <row r="58" spans="2:19" s="389" customFormat="1" ht="16.5" customHeight="1" x14ac:dyDescent="0.2">
      <c r="B58" s="592" t="s">
        <v>450</v>
      </c>
      <c r="C58" s="593"/>
      <c r="D58" s="593"/>
      <c r="E58" s="593"/>
      <c r="F58" s="593"/>
      <c r="G58" s="593"/>
      <c r="H58" s="593"/>
      <c r="I58" s="593"/>
      <c r="J58" s="593"/>
      <c r="K58" s="593"/>
      <c r="L58" s="593"/>
      <c r="M58" s="593"/>
      <c r="N58" s="593"/>
      <c r="O58" s="593"/>
      <c r="P58" s="593"/>
      <c r="Q58" s="593"/>
      <c r="S58" s="389" t="s">
        <v>70</v>
      </c>
    </row>
    <row r="59" spans="2:19" s="389" customFormat="1" ht="45.75" customHeight="1" x14ac:dyDescent="0.2">
      <c r="B59" s="594" t="s">
        <v>451</v>
      </c>
      <c r="C59" s="595"/>
      <c r="D59" s="595"/>
      <c r="E59" s="595"/>
      <c r="F59" s="595"/>
      <c r="G59" s="595"/>
      <c r="H59" s="595"/>
      <c r="I59" s="595"/>
      <c r="J59" s="595"/>
      <c r="K59" s="595"/>
      <c r="L59" s="595"/>
      <c r="M59" s="595"/>
      <c r="N59" s="595"/>
      <c r="O59" s="595"/>
      <c r="P59" s="595"/>
      <c r="Q59" s="595"/>
    </row>
    <row r="60" spans="2:19" s="389" customFormat="1" ht="45.75" customHeight="1" x14ac:dyDescent="0.2">
      <c r="B60" s="590" t="s">
        <v>871</v>
      </c>
      <c r="C60" s="590"/>
      <c r="D60" s="590"/>
      <c r="E60" s="590"/>
      <c r="F60" s="590"/>
      <c r="G60" s="590"/>
      <c r="H60" s="590"/>
      <c r="I60" s="590"/>
      <c r="J60" s="590"/>
      <c r="K60" s="590"/>
      <c r="L60" s="590"/>
      <c r="M60" s="590"/>
      <c r="N60" s="590"/>
      <c r="O60" s="590"/>
      <c r="P60" s="590"/>
      <c r="Q60" s="590"/>
    </row>
    <row r="61" spans="2:19" s="389" customFormat="1" ht="12" customHeight="1" x14ac:dyDescent="0.2">
      <c r="B61" s="590" t="s">
        <v>452</v>
      </c>
      <c r="C61" s="596"/>
      <c r="D61" s="596"/>
      <c r="E61" s="596"/>
      <c r="F61" s="596"/>
      <c r="G61" s="596"/>
      <c r="H61" s="596"/>
      <c r="I61" s="596"/>
      <c r="J61" s="596"/>
      <c r="K61" s="596"/>
      <c r="L61" s="596"/>
      <c r="M61" s="596"/>
      <c r="N61" s="596"/>
      <c r="O61" s="596"/>
      <c r="P61" s="596"/>
      <c r="Q61" s="596"/>
    </row>
    <row r="62" spans="2:19" s="389" customFormat="1" ht="14.25" customHeight="1" x14ac:dyDescent="0.2">
      <c r="B62" s="590" t="s">
        <v>453</v>
      </c>
      <c r="C62" s="590"/>
      <c r="D62" s="590"/>
      <c r="E62" s="590"/>
      <c r="F62" s="590"/>
      <c r="G62" s="590"/>
      <c r="H62" s="590"/>
      <c r="I62" s="590"/>
      <c r="J62" s="590"/>
      <c r="K62" s="590"/>
      <c r="L62" s="590"/>
      <c r="M62" s="590"/>
      <c r="N62" s="590"/>
      <c r="O62" s="590"/>
      <c r="P62" s="590"/>
      <c r="Q62" s="590"/>
    </row>
    <row r="63" spans="2:19" s="389" customFormat="1" ht="15.75" customHeight="1" x14ac:dyDescent="0.2">
      <c r="B63" s="590" t="s">
        <v>454</v>
      </c>
      <c r="C63" s="590"/>
      <c r="D63" s="590"/>
      <c r="E63" s="590"/>
      <c r="F63" s="590"/>
      <c r="G63" s="590"/>
      <c r="H63" s="590"/>
      <c r="I63" s="590"/>
      <c r="J63" s="590"/>
      <c r="K63" s="590"/>
      <c r="L63" s="590"/>
      <c r="M63" s="590"/>
      <c r="N63" s="590"/>
      <c r="O63" s="590"/>
      <c r="P63" s="590"/>
      <c r="Q63" s="590"/>
    </row>
    <row r="64" spans="2:19" s="389" customFormat="1" ht="70.5" customHeight="1" x14ac:dyDescent="0.2">
      <c r="B64" s="590" t="s">
        <v>455</v>
      </c>
      <c r="C64" s="590"/>
      <c r="D64" s="590"/>
      <c r="E64" s="590"/>
      <c r="F64" s="590"/>
      <c r="G64" s="590"/>
      <c r="H64" s="590"/>
      <c r="I64" s="590"/>
      <c r="J64" s="590"/>
      <c r="K64" s="590"/>
      <c r="L64" s="590"/>
      <c r="M64" s="590"/>
      <c r="N64" s="590"/>
      <c r="O64" s="590"/>
      <c r="P64" s="590"/>
      <c r="Q64" s="590"/>
    </row>
    <row r="65" spans="2:17" s="389" customFormat="1" ht="13.5" customHeight="1" x14ac:dyDescent="0.2">
      <c r="B65" s="590" t="s">
        <v>456</v>
      </c>
      <c r="C65" s="591"/>
      <c r="D65" s="591"/>
      <c r="E65" s="591"/>
      <c r="F65" s="591"/>
      <c r="G65" s="591"/>
      <c r="H65" s="591"/>
      <c r="I65" s="591"/>
      <c r="J65" s="591"/>
      <c r="K65" s="591"/>
      <c r="L65" s="591"/>
      <c r="M65" s="591"/>
      <c r="N65" s="591"/>
      <c r="O65" s="591"/>
      <c r="P65" s="591"/>
      <c r="Q65" s="591"/>
    </row>
    <row r="66" spans="2:17" s="389" customFormat="1" ht="96.75" customHeight="1" x14ac:dyDescent="0.2">
      <c r="B66" s="577" t="s">
        <v>872</v>
      </c>
      <c r="C66" s="577"/>
      <c r="D66" s="577"/>
      <c r="E66" s="577"/>
      <c r="F66" s="577"/>
      <c r="G66" s="577"/>
      <c r="H66" s="577"/>
      <c r="I66" s="577"/>
      <c r="J66" s="577"/>
      <c r="K66" s="577"/>
      <c r="L66" s="577"/>
      <c r="M66" s="577"/>
      <c r="N66" s="577"/>
      <c r="O66" s="577"/>
      <c r="P66" s="577"/>
      <c r="Q66" s="577"/>
    </row>
    <row r="67" spans="2:17" s="389" customFormat="1" ht="111" customHeight="1" x14ac:dyDescent="0.2">
      <c r="B67" s="639" t="s">
        <v>457</v>
      </c>
      <c r="C67" s="640"/>
      <c r="D67" s="640"/>
      <c r="E67" s="640"/>
      <c r="F67" s="640"/>
      <c r="G67" s="640"/>
      <c r="H67" s="640"/>
      <c r="I67" s="640"/>
      <c r="J67" s="640"/>
      <c r="K67" s="640"/>
      <c r="L67" s="640"/>
      <c r="M67" s="640"/>
      <c r="N67" s="640"/>
      <c r="O67" s="640"/>
      <c r="P67" s="640"/>
      <c r="Q67" s="640"/>
    </row>
    <row r="68" spans="2:17" x14ac:dyDescent="0.2">
      <c r="B68" s="430"/>
      <c r="C68" s="430"/>
      <c r="D68" s="430"/>
      <c r="E68" s="430"/>
      <c r="F68" s="430"/>
      <c r="G68" s="430"/>
      <c r="H68" s="430"/>
      <c r="I68" s="430"/>
      <c r="J68" s="430"/>
      <c r="K68" s="430"/>
      <c r="L68" s="430"/>
      <c r="M68" s="430"/>
      <c r="N68" s="430"/>
      <c r="O68" s="430"/>
      <c r="P68" s="430"/>
      <c r="Q68" s="430"/>
    </row>
    <row r="69" spans="2:17" x14ac:dyDescent="0.2">
      <c r="B69" s="430"/>
      <c r="C69" s="430"/>
      <c r="D69" s="430"/>
      <c r="E69" s="430"/>
      <c r="F69" s="430"/>
      <c r="G69" s="430"/>
      <c r="H69" s="430"/>
      <c r="I69" s="430"/>
      <c r="J69" s="430"/>
      <c r="K69" s="430"/>
      <c r="L69" s="430"/>
      <c r="M69" s="430"/>
      <c r="N69" s="430"/>
      <c r="O69" s="430"/>
      <c r="P69" s="430"/>
      <c r="Q69" s="430"/>
    </row>
    <row r="70" spans="2:17" x14ac:dyDescent="0.2">
      <c r="B70" s="430"/>
      <c r="C70" s="430"/>
      <c r="D70" s="430"/>
      <c r="E70" s="430"/>
      <c r="F70" s="430"/>
      <c r="G70" s="430"/>
      <c r="H70" s="430"/>
      <c r="I70" s="430"/>
      <c r="J70" s="430"/>
      <c r="K70" s="430"/>
      <c r="L70" s="430"/>
      <c r="M70" s="430"/>
      <c r="N70" s="430"/>
      <c r="O70" s="430"/>
      <c r="P70" s="430"/>
      <c r="Q70" s="430"/>
    </row>
    <row r="71" spans="2:17" x14ac:dyDescent="0.2">
      <c r="B71" s="430"/>
      <c r="C71" s="430"/>
      <c r="D71" s="430"/>
      <c r="E71" s="430"/>
      <c r="F71" s="430"/>
      <c r="G71" s="430"/>
      <c r="H71" s="430"/>
      <c r="I71" s="430"/>
      <c r="J71" s="430"/>
      <c r="K71" s="430"/>
      <c r="L71" s="430"/>
      <c r="M71" s="430"/>
      <c r="N71" s="430"/>
      <c r="O71" s="430"/>
      <c r="P71" s="430"/>
      <c r="Q71" s="430"/>
    </row>
    <row r="72" spans="2:17" x14ac:dyDescent="0.2">
      <c r="B72" s="430"/>
      <c r="C72" s="430"/>
      <c r="D72" s="430"/>
      <c r="E72" s="430"/>
      <c r="F72" s="430"/>
      <c r="G72" s="430"/>
      <c r="H72" s="430"/>
      <c r="I72" s="430"/>
      <c r="J72" s="430"/>
      <c r="K72" s="430"/>
      <c r="L72" s="430"/>
      <c r="M72" s="430"/>
      <c r="N72" s="430"/>
      <c r="O72" s="430"/>
      <c r="P72" s="430"/>
      <c r="Q72" s="430"/>
    </row>
    <row r="73" spans="2:17" x14ac:dyDescent="0.2">
      <c r="B73" s="430"/>
      <c r="C73" s="430"/>
      <c r="D73" s="430"/>
      <c r="E73" s="430"/>
      <c r="F73" s="430"/>
      <c r="G73" s="430"/>
      <c r="H73" s="430"/>
      <c r="I73" s="430"/>
      <c r="J73" s="430"/>
      <c r="K73" s="430"/>
      <c r="L73" s="430"/>
      <c r="M73" s="430"/>
      <c r="N73" s="430"/>
      <c r="O73" s="430"/>
      <c r="P73" s="430"/>
      <c r="Q73" s="430"/>
    </row>
    <row r="74" spans="2:17" x14ac:dyDescent="0.2">
      <c r="B74" s="430"/>
      <c r="C74" s="430"/>
      <c r="D74" s="430"/>
      <c r="E74" s="430"/>
      <c r="F74" s="430"/>
      <c r="G74" s="430"/>
      <c r="H74" s="430"/>
      <c r="I74" s="430"/>
      <c r="J74" s="430"/>
      <c r="K74" s="430"/>
      <c r="L74" s="430"/>
      <c r="M74" s="430"/>
      <c r="N74" s="430"/>
      <c r="O74" s="430"/>
      <c r="P74" s="430"/>
      <c r="Q74" s="430"/>
    </row>
    <row r="75" spans="2:17" x14ac:dyDescent="0.2">
      <c r="B75" s="430"/>
      <c r="C75" s="430"/>
      <c r="D75" s="430"/>
      <c r="E75" s="430"/>
      <c r="F75" s="430"/>
      <c r="G75" s="430"/>
      <c r="H75" s="430"/>
      <c r="I75" s="430"/>
      <c r="J75" s="430"/>
      <c r="K75" s="430"/>
      <c r="L75" s="430"/>
      <c r="M75" s="430"/>
      <c r="N75" s="430"/>
      <c r="O75" s="430"/>
      <c r="P75" s="430"/>
      <c r="Q75" s="430"/>
    </row>
    <row r="76" spans="2:17" x14ac:dyDescent="0.2">
      <c r="B76" s="430"/>
      <c r="C76" s="430"/>
      <c r="D76" s="430"/>
      <c r="E76" s="430"/>
      <c r="F76" s="430"/>
      <c r="G76" s="430"/>
      <c r="H76" s="430"/>
      <c r="I76" s="430"/>
      <c r="J76" s="430"/>
      <c r="K76" s="430"/>
      <c r="L76" s="430"/>
      <c r="M76" s="430"/>
      <c r="N76" s="430"/>
      <c r="O76" s="430"/>
      <c r="P76" s="430"/>
      <c r="Q76" s="430"/>
    </row>
    <row r="77" spans="2:17" x14ac:dyDescent="0.2">
      <c r="B77" s="430"/>
      <c r="C77" s="430"/>
      <c r="D77" s="430"/>
      <c r="E77" s="430"/>
      <c r="F77" s="430"/>
      <c r="G77" s="430"/>
      <c r="H77" s="430"/>
      <c r="I77" s="430"/>
      <c r="J77" s="430"/>
      <c r="K77" s="430"/>
      <c r="L77" s="430"/>
      <c r="M77" s="430"/>
      <c r="N77" s="430"/>
      <c r="O77" s="430"/>
      <c r="P77" s="430"/>
      <c r="Q77" s="430"/>
    </row>
    <row r="78" spans="2:17" x14ac:dyDescent="0.2">
      <c r="B78" s="430"/>
      <c r="C78" s="430"/>
      <c r="D78" s="430"/>
      <c r="E78" s="430"/>
      <c r="F78" s="430"/>
      <c r="G78" s="430"/>
      <c r="H78" s="430"/>
      <c r="I78" s="430"/>
      <c r="J78" s="430"/>
      <c r="K78" s="430"/>
      <c r="L78" s="430"/>
      <c r="M78" s="430"/>
      <c r="N78" s="430"/>
      <c r="O78" s="430"/>
      <c r="P78" s="430"/>
      <c r="Q78" s="430"/>
    </row>
    <row r="79" spans="2:17" x14ac:dyDescent="0.2">
      <c r="B79" s="430"/>
      <c r="C79" s="430"/>
      <c r="D79" s="430"/>
      <c r="E79" s="430"/>
      <c r="F79" s="430"/>
      <c r="G79" s="430"/>
      <c r="H79" s="430"/>
      <c r="I79" s="430"/>
      <c r="J79" s="430"/>
      <c r="K79" s="430"/>
      <c r="L79" s="430"/>
      <c r="M79" s="430"/>
      <c r="N79" s="430"/>
      <c r="O79" s="430"/>
      <c r="P79" s="430"/>
      <c r="Q79" s="430"/>
    </row>
    <row r="80" spans="2:17" x14ac:dyDescent="0.2">
      <c r="B80" s="430"/>
      <c r="C80" s="430"/>
      <c r="D80" s="430"/>
      <c r="E80" s="430"/>
      <c r="F80" s="430"/>
      <c r="G80" s="430"/>
      <c r="H80" s="430"/>
      <c r="I80" s="430"/>
      <c r="J80" s="430"/>
      <c r="K80" s="430"/>
      <c r="L80" s="430"/>
      <c r="M80" s="430"/>
      <c r="N80" s="430"/>
      <c r="O80" s="430"/>
      <c r="P80" s="430"/>
      <c r="Q80" s="430"/>
    </row>
    <row r="81" spans="2:17" x14ac:dyDescent="0.2">
      <c r="B81" s="430"/>
      <c r="C81" s="430"/>
      <c r="D81" s="430"/>
      <c r="E81" s="430"/>
      <c r="F81" s="430"/>
      <c r="G81" s="430"/>
      <c r="H81" s="430"/>
      <c r="I81" s="430"/>
      <c r="J81" s="430"/>
      <c r="K81" s="430"/>
      <c r="L81" s="430"/>
      <c r="M81" s="430"/>
      <c r="N81" s="430"/>
      <c r="O81" s="430"/>
      <c r="P81" s="430"/>
      <c r="Q81" s="430"/>
    </row>
  </sheetData>
  <sheetProtection algorithmName="SHA-512" hashValue="ZMyg94q8JJLQWfpA+UMnsXiYH4Aig/bCKYjGczE+7WQVTF1QFJSzpeivQxgmpGdCpK+g4GYkPVGXKcZ9QoVpFg==" saltValue="7+FqvVHGM1x+OHkghC30oA==" spinCount="100000" sheet="1" objects="1" selectLockedCells="1"/>
  <dataConsolidate/>
  <customSheetViews>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61">
    <mergeCell ref="B21:E21"/>
    <mergeCell ref="B22:E22"/>
    <mergeCell ref="B24:E24"/>
    <mergeCell ref="B25:E25"/>
    <mergeCell ref="F24:Q24"/>
    <mergeCell ref="F25:Q25"/>
    <mergeCell ref="B67:Q67"/>
    <mergeCell ref="B4:Q4"/>
    <mergeCell ref="B51:C51"/>
    <mergeCell ref="C14:E14"/>
    <mergeCell ref="J19:Q19"/>
    <mergeCell ref="J18:Q18"/>
    <mergeCell ref="O14:Q14"/>
    <mergeCell ref="D53:O53"/>
    <mergeCell ref="Q53:Q55"/>
    <mergeCell ref="D54:O54"/>
    <mergeCell ref="C12:E12"/>
    <mergeCell ref="B12:B13"/>
    <mergeCell ref="I22:P22"/>
    <mergeCell ref="I21:P21"/>
    <mergeCell ref="B27:Q27"/>
    <mergeCell ref="O16:Q16"/>
    <mergeCell ref="F29:N29"/>
    <mergeCell ref="I26:Q26"/>
    <mergeCell ref="D55:O55"/>
    <mergeCell ref="B32:Q32"/>
    <mergeCell ref="B36:C36"/>
    <mergeCell ref="B37:C37"/>
    <mergeCell ref="B38:C38"/>
    <mergeCell ref="B64:Q64"/>
    <mergeCell ref="O29:O30"/>
    <mergeCell ref="P29:P30"/>
    <mergeCell ref="B49:C49"/>
    <mergeCell ref="B39:C39"/>
    <mergeCell ref="B33:B35"/>
    <mergeCell ref="B44:Q44"/>
    <mergeCell ref="B45:C45"/>
    <mergeCell ref="B46:C46"/>
    <mergeCell ref="B47:C47"/>
    <mergeCell ref="B57:Q57"/>
    <mergeCell ref="B28:C30"/>
    <mergeCell ref="D28:E29"/>
    <mergeCell ref="B53:C55"/>
    <mergeCell ref="Q28:Q30"/>
    <mergeCell ref="B42:C42"/>
    <mergeCell ref="B66:Q66"/>
    <mergeCell ref="O6:Q6"/>
    <mergeCell ref="C10:Q10"/>
    <mergeCell ref="C8:Q8"/>
    <mergeCell ref="C6:E6"/>
    <mergeCell ref="O12:Q12"/>
    <mergeCell ref="C16:E16"/>
    <mergeCell ref="B65:Q65"/>
    <mergeCell ref="B58:Q58"/>
    <mergeCell ref="B59:Q59"/>
    <mergeCell ref="B60:Q60"/>
    <mergeCell ref="B61:Q61"/>
    <mergeCell ref="B62:Q62"/>
    <mergeCell ref="F28:P28"/>
    <mergeCell ref="B40:C40"/>
    <mergeCell ref="B63:Q63"/>
  </mergeCells>
  <phoneticPr fontId="39" type="noConversion"/>
  <conditionalFormatting sqref="B22">
    <cfRule type="expression" dxfId="150" priority="16">
      <formula>LEN(TRIM($B$22))=0</formula>
    </cfRule>
  </conditionalFormatting>
  <conditionalFormatting sqref="B25">
    <cfRule type="expression" dxfId="149" priority="51">
      <formula>LEN(TRIM(B25))=0</formula>
    </cfRule>
  </conditionalFormatting>
  <conditionalFormatting sqref="C6:E6">
    <cfRule type="expression" dxfId="148" priority="57">
      <formula>LEN(TRIM(C6))=0</formula>
    </cfRule>
  </conditionalFormatting>
  <conditionalFormatting sqref="C12:E12">
    <cfRule type="expression" dxfId="147" priority="4">
      <formula>$B$22&lt;&gt;"Germany"</formula>
    </cfRule>
    <cfRule type="expression" dxfId="146" priority="5">
      <formula>LEN(TRIM(C12))=0</formula>
    </cfRule>
  </conditionalFormatting>
  <conditionalFormatting sqref="C14:E14">
    <cfRule type="expression" dxfId="145" priority="1">
      <formula>$B$22&lt;&gt;"Germany"</formula>
    </cfRule>
    <cfRule type="expression" dxfId="144" priority="2">
      <formula>LEN(TRIM(C14))=0</formula>
    </cfRule>
  </conditionalFormatting>
  <conditionalFormatting sqref="C16:E16">
    <cfRule type="expression" dxfId="143" priority="56">
      <formula>LEN(TRIM(C16))=0</formula>
    </cfRule>
  </conditionalFormatting>
  <conditionalFormatting sqref="E35:P38 D39:P39 D33:P34">
    <cfRule type="expression" dxfId="142" priority="17">
      <formula>LEN(TRIM(D33))=0</formula>
    </cfRule>
  </conditionalFormatting>
  <conditionalFormatting sqref="E45:P45 E46 O46:P46 E47:P47">
    <cfRule type="expression" dxfId="141" priority="13">
      <formula>LEN(TRIM(E45))=0</formula>
    </cfRule>
  </conditionalFormatting>
  <conditionalFormatting sqref="E49:P49">
    <cfRule type="expression" dxfId="140" priority="18">
      <formula>LEN(TRIM(E49))=0</formula>
    </cfRule>
  </conditionalFormatting>
  <conditionalFormatting sqref="F42:P42">
    <cfRule type="expression" dxfId="139" priority="22">
      <formula>LEN(TRIM(F42))=0</formula>
    </cfRule>
  </conditionalFormatting>
  <conditionalFormatting sqref="O12:Q12">
    <cfRule type="expression" dxfId="138" priority="55">
      <formula>LEN(TRIM(O12))=0</formula>
    </cfRule>
  </conditionalFormatting>
  <dataValidations xWindow="246" yWindow="423" count="16">
    <dataValidation allowBlank="1" showInputMessage="1" showErrorMessage="1" errorTitle="Eingabefehler" sqref="O14:P14 O16:P16" xr:uid="{00000000-0002-0000-0000-000000000000}"/>
    <dataValidation type="textLength" allowBlank="1" showInputMessage="1" showErrorMessage="1" errorTitle="Eingabefehler" error="Nur Texteingabe möglich." prompt="Name, Vorname" sqref="F14:H14" xr:uid="{00000000-0002-0000-0000-000001000000}">
      <formula1>0</formula1>
      <formula2>100</formula2>
    </dataValidation>
    <dataValidation type="date" allowBlank="1" showInputMessage="1" showErrorMessage="1" errorTitle="Eingabefehler" error="Erstelldatum: dd.mm.jjjj" sqref="F16:H16" xr:uid="{00000000-0002-0000-0000-000002000000}">
      <formula1>41275</formula1>
      <formula2>41791</formula2>
    </dataValidation>
    <dataValidation type="date" errorStyle="information" allowBlank="1" showInputMessage="1" showErrorMessage="1" errorTitle="Kennzahlenjahr" error="Es können nur Kennzahlenjahre von 2012 bis 2014 eingetragen werden." sqref="O17:Q17 O20:Q20" xr:uid="{00000000-0002-0000-0000-000004000000}">
      <formula1>2010</formula1>
      <formula2>2012</formula2>
    </dataValidation>
    <dataValidation showInputMessage="1" showErrorMessage="1" errorTitle="Hinweis" error="Auswahl treffen über Dropdown-Liste." sqref="J19:Q19 I22:Q22" xr:uid="{00000000-0002-0000-0000-000005000000}"/>
    <dataValidation operator="greaterThan" allowBlank="1" showInputMessage="1" showErrorMessage="1" sqref="Q28" xr:uid="{00000000-0002-0000-0000-000006000000}"/>
    <dataValidation type="textLength" allowBlank="1" showErrorMessage="1" errorTitle="Eingabefehler" error="Nur Texteingabe bis 100 Zeichen möglich." prompt="Name, Vorname" sqref="F12:H12" xr:uid="{00000000-0002-0000-0000-000007000000}">
      <formula1>0</formula1>
      <formula2>100</formula2>
    </dataValidation>
    <dataValidation type="date" allowBlank="1" showErrorMessage="1" errorTitle="Input data error" error="Format: dd.mm.yyyy_x000a__x000a_Time period between 01.10.2025 - 31.01.2027." sqref="O12:Q12" xr:uid="{00000000-0002-0000-0000-000008000000}">
      <formula1>45931</formula1>
      <formula2>46418</formula2>
    </dataValidation>
    <dataValidation type="whole" showInputMessage="1" showErrorMessage="1" errorTitle="Input data error" error="Proportion of patients with history_x000a_&quot;AS/WW&quot; cannot be bigger than &quot;Total primary cases&quot;." sqref="F42:P42" xr:uid="{00000000-0002-0000-0000-00000A000000}">
      <formula1>0</formula1>
      <formula2>IF(F40="",0,F40)</formula2>
    </dataValidation>
    <dataValidation allowBlank="1" showInputMessage="1" showErrorMessage="1" errorTitle="Hinweis" error="Auswahl treffen über Dropdown-Liste." sqref="F6:H7" xr:uid="{00000000-0002-0000-0000-00000B000000}"/>
    <dataValidation type="whole" showInputMessage="1" showErrorMessage="1" errorTitle="Input data error" error="Pat. with &quot;parallel status of primary cases&quot; cannot be bigger than &quot;Total pat.&quot;" sqref="D49:P49" xr:uid="{00000000-0002-0000-0000-00000C000000}">
      <formula1>0</formula1>
      <formula2>D47</formula2>
    </dataValidation>
    <dataValidation type="whole" allowBlank="1" showInputMessage="1" showErrorMessage="1" errorTitle="Input data error" error="Whole number between 0 and 5000." sqref="D45:P46 D33:P39" xr:uid="{00000000-0002-0000-0000-00000D000000}">
      <formula1>0</formula1>
      <formula2>5000</formula2>
    </dataValidation>
    <dataValidation type="textLength" allowBlank="1" showErrorMessage="1" errorTitle="Input data error" error="Text input only up 100 characters" prompt="Name, Vorname" sqref="C16:E16" xr:uid="{00000000-0002-0000-0000-00000E000000}">
      <formula1>0</formula1>
      <formula2>100</formula2>
    </dataValidation>
    <dataValidation type="whole" allowBlank="1" showInputMessage="1" showErrorMessage="1" errorTitle="Input data error" error="The total of patients cannot be bigger than &quot;patients newly diagnosed recurrence and / or remote metastasis&quot;" sqref="D47:P47" xr:uid="{00000000-0002-0000-0000-00000F000000}">
      <formula1>0</formula1>
      <formula2>D45+D46</formula2>
    </dataValidation>
    <dataValidation type="whole" allowBlank="1" showErrorMessage="1" errorTitle="Input data error" error="The Institution identification (II) number must be a 9-digit sequence of numbers beginning with 26." prompt="Name, Vorname" sqref="C12:E12" xr:uid="{9FF318DD-8878-4C9C-875E-F6A8650AF5CA}">
      <formula1>260000000</formula1>
      <formula2>269999999</formula2>
    </dataValidation>
    <dataValidation type="whole" allowBlank="1" showErrorMessage="1" errorTitle="Input data error" error="The Clinical sites number must be a 9-digit sequence of numbers beginning with 77._x000a_" prompt="Name, Vorname" sqref="C14:E14" xr:uid="{AEB8E2F4-6B56-431F-BF4D-A52EFFA2F50A}">
      <formula1>770000000</formula1>
      <formula2>779999999</formula2>
    </dataValidation>
  </dataValidations>
  <pageMargins left="0.59055118110236227" right="3.937007874015748E-2" top="0.39370078740157483" bottom="0.39370078740157483" header="0.31496062992125984" footer="0.11811023622047245"/>
  <pageSetup paperSize="9" scale="69" orientation="portrait" r:id="rId3"/>
  <headerFooter>
    <oddFooter>&amp;L&amp;"Arial,Regular"&amp;7&amp;F&amp;R&amp;"Arial,Regular"&amp;7&amp;P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55" max="14" man="1"/>
  </rowBreaks>
  <drawing r:id="rId4"/>
  <legacyDrawing r:id="rId5"/>
  <legacyDrawingHF r:id="rId6"/>
  <extLst>
    <ext xmlns:x14="http://schemas.microsoft.com/office/spreadsheetml/2009/9/main" uri="{CCE6A557-97BC-4b89-ADB6-D9C93CAAB3DF}">
      <x14:dataValidations xmlns:xm="http://schemas.microsoft.com/office/excel/2006/main" xWindow="246" yWindow="423" count="3">
        <x14:dataValidation type="list" showInputMessage="1" showErrorMessage="1" errorTitle="Indication" error="Select option via drop-down list." xr:uid="{00000000-0002-0000-0000-000003000000}">
          <x14:formula1>
            <xm:f>Datenquelle!$B$2:$B$24</xm:f>
          </x14:formula1>
          <xm:sqref>B25</xm:sqref>
        </x14:dataValidation>
        <x14:dataValidation type="list" allowBlank="1" showInputMessage="1" showErrorMessage="1" errorTitle="Indication" error="Select option via drop-down list" xr:uid="{00000000-0002-0000-0000-000009000000}">
          <x14:formula1>
            <xm:f>Datenquelle!$A$69:$A$70</xm:f>
          </x14:formula1>
          <xm:sqref>C6:E6</xm:sqref>
        </x14:dataValidation>
        <x14:dataValidation type="list" allowBlank="1" showInputMessage="1" showErrorMessage="1" errorTitle="Indication" error="Select option via drop-down list" xr:uid="{00000000-0002-0000-0000-000010000000}">
          <x14:formula1>
            <xm:f>Datenquelle!$A$72:$A$267</xm:f>
          </x14:formula1>
          <xm:sqref>B22 F22:H22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2"/>
  <dimension ref="A2:O178"/>
  <sheetViews>
    <sheetView showGridLines="0" topLeftCell="B1" zoomScaleNormal="100" workbookViewId="0">
      <selection activeCell="B8" sqref="B8"/>
    </sheetView>
  </sheetViews>
  <sheetFormatPr defaultColWidth="11.42578125" defaultRowHeight="15" x14ac:dyDescent="0.25"/>
  <cols>
    <col min="1" max="1" width="14" customWidth="1"/>
    <col min="2" max="2" width="14.85546875" customWidth="1"/>
    <col min="3" max="3" width="23" customWidth="1"/>
    <col min="4" max="4" width="20.4257812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29"/>
    </row>
    <row r="3" spans="1:15" s="3" customFormat="1" x14ac:dyDescent="0.25">
      <c r="C3" s="29"/>
      <c r="D3" s="82" t="s">
        <v>74</v>
      </c>
      <c r="M3" s="21"/>
      <c r="N3" s="21"/>
      <c r="O3" s="21"/>
    </row>
    <row r="4" spans="1:15" s="3" customFormat="1" ht="26.25" customHeight="1" x14ac:dyDescent="0.2">
      <c r="A4" s="84" t="s">
        <v>79</v>
      </c>
      <c r="C4" s="167" t="s">
        <v>658</v>
      </c>
      <c r="D4" s="167" t="s">
        <v>705</v>
      </c>
      <c r="E4" s="167" t="s">
        <v>706</v>
      </c>
      <c r="F4" s="167" t="s">
        <v>663</v>
      </c>
      <c r="G4" s="167" t="s">
        <v>662</v>
      </c>
      <c r="H4" s="167" t="s">
        <v>707</v>
      </c>
      <c r="I4" s="167" t="s">
        <v>708</v>
      </c>
      <c r="K4" s="435" t="s">
        <v>401</v>
      </c>
      <c r="M4" s="21"/>
      <c r="N4" s="21"/>
      <c r="O4" s="21"/>
    </row>
    <row r="5" spans="1:15" s="3" customFormat="1" ht="14.25" x14ac:dyDescent="0.2">
      <c r="A5" s="46"/>
      <c r="C5" s="81">
        <f>COUNTIF('Indicator sheet'!$R$8:$R$76,C4)+COUNTIF('Indicator sheet'!$R$77:$R$91,C4)</f>
        <v>0</v>
      </c>
      <c r="D5" s="81">
        <f>COUNTIF('Indicator sheet'!$R$8:$R$76,D4)+COUNTIF('Indicator sheet'!$R$77:$R$91,D4)</f>
        <v>0</v>
      </c>
      <c r="E5" s="81">
        <f>COUNTIF('Indicator sheet'!$R$8:$R$76,E4)+COUNTIF('Indicator sheet'!$R$77:$R$91,E4)</f>
        <v>0</v>
      </c>
      <c r="F5" s="81">
        <f>COUNTIF('Indicator sheet'!$R$8:$R$76,F4)+COUNTIF('Indicator sheet'!$R$77:$R$91,F4)</f>
        <v>28</v>
      </c>
      <c r="G5" s="81">
        <f>COUNTIF('Indicator sheet'!$R$8:$R$76,G4)+COUNTIF('Indicator sheet'!$R$77:$R$91,G4)</f>
        <v>0</v>
      </c>
      <c r="H5" s="81">
        <f>COUNTIF('Indicator sheet'!$R$8:$R$76,H4)+COUNTIF('Indicator sheet'!$R$77:$R$91,H4)</f>
        <v>0</v>
      </c>
      <c r="I5" s="81">
        <f>SUM(C5:H5)</f>
        <v>28</v>
      </c>
      <c r="K5" s="81">
        <f>D5+H5</f>
        <v>0</v>
      </c>
      <c r="M5" s="21"/>
      <c r="N5" s="21"/>
      <c r="O5" s="21"/>
    </row>
    <row r="6" spans="1:15" s="3" customFormat="1" ht="14.25" x14ac:dyDescent="0.2">
      <c r="A6" s="46"/>
      <c r="C6" s="81"/>
      <c r="D6" s="81">
        <f>C5+D5+H5</f>
        <v>0</v>
      </c>
      <c r="E6" s="81">
        <f>E5</f>
        <v>0</v>
      </c>
      <c r="F6" s="81"/>
      <c r="G6" s="81">
        <f>F5+G5</f>
        <v>28</v>
      </c>
      <c r="H6" s="81">
        <f>H5+D5+C5</f>
        <v>0</v>
      </c>
      <c r="I6" s="81">
        <f>SUM(C6:H6)</f>
        <v>28</v>
      </c>
      <c r="K6" s="81"/>
      <c r="M6" s="21"/>
      <c r="N6" s="21"/>
      <c r="O6" s="21"/>
    </row>
    <row r="7" spans="1:15" s="3" customFormat="1" ht="14.25" x14ac:dyDescent="0.2">
      <c r="A7" s="46"/>
      <c r="B7" s="3" t="s">
        <v>344</v>
      </c>
      <c r="C7" s="81"/>
      <c r="D7" s="81"/>
      <c r="E7" s="81">
        <f>D6+E6</f>
        <v>0</v>
      </c>
      <c r="F7" s="81"/>
      <c r="G7" s="81">
        <f>G6</f>
        <v>28</v>
      </c>
      <c r="H7" s="81"/>
      <c r="I7" s="81">
        <f>SUM(C7:H7)</f>
        <v>28</v>
      </c>
      <c r="K7" s="81"/>
      <c r="M7" s="21"/>
      <c r="N7" s="21"/>
      <c r="O7" s="21"/>
    </row>
    <row r="8" spans="1:15" s="3" customFormat="1" ht="14.25" x14ac:dyDescent="0.2">
      <c r="A8" s="46"/>
      <c r="B8" s="433">
        <v>28</v>
      </c>
      <c r="C8" s="367">
        <f t="shared" ref="C8:G8" si="0">ROUND(C5/$B$8,4)</f>
        <v>0</v>
      </c>
      <c r="D8" s="367">
        <f>ROUND(D5/$B$8,4)</f>
        <v>0</v>
      </c>
      <c r="E8" s="367">
        <f t="shared" si="0"/>
        <v>0</v>
      </c>
      <c r="F8" s="367">
        <f>ROUND(F5/$B$8,4)</f>
        <v>1</v>
      </c>
      <c r="G8" s="367">
        <f t="shared" si="0"/>
        <v>0</v>
      </c>
      <c r="H8" s="367">
        <f>ROUND(H5/$B$8,4)</f>
        <v>0</v>
      </c>
      <c r="I8" s="367">
        <f>SUM(C8:H8)</f>
        <v>1</v>
      </c>
      <c r="K8" s="367">
        <f>D8+H8</f>
        <v>0</v>
      </c>
      <c r="M8" s="21"/>
      <c r="N8" s="21"/>
      <c r="O8" s="21"/>
    </row>
    <row r="9" spans="1:15" s="3" customFormat="1" ht="14.25" x14ac:dyDescent="0.2">
      <c r="A9" s="46"/>
      <c r="C9" s="367"/>
      <c r="D9" s="367">
        <f>ROUND((C5+D5+H5)/$B$8,4)</f>
        <v>0</v>
      </c>
      <c r="E9" s="367">
        <f>ROUND(E5/$B$8,4)</f>
        <v>0</v>
      </c>
      <c r="F9" s="367"/>
      <c r="G9" s="367">
        <f>ROUND((F5+G5)/$B$8,4)</f>
        <v>1</v>
      </c>
      <c r="H9" s="367">
        <f>ROUND((H5+D5+C5)/$B$8,4)</f>
        <v>0</v>
      </c>
      <c r="I9" s="367">
        <f>SUM(C9:G9)</f>
        <v>1</v>
      </c>
      <c r="K9" s="367"/>
      <c r="M9" s="21"/>
      <c r="N9" s="21"/>
      <c r="O9" s="21"/>
    </row>
    <row r="10" spans="1:15" s="3" customFormat="1" ht="14.25" x14ac:dyDescent="0.2">
      <c r="A10" s="46"/>
      <c r="C10" s="368"/>
      <c r="D10" s="368"/>
      <c r="E10" s="367">
        <f>ROUND((C5+D5+E5+H5)/$B$8,4)</f>
        <v>0</v>
      </c>
      <c r="F10" s="368"/>
      <c r="G10" s="367">
        <f>G9</f>
        <v>1</v>
      </c>
      <c r="H10" s="367"/>
      <c r="I10" s="367">
        <f>SUM(C10:H10)</f>
        <v>1</v>
      </c>
      <c r="K10" s="81"/>
      <c r="M10" s="21"/>
      <c r="N10" s="21"/>
      <c r="O10" s="21"/>
    </row>
    <row r="11" spans="1:15" s="3" customFormat="1" ht="14.25" x14ac:dyDescent="0.2">
      <c r="A11" s="46"/>
      <c r="E11" s="53"/>
      <c r="G11" s="53"/>
      <c r="H11" s="53"/>
      <c r="I11" s="53"/>
      <c r="M11" s="21"/>
      <c r="N11" s="21"/>
      <c r="O11" s="21"/>
    </row>
    <row r="12" spans="1:15" s="3" customFormat="1" ht="14.25" x14ac:dyDescent="0.2">
      <c r="A12" s="46"/>
      <c r="E12" s="53"/>
      <c r="G12" s="53"/>
      <c r="H12" s="53"/>
      <c r="I12" s="53"/>
      <c r="M12" s="21"/>
      <c r="N12" s="21"/>
      <c r="O12" s="21"/>
    </row>
    <row r="13" spans="1:15" s="3" customFormat="1" ht="14.25" x14ac:dyDescent="0.2">
      <c r="A13" s="46"/>
      <c r="M13" s="21"/>
      <c r="N13" s="21"/>
      <c r="O13" s="21"/>
    </row>
    <row r="14" spans="1:15" s="3" customFormat="1" ht="14.25" x14ac:dyDescent="0.2">
      <c r="A14" s="46"/>
      <c r="M14" s="21"/>
      <c r="N14" s="21"/>
      <c r="O14" s="21"/>
    </row>
    <row r="15" spans="1:15" s="3" customFormat="1" x14ac:dyDescent="0.25">
      <c r="A15" s="46"/>
      <c r="C15" s="29"/>
      <c r="M15" s="21"/>
      <c r="N15" s="21"/>
      <c r="O15" s="21"/>
    </row>
    <row r="16" spans="1:15" s="3" customFormat="1" ht="24" x14ac:dyDescent="0.2">
      <c r="A16" s="84" t="s">
        <v>80</v>
      </c>
      <c r="C16" s="167" t="s">
        <v>709</v>
      </c>
      <c r="D16" s="167" t="s">
        <v>710</v>
      </c>
      <c r="E16" s="167" t="s">
        <v>711</v>
      </c>
      <c r="F16" s="167" t="s">
        <v>712</v>
      </c>
      <c r="G16" s="167" t="s">
        <v>713</v>
      </c>
      <c r="H16" s="167" t="s">
        <v>714</v>
      </c>
      <c r="M16" s="21"/>
      <c r="N16" s="21"/>
      <c r="O16" s="21"/>
    </row>
    <row r="17" spans="1:15" s="3" customFormat="1" ht="14.25" x14ac:dyDescent="0.2">
      <c r="A17" s="46"/>
      <c r="C17" s="35"/>
      <c r="D17" s="35"/>
      <c r="E17" s="35"/>
      <c r="F17" s="35"/>
      <c r="G17" s="35"/>
      <c r="M17" s="21"/>
      <c r="N17" s="21"/>
      <c r="O17" s="21"/>
    </row>
    <row r="18" spans="1:15" s="3" customFormat="1" x14ac:dyDescent="0.2">
      <c r="A18" s="84"/>
      <c r="C18" s="35"/>
      <c r="D18" s="35"/>
      <c r="E18" s="35"/>
      <c r="F18" s="35"/>
      <c r="G18" s="35"/>
      <c r="M18" s="21"/>
      <c r="N18" s="21"/>
      <c r="O18" s="21"/>
    </row>
    <row r="19" spans="1:15" s="3" customFormat="1" x14ac:dyDescent="0.25">
      <c r="A19" s="46"/>
      <c r="C19" s="29"/>
      <c r="D19" s="35"/>
      <c r="E19" s="35"/>
      <c r="F19" s="35"/>
      <c r="G19" s="35"/>
      <c r="M19" s="21"/>
      <c r="N19" s="21"/>
      <c r="O19" s="21"/>
    </row>
    <row r="20" spans="1:15" s="3" customFormat="1" ht="14.25" x14ac:dyDescent="0.2">
      <c r="A20" s="46"/>
      <c r="D20" s="35"/>
      <c r="E20" s="35"/>
      <c r="F20" s="35"/>
      <c r="G20" s="35"/>
      <c r="M20" s="21"/>
      <c r="N20" s="21"/>
      <c r="O20" s="21"/>
    </row>
    <row r="21" spans="1:15" s="3" customFormat="1" ht="14.25" x14ac:dyDescent="0.2">
      <c r="A21" s="46"/>
      <c r="C21" s="35"/>
      <c r="D21" s="35"/>
      <c r="E21" s="35"/>
      <c r="F21" s="35"/>
      <c r="G21" s="35"/>
      <c r="M21" s="21"/>
      <c r="N21" s="21"/>
      <c r="O21" s="21"/>
    </row>
    <row r="23" spans="1:15" s="3" customFormat="1" ht="14.25" x14ac:dyDescent="0.2">
      <c r="C23" s="35"/>
      <c r="D23" s="35"/>
      <c r="E23" s="35"/>
      <c r="F23" s="35"/>
      <c r="G23" s="35"/>
      <c r="M23" s="21"/>
      <c r="N23" s="21"/>
      <c r="O23" s="21"/>
    </row>
    <row r="24" spans="1:15" s="3" customFormat="1" ht="14.25" x14ac:dyDescent="0.2">
      <c r="C24" s="35"/>
      <c r="D24" s="35"/>
      <c r="E24" s="35"/>
      <c r="F24" s="35"/>
      <c r="G24" s="35"/>
      <c r="M24" s="21"/>
      <c r="N24" s="21"/>
      <c r="O24" s="21"/>
    </row>
    <row r="25" spans="1:15" s="3" customFormat="1" ht="14.25" x14ac:dyDescent="0.2">
      <c r="C25" s="35"/>
      <c r="D25" s="35"/>
      <c r="E25" s="35"/>
      <c r="F25" s="35"/>
      <c r="G25" s="35"/>
      <c r="M25" s="21"/>
      <c r="N25" s="21"/>
      <c r="O25" s="21"/>
    </row>
    <row r="26" spans="1:15" s="3" customFormat="1" ht="14.25" x14ac:dyDescent="0.2">
      <c r="C26" s="35"/>
      <c r="D26" s="35"/>
      <c r="E26" s="35"/>
      <c r="F26" s="35"/>
      <c r="G26" s="35"/>
      <c r="M26" s="21"/>
      <c r="N26" s="21"/>
      <c r="O26" s="21"/>
    </row>
    <row r="27" spans="1:15" s="3" customFormat="1" x14ac:dyDescent="0.25">
      <c r="A27" s="29" t="s">
        <v>72</v>
      </c>
      <c r="C27" s="67" t="s">
        <v>0</v>
      </c>
      <c r="D27" s="67" t="s">
        <v>84</v>
      </c>
      <c r="E27" s="67" t="s">
        <v>92</v>
      </c>
      <c r="F27" s="67" t="s">
        <v>91</v>
      </c>
      <c r="G27" s="67" t="s">
        <v>89</v>
      </c>
      <c r="H27" s="67" t="s">
        <v>90</v>
      </c>
      <c r="I27" s="67"/>
      <c r="J27" s="67" t="s">
        <v>93</v>
      </c>
      <c r="K27" s="67" t="s">
        <v>94</v>
      </c>
      <c r="L27" s="67" t="s">
        <v>88</v>
      </c>
      <c r="M27" s="13" t="s">
        <v>59</v>
      </c>
      <c r="N27" s="13" t="s">
        <v>58</v>
      </c>
      <c r="O27" s="15" t="s">
        <v>57</v>
      </c>
    </row>
    <row r="28" spans="1:15" s="3" customFormat="1" ht="14.25" x14ac:dyDescent="0.2">
      <c r="A28" s="9"/>
      <c r="C28" s="97"/>
      <c r="D28" s="97"/>
      <c r="E28" s="97"/>
      <c r="F28" s="97"/>
      <c r="G28" s="97"/>
      <c r="H28" s="97"/>
      <c r="I28" s="97"/>
      <c r="J28" s="97"/>
      <c r="K28" s="97"/>
      <c r="L28" s="97"/>
      <c r="M28" s="13"/>
      <c r="N28" s="13"/>
      <c r="O28" s="13"/>
    </row>
    <row r="29" spans="1:15" s="3" customFormat="1" ht="14.25" x14ac:dyDescent="0.2">
      <c r="A29" s="9"/>
      <c r="B29" s="378" t="s">
        <v>5</v>
      </c>
      <c r="C29" s="108" t="s">
        <v>142</v>
      </c>
      <c r="D29" s="105" t="s">
        <v>85</v>
      </c>
      <c r="E29" s="107">
        <v>0</v>
      </c>
      <c r="F29" s="107">
        <v>100000000</v>
      </c>
      <c r="G29" s="107">
        <v>100</v>
      </c>
      <c r="H29" s="107">
        <v>100000000</v>
      </c>
      <c r="I29" s="107"/>
      <c r="J29" s="107">
        <v>-100000000</v>
      </c>
      <c r="K29" s="107">
        <v>1000000</v>
      </c>
      <c r="L29" s="379">
        <f>'Indicator sheet'!Q8</f>
        <v>0</v>
      </c>
      <c r="M29" s="105">
        <f>IF('Indicator sheet'!R8=Berechnung1!$G$4,1,IF('Indicator sheet'!R8=Berechnung1!$F$4,1,IF('Indicator sheet'!R8=Berechnung1!$E$4,2,IF('Indicator sheet'!R8=Berechnung1!$D$4,3,IF('Indicator sheet'!R8=Berechnung1!$C$4,4,"")))))</f>
        <v>1</v>
      </c>
      <c r="N29" s="105">
        <f>IF(M29&gt;1,M29+3,M29)</f>
        <v>1</v>
      </c>
      <c r="O29" s="105">
        <f>IF('Indicator sheet'!T8="",0,1)</f>
        <v>0</v>
      </c>
    </row>
    <row r="30" spans="1:15" s="3" customFormat="1" ht="14.25" x14ac:dyDescent="0.2">
      <c r="A30" s="9"/>
      <c r="C30" s="99"/>
      <c r="D30" s="52"/>
      <c r="E30" s="100"/>
      <c r="F30" s="100"/>
      <c r="G30" s="100"/>
      <c r="H30" s="100"/>
      <c r="I30" s="100"/>
      <c r="J30" s="100"/>
      <c r="K30" s="100"/>
      <c r="L30" s="101"/>
      <c r="M30" s="52"/>
      <c r="N30" s="52"/>
      <c r="O30" s="102"/>
    </row>
    <row r="31" spans="1:15" s="3" customFormat="1" ht="14.25" x14ac:dyDescent="0.2">
      <c r="A31" s="9"/>
      <c r="C31" s="99"/>
      <c r="D31" s="52"/>
      <c r="E31" s="100"/>
      <c r="F31" s="100"/>
      <c r="G31" s="100"/>
      <c r="H31" s="100"/>
      <c r="I31" s="100"/>
      <c r="J31" s="100"/>
      <c r="K31" s="100"/>
      <c r="L31" s="101"/>
      <c r="M31" s="52"/>
      <c r="N31" s="52"/>
      <c r="O31" s="102"/>
    </row>
    <row r="32" spans="1:15" s="3" customFormat="1" ht="14.25" x14ac:dyDescent="0.2">
      <c r="A32" s="9"/>
      <c r="B32" s="378" t="s">
        <v>5</v>
      </c>
      <c r="C32" s="105" t="s">
        <v>145</v>
      </c>
      <c r="D32" s="105" t="s">
        <v>85</v>
      </c>
      <c r="E32" s="107">
        <v>0</v>
      </c>
      <c r="F32" s="107">
        <v>100000000</v>
      </c>
      <c r="G32" s="107">
        <v>-100000000</v>
      </c>
      <c r="H32" s="107">
        <v>1000000</v>
      </c>
      <c r="I32" s="107"/>
      <c r="J32" s="107">
        <v>-100000000</v>
      </c>
      <c r="K32" s="107">
        <v>1000000</v>
      </c>
      <c r="L32" s="379">
        <f>'Indicator sheet'!Q11</f>
        <v>0</v>
      </c>
      <c r="M32" s="105">
        <f>IF('Indicator sheet'!R11=Berechnung1!$G$4,1,IF('Indicator sheet'!R11=Berechnung1!$F$4,1,IF('Indicator sheet'!R11=Berechnung1!$E$4,2,IF('Indicator sheet'!R11=Berechnung1!$D$4,3,IF('Indicator sheet'!R11=Berechnung1!$C$4,4,"")))))</f>
        <v>1</v>
      </c>
      <c r="N32" s="105">
        <f>IF(M32&gt;1,M32+3,M32)</f>
        <v>1</v>
      </c>
      <c r="O32" s="105">
        <f>IF('Indicator sheet'!T11="",0,1)</f>
        <v>0</v>
      </c>
    </row>
    <row r="33" spans="1:15" s="3" customFormat="1" ht="14.25" x14ac:dyDescent="0.2">
      <c r="A33" s="9"/>
      <c r="C33" s="52"/>
      <c r="D33" s="103"/>
      <c r="E33" s="103"/>
      <c r="F33" s="103"/>
      <c r="G33" s="103"/>
      <c r="H33" s="103"/>
      <c r="I33" s="103"/>
      <c r="J33" s="103"/>
      <c r="K33" s="103"/>
      <c r="L33" s="101"/>
      <c r="M33" s="52" t="str">
        <f>IF('Indicator sheet'!R12=Berechnung1!$G$4,1,IF('Indicator sheet'!R12=Berechnung1!$F$4,1,IF('Indicator sheet'!R12=Berechnung1!$E$4,2,IF('Indicator sheet'!R12=Berechnung1!$D$4,3,IF('Indicator sheet'!R12=Berechnung1!$C$4,4,"")))))</f>
        <v/>
      </c>
      <c r="N33" s="52"/>
      <c r="O33" s="52"/>
    </row>
    <row r="34" spans="1:15" s="3" customFormat="1" ht="14.25" x14ac:dyDescent="0.2">
      <c r="A34" s="9"/>
      <c r="C34" s="52"/>
      <c r="D34" s="52"/>
      <c r="E34" s="104"/>
      <c r="F34" s="104"/>
      <c r="G34" s="104"/>
      <c r="H34" s="104"/>
      <c r="I34" s="104"/>
      <c r="J34" s="104"/>
      <c r="K34" s="104"/>
      <c r="L34" s="101"/>
      <c r="M34" s="52" t="str">
        <f>IF('Indicator sheet'!R13=Berechnung1!$G$4,1,IF('Indicator sheet'!R13=Berechnung1!$F$4,1,IF('Indicator sheet'!R13=Berechnung1!$E$4,2,IF('Indicator sheet'!R13=Berechnung1!$D$4,3,IF('Indicator sheet'!R13=Berechnung1!$C$4,4,"")))))</f>
        <v/>
      </c>
      <c r="N34" s="52"/>
      <c r="O34" s="102"/>
    </row>
    <row r="35" spans="1:15" s="3" customFormat="1" ht="14.25" x14ac:dyDescent="0.2">
      <c r="A35" s="9"/>
      <c r="B35" s="378" t="s">
        <v>5</v>
      </c>
      <c r="C35" s="105" t="s">
        <v>146</v>
      </c>
      <c r="D35" s="105" t="s">
        <v>85</v>
      </c>
      <c r="E35" s="107">
        <v>0</v>
      </c>
      <c r="F35" s="107">
        <v>100000000</v>
      </c>
      <c r="G35" s="107">
        <v>-100000000</v>
      </c>
      <c r="H35" s="107">
        <v>1000000</v>
      </c>
      <c r="I35" s="107"/>
      <c r="J35" s="107">
        <v>-100000000</v>
      </c>
      <c r="K35" s="107">
        <v>1000000</v>
      </c>
      <c r="L35" s="379">
        <f>'Indicator sheet'!Q14</f>
        <v>0</v>
      </c>
      <c r="M35" s="105">
        <f>IF('Indicator sheet'!R14=Berechnung1!$G$4,1,IF('Indicator sheet'!R14=Berechnung1!$F$4,1,IF('Indicator sheet'!R14=Berechnung1!$E$4,2,IF('Indicator sheet'!R14=Berechnung1!$D$4,3,IF('Indicator sheet'!R14=Berechnung1!$C$4,4,"")))))</f>
        <v>1</v>
      </c>
      <c r="N35" s="105">
        <f>IF(M35&gt;1,M35+3,M35)</f>
        <v>1</v>
      </c>
      <c r="O35" s="342">
        <f>IF('Indicator sheet'!T14="",0,1)</f>
        <v>0</v>
      </c>
    </row>
    <row r="36" spans="1:15" s="3" customFormat="1" ht="14.25" x14ac:dyDescent="0.2">
      <c r="A36" s="9"/>
      <c r="C36" s="52"/>
      <c r="D36" s="52"/>
      <c r="E36" s="104"/>
      <c r="F36" s="104"/>
      <c r="G36" s="104"/>
      <c r="H36" s="104"/>
      <c r="I36" s="104"/>
      <c r="J36" s="104"/>
      <c r="K36" s="104"/>
      <c r="L36" s="101"/>
      <c r="M36" s="52" t="str">
        <f>IF('Indicator sheet'!R15=Berechnung1!$G$4,1,IF('Indicator sheet'!R15=Berechnung1!$F$4,1,IF('Indicator sheet'!R15=Berechnung1!$E$4,2,IF('Indicator sheet'!R15=Berechnung1!$D$4,3,IF('Indicator sheet'!R15=Berechnung1!$C$4,4,"")))))</f>
        <v/>
      </c>
      <c r="N36" s="52"/>
      <c r="O36" s="102"/>
    </row>
    <row r="37" spans="1:15" s="3" customFormat="1" ht="14.25" x14ac:dyDescent="0.2">
      <c r="A37" s="9"/>
      <c r="C37" s="52"/>
      <c r="D37" s="52"/>
      <c r="E37" s="104"/>
      <c r="F37" s="104"/>
      <c r="G37" s="104"/>
      <c r="H37" s="104"/>
      <c r="I37" s="104"/>
      <c r="J37" s="104"/>
      <c r="K37" s="104"/>
      <c r="L37" s="101"/>
      <c r="M37" s="52" t="str">
        <f>IF('Indicator sheet'!R16=Berechnung1!$G$4,1,IF('Indicator sheet'!R16=Berechnung1!$F$4,1,IF('Indicator sheet'!R16=Berechnung1!$E$4,2,IF('Indicator sheet'!R16=Berechnung1!$D$4,3,IF('Indicator sheet'!R16=Berechnung1!$C$4,4,"")))))</f>
        <v/>
      </c>
      <c r="N37" s="52"/>
      <c r="O37" s="102"/>
    </row>
    <row r="38" spans="1:15" s="3" customFormat="1" ht="14.25" x14ac:dyDescent="0.2">
      <c r="A38" s="9"/>
      <c r="B38" s="378" t="s">
        <v>5</v>
      </c>
      <c r="C38" s="105" t="s">
        <v>147</v>
      </c>
      <c r="D38" s="105" t="s">
        <v>85</v>
      </c>
      <c r="E38" s="107">
        <v>0</v>
      </c>
      <c r="F38" s="107">
        <v>100000000</v>
      </c>
      <c r="G38" s="107">
        <v>-100000000</v>
      </c>
      <c r="H38" s="107">
        <v>1000000</v>
      </c>
      <c r="I38" s="107"/>
      <c r="J38" s="107">
        <v>-100000000</v>
      </c>
      <c r="K38" s="107">
        <v>1000000</v>
      </c>
      <c r="L38" s="379">
        <f>'Indicator sheet'!Q17</f>
        <v>0</v>
      </c>
      <c r="M38" s="105">
        <f>IF('Indicator sheet'!R17=Berechnung1!$G$4,1,IF('Indicator sheet'!R17=Berechnung1!$F$4,1,IF('Indicator sheet'!R17=Berechnung1!$E$4,2,IF('Indicator sheet'!R17=Berechnung1!$D$4,3,IF('Indicator sheet'!R17=Berechnung1!$C$4,4,"")))))</f>
        <v>1</v>
      </c>
      <c r="N38" s="105">
        <f>IF(M38&gt;1,M38+3,M38)</f>
        <v>1</v>
      </c>
      <c r="O38" s="105">
        <f>IF('Indicator sheet'!T17="",0,1)</f>
        <v>0</v>
      </c>
    </row>
    <row r="39" spans="1:15" s="3" customFormat="1" ht="14.25" x14ac:dyDescent="0.2">
      <c r="A39" s="9"/>
      <c r="C39" s="52"/>
      <c r="D39" s="52"/>
      <c r="E39" s="103"/>
      <c r="F39" s="103"/>
      <c r="G39" s="103"/>
      <c r="H39" s="103"/>
      <c r="I39" s="103"/>
      <c r="J39" s="103"/>
      <c r="K39" s="103"/>
      <c r="L39" s="101"/>
      <c r="M39" s="52"/>
      <c r="N39" s="52"/>
      <c r="O39" s="52"/>
    </row>
    <row r="40" spans="1:15" s="3" customFormat="1" ht="14.25" x14ac:dyDescent="0.2">
      <c r="A40" s="9"/>
      <c r="C40" s="52"/>
      <c r="D40" s="52"/>
      <c r="E40" s="103"/>
      <c r="F40" s="103"/>
      <c r="G40" s="103"/>
      <c r="H40" s="103"/>
      <c r="I40" s="103"/>
      <c r="J40" s="103"/>
      <c r="K40" s="103"/>
      <c r="L40" s="101"/>
      <c r="M40" s="52"/>
      <c r="N40" s="52"/>
      <c r="O40" s="52"/>
    </row>
    <row r="41" spans="1:15" s="3" customFormat="1" ht="14.25" x14ac:dyDescent="0.2">
      <c r="A41" s="9"/>
      <c r="B41" s="434" t="s">
        <v>390</v>
      </c>
      <c r="C41" s="381" t="s">
        <v>751</v>
      </c>
      <c r="D41" s="381" t="s">
        <v>85</v>
      </c>
      <c r="E41" s="383">
        <v>0</v>
      </c>
      <c r="F41" s="383">
        <v>100000000</v>
      </c>
      <c r="G41" s="383">
        <v>-100000000</v>
      </c>
      <c r="H41" s="383">
        <v>1000000</v>
      </c>
      <c r="I41" s="383"/>
      <c r="J41" s="383">
        <v>-100000000</v>
      </c>
      <c r="K41" s="383">
        <v>1000000</v>
      </c>
      <c r="L41" s="492">
        <f>'Indicator sheet'!Q20</f>
        <v>0</v>
      </c>
      <c r="M41" s="381">
        <f>IF('Indicator sheet'!R20=Berechnung1!$H$4,5,IF('Indicator sheet'!R20=Berechnung1!$G$4,1,IF('Indicator sheet'!R20=Berechnung1!$F$4,1,IF('Indicator sheet'!R20=Berechnung1!$E$4,2,IF('Indicator sheet'!R20=Berechnung1!$D$4,3,IF('Indicator sheet'!R20=Berechnung1!$C$4,4,""))))))</f>
        <v>1</v>
      </c>
      <c r="N41" s="381">
        <f t="shared" ref="N41" si="1">IF(M41&gt;1,M41+3,M41)</f>
        <v>1</v>
      </c>
      <c r="O41" s="381">
        <f>IF('Indicator sheet'!T20="",0,1)</f>
        <v>0</v>
      </c>
    </row>
    <row r="42" spans="1:15" s="3" customFormat="1" ht="14.25" x14ac:dyDescent="0.2">
      <c r="A42" s="9"/>
      <c r="C42" s="52"/>
      <c r="D42" s="52"/>
      <c r="E42" s="104"/>
      <c r="F42" s="104"/>
      <c r="G42" s="104"/>
      <c r="H42" s="104"/>
      <c r="I42" s="104"/>
      <c r="J42" s="104"/>
      <c r="K42" s="104"/>
      <c r="L42" s="52"/>
      <c r="M42" s="52"/>
      <c r="N42" s="52"/>
      <c r="O42" s="102"/>
    </row>
    <row r="43" spans="1:15" s="3" customFormat="1" ht="14.25" x14ac:dyDescent="0.2">
      <c r="A43" s="9"/>
      <c r="C43" s="52"/>
      <c r="D43" s="52"/>
      <c r="E43" s="104"/>
      <c r="F43" s="104"/>
      <c r="G43" s="104"/>
      <c r="H43" s="104"/>
      <c r="I43" s="104"/>
      <c r="J43" s="104"/>
      <c r="K43" s="104"/>
      <c r="L43" s="52"/>
      <c r="M43" s="52"/>
      <c r="N43" s="52"/>
      <c r="O43" s="102"/>
    </row>
    <row r="44" spans="1:15" s="3" customFormat="1" ht="14.25" x14ac:dyDescent="0.2">
      <c r="A44" s="9"/>
      <c r="B44" s="434" t="s">
        <v>390</v>
      </c>
      <c r="C44" s="381" t="s">
        <v>144</v>
      </c>
      <c r="D44" s="381" t="s">
        <v>85</v>
      </c>
      <c r="E44" s="382">
        <v>0</v>
      </c>
      <c r="F44" s="382">
        <v>1</v>
      </c>
      <c r="G44" s="382">
        <v>0.95</v>
      </c>
      <c r="H44" s="382">
        <v>10000</v>
      </c>
      <c r="I44" s="383"/>
      <c r="J44" s="382">
        <v>-10000</v>
      </c>
      <c r="K44" s="382">
        <v>10000</v>
      </c>
      <c r="L44" s="382" t="str">
        <f>'Indicator sheet'!Q25</f>
        <v>n.d.</v>
      </c>
      <c r="M44" s="381">
        <f>IF('Indicator sheet'!R23=Berechnung1!$H$4,5,IF('Indicator sheet'!R23=Berechnung1!$G$4,1,IF('Indicator sheet'!R23=Berechnung1!$F$4,1,IF('Indicator sheet'!R23=Berechnung1!$E$4,2,IF(AND('Indicator sheet'!R23=Berechnung1!$D$4,'Indicator sheet'!Q23=0,'Indicator sheet'!Q24=0),5,IF('Indicator sheet'!R23=Berechnung1!$D$4,3,IF('Indicator sheet'!R23=Berechnung1!$C$4,4,"")))))))</f>
        <v>1</v>
      </c>
      <c r="N44" s="381">
        <f>IF(M44&gt;1,M44+3,M44)</f>
        <v>1</v>
      </c>
      <c r="O44" s="381">
        <f>IF('Indicator sheet'!T23="",0,1)</f>
        <v>0</v>
      </c>
    </row>
    <row r="45" spans="1:15" s="3" customFormat="1" ht="14.25" x14ac:dyDescent="0.2">
      <c r="A45" s="9"/>
      <c r="C45" s="99"/>
      <c r="D45" s="52"/>
      <c r="E45" s="100"/>
      <c r="F45" s="100"/>
      <c r="G45" s="100"/>
      <c r="H45" s="100"/>
      <c r="I45" s="100"/>
      <c r="J45" s="100"/>
      <c r="K45" s="100"/>
      <c r="L45" s="101"/>
      <c r="M45" s="52"/>
      <c r="N45" s="52"/>
      <c r="O45" s="52"/>
    </row>
    <row r="46" spans="1:15" s="3" customFormat="1" ht="14.25" x14ac:dyDescent="0.2">
      <c r="A46" s="9"/>
      <c r="C46" s="99"/>
      <c r="D46" s="52"/>
      <c r="E46" s="100"/>
      <c r="F46" s="100"/>
      <c r="G46" s="100"/>
      <c r="H46" s="100"/>
      <c r="I46" s="100"/>
      <c r="J46" s="100"/>
      <c r="K46" s="100"/>
      <c r="L46" s="101"/>
      <c r="M46" s="52"/>
      <c r="N46" s="52"/>
      <c r="O46" s="52"/>
    </row>
    <row r="47" spans="1:15" s="3" customFormat="1" ht="14.25" x14ac:dyDescent="0.2">
      <c r="A47" s="9"/>
      <c r="B47" s="434" t="s">
        <v>390</v>
      </c>
      <c r="C47" s="384" t="s">
        <v>143</v>
      </c>
      <c r="D47" s="381" t="s">
        <v>85</v>
      </c>
      <c r="E47" s="382">
        <v>0</v>
      </c>
      <c r="F47" s="382">
        <v>1</v>
      </c>
      <c r="G47" s="382">
        <v>0.95</v>
      </c>
      <c r="H47" s="382">
        <v>10000</v>
      </c>
      <c r="I47" s="382"/>
      <c r="J47" s="382">
        <v>-10000</v>
      </c>
      <c r="K47" s="382">
        <v>10000</v>
      </c>
      <c r="L47" s="382" t="str">
        <f>'Indicator sheet'!Q28</f>
        <v>n.d.</v>
      </c>
      <c r="M47" s="381">
        <f>IF('Indicator sheet'!R26=Berechnung1!$H$4,5,IF('Indicator sheet'!R26=Berechnung1!$G$4,1,IF('Indicator sheet'!R26=Berechnung1!$F$4,1,IF('Indicator sheet'!R26=Berechnung1!$E$4,2,IF(AND('Indicator sheet'!R26=Berechnung1!$D$4,'Indicator sheet'!Q26=0,'Indicator sheet'!Q27=0),5,IF('Indicator sheet'!R26=Berechnung1!$D$4,3,IF('Indicator sheet'!R26=Berechnung1!$C$4,4,"")))))))</f>
        <v>1</v>
      </c>
      <c r="N47" s="381">
        <f>IF(M47&gt;1,M47+3,M47)</f>
        <v>1</v>
      </c>
      <c r="O47" s="381">
        <f>IF('Indicator sheet'!T26="",0,1)</f>
        <v>0</v>
      </c>
    </row>
    <row r="48" spans="1:15" s="3" customFormat="1" ht="14.25" x14ac:dyDescent="0.2">
      <c r="A48" s="9"/>
      <c r="C48" s="99"/>
      <c r="D48" s="52"/>
      <c r="E48" s="100"/>
      <c r="F48" s="100"/>
      <c r="G48" s="100"/>
      <c r="H48" s="100"/>
      <c r="I48" s="100"/>
      <c r="J48" s="100"/>
      <c r="K48" s="100"/>
      <c r="L48" s="109"/>
      <c r="M48" s="52"/>
      <c r="N48" s="52"/>
      <c r="O48" s="52"/>
    </row>
    <row r="49" spans="1:15" s="3" customFormat="1" ht="14.25" x14ac:dyDescent="0.2">
      <c r="A49" s="9"/>
      <c r="B49" s="4"/>
      <c r="C49" s="99"/>
      <c r="D49" s="52"/>
      <c r="E49" s="100"/>
      <c r="F49" s="100"/>
      <c r="G49" s="100"/>
      <c r="H49" s="100"/>
      <c r="I49" s="100"/>
      <c r="J49" s="100"/>
      <c r="K49" s="100"/>
      <c r="L49" s="109"/>
      <c r="M49" s="52"/>
      <c r="N49" s="52"/>
      <c r="O49" s="52"/>
    </row>
    <row r="50" spans="1:15" s="3" customFormat="1" ht="14.25" x14ac:dyDescent="0.2">
      <c r="A50" s="9"/>
      <c r="B50" s="434" t="s">
        <v>390</v>
      </c>
      <c r="C50" s="384" t="s">
        <v>148</v>
      </c>
      <c r="D50" s="381" t="s">
        <v>85</v>
      </c>
      <c r="E50" s="382">
        <v>0</v>
      </c>
      <c r="F50" s="382">
        <v>1</v>
      </c>
      <c r="G50" s="382">
        <v>1</v>
      </c>
      <c r="H50" s="382">
        <v>10000</v>
      </c>
      <c r="I50" s="382"/>
      <c r="J50" s="382">
        <v>-10000</v>
      </c>
      <c r="K50" s="382">
        <v>10000</v>
      </c>
      <c r="L50" s="382" t="str">
        <f>'Indicator sheet'!Q31</f>
        <v>n.d.</v>
      </c>
      <c r="M50" s="381">
        <f>IF('Indicator sheet'!R29=Berechnung1!$H$4,5,IF('Indicator sheet'!R29=Berechnung1!$G$4,1,IF('Indicator sheet'!R29=Berechnung1!$F$4,1,IF('Indicator sheet'!R29=Berechnung1!$E$4,2,IF(AND('Indicator sheet'!R29=Berechnung1!$D$4,'Indicator sheet'!Q29=0,'Indicator sheet'!Q30=0),5,IF('Indicator sheet'!R29=Berechnung1!$D$4,3,IF('Indicator sheet'!R29=Berechnung1!$C$4,4,"")))))))</f>
        <v>1</v>
      </c>
      <c r="N50" s="381">
        <f>IF(M50&gt;1,M50+3,M50)</f>
        <v>1</v>
      </c>
      <c r="O50" s="381">
        <f>IF('Indicator sheet'!T29="",0,1)</f>
        <v>0</v>
      </c>
    </row>
    <row r="51" spans="1:15" s="3" customFormat="1" ht="14.25" x14ac:dyDescent="0.2">
      <c r="A51" s="9"/>
      <c r="C51" s="99"/>
      <c r="D51" s="52"/>
      <c r="E51" s="100"/>
      <c r="F51" s="100"/>
      <c r="G51" s="100"/>
      <c r="H51" s="100"/>
      <c r="I51" s="100"/>
      <c r="J51" s="100"/>
      <c r="K51" s="100"/>
      <c r="L51" s="109"/>
      <c r="M51" s="52"/>
      <c r="N51" s="52"/>
      <c r="O51" s="52"/>
    </row>
    <row r="52" spans="1:15" s="3" customFormat="1" ht="14.25" x14ac:dyDescent="0.2">
      <c r="A52" s="9"/>
      <c r="C52" s="99"/>
      <c r="D52" s="52"/>
      <c r="E52" s="100"/>
      <c r="F52" s="100"/>
      <c r="G52" s="100"/>
      <c r="H52" s="100"/>
      <c r="I52" s="100"/>
      <c r="J52" s="100"/>
      <c r="K52" s="100"/>
      <c r="L52" s="109"/>
      <c r="M52" s="52"/>
      <c r="N52" s="52"/>
      <c r="O52" s="52"/>
    </row>
    <row r="53" spans="1:15" s="3" customFormat="1" ht="14.25" x14ac:dyDescent="0.2">
      <c r="A53" s="9"/>
      <c r="B53" s="434" t="s">
        <v>390</v>
      </c>
      <c r="C53" s="384" t="s">
        <v>149</v>
      </c>
      <c r="D53" s="381" t="s">
        <v>85</v>
      </c>
      <c r="E53" s="382">
        <v>0</v>
      </c>
      <c r="F53" s="382">
        <v>1</v>
      </c>
      <c r="G53" s="382">
        <v>1</v>
      </c>
      <c r="H53" s="382">
        <v>10000</v>
      </c>
      <c r="I53" s="382"/>
      <c r="J53" s="382">
        <v>-10000</v>
      </c>
      <c r="K53" s="382">
        <v>10000</v>
      </c>
      <c r="L53" s="382" t="str">
        <f>'Indicator sheet'!Q34</f>
        <v>n.d.</v>
      </c>
      <c r="M53" s="381">
        <f>IF('Indicator sheet'!R32=Berechnung1!$H$4,5,IF('Indicator sheet'!R32=Berechnung1!$G$4,1,IF('Indicator sheet'!R32=Berechnung1!$F$4,1,IF('Indicator sheet'!R32=Berechnung1!$E$4,2,IF(AND('Indicator sheet'!R32=Berechnung1!$D$4,'Indicator sheet'!Q32=0,'Indicator sheet'!Q33=0),5,IF('Indicator sheet'!R32=Berechnung1!$D$4,3,IF('Indicator sheet'!R32=Berechnung1!$C$4,4,"")))))))</f>
        <v>1</v>
      </c>
      <c r="N53" s="381">
        <f>IF(M53&gt;1,M53+3,M53)</f>
        <v>1</v>
      </c>
      <c r="O53" s="381">
        <f>IF('Indicator sheet'!T32="",0,1)</f>
        <v>0</v>
      </c>
    </row>
    <row r="54" spans="1:15" s="3" customFormat="1" ht="14.25" x14ac:dyDescent="0.2">
      <c r="A54" s="9"/>
      <c r="B54" s="4"/>
      <c r="C54" s="99"/>
      <c r="D54" s="52"/>
      <c r="E54" s="100"/>
      <c r="F54" s="100"/>
      <c r="G54" s="100"/>
      <c r="H54" s="100"/>
      <c r="I54" s="100"/>
      <c r="J54" s="100"/>
      <c r="K54" s="100"/>
      <c r="L54" s="109"/>
      <c r="M54" s="52"/>
      <c r="N54" s="52"/>
      <c r="O54" s="52"/>
    </row>
    <row r="55" spans="1:15" s="3" customFormat="1" ht="14.25" x14ac:dyDescent="0.2">
      <c r="A55" s="9"/>
      <c r="C55" s="99"/>
      <c r="D55" s="52"/>
      <c r="E55" s="100"/>
      <c r="F55" s="100"/>
      <c r="G55" s="100"/>
      <c r="H55" s="100"/>
      <c r="I55" s="100"/>
      <c r="J55" s="100"/>
      <c r="K55" s="100"/>
      <c r="L55" s="109"/>
      <c r="M55" s="52"/>
      <c r="N55" s="52"/>
      <c r="O55" s="52"/>
    </row>
    <row r="56" spans="1:15" s="3" customFormat="1" ht="14.25" x14ac:dyDescent="0.2">
      <c r="A56" s="9"/>
      <c r="B56" s="434" t="s">
        <v>390</v>
      </c>
      <c r="C56" s="384" t="s">
        <v>386</v>
      </c>
      <c r="D56" s="381" t="s">
        <v>85</v>
      </c>
      <c r="E56" s="382">
        <v>0</v>
      </c>
      <c r="F56" s="382">
        <v>1</v>
      </c>
      <c r="G56" s="382">
        <v>1</v>
      </c>
      <c r="H56" s="382">
        <v>10000</v>
      </c>
      <c r="I56" s="382"/>
      <c r="J56" s="382">
        <v>-10000</v>
      </c>
      <c r="K56" s="382">
        <v>10000</v>
      </c>
      <c r="L56" s="382" t="str">
        <f>'Indicator sheet'!Q37</f>
        <v>n.d.</v>
      </c>
      <c r="M56" s="381">
        <f>IF('Indicator sheet'!R35=Berechnung1!$H$4,5,IF('Indicator sheet'!R35=Berechnung1!$G$4,1,IF('Indicator sheet'!R35=Berechnung1!$F$4,1,IF('Indicator sheet'!R35=Berechnung1!$E$4,2,IF(AND('Indicator sheet'!R35=Berechnung1!$D$4,'Indicator sheet'!Q35=0,'Indicator sheet'!Q36=0),5,IF('Indicator sheet'!R35=Berechnung1!$D$4,3,IF('Indicator sheet'!R35=Berechnung1!$C$4,4,"")))))))</f>
        <v>1</v>
      </c>
      <c r="N56" s="381">
        <f>IF(M56&gt;1,M56+3,M56)</f>
        <v>1</v>
      </c>
      <c r="O56" s="381">
        <f>IF('Indicator sheet'!T35="",0,1)</f>
        <v>0</v>
      </c>
    </row>
    <row r="57" spans="1:15" s="3" customFormat="1" ht="14.25" x14ac:dyDescent="0.2">
      <c r="A57" s="9"/>
      <c r="C57" s="99"/>
      <c r="D57" s="52"/>
      <c r="E57" s="100"/>
      <c r="F57" s="100"/>
      <c r="G57" s="100"/>
      <c r="H57" s="100"/>
      <c r="I57" s="100"/>
      <c r="J57" s="100"/>
      <c r="K57" s="100"/>
      <c r="L57" s="109"/>
      <c r="M57" s="52"/>
      <c r="N57" s="52"/>
      <c r="O57" s="52"/>
    </row>
    <row r="58" spans="1:15" s="3" customFormat="1" ht="14.25" x14ac:dyDescent="0.2">
      <c r="A58" s="9"/>
      <c r="C58" s="99"/>
      <c r="D58" s="52"/>
      <c r="E58" s="100"/>
      <c r="F58" s="100"/>
      <c r="G58" s="100"/>
      <c r="H58" s="100"/>
      <c r="I58" s="100"/>
      <c r="J58" s="100"/>
      <c r="K58" s="100"/>
      <c r="L58" s="109"/>
      <c r="M58" s="52"/>
      <c r="N58" s="52"/>
      <c r="O58" s="52"/>
    </row>
    <row r="59" spans="1:15" s="3" customFormat="1" ht="14.25" x14ac:dyDescent="0.2">
      <c r="A59" s="9"/>
      <c r="C59" s="105">
        <v>4</v>
      </c>
      <c r="D59" s="105" t="s">
        <v>85</v>
      </c>
      <c r="E59" s="106">
        <v>0</v>
      </c>
      <c r="F59" s="106">
        <v>1</v>
      </c>
      <c r="G59" s="106">
        <v>0.3</v>
      </c>
      <c r="H59" s="106">
        <v>10000</v>
      </c>
      <c r="I59" s="106"/>
      <c r="J59" s="106">
        <v>-10000</v>
      </c>
      <c r="K59" s="106">
        <v>10000</v>
      </c>
      <c r="L59" s="106" t="str">
        <f>'Indicator sheet'!Q40</f>
        <v>n.d.</v>
      </c>
      <c r="M59" s="105">
        <f>IF('Indicator sheet'!R38=Berechnung1!$G$4,1,IF('Indicator sheet'!R38=Berechnung1!$F$4,1,IF('Indicator sheet'!R38=Berechnung1!$E$4,2,IF('Indicator sheet'!R38=Berechnung1!$D$4,3,IF('Indicator sheet'!R38=Berechnung1!$C$4,4,"")))))</f>
        <v>1</v>
      </c>
      <c r="N59" s="105">
        <f>IF(M59&gt;1,M59+3,M59)</f>
        <v>1</v>
      </c>
      <c r="O59" s="105">
        <f>IF('Indicator sheet'!T38="",0,1)</f>
        <v>0</v>
      </c>
    </row>
    <row r="60" spans="1:15" s="3" customFormat="1" ht="14.25" x14ac:dyDescent="0.2">
      <c r="A60" s="9"/>
      <c r="C60" s="99"/>
      <c r="D60" s="52"/>
      <c r="E60" s="100"/>
      <c r="F60" s="100"/>
      <c r="G60" s="100"/>
      <c r="H60" s="100"/>
      <c r="I60" s="100"/>
      <c r="J60" s="100"/>
      <c r="K60" s="100"/>
      <c r="L60" s="109"/>
      <c r="M60" s="52"/>
      <c r="N60" s="52"/>
      <c r="O60" s="52"/>
    </row>
    <row r="61" spans="1:15" s="3" customFormat="1" ht="14.25" x14ac:dyDescent="0.2">
      <c r="A61" s="9"/>
      <c r="C61" s="99"/>
      <c r="D61" s="52"/>
      <c r="E61" s="100"/>
      <c r="F61" s="100"/>
      <c r="G61" s="100"/>
      <c r="H61" s="100"/>
      <c r="I61" s="100"/>
      <c r="J61" s="100"/>
      <c r="K61" s="100"/>
      <c r="L61" s="109"/>
      <c r="M61" s="52"/>
      <c r="N61" s="52"/>
      <c r="O61" s="52"/>
    </row>
    <row r="62" spans="1:15" s="3" customFormat="1" ht="14.25" x14ac:dyDescent="0.2">
      <c r="A62" s="9"/>
      <c r="B62" s="434" t="s">
        <v>390</v>
      </c>
      <c r="C62" s="385">
        <v>5</v>
      </c>
      <c r="D62" s="385" t="s">
        <v>85</v>
      </c>
      <c r="E62" s="386">
        <v>0</v>
      </c>
      <c r="F62" s="386">
        <v>1</v>
      </c>
      <c r="G62" s="386">
        <v>0.7</v>
      </c>
      <c r="H62" s="386">
        <v>10000</v>
      </c>
      <c r="I62" s="386"/>
      <c r="J62" s="382">
        <v>-10000</v>
      </c>
      <c r="K62" s="382">
        <v>10000</v>
      </c>
      <c r="L62" s="382" t="str">
        <f>'Indicator sheet'!Q43</f>
        <v>n.d.</v>
      </c>
      <c r="M62" s="381">
        <f>IF('Indicator sheet'!R41=Berechnung1!$H$4,5,IF('Indicator sheet'!R41=Berechnung1!$G$4,1,IF('Indicator sheet'!R41=Berechnung1!$F$4,1,IF('Indicator sheet'!R41=Berechnung1!$E$4,2,IF(AND('Indicator sheet'!R41=Berechnung1!$D$4,'Indicator sheet'!Q41=0,'Indicator sheet'!Q42=0),5,IF('Indicator sheet'!R41=Berechnung1!$D$4,3,IF('Indicator sheet'!R41=Berechnung1!$C$4,4,"")))))))</f>
        <v>1</v>
      </c>
      <c r="N62" s="381">
        <f>IF(M62&gt;1,M62+3,M62)</f>
        <v>1</v>
      </c>
      <c r="O62" s="381">
        <f>IF('Indicator sheet'!T41="",0,1)</f>
        <v>0</v>
      </c>
    </row>
    <row r="63" spans="1:15" s="3" customFormat="1" ht="14.25" x14ac:dyDescent="0.2">
      <c r="A63" s="9"/>
      <c r="C63" s="334"/>
      <c r="D63" s="333"/>
      <c r="E63" s="332"/>
      <c r="F63" s="332"/>
      <c r="G63" s="332"/>
      <c r="H63" s="332"/>
      <c r="I63" s="332"/>
      <c r="J63" s="332"/>
      <c r="K63" s="332"/>
      <c r="L63" s="332"/>
      <c r="M63" s="333"/>
      <c r="N63" s="333"/>
      <c r="O63" s="333"/>
    </row>
    <row r="64" spans="1:15" s="3" customFormat="1" ht="14.25" x14ac:dyDescent="0.2">
      <c r="A64" s="9"/>
      <c r="C64" s="334"/>
      <c r="D64" s="333"/>
      <c r="E64" s="332"/>
      <c r="F64" s="332"/>
      <c r="G64" s="332"/>
      <c r="H64" s="332"/>
      <c r="I64" s="332"/>
      <c r="J64" s="332"/>
      <c r="K64" s="332"/>
      <c r="L64" s="332"/>
      <c r="M64" s="333"/>
      <c r="N64" s="333"/>
      <c r="O64" s="333"/>
    </row>
    <row r="65" spans="1:15" s="3" customFormat="1" ht="14.25" x14ac:dyDescent="0.2">
      <c r="A65" s="9"/>
      <c r="C65" s="105">
        <v>6</v>
      </c>
      <c r="D65" s="105" t="s">
        <v>85</v>
      </c>
      <c r="E65" s="106">
        <v>0</v>
      </c>
      <c r="F65" s="106">
        <v>1</v>
      </c>
      <c r="G65" s="106">
        <v>0.65</v>
      </c>
      <c r="H65" s="106">
        <v>10000</v>
      </c>
      <c r="I65" s="106"/>
      <c r="J65" s="106">
        <v>-10000</v>
      </c>
      <c r="K65" s="106">
        <v>10000</v>
      </c>
      <c r="L65" s="106" t="str">
        <f>'Indicator sheet'!Q46</f>
        <v>n.d.</v>
      </c>
      <c r="M65" s="105">
        <f>IF('Indicator sheet'!R44=Berechnung1!$G$4,1,IF('Indicator sheet'!R44=Berechnung1!$F$4,1,IF('Indicator sheet'!R44=Berechnung1!$E$4,2,IF('Indicator sheet'!R44=Berechnung1!$D$4,3,IF('Indicator sheet'!R44=Berechnung1!$C$4,4,"")))))</f>
        <v>1</v>
      </c>
      <c r="N65" s="105">
        <f>IF(M65&gt;1,M65+3,M65)</f>
        <v>1</v>
      </c>
      <c r="O65" s="105">
        <f>IF('Indicator sheet'!T44="",0,1)</f>
        <v>0</v>
      </c>
    </row>
    <row r="66" spans="1:15" s="3" customFormat="1" ht="14.25" x14ac:dyDescent="0.2">
      <c r="A66" s="9"/>
      <c r="C66" s="99"/>
      <c r="D66" s="52"/>
      <c r="E66" s="100"/>
      <c r="F66" s="100"/>
      <c r="G66" s="100"/>
      <c r="H66" s="100"/>
      <c r="I66" s="100"/>
      <c r="J66" s="100"/>
      <c r="K66" s="100"/>
      <c r="L66" s="109"/>
      <c r="M66" s="52"/>
      <c r="N66" s="52"/>
      <c r="O66" s="52"/>
    </row>
    <row r="67" spans="1:15" s="3" customFormat="1" ht="14.25" x14ac:dyDescent="0.2">
      <c r="A67" s="9"/>
      <c r="C67" s="99"/>
      <c r="D67" s="52"/>
      <c r="E67" s="100"/>
      <c r="F67" s="100"/>
      <c r="G67" s="100"/>
      <c r="H67" s="100"/>
      <c r="I67" s="100"/>
      <c r="J67" s="100"/>
      <c r="K67" s="100"/>
      <c r="L67" s="109"/>
      <c r="M67" s="52"/>
      <c r="N67" s="52"/>
      <c r="O67" s="52"/>
    </row>
    <row r="68" spans="1:15" s="3" customFormat="1" ht="14.25" x14ac:dyDescent="0.2">
      <c r="A68" s="9"/>
      <c r="C68" s="105">
        <v>7</v>
      </c>
      <c r="D68" s="105" t="s">
        <v>85</v>
      </c>
      <c r="E68" s="106">
        <v>0</v>
      </c>
      <c r="F68" s="106">
        <v>1</v>
      </c>
      <c r="G68" s="106">
        <v>-10000</v>
      </c>
      <c r="H68" s="106">
        <v>10000</v>
      </c>
      <c r="I68" s="106"/>
      <c r="J68" s="106">
        <v>0.5</v>
      </c>
      <c r="K68" s="106">
        <v>10000</v>
      </c>
      <c r="L68" s="106" t="str">
        <f>'Indicator sheet'!Q49</f>
        <v>n.d.</v>
      </c>
      <c r="M68" s="105">
        <f>IF('Indicator sheet'!R47=Berechnung1!$G$4,1,IF('Indicator sheet'!R47=Berechnung1!$F$4,1,IF('Indicator sheet'!R47=Berechnung1!$E$4,2,IF('Indicator sheet'!R47=Berechnung1!$D$4,3,IF('Indicator sheet'!R47=Berechnung1!$C$4,4,"")))))</f>
        <v>1</v>
      </c>
      <c r="N68" s="105">
        <f>IF(M68&gt;1,M68+3,M68)</f>
        <v>1</v>
      </c>
      <c r="O68" s="105">
        <f>IF('Indicator sheet'!T47="",0,1)</f>
        <v>0</v>
      </c>
    </row>
    <row r="69" spans="1:15" s="3" customFormat="1" ht="14.25" x14ac:dyDescent="0.2">
      <c r="A69" s="9"/>
      <c r="C69" s="99"/>
      <c r="D69" s="52"/>
      <c r="E69" s="100"/>
      <c r="F69" s="100"/>
      <c r="G69" s="100"/>
      <c r="H69" s="100"/>
      <c r="I69" s="100"/>
      <c r="J69" s="100"/>
      <c r="K69" s="100"/>
      <c r="L69" s="109"/>
      <c r="M69" s="52"/>
      <c r="N69" s="52"/>
      <c r="O69" s="52"/>
    </row>
    <row r="70" spans="1:15" s="3" customFormat="1" ht="14.25" x14ac:dyDescent="0.2">
      <c r="A70" s="9"/>
      <c r="C70" s="99"/>
      <c r="D70" s="52"/>
      <c r="E70" s="100"/>
      <c r="F70" s="100"/>
      <c r="G70" s="100"/>
      <c r="H70" s="100"/>
      <c r="I70" s="100"/>
      <c r="J70" s="100"/>
      <c r="K70" s="100"/>
      <c r="L70" s="109"/>
      <c r="M70" s="52"/>
      <c r="N70" s="52"/>
      <c r="O70" s="52"/>
    </row>
    <row r="71" spans="1:15" s="3" customFormat="1" ht="14.25" x14ac:dyDescent="0.2">
      <c r="A71" s="9"/>
      <c r="C71" s="105">
        <v>8</v>
      </c>
      <c r="D71" s="105" t="s">
        <v>85</v>
      </c>
      <c r="E71" s="106">
        <v>0</v>
      </c>
      <c r="F71" s="106">
        <v>10</v>
      </c>
      <c r="G71" s="106">
        <v>0.05</v>
      </c>
      <c r="H71" s="106">
        <v>10000</v>
      </c>
      <c r="I71" s="106"/>
      <c r="J71" s="106">
        <v>-10000</v>
      </c>
      <c r="K71" s="106">
        <v>10000</v>
      </c>
      <c r="L71" s="106" t="str">
        <f>'Indicator sheet'!Q52</f>
        <v>n.d.</v>
      </c>
      <c r="M71" s="105">
        <f>IF('Indicator sheet'!R50=Berechnung1!$G$4,1,IF('Indicator sheet'!R50=Berechnung1!$F$4,1,IF('Indicator sheet'!R50=Berechnung1!$E$4,2,IF('Indicator sheet'!R50=Berechnung1!$D$4,3,IF('Indicator sheet'!R50=Berechnung1!$C$4,4,"")))))</f>
        <v>1</v>
      </c>
      <c r="N71" s="105">
        <f>IF(M71&gt;1,M71+3,M71)</f>
        <v>1</v>
      </c>
      <c r="O71" s="105">
        <f>IF('Indicator sheet'!T50="",0,1)</f>
        <v>0</v>
      </c>
    </row>
    <row r="72" spans="1:15" s="3" customFormat="1" ht="14.25" x14ac:dyDescent="0.2">
      <c r="A72" s="9"/>
      <c r="C72" s="99"/>
      <c r="D72" s="52"/>
      <c r="E72" s="100"/>
      <c r="F72" s="100"/>
      <c r="G72" s="100"/>
      <c r="H72" s="100"/>
      <c r="I72" s="100"/>
      <c r="J72" s="100"/>
      <c r="K72" s="100"/>
      <c r="L72" s="109"/>
      <c r="M72" s="52"/>
      <c r="N72" s="52"/>
      <c r="O72" s="52"/>
    </row>
    <row r="73" spans="1:15" s="3" customFormat="1" ht="14.25" x14ac:dyDescent="0.2">
      <c r="A73" s="9"/>
      <c r="C73" s="99"/>
      <c r="D73" s="52"/>
      <c r="E73" s="100"/>
      <c r="F73" s="100"/>
      <c r="G73" s="100"/>
      <c r="H73" s="100"/>
      <c r="I73" s="100"/>
      <c r="J73" s="100"/>
      <c r="K73" s="100"/>
      <c r="L73" s="109"/>
      <c r="M73" s="52"/>
      <c r="N73" s="52"/>
      <c r="O73" s="52"/>
    </row>
    <row r="74" spans="1:15" s="3" customFormat="1" ht="14.25" x14ac:dyDescent="0.2">
      <c r="A74" s="9"/>
      <c r="B74" s="378" t="s">
        <v>5</v>
      </c>
      <c r="C74" s="105">
        <v>9</v>
      </c>
      <c r="D74" s="105" t="s">
        <v>85</v>
      </c>
      <c r="E74" s="107">
        <v>0</v>
      </c>
      <c r="F74" s="107">
        <v>100000000</v>
      </c>
      <c r="G74" s="107">
        <v>50</v>
      </c>
      <c r="H74" s="107">
        <v>100000000</v>
      </c>
      <c r="I74" s="106"/>
      <c r="J74" s="107">
        <v>-100000000</v>
      </c>
      <c r="K74" s="107">
        <v>1000000</v>
      </c>
      <c r="L74" s="380">
        <f>'Indicator sheet'!Q53</f>
        <v>0</v>
      </c>
      <c r="M74" s="105">
        <f>IF('Indicator sheet'!R53=Berechnung1!$G$4,1,IF('Indicator sheet'!R53=Berechnung1!$F$4,1,IF('Indicator sheet'!R53=Berechnung1!$E$4,2,IF('Indicator sheet'!R53=Berechnung1!$D$4,3,IF('Indicator sheet'!R53=Berechnung1!$C$4,4,"")))))</f>
        <v>1</v>
      </c>
      <c r="N74" s="105">
        <f>IF(M74&gt;1,M74+3,M74)</f>
        <v>1</v>
      </c>
      <c r="O74" s="105">
        <f>IF('Indicator sheet'!T53="",0,1)</f>
        <v>0</v>
      </c>
    </row>
    <row r="75" spans="1:15" s="3" customFormat="1" ht="14.25" x14ac:dyDescent="0.2">
      <c r="A75" s="9"/>
      <c r="C75" s="99"/>
      <c r="D75" s="52"/>
      <c r="E75" s="100"/>
      <c r="F75" s="100"/>
      <c r="G75" s="100"/>
      <c r="H75" s="100"/>
      <c r="I75" s="100"/>
      <c r="J75" s="100"/>
      <c r="K75" s="100"/>
      <c r="L75" s="109"/>
      <c r="M75" s="52"/>
      <c r="N75" s="52"/>
      <c r="O75" s="52"/>
    </row>
    <row r="76" spans="1:15" s="3" customFormat="1" ht="14.25" x14ac:dyDescent="0.2">
      <c r="A76" s="9"/>
      <c r="C76" s="99"/>
      <c r="D76" s="52"/>
      <c r="E76" s="100"/>
      <c r="F76" s="100"/>
      <c r="G76" s="100"/>
      <c r="H76" s="100"/>
      <c r="I76" s="100"/>
      <c r="J76" s="100"/>
      <c r="K76" s="100"/>
      <c r="L76" s="109"/>
      <c r="M76" s="52"/>
      <c r="N76" s="52"/>
      <c r="O76" s="52"/>
    </row>
    <row r="77" spans="1:15" s="3" customFormat="1" ht="14.25" x14ac:dyDescent="0.2">
      <c r="A77" s="9"/>
      <c r="B77" s="434" t="s">
        <v>390</v>
      </c>
      <c r="C77" s="381">
        <v>10</v>
      </c>
      <c r="D77" s="381" t="s">
        <v>85</v>
      </c>
      <c r="E77" s="382">
        <v>0</v>
      </c>
      <c r="F77" s="382">
        <v>1</v>
      </c>
      <c r="G77" s="382">
        <v>-10000</v>
      </c>
      <c r="H77" s="382">
        <v>0.15</v>
      </c>
      <c r="I77" s="382"/>
      <c r="J77" s="382">
        <v>-10000</v>
      </c>
      <c r="K77" s="382">
        <v>10000</v>
      </c>
      <c r="L77" s="382" t="str">
        <f>'Indicator sheet'!Q58</f>
        <v>n.d.</v>
      </c>
      <c r="M77" s="381">
        <f>IF('Indicator sheet'!R56=Berechnung1!$H$4,5,IF('Indicator sheet'!R56=Berechnung1!$G$4,1,IF('Indicator sheet'!R56=Berechnung1!$F$4,1,IF('Indicator sheet'!R56=Berechnung1!$E$4,2,IF(AND('Indicator sheet'!R56=Berechnung1!$D$4,'Indicator sheet'!Q56=0,'Indicator sheet'!Q57=0),5,IF('Indicator sheet'!R56=Berechnung1!$D$4,3,IF('Indicator sheet'!R56=Berechnung1!$C$4,4,"")))))))</f>
        <v>1</v>
      </c>
      <c r="N77" s="381">
        <f>IF(M77&gt;1,M77+3,M77)</f>
        <v>1</v>
      </c>
      <c r="O77" s="381">
        <f>IF('Indicator sheet'!T56="",0,1)</f>
        <v>0</v>
      </c>
    </row>
    <row r="78" spans="1:15" s="3" customFormat="1" ht="14.25" x14ac:dyDescent="0.2">
      <c r="A78" s="9"/>
      <c r="C78" s="99"/>
      <c r="D78" s="52"/>
      <c r="E78" s="100"/>
      <c r="F78" s="100"/>
      <c r="G78" s="100"/>
      <c r="H78" s="100"/>
      <c r="I78" s="100"/>
      <c r="J78" s="100"/>
      <c r="K78" s="110"/>
      <c r="L78" s="109"/>
      <c r="M78" s="52"/>
      <c r="N78" s="52"/>
      <c r="O78" s="52"/>
    </row>
    <row r="79" spans="1:15" s="3" customFormat="1" ht="14.25" x14ac:dyDescent="0.2">
      <c r="A79" s="9"/>
      <c r="C79" s="99"/>
      <c r="D79" s="52"/>
      <c r="E79" s="100"/>
      <c r="F79" s="100"/>
      <c r="G79" s="100"/>
      <c r="H79" s="100"/>
      <c r="I79" s="100"/>
      <c r="J79" s="100"/>
      <c r="K79" s="110"/>
      <c r="L79" s="109"/>
      <c r="M79" s="52"/>
      <c r="N79" s="52"/>
      <c r="O79" s="52"/>
    </row>
    <row r="80" spans="1:15" s="3" customFormat="1" ht="14.25" x14ac:dyDescent="0.2">
      <c r="A80" s="9"/>
      <c r="C80" s="105">
        <v>11</v>
      </c>
      <c r="D80" s="105" t="s">
        <v>85</v>
      </c>
      <c r="E80" s="106">
        <v>0</v>
      </c>
      <c r="F80" s="106">
        <v>1</v>
      </c>
      <c r="G80" s="106">
        <v>-10000</v>
      </c>
      <c r="H80" s="106">
        <v>10000</v>
      </c>
      <c r="I80" s="106"/>
      <c r="J80" s="106">
        <v>0.1</v>
      </c>
      <c r="K80" s="106">
        <v>0.9</v>
      </c>
      <c r="L80" s="106" t="str">
        <f>'Indicator sheet'!Q61</f>
        <v>n.d.</v>
      </c>
      <c r="M80" s="105">
        <f>IF('Indicator sheet'!R59=Berechnung1!$G$4,1,IF('Indicator sheet'!R59=Berechnung1!$F$4,1,IF('Indicator sheet'!R59=Berechnung1!$E$4,2,IF('Indicator sheet'!R59=Berechnung1!$D$4,3,IF('Indicator sheet'!R59=Berechnung1!$C$4,4,"")))))</f>
        <v>1</v>
      </c>
      <c r="N80" s="105">
        <f>IF(M80&gt;1,M80+3,M80)</f>
        <v>1</v>
      </c>
      <c r="O80" s="105">
        <f>IF('Indicator sheet'!T59="",0,1)</f>
        <v>0</v>
      </c>
    </row>
    <row r="81" spans="1:15" s="3" customFormat="1" ht="14.25" x14ac:dyDescent="0.2">
      <c r="A81" s="9"/>
      <c r="C81" s="99"/>
      <c r="D81" s="52"/>
      <c r="E81" s="100"/>
      <c r="F81" s="100"/>
      <c r="G81" s="100"/>
      <c r="H81" s="100"/>
      <c r="I81" s="100"/>
      <c r="J81" s="100"/>
      <c r="K81" s="100"/>
      <c r="L81" s="109"/>
      <c r="M81" s="52" t="str">
        <f>IF('Indicator sheet'!R60=Berechnung1!$G$4,1,IF('Indicator sheet'!R60=Berechnung1!$F$4,1,IF('Indicator sheet'!R60=Berechnung1!$E$4,2,IF('Indicator sheet'!R60=Berechnung1!$D$4,3,IF('Indicator sheet'!R60=Berechnung1!$C$4,4,"")))))</f>
        <v/>
      </c>
      <c r="N81" s="52"/>
      <c r="O81" s="52"/>
    </row>
    <row r="82" spans="1:15" s="3" customFormat="1" ht="14.25" x14ac:dyDescent="0.2">
      <c r="A82" s="9"/>
      <c r="C82" s="99"/>
      <c r="D82" s="52"/>
      <c r="E82" s="100"/>
      <c r="F82" s="100"/>
      <c r="G82" s="100"/>
      <c r="H82" s="100"/>
      <c r="I82" s="100"/>
      <c r="J82" s="100"/>
      <c r="K82" s="100"/>
      <c r="L82" s="109"/>
      <c r="M82" s="52" t="str">
        <f>IF('Indicator sheet'!R61=Berechnung1!$G$4,1,IF('Indicator sheet'!R61=Berechnung1!$F$4,1,IF('Indicator sheet'!R61=Berechnung1!$E$4,2,IF('Indicator sheet'!R61=Berechnung1!$D$4,3,IF('Indicator sheet'!R61=Berechnung1!$C$4,4,"")))))</f>
        <v/>
      </c>
      <c r="N82" s="52"/>
      <c r="O82" s="52"/>
    </row>
    <row r="83" spans="1:15" s="3" customFormat="1" ht="14.25" x14ac:dyDescent="0.2">
      <c r="A83" s="9"/>
      <c r="B83" s="434" t="s">
        <v>390</v>
      </c>
      <c r="C83" s="381">
        <v>12</v>
      </c>
      <c r="D83" s="381" t="s">
        <v>85</v>
      </c>
      <c r="E83" s="382">
        <v>0</v>
      </c>
      <c r="F83" s="382">
        <v>1</v>
      </c>
      <c r="G83" s="382">
        <v>0.9</v>
      </c>
      <c r="H83" s="382">
        <v>10000</v>
      </c>
      <c r="I83" s="382"/>
      <c r="J83" s="382">
        <v>-10000</v>
      </c>
      <c r="K83" s="382">
        <v>10000</v>
      </c>
      <c r="L83" s="382" t="str">
        <f>'Indicator sheet'!Q64</f>
        <v>n.d.</v>
      </c>
      <c r="M83" s="381">
        <f>IF('Indicator sheet'!R62=Berechnung1!$H$4,5,IF('Indicator sheet'!R62=Berechnung1!$G$4,1,IF('Indicator sheet'!R62=Berechnung1!$F$4,1,IF('Indicator sheet'!R62=Berechnung1!$E$4,2,IF(AND('Indicator sheet'!R62=Berechnung1!$D$4,'Indicator sheet'!Q62=0,'Indicator sheet'!Q63=0),5,IF('Indicator sheet'!R62=Berechnung1!$D$4,3,IF('Indicator sheet'!R62=Berechnung1!$C$4,4,"")))))))</f>
        <v>1</v>
      </c>
      <c r="N83" s="381">
        <f>IF(M83&gt;1,M83+3,M83)</f>
        <v>1</v>
      </c>
      <c r="O83" s="381">
        <f>IF('Indicator sheet'!T62="",0,1)</f>
        <v>0</v>
      </c>
    </row>
    <row r="84" spans="1:15" s="3" customFormat="1" ht="14.25" x14ac:dyDescent="0.2">
      <c r="A84" s="9"/>
      <c r="C84" s="99"/>
      <c r="D84" s="52"/>
      <c r="E84" s="100"/>
      <c r="F84" s="100"/>
      <c r="G84" s="100"/>
      <c r="H84" s="100"/>
      <c r="I84" s="100"/>
      <c r="J84" s="100"/>
      <c r="K84" s="100"/>
      <c r="L84" s="109"/>
      <c r="M84" s="52"/>
      <c r="N84" s="52"/>
      <c r="O84" s="52"/>
    </row>
    <row r="85" spans="1:15" s="3" customFormat="1" ht="14.25" x14ac:dyDescent="0.2">
      <c r="A85" s="9"/>
      <c r="C85" s="99"/>
      <c r="D85" s="52"/>
      <c r="E85" s="100"/>
      <c r="F85" s="100"/>
      <c r="G85" s="100"/>
      <c r="H85" s="100"/>
      <c r="I85" s="100"/>
      <c r="J85" s="100"/>
      <c r="K85" s="100"/>
      <c r="L85" s="109"/>
      <c r="M85" s="52"/>
      <c r="N85" s="52"/>
      <c r="O85" s="52"/>
    </row>
    <row r="86" spans="1:15" s="3" customFormat="1" ht="14.25" x14ac:dyDescent="0.2">
      <c r="A86" s="9"/>
      <c r="C86" s="105">
        <v>13</v>
      </c>
      <c r="D86" s="105" t="s">
        <v>85</v>
      </c>
      <c r="E86" s="106">
        <v>0</v>
      </c>
      <c r="F86" s="106">
        <v>1</v>
      </c>
      <c r="G86" s="106">
        <v>-10000</v>
      </c>
      <c r="H86" s="106">
        <v>10000</v>
      </c>
      <c r="I86" s="106"/>
      <c r="J86" s="106">
        <v>-10000</v>
      </c>
      <c r="K86" s="106">
        <v>10000</v>
      </c>
      <c r="L86" s="106" t="str">
        <f>'Indicator sheet'!Q67</f>
        <v>n.d.</v>
      </c>
      <c r="M86" s="105">
        <f>IF('Indicator sheet'!R65=Berechnung1!$G$4,1,IF('Indicator sheet'!R65=Berechnung1!$F$4,1,IF('Indicator sheet'!R65=Berechnung1!$E$4,2,IF('Indicator sheet'!R65=Berechnung1!$D$4,3,IF('Indicator sheet'!R65=Berechnung1!$C$4,4,"")))))</f>
        <v>1</v>
      </c>
      <c r="N86" s="105">
        <f>IF(M86&gt;1,M86+3,M86)</f>
        <v>1</v>
      </c>
      <c r="O86" s="105">
        <f>IF('Indicator sheet'!T65="",0,1)</f>
        <v>0</v>
      </c>
    </row>
    <row r="87" spans="1:15" s="3" customFormat="1" ht="14.25" x14ac:dyDescent="0.2">
      <c r="A87" s="9"/>
      <c r="C87" s="99"/>
      <c r="D87" s="52"/>
      <c r="E87" s="100"/>
      <c r="F87" s="100"/>
      <c r="G87" s="100"/>
      <c r="H87" s="100"/>
      <c r="I87" s="100"/>
      <c r="J87" s="100"/>
      <c r="K87" s="100"/>
      <c r="L87" s="52"/>
      <c r="M87" s="52"/>
      <c r="N87" s="52"/>
      <c r="O87" s="102"/>
    </row>
    <row r="88" spans="1:15" s="3" customFormat="1" ht="14.25" x14ac:dyDescent="0.2">
      <c r="A88" s="9"/>
      <c r="C88" s="99"/>
      <c r="D88" s="52"/>
      <c r="E88" s="100"/>
      <c r="F88" s="100"/>
      <c r="G88" s="100"/>
      <c r="H88" s="100"/>
      <c r="I88" s="100"/>
      <c r="J88" s="100"/>
      <c r="K88" s="100"/>
      <c r="L88" s="52"/>
      <c r="M88" s="52"/>
      <c r="N88" s="52"/>
      <c r="O88" s="102"/>
    </row>
    <row r="89" spans="1:15" s="3" customFormat="1" ht="14.25" x14ac:dyDescent="0.2">
      <c r="A89" s="9"/>
      <c r="B89" s="434" t="s">
        <v>390</v>
      </c>
      <c r="C89" s="381">
        <v>14</v>
      </c>
      <c r="D89" s="381" t="s">
        <v>85</v>
      </c>
      <c r="E89" s="382">
        <v>0</v>
      </c>
      <c r="F89" s="382">
        <v>1</v>
      </c>
      <c r="G89" s="382">
        <v>0.9</v>
      </c>
      <c r="H89" s="382">
        <v>10000</v>
      </c>
      <c r="I89" s="382"/>
      <c r="J89" s="382">
        <v>-10000</v>
      </c>
      <c r="K89" s="382">
        <v>10000</v>
      </c>
      <c r="L89" s="382" t="str">
        <f>'Indicator sheet'!Q70</f>
        <v>n.d.</v>
      </c>
      <c r="M89" s="381">
        <f>IF('Indicator sheet'!R68=Berechnung1!$H$4,5,IF('Indicator sheet'!R68=Berechnung1!$G$4,1,IF('Indicator sheet'!R68=Berechnung1!$F$4,1,IF('Indicator sheet'!R68=Berechnung1!$E$4,2,IF('Indicator sheet'!R68=Berechnung1!$D$4,3,IF('Indicator sheet'!R68=Berechnung1!$C$4,4,""))))))</f>
        <v>1</v>
      </c>
      <c r="N89" s="381">
        <f>IF(M89&gt;1,M89+3,M89)</f>
        <v>1</v>
      </c>
      <c r="O89" s="381">
        <f>IF('Indicator sheet'!T68="",0,1)</f>
        <v>0</v>
      </c>
    </row>
    <row r="90" spans="1:15" s="3" customFormat="1" ht="14.25" x14ac:dyDescent="0.2">
      <c r="A90" s="9"/>
      <c r="C90" s="99"/>
      <c r="D90" s="52"/>
      <c r="E90" s="100"/>
      <c r="F90" s="100"/>
      <c r="G90" s="100"/>
      <c r="H90" s="100"/>
      <c r="I90" s="100"/>
      <c r="J90" s="100"/>
      <c r="K90" s="100"/>
      <c r="L90" s="52"/>
      <c r="M90" s="52"/>
      <c r="N90" s="52"/>
      <c r="O90" s="52"/>
    </row>
    <row r="91" spans="1:15" s="3" customFormat="1" ht="14.25" x14ac:dyDescent="0.2">
      <c r="A91" s="9"/>
      <c r="C91" s="99"/>
      <c r="D91" s="52"/>
      <c r="E91" s="100"/>
      <c r="F91" s="100"/>
      <c r="G91" s="100"/>
      <c r="H91" s="100"/>
      <c r="I91" s="100"/>
      <c r="J91" s="100"/>
      <c r="K91" s="100"/>
      <c r="L91" s="52"/>
      <c r="M91" s="52"/>
      <c r="N91" s="52"/>
      <c r="O91" s="52"/>
    </row>
    <row r="92" spans="1:15" s="3" customFormat="1" ht="14.25" x14ac:dyDescent="0.2">
      <c r="A92" s="9"/>
      <c r="B92" s="434" t="s">
        <v>390</v>
      </c>
      <c r="C92" s="381">
        <v>15</v>
      </c>
      <c r="D92" s="381" t="s">
        <v>85</v>
      </c>
      <c r="E92" s="382">
        <v>0</v>
      </c>
      <c r="F92" s="382">
        <v>1</v>
      </c>
      <c r="G92" s="382">
        <v>0.95</v>
      </c>
      <c r="H92" s="382">
        <v>10000</v>
      </c>
      <c r="I92" s="382"/>
      <c r="J92" s="382">
        <v>-10000</v>
      </c>
      <c r="K92" s="382">
        <v>10000</v>
      </c>
      <c r="L92" s="382" t="str">
        <f>'Indicator sheet'!Q73</f>
        <v>n.d.</v>
      </c>
      <c r="M92" s="381">
        <f>IF('Indicator sheet'!R71=Berechnung1!$H$4,5,IF('Indicator sheet'!R71=Berechnung1!$G$4,1,IF('Indicator sheet'!R71=Berechnung1!$F$4,1,IF('Indicator sheet'!R71=Berechnung1!$E$4,2,IF(AND('Indicator sheet'!R71=Berechnung1!$D$4,'Indicator sheet'!Q71=0,'Indicator sheet'!Q72=0),5,IF('Indicator sheet'!R71=Berechnung1!$D$4,3,IF('Indicator sheet'!R71=Berechnung1!$C$4,4,"")))))))</f>
        <v>1</v>
      </c>
      <c r="N92" s="381">
        <f>IF(M92&gt;1,M92+3,M92)</f>
        <v>1</v>
      </c>
      <c r="O92" s="381">
        <f>IF('Indicator sheet'!T71="",0,1)</f>
        <v>0</v>
      </c>
    </row>
    <row r="93" spans="1:15" s="3" customFormat="1" ht="14.25" x14ac:dyDescent="0.2">
      <c r="A93" s="9"/>
      <c r="C93" s="99"/>
      <c r="D93" s="52"/>
      <c r="E93" s="100"/>
      <c r="F93" s="100"/>
      <c r="G93" s="100"/>
      <c r="H93" s="100"/>
      <c r="I93" s="100"/>
      <c r="J93" s="100"/>
      <c r="K93" s="100"/>
      <c r="L93" s="52"/>
      <c r="M93" s="52"/>
      <c r="N93" s="52"/>
      <c r="O93" s="52"/>
    </row>
    <row r="94" spans="1:15" s="3" customFormat="1" ht="14.25" x14ac:dyDescent="0.2">
      <c r="A94" s="9"/>
      <c r="C94" s="99"/>
      <c r="D94" s="52"/>
      <c r="E94" s="100"/>
      <c r="F94" s="100"/>
      <c r="G94" s="100"/>
      <c r="H94" s="100"/>
      <c r="I94" s="100"/>
      <c r="J94" s="100"/>
      <c r="K94" s="100"/>
      <c r="L94" s="52"/>
      <c r="M94" s="52"/>
      <c r="N94" s="52"/>
      <c r="O94" s="52"/>
    </row>
    <row r="95" spans="1:15" s="3" customFormat="1" ht="14.25" x14ac:dyDescent="0.2">
      <c r="A95" s="9"/>
      <c r="B95" s="434" t="s">
        <v>390</v>
      </c>
      <c r="C95" s="381">
        <v>16</v>
      </c>
      <c r="D95" s="381" t="s">
        <v>85</v>
      </c>
      <c r="E95" s="382">
        <v>0</v>
      </c>
      <c r="F95" s="382">
        <v>1</v>
      </c>
      <c r="G95" s="382">
        <v>0.7</v>
      </c>
      <c r="H95" s="382">
        <v>10000</v>
      </c>
      <c r="I95" s="382"/>
      <c r="J95" s="382">
        <v>-10000</v>
      </c>
      <c r="K95" s="382">
        <v>10000</v>
      </c>
      <c r="L95" s="382" t="str">
        <f>'Indicator sheet'!Q76</f>
        <v>n.d.</v>
      </c>
      <c r="M95" s="381">
        <f>IF('Indicator sheet'!R74=Berechnung1!$H$4,5,IF('Indicator sheet'!R74=Berechnung1!$G$4,1,IF('Indicator sheet'!R74=Berechnung1!$F$4,1,IF('Indicator sheet'!R74=Berechnung1!$E$4,2,IF(AND('Indicator sheet'!R74=Berechnung1!$D$4,'Indicator sheet'!Q74=0,'Indicator sheet'!Q75=0),5,IF('Indicator sheet'!R74=Berechnung1!$D$4,3,IF('Indicator sheet'!R74=Berechnung1!$C$4,4,"")))))))</f>
        <v>1</v>
      </c>
      <c r="N95" s="381">
        <f>IF(M95&gt;1,M95+3,M95)</f>
        <v>1</v>
      </c>
      <c r="O95" s="381">
        <f>IF('Indicator sheet'!T74="",0,1)</f>
        <v>0</v>
      </c>
    </row>
    <row r="96" spans="1:15" s="3" customFormat="1" ht="14.25" x14ac:dyDescent="0.2">
      <c r="A96" s="9"/>
      <c r="C96" s="99"/>
      <c r="D96" s="52"/>
      <c r="E96" s="100"/>
      <c r="F96" s="100"/>
      <c r="G96" s="100"/>
      <c r="H96" s="100"/>
      <c r="I96" s="100"/>
      <c r="J96" s="100"/>
      <c r="K96" s="100"/>
      <c r="L96" s="52"/>
      <c r="M96" s="52"/>
      <c r="N96" s="52"/>
      <c r="O96" s="52"/>
    </row>
    <row r="97" spans="1:15" s="3" customFormat="1" ht="14.25" x14ac:dyDescent="0.2">
      <c r="A97" s="9"/>
      <c r="C97" s="99"/>
      <c r="D97" s="52"/>
      <c r="E97" s="100"/>
      <c r="F97" s="100"/>
      <c r="G97" s="100"/>
      <c r="H97" s="100"/>
      <c r="I97" s="100"/>
      <c r="J97" s="100"/>
      <c r="K97" s="100"/>
      <c r="L97" s="52"/>
      <c r="M97" s="52"/>
      <c r="N97" s="52"/>
      <c r="O97" s="52"/>
    </row>
    <row r="98" spans="1:15" s="3" customFormat="1" ht="14.25" x14ac:dyDescent="0.2">
      <c r="A98" s="9"/>
      <c r="B98" s="434" t="s">
        <v>390</v>
      </c>
      <c r="C98" s="381">
        <v>17</v>
      </c>
      <c r="D98" s="381" t="s">
        <v>85</v>
      </c>
      <c r="E98" s="382">
        <v>0</v>
      </c>
      <c r="F98" s="382">
        <v>1</v>
      </c>
      <c r="G98" s="382">
        <v>-10000</v>
      </c>
      <c r="H98" s="382">
        <v>0.15</v>
      </c>
      <c r="I98" s="382"/>
      <c r="J98" s="382">
        <v>-10000</v>
      </c>
      <c r="K98" s="382">
        <v>10000</v>
      </c>
      <c r="L98" s="382" t="str">
        <f>'Indicator sheet'!Q79</f>
        <v>n.d.</v>
      </c>
      <c r="M98" s="381">
        <f>IF('Indicator sheet'!R77=Berechnung1!$H$4,5,IF('Indicator sheet'!R77=Berechnung1!$G$4,1,IF('Indicator sheet'!R77=Berechnung1!$F$4,1,IF('Indicator sheet'!R77=Berechnung1!$E$4,2,IF(AND('Indicator sheet'!R77=Berechnung1!$D$4,'Indicator sheet'!Q77=0,'Indicator sheet'!Q78=0),5,IF('Indicator sheet'!R77=Berechnung1!$D$4,3,IF('Indicator sheet'!R77=Berechnung1!$C$4,4,"")))))))</f>
        <v>1</v>
      </c>
      <c r="N98" s="381">
        <f>IF(M98&gt;1,M98+3,M98)</f>
        <v>1</v>
      </c>
      <c r="O98" s="381">
        <f>IF('Indicator sheet'!T77="",0,1)</f>
        <v>0</v>
      </c>
    </row>
    <row r="99" spans="1:15" s="3" customFormat="1" ht="14.25" x14ac:dyDescent="0.2">
      <c r="A99" s="9"/>
      <c r="C99" s="99"/>
      <c r="D99" s="52"/>
      <c r="E99" s="100"/>
      <c r="F99" s="100"/>
      <c r="G99" s="100"/>
      <c r="H99" s="100"/>
      <c r="I99" s="100"/>
      <c r="J99" s="100"/>
      <c r="K99" s="100"/>
      <c r="L99" s="52"/>
      <c r="M99" s="52"/>
      <c r="N99" s="52"/>
      <c r="O99" s="102"/>
    </row>
    <row r="100" spans="1:15" s="3" customFormat="1" ht="14.25" x14ac:dyDescent="0.2">
      <c r="A100" s="9"/>
      <c r="C100" s="99"/>
      <c r="D100" s="52"/>
      <c r="E100" s="100"/>
      <c r="F100" s="100"/>
      <c r="G100" s="100"/>
      <c r="H100" s="100"/>
      <c r="I100" s="100"/>
      <c r="J100" s="100"/>
      <c r="K100" s="100"/>
      <c r="L100" s="52"/>
      <c r="M100" s="52"/>
      <c r="N100" s="52"/>
      <c r="O100" s="102"/>
    </row>
    <row r="101" spans="1:15" s="3" customFormat="1" ht="14.25" x14ac:dyDescent="0.2">
      <c r="A101" s="9"/>
      <c r="B101" s="434" t="s">
        <v>390</v>
      </c>
      <c r="C101" s="381">
        <v>18</v>
      </c>
      <c r="D101" s="381" t="s">
        <v>85</v>
      </c>
      <c r="E101" s="382">
        <v>0</v>
      </c>
      <c r="F101" s="382">
        <v>1</v>
      </c>
      <c r="G101" s="382">
        <v>-10000</v>
      </c>
      <c r="H101" s="521">
        <v>3.5000000000000003E-2</v>
      </c>
      <c r="I101" s="382"/>
      <c r="J101" s="382">
        <v>-10000</v>
      </c>
      <c r="K101" s="382">
        <v>10000</v>
      </c>
      <c r="L101" s="382" t="str">
        <f>'Indicator sheet'!Q82</f>
        <v>n.d.</v>
      </c>
      <c r="M101" s="381">
        <f>IF('Indicator sheet'!R80=Berechnung1!$H$4,5,IF('Indicator sheet'!R80=Berechnung1!$G$4,1,IF('Indicator sheet'!R80=Berechnung1!$F$4,1,IF('Indicator sheet'!R80=Berechnung1!$E$4,2,IF(AND('Indicator sheet'!R80=Berechnung1!$D$4,'Indicator sheet'!Q80=0,'Indicator sheet'!Q81=0),5,IF('Indicator sheet'!R80=Berechnung1!$D$4,3,IF('Indicator sheet'!R80=Berechnung1!$C$4,4,"")))))))</f>
        <v>1</v>
      </c>
      <c r="N101" s="381">
        <f>IF(M101&gt;1,M101+3,M101)</f>
        <v>1</v>
      </c>
      <c r="O101" s="381">
        <f>IF('Indicator sheet'!T80="",0,1)</f>
        <v>0</v>
      </c>
    </row>
    <row r="102" spans="1:15" s="3" customFormat="1" ht="14.25" x14ac:dyDescent="0.2">
      <c r="A102" s="9"/>
      <c r="C102" s="99"/>
      <c r="D102" s="52"/>
      <c r="E102" s="100"/>
      <c r="F102" s="100"/>
      <c r="G102" s="100"/>
      <c r="H102" s="100"/>
      <c r="I102" s="100"/>
      <c r="J102" s="100"/>
      <c r="K102" s="100"/>
      <c r="L102" s="52"/>
      <c r="M102" s="52"/>
      <c r="N102" s="52"/>
      <c r="O102" s="102"/>
    </row>
    <row r="103" spans="1:15" s="3" customFormat="1" ht="14.25" x14ac:dyDescent="0.2">
      <c r="A103" s="9"/>
      <c r="C103" s="99"/>
      <c r="D103" s="52"/>
      <c r="E103" s="100"/>
      <c r="F103" s="100"/>
      <c r="G103" s="100"/>
      <c r="H103" s="100"/>
      <c r="I103" s="100"/>
      <c r="J103" s="100"/>
      <c r="K103" s="100"/>
      <c r="L103" s="52"/>
      <c r="M103" s="52"/>
      <c r="N103" s="52"/>
      <c r="O103" s="102"/>
    </row>
    <row r="104" spans="1:15" s="3" customFormat="1" ht="14.25" x14ac:dyDescent="0.2">
      <c r="A104" s="9"/>
      <c r="B104" s="434" t="s">
        <v>390</v>
      </c>
      <c r="C104" s="381">
        <v>19</v>
      </c>
      <c r="D104" s="381" t="s">
        <v>85</v>
      </c>
      <c r="E104" s="382">
        <v>0</v>
      </c>
      <c r="F104" s="382">
        <v>1</v>
      </c>
      <c r="G104" s="382">
        <v>0.9</v>
      </c>
      <c r="H104" s="382">
        <v>10000</v>
      </c>
      <c r="I104" s="382"/>
      <c r="J104" s="382">
        <v>-10000</v>
      </c>
      <c r="K104" s="382">
        <v>10000</v>
      </c>
      <c r="L104" s="382" t="str">
        <f>'Indicator sheet'!Q85</f>
        <v>n.d.</v>
      </c>
      <c r="M104" s="381">
        <f>IF('Indicator sheet'!R83=Berechnung1!$H$4,5,IF('Indicator sheet'!R83=Berechnung1!$G$4,1,IF('Indicator sheet'!R83=Berechnung1!$F$4,1,IF('Indicator sheet'!R83=Berechnung1!$E$4,2,IF(AND('Indicator sheet'!R83=Berechnung1!$D$4,'Indicator sheet'!Q83=0,'Indicator sheet'!Q84=0),5,IF('Indicator sheet'!R83=Berechnung1!$D$4,3,IF('Indicator sheet'!R83=Berechnung1!$C$4,4,"")))))))</f>
        <v>1</v>
      </c>
      <c r="N104" s="381">
        <f>IF(M104&gt;1,M104+3,M104)</f>
        <v>1</v>
      </c>
      <c r="O104" s="381">
        <f>IF('Indicator sheet'!T83="",0,1)</f>
        <v>0</v>
      </c>
    </row>
    <row r="105" spans="1:15" s="3" customFormat="1" ht="14.25" x14ac:dyDescent="0.2">
      <c r="A105" s="9"/>
      <c r="C105" s="99"/>
      <c r="D105" s="52"/>
      <c r="E105" s="100"/>
      <c r="F105" s="100"/>
      <c r="G105" s="100"/>
      <c r="H105" s="100"/>
      <c r="I105" s="100"/>
      <c r="J105" s="100"/>
      <c r="K105" s="100"/>
      <c r="L105" s="52"/>
      <c r="M105" s="52"/>
      <c r="N105" s="52"/>
      <c r="O105" s="52"/>
    </row>
    <row r="106" spans="1:15" s="3" customFormat="1" ht="14.25" x14ac:dyDescent="0.2">
      <c r="A106" s="9"/>
      <c r="C106" s="99"/>
      <c r="D106" s="52"/>
      <c r="E106" s="100"/>
      <c r="F106" s="100"/>
      <c r="G106" s="100"/>
      <c r="H106" s="100"/>
      <c r="I106" s="100"/>
      <c r="J106" s="100"/>
      <c r="K106" s="100"/>
      <c r="L106" s="52"/>
      <c r="M106" s="52"/>
      <c r="N106" s="52"/>
      <c r="O106" s="52"/>
    </row>
    <row r="107" spans="1:15" x14ac:dyDescent="0.25">
      <c r="C107" s="105">
        <v>22</v>
      </c>
      <c r="D107" s="105" t="s">
        <v>85</v>
      </c>
      <c r="E107" s="106">
        <v>0</v>
      </c>
      <c r="F107" s="106">
        <v>1</v>
      </c>
      <c r="G107" s="106">
        <v>-10000</v>
      </c>
      <c r="H107" s="106">
        <v>10000</v>
      </c>
      <c r="I107" s="106"/>
      <c r="J107" s="520">
        <v>-10000</v>
      </c>
      <c r="K107" s="106">
        <v>10000</v>
      </c>
      <c r="L107" s="106" t="str">
        <f>'Indicator sheet'!Q88</f>
        <v>n.d.</v>
      </c>
      <c r="M107" s="105">
        <f>IF('Indicator sheet'!R86=Berechnung1!$H$4,5,IF('Indicator sheet'!R86=Berechnung1!$G$4,1,IF('Indicator sheet'!R86=Berechnung1!$F$4,1,IF('Indicator sheet'!R86=Berechnung1!$E$4,2,IF(AND('Indicator sheet'!R86=Berechnung1!$D$4,'Indicator sheet'!Q86=0,'Indicator sheet'!Q87=0),5,IF('Indicator sheet'!R86=Berechnung1!$D$4,3,IF('Indicator sheet'!R86=Berechnung1!$C$4,4,"")))))))</f>
        <v>1</v>
      </c>
      <c r="N107" s="105">
        <f t="shared" ref="N107" si="2">IF(M107&gt;1,M107+3,M107)</f>
        <v>1</v>
      </c>
      <c r="O107" s="105">
        <f>IF('Indicator sheet'!T86="",0,1)</f>
        <v>0</v>
      </c>
    </row>
    <row r="108" spans="1:15" x14ac:dyDescent="0.25">
      <c r="C108" s="99"/>
      <c r="D108" s="436"/>
      <c r="E108" s="436"/>
      <c r="F108" s="436"/>
      <c r="G108" s="436"/>
      <c r="H108" s="436"/>
      <c r="I108" s="436"/>
      <c r="J108" s="436"/>
      <c r="K108" s="436"/>
      <c r="L108" s="436"/>
      <c r="M108" s="436"/>
      <c r="N108" s="52"/>
      <c r="O108" s="52"/>
    </row>
    <row r="109" spans="1:15" x14ac:dyDescent="0.25">
      <c r="C109" s="99"/>
      <c r="D109" s="436"/>
      <c r="E109" s="436"/>
      <c r="F109" s="436"/>
      <c r="G109" s="436"/>
      <c r="H109" s="436"/>
      <c r="I109" s="436"/>
      <c r="J109" s="436"/>
      <c r="K109" s="436"/>
      <c r="L109" s="436"/>
      <c r="M109" s="436"/>
      <c r="N109" s="52"/>
      <c r="O109" s="52"/>
    </row>
    <row r="110" spans="1:15" x14ac:dyDescent="0.25">
      <c r="C110" s="105">
        <v>23</v>
      </c>
      <c r="D110" s="105" t="s">
        <v>85</v>
      </c>
      <c r="E110" s="106">
        <v>0</v>
      </c>
      <c r="F110" s="106">
        <v>1</v>
      </c>
      <c r="G110" s="106">
        <v>-10000</v>
      </c>
      <c r="H110" s="106">
        <v>10000</v>
      </c>
      <c r="I110" s="106"/>
      <c r="J110" s="520">
        <v>-10000</v>
      </c>
      <c r="K110" s="106">
        <v>10000</v>
      </c>
      <c r="L110" s="106" t="str">
        <f>'Indicator sheet'!Q91</f>
        <v>n.d.</v>
      </c>
      <c r="M110" s="105">
        <f>IF('Indicator sheet'!R89=Berechnung1!$H$4,5,IF('Indicator sheet'!R89=Berechnung1!$G$4,1,IF('Indicator sheet'!R89=Berechnung1!$F$4,1,IF('Indicator sheet'!R89=Berechnung1!$E$4,2,IF(AND('Indicator sheet'!R89=Berechnung1!$D$4,'Indicator sheet'!Q89=0,'Indicator sheet'!Q90=0),5,IF('Indicator sheet'!R89=Berechnung1!$D$4,3,IF('Indicator sheet'!R89=Berechnung1!$C$4,4,"")))))))</f>
        <v>1</v>
      </c>
      <c r="N110" s="105">
        <f t="shared" ref="N110" si="3">IF(M110&gt;1,M110+3,M110)</f>
        <v>1</v>
      </c>
      <c r="O110" s="105">
        <f>IF('Indicator sheet'!T89="",0,1)</f>
        <v>0</v>
      </c>
    </row>
    <row r="111" spans="1:15" x14ac:dyDescent="0.25">
      <c r="C111" s="99"/>
      <c r="D111" s="436"/>
      <c r="E111" s="436"/>
      <c r="F111" s="436"/>
      <c r="G111" s="436"/>
      <c r="H111" s="436"/>
      <c r="I111" s="436"/>
      <c r="J111" s="436"/>
      <c r="K111" s="436"/>
      <c r="L111" s="436"/>
      <c r="M111" s="436"/>
      <c r="N111" s="52"/>
      <c r="O111" s="52"/>
    </row>
    <row r="112" spans="1:15" x14ac:dyDescent="0.25">
      <c r="C112" s="99"/>
      <c r="D112" s="436"/>
      <c r="E112" s="436"/>
      <c r="F112" s="436"/>
      <c r="G112" s="436"/>
      <c r="H112" s="436"/>
      <c r="I112" s="436"/>
      <c r="J112" s="436"/>
      <c r="K112" s="436"/>
      <c r="L112" s="436"/>
      <c r="M112" s="436"/>
      <c r="N112" s="52"/>
      <c r="O112" s="52"/>
    </row>
    <row r="142" spans="1:15" x14ac:dyDescent="0.25">
      <c r="A142" s="29" t="s">
        <v>365</v>
      </c>
      <c r="C142" s="436"/>
      <c r="D142" s="436"/>
      <c r="E142" s="436"/>
      <c r="F142" s="436"/>
      <c r="G142" s="436"/>
      <c r="H142" s="437" t="s">
        <v>364</v>
      </c>
      <c r="I142" s="436"/>
      <c r="J142" s="436"/>
      <c r="K142" s="436"/>
      <c r="L142" s="436"/>
      <c r="M142" s="436"/>
      <c r="N142" s="52"/>
      <c r="O142" s="52"/>
    </row>
    <row r="143" spans="1:15" x14ac:dyDescent="0.25">
      <c r="A143" s="83"/>
      <c r="C143" s="436"/>
      <c r="D143" s="436"/>
      <c r="E143" s="436"/>
      <c r="F143" s="436"/>
      <c r="G143" s="436"/>
      <c r="H143" s="436"/>
      <c r="I143" s="436"/>
      <c r="J143" s="436"/>
      <c r="K143" s="436"/>
      <c r="L143" s="436"/>
      <c r="M143" s="436"/>
      <c r="N143" s="52"/>
      <c r="O143" s="52"/>
    </row>
    <row r="144" spans="1:15" x14ac:dyDescent="0.25">
      <c r="A144" s="114" t="s">
        <v>160</v>
      </c>
      <c r="B144" s="113"/>
      <c r="C144" s="438" t="s">
        <v>161</v>
      </c>
      <c r="D144" s="439" t="s">
        <v>111</v>
      </c>
      <c r="E144" s="439"/>
      <c r="F144" s="436"/>
      <c r="G144" s="436"/>
      <c r="H144" s="436" t="s">
        <v>366</v>
      </c>
      <c r="I144" s="436"/>
      <c r="J144" s="436"/>
      <c r="K144" s="436"/>
      <c r="L144" s="436"/>
      <c r="M144" s="436"/>
      <c r="N144" s="52"/>
      <c r="O144" s="52"/>
    </row>
    <row r="145" spans="1:15" x14ac:dyDescent="0.25">
      <c r="A145" s="50" t="s">
        <v>359</v>
      </c>
      <c r="B145" s="112"/>
      <c r="C145" s="440" t="s">
        <v>162</v>
      </c>
      <c r="D145" s="440" t="s">
        <v>163</v>
      </c>
      <c r="E145" s="440"/>
      <c r="F145" s="436"/>
      <c r="G145" s="436"/>
      <c r="H145" s="436"/>
      <c r="I145" s="436"/>
      <c r="J145" s="436"/>
      <c r="K145" s="436"/>
      <c r="L145" s="436"/>
      <c r="M145" s="436"/>
      <c r="N145" s="52"/>
      <c r="O145" s="52"/>
    </row>
    <row r="146" spans="1:15" x14ac:dyDescent="0.25">
      <c r="A146" s="140"/>
      <c r="B146" s="336"/>
      <c r="C146" s="440"/>
      <c r="D146" s="440" t="s">
        <v>164</v>
      </c>
      <c r="E146" s="440"/>
      <c r="F146" s="436"/>
      <c r="G146" s="436"/>
      <c r="H146" s="436" t="s">
        <v>367</v>
      </c>
      <c r="I146" s="436"/>
      <c r="J146" s="436"/>
      <c r="K146" s="436"/>
      <c r="L146" s="436"/>
      <c r="M146" s="436"/>
      <c r="N146" s="52"/>
      <c r="O146" s="52"/>
    </row>
    <row r="147" spans="1:15" x14ac:dyDescent="0.25">
      <c r="A147" s="111"/>
      <c r="B147" s="112"/>
      <c r="C147" s="440"/>
      <c r="D147" s="440" t="s">
        <v>168</v>
      </c>
      <c r="E147" s="440"/>
      <c r="F147" s="436"/>
      <c r="G147" s="436"/>
      <c r="H147" s="436"/>
      <c r="I147" s="436"/>
      <c r="J147" s="436"/>
      <c r="K147" s="436"/>
      <c r="L147" s="436"/>
      <c r="M147" s="436"/>
      <c r="N147" s="52"/>
      <c r="O147" s="52"/>
    </row>
    <row r="148" spans="1:15" x14ac:dyDescent="0.25">
      <c r="A148" s="140"/>
      <c r="B148" s="112"/>
      <c r="C148" s="440"/>
      <c r="D148" s="440"/>
      <c r="E148" s="440"/>
      <c r="F148" s="436"/>
      <c r="G148" s="436"/>
      <c r="H148" s="436" t="s">
        <v>368</v>
      </c>
      <c r="I148" s="436"/>
      <c r="J148" s="436"/>
      <c r="K148" s="436"/>
      <c r="L148" s="436"/>
      <c r="M148" s="436"/>
      <c r="N148" s="52"/>
      <c r="O148" s="52"/>
    </row>
    <row r="149" spans="1:15" x14ac:dyDescent="0.25">
      <c r="A149" s="140" t="s">
        <v>351</v>
      </c>
      <c r="B149" s="112"/>
      <c r="C149" s="440" t="s">
        <v>165</v>
      </c>
      <c r="D149" s="440" t="s">
        <v>166</v>
      </c>
      <c r="E149" s="440"/>
      <c r="F149" s="436"/>
      <c r="G149" s="436"/>
      <c r="H149" s="436"/>
      <c r="I149" s="436"/>
      <c r="J149" s="436"/>
      <c r="K149" s="436"/>
      <c r="L149" s="436"/>
      <c r="M149" s="436"/>
      <c r="N149" s="52"/>
      <c r="O149" s="52"/>
    </row>
    <row r="150" spans="1:15" x14ac:dyDescent="0.25">
      <c r="A150" s="140"/>
      <c r="B150" s="112"/>
      <c r="C150" s="440"/>
      <c r="D150" s="440" t="s">
        <v>167</v>
      </c>
      <c r="E150" s="440"/>
      <c r="F150" s="436"/>
      <c r="G150" s="436"/>
      <c r="H150" s="436" t="s">
        <v>369</v>
      </c>
      <c r="I150" s="436"/>
      <c r="J150" s="436"/>
      <c r="K150" s="436"/>
      <c r="L150" s="436"/>
      <c r="M150" s="436"/>
      <c r="N150" s="52"/>
      <c r="O150" s="52"/>
    </row>
    <row r="151" spans="1:15" x14ac:dyDescent="0.25">
      <c r="A151" s="140"/>
      <c r="B151" s="336"/>
      <c r="C151" s="440"/>
      <c r="D151" s="440" t="s">
        <v>350</v>
      </c>
      <c r="E151" s="440"/>
      <c r="F151" s="436"/>
      <c r="G151" s="436"/>
      <c r="H151" s="436"/>
      <c r="I151" s="436"/>
      <c r="J151" s="436"/>
      <c r="K151" s="436"/>
      <c r="L151" s="436"/>
      <c r="M151" s="436"/>
      <c r="N151" s="52"/>
      <c r="O151" s="52"/>
    </row>
    <row r="152" spans="1:15" x14ac:dyDescent="0.25">
      <c r="A152" s="111"/>
      <c r="B152" s="112"/>
      <c r="C152" s="440"/>
      <c r="D152" s="440"/>
      <c r="E152" s="440"/>
      <c r="F152" s="436"/>
      <c r="G152" s="436"/>
      <c r="H152" s="436" t="s">
        <v>177</v>
      </c>
      <c r="I152" s="436"/>
      <c r="J152" s="436"/>
      <c r="K152" s="436"/>
      <c r="L152" s="436"/>
      <c r="M152" s="436"/>
      <c r="N152" s="52"/>
      <c r="O152" s="52"/>
    </row>
    <row r="153" spans="1:15" x14ac:dyDescent="0.25">
      <c r="A153" s="338">
        <v>5</v>
      </c>
      <c r="B153" s="112"/>
      <c r="C153" s="440" t="s">
        <v>165</v>
      </c>
      <c r="D153" s="440" t="s">
        <v>166</v>
      </c>
      <c r="E153" s="440"/>
      <c r="F153" s="436"/>
      <c r="G153" s="436"/>
      <c r="H153" s="436"/>
      <c r="I153" s="436"/>
      <c r="J153" s="436"/>
      <c r="K153" s="436"/>
      <c r="L153" s="436"/>
      <c r="M153" s="436"/>
      <c r="N153" s="52"/>
      <c r="O153" s="52"/>
    </row>
    <row r="154" spans="1:15" x14ac:dyDescent="0.25">
      <c r="A154" s="112"/>
      <c r="B154" s="112"/>
      <c r="C154" s="440"/>
      <c r="D154" s="440" t="s">
        <v>167</v>
      </c>
      <c r="E154" s="440"/>
      <c r="F154" s="436"/>
      <c r="G154" s="436"/>
      <c r="H154" s="436"/>
      <c r="I154" s="436"/>
      <c r="J154" s="436"/>
      <c r="K154" s="436"/>
      <c r="L154" s="436"/>
      <c r="M154" s="436"/>
      <c r="N154" s="52"/>
      <c r="O154" s="52"/>
    </row>
    <row r="155" spans="1:15" x14ac:dyDescent="0.25">
      <c r="A155" s="112"/>
      <c r="B155" s="112"/>
      <c r="C155" s="440"/>
      <c r="D155" s="440" t="s">
        <v>372</v>
      </c>
      <c r="E155" s="440"/>
      <c r="F155" s="436"/>
      <c r="G155" s="436"/>
      <c r="H155" s="436"/>
      <c r="I155" s="436"/>
      <c r="J155" s="436"/>
      <c r="K155" s="436"/>
      <c r="L155" s="436"/>
      <c r="M155" s="436"/>
      <c r="N155" s="52"/>
      <c r="O155" s="52"/>
    </row>
    <row r="156" spans="1:15" x14ac:dyDescent="0.25">
      <c r="A156" s="112"/>
      <c r="B156" s="112"/>
      <c r="C156" s="440"/>
      <c r="D156" s="440"/>
      <c r="E156" s="440"/>
      <c r="F156" s="436"/>
      <c r="G156" s="436"/>
      <c r="H156" s="436"/>
      <c r="I156" s="436"/>
      <c r="J156" s="436"/>
      <c r="K156" s="436"/>
      <c r="L156" s="436"/>
      <c r="M156" s="436"/>
      <c r="N156" s="52"/>
      <c r="O156" s="52"/>
    </row>
    <row r="157" spans="1:15" x14ac:dyDescent="0.25">
      <c r="A157" s="338">
        <v>19</v>
      </c>
      <c r="B157" s="112"/>
      <c r="C157" s="440" t="s">
        <v>165</v>
      </c>
      <c r="D157" s="440" t="s">
        <v>166</v>
      </c>
      <c r="E157" s="440"/>
      <c r="F157" s="436"/>
      <c r="G157" s="436"/>
      <c r="H157" s="436"/>
      <c r="I157" s="436"/>
      <c r="J157" s="436"/>
      <c r="K157" s="436"/>
      <c r="L157" s="436"/>
      <c r="M157" s="436"/>
      <c r="N157" s="52"/>
      <c r="O157" s="52"/>
    </row>
    <row r="158" spans="1:15" x14ac:dyDescent="0.25">
      <c r="A158" s="112"/>
      <c r="B158" s="112"/>
      <c r="C158" s="440"/>
      <c r="D158" s="440" t="s">
        <v>167</v>
      </c>
      <c r="E158" s="440"/>
      <c r="F158" s="436"/>
      <c r="G158" s="436"/>
      <c r="H158" s="436"/>
      <c r="I158" s="436"/>
      <c r="J158" s="436"/>
      <c r="K158" s="436"/>
      <c r="L158" s="436"/>
      <c r="M158" s="436"/>
      <c r="N158" s="52"/>
      <c r="O158" s="52"/>
    </row>
    <row r="159" spans="1:15" x14ac:dyDescent="0.25">
      <c r="A159" s="112"/>
      <c r="B159" s="112"/>
      <c r="C159" s="440"/>
      <c r="D159" s="440" t="s">
        <v>373</v>
      </c>
      <c r="E159" s="440"/>
      <c r="F159" s="436"/>
      <c r="G159" s="436"/>
      <c r="H159" s="436"/>
      <c r="I159" s="436"/>
      <c r="J159" s="436"/>
      <c r="K159" s="436"/>
      <c r="L159" s="436"/>
      <c r="M159" s="436"/>
      <c r="N159" s="52"/>
      <c r="O159" s="52"/>
    </row>
    <row r="160" spans="1:15" x14ac:dyDescent="0.25">
      <c r="A160" s="112"/>
      <c r="B160" s="112"/>
      <c r="C160" s="440"/>
      <c r="D160" s="440"/>
      <c r="E160" s="440"/>
      <c r="F160" s="436"/>
      <c r="G160" s="436"/>
      <c r="H160" s="436"/>
      <c r="I160" s="436"/>
      <c r="J160" s="436"/>
      <c r="K160" s="436"/>
      <c r="L160" s="436"/>
      <c r="M160" s="436"/>
      <c r="N160" s="52"/>
      <c r="O160" s="52"/>
    </row>
    <row r="161" spans="1:15" ht="15" customHeight="1" x14ac:dyDescent="0.25">
      <c r="A161" s="339" t="s">
        <v>370</v>
      </c>
      <c r="B161" s="112"/>
      <c r="C161" s="440" t="s">
        <v>165</v>
      </c>
      <c r="D161" s="440" t="s">
        <v>166</v>
      </c>
      <c r="E161" s="440"/>
      <c r="F161" s="436"/>
      <c r="G161" s="436"/>
      <c r="H161" s="436"/>
      <c r="I161" s="436"/>
      <c r="J161" s="436"/>
      <c r="K161" s="436"/>
      <c r="L161" s="436"/>
      <c r="M161" s="436"/>
      <c r="N161" s="52"/>
      <c r="O161" s="52"/>
    </row>
    <row r="162" spans="1:15" x14ac:dyDescent="0.25">
      <c r="A162" s="340" t="s">
        <v>363</v>
      </c>
      <c r="B162" s="112"/>
      <c r="C162" s="440"/>
      <c r="D162" s="440" t="s">
        <v>167</v>
      </c>
      <c r="E162" s="440"/>
      <c r="F162" s="436"/>
      <c r="G162" s="436"/>
      <c r="H162" s="436"/>
      <c r="I162" s="436"/>
      <c r="J162" s="436"/>
      <c r="K162" s="436"/>
      <c r="L162" s="436"/>
      <c r="M162" s="436"/>
      <c r="N162" s="52"/>
      <c r="O162" s="52"/>
    </row>
    <row r="163" spans="1:15" x14ac:dyDescent="0.25">
      <c r="A163" s="112"/>
      <c r="B163" s="112"/>
      <c r="C163" s="440"/>
      <c r="D163" s="440" t="s">
        <v>360</v>
      </c>
      <c r="E163" s="440"/>
      <c r="F163" s="436"/>
      <c r="G163" s="436"/>
      <c r="H163" s="436"/>
      <c r="I163" s="436"/>
      <c r="J163" s="436"/>
      <c r="K163" s="436"/>
      <c r="L163" s="436"/>
      <c r="M163" s="436"/>
      <c r="N163" s="52"/>
      <c r="O163" s="52"/>
    </row>
    <row r="164" spans="1:15" x14ac:dyDescent="0.25">
      <c r="A164" s="112"/>
      <c r="B164" s="112"/>
      <c r="C164" s="440"/>
      <c r="D164" s="440"/>
      <c r="E164" s="440"/>
      <c r="F164" s="436"/>
      <c r="G164" s="436"/>
      <c r="H164" s="436"/>
      <c r="I164" s="436"/>
      <c r="J164" s="436"/>
      <c r="K164" s="436"/>
      <c r="L164" s="436"/>
      <c r="M164" s="436"/>
      <c r="N164" s="52"/>
      <c r="O164" s="52"/>
    </row>
    <row r="165" spans="1:15" x14ac:dyDescent="0.25">
      <c r="A165" s="829" t="s">
        <v>361</v>
      </c>
      <c r="B165" s="829"/>
      <c r="C165" s="440" t="s">
        <v>169</v>
      </c>
      <c r="D165" s="440" t="s">
        <v>163</v>
      </c>
      <c r="E165" s="440"/>
      <c r="F165" s="436"/>
      <c r="G165" s="436"/>
      <c r="H165" s="436"/>
      <c r="I165" s="436"/>
      <c r="J165" s="436"/>
      <c r="K165" s="436"/>
      <c r="L165" s="436"/>
      <c r="M165" s="436"/>
      <c r="N165" s="52"/>
      <c r="O165" s="52"/>
    </row>
    <row r="166" spans="1:15" x14ac:dyDescent="0.25">
      <c r="A166" s="337" t="s">
        <v>356</v>
      </c>
      <c r="B166" s="337"/>
      <c r="C166" s="440"/>
      <c r="D166" s="440" t="s">
        <v>164</v>
      </c>
      <c r="E166" s="440"/>
      <c r="F166" s="436"/>
      <c r="G166" s="436"/>
      <c r="H166" s="436"/>
      <c r="I166" s="436"/>
      <c r="J166" s="436"/>
      <c r="K166" s="436"/>
      <c r="L166" s="436"/>
      <c r="M166" s="436"/>
      <c r="N166" s="52"/>
      <c r="O166" s="52"/>
    </row>
    <row r="167" spans="1:15" x14ac:dyDescent="0.25">
      <c r="A167" s="112"/>
      <c r="B167" s="112"/>
      <c r="C167" s="440"/>
      <c r="D167" s="440"/>
      <c r="E167" s="440"/>
      <c r="F167" s="436"/>
      <c r="G167" s="436"/>
      <c r="H167" s="436"/>
      <c r="I167" s="436"/>
      <c r="J167" s="436"/>
      <c r="K167" s="436"/>
      <c r="L167" s="436"/>
      <c r="M167" s="436"/>
      <c r="N167" s="52"/>
      <c r="O167" s="52"/>
    </row>
    <row r="168" spans="1:15" x14ac:dyDescent="0.25">
      <c r="A168" s="338" t="s">
        <v>371</v>
      </c>
      <c r="B168" s="112"/>
      <c r="C168" s="440" t="s">
        <v>165</v>
      </c>
      <c r="D168" s="440" t="s">
        <v>352</v>
      </c>
      <c r="E168" s="440"/>
      <c r="F168" s="436"/>
      <c r="G168" s="436"/>
      <c r="H168" s="436"/>
      <c r="I168" s="436"/>
      <c r="J168" s="436"/>
      <c r="K168" s="436"/>
      <c r="L168" s="436"/>
      <c r="M168" s="436"/>
      <c r="N168" s="52"/>
      <c r="O168" s="52"/>
    </row>
    <row r="169" spans="1:15" x14ac:dyDescent="0.25">
      <c r="A169" s="337" t="s">
        <v>362</v>
      </c>
      <c r="B169" s="337"/>
      <c r="C169" s="440"/>
      <c r="D169" s="440" t="s">
        <v>353</v>
      </c>
      <c r="E169" s="440"/>
      <c r="F169" s="436"/>
      <c r="G169" s="436"/>
      <c r="H169" s="436"/>
      <c r="I169" s="436"/>
      <c r="J169" s="436"/>
      <c r="K169" s="436"/>
      <c r="L169" s="436"/>
      <c r="M169" s="436"/>
      <c r="N169" s="52"/>
      <c r="O169" s="52"/>
    </row>
    <row r="170" spans="1:15" x14ac:dyDescent="0.25">
      <c r="A170" s="112"/>
      <c r="B170" s="112"/>
      <c r="C170" s="440"/>
      <c r="D170" s="440"/>
      <c r="E170" s="440"/>
      <c r="F170" s="436"/>
      <c r="G170" s="436"/>
      <c r="H170" s="436"/>
      <c r="I170" s="436"/>
      <c r="J170" s="436"/>
      <c r="K170" s="436"/>
      <c r="L170" s="436"/>
      <c r="M170" s="436"/>
      <c r="N170" s="52"/>
      <c r="O170" s="52"/>
    </row>
    <row r="171" spans="1:15" x14ac:dyDescent="0.25">
      <c r="A171" s="338">
        <v>8</v>
      </c>
      <c r="B171" s="112"/>
      <c r="C171" s="440" t="s">
        <v>1</v>
      </c>
      <c r="D171" s="440" t="s">
        <v>354</v>
      </c>
      <c r="E171" s="440"/>
      <c r="F171" s="436" t="s">
        <v>355</v>
      </c>
      <c r="G171" s="436"/>
      <c r="H171" s="436"/>
      <c r="I171" s="436"/>
      <c r="J171" s="436"/>
      <c r="K171" s="436"/>
      <c r="L171" s="436"/>
      <c r="M171" s="436"/>
      <c r="N171" s="52"/>
      <c r="O171" s="52"/>
    </row>
    <row r="172" spans="1:15" x14ac:dyDescent="0.25">
      <c r="A172" s="338"/>
      <c r="B172" s="112"/>
      <c r="C172" s="440"/>
      <c r="D172" s="440"/>
      <c r="E172" s="440"/>
      <c r="F172" s="436"/>
      <c r="G172" s="436"/>
      <c r="H172" s="436"/>
      <c r="I172" s="436"/>
      <c r="J172" s="436"/>
      <c r="K172" s="436"/>
      <c r="L172" s="436"/>
      <c r="M172" s="436"/>
      <c r="N172" s="52"/>
      <c r="O172" s="52"/>
    </row>
    <row r="173" spans="1:15" x14ac:dyDescent="0.25">
      <c r="A173" s="112"/>
      <c r="B173" s="112"/>
      <c r="C173" s="440"/>
      <c r="D173" s="440"/>
      <c r="E173" s="440"/>
      <c r="F173" s="436"/>
      <c r="G173" s="436"/>
      <c r="H173" s="436"/>
      <c r="I173" s="436"/>
      <c r="J173" s="436"/>
      <c r="K173" s="436"/>
      <c r="L173" s="436"/>
      <c r="M173" s="436"/>
      <c r="N173" s="52"/>
      <c r="O173" s="52"/>
    </row>
    <row r="174" spans="1:15" x14ac:dyDescent="0.25">
      <c r="A174" s="112"/>
      <c r="B174" s="112"/>
      <c r="C174" s="440"/>
      <c r="D174" s="440"/>
      <c r="E174" s="440"/>
      <c r="F174" s="436"/>
      <c r="G174" s="436"/>
      <c r="H174" s="436"/>
      <c r="I174" s="436"/>
      <c r="J174" s="436"/>
      <c r="K174" s="436"/>
      <c r="L174" s="436"/>
      <c r="M174" s="436"/>
      <c r="N174" s="52"/>
      <c r="O174" s="52"/>
    </row>
    <row r="175" spans="1:15" x14ac:dyDescent="0.25">
      <c r="A175" s="112"/>
      <c r="B175" s="112"/>
      <c r="C175" s="440"/>
      <c r="D175" s="440"/>
      <c r="E175" s="440"/>
      <c r="F175" s="436"/>
      <c r="G175" s="436"/>
      <c r="H175" s="436"/>
      <c r="I175" s="436"/>
      <c r="J175" s="436"/>
      <c r="K175" s="436"/>
      <c r="L175" s="436"/>
      <c r="M175" s="436"/>
      <c r="N175" s="52"/>
      <c r="O175" s="52"/>
    </row>
    <row r="176" spans="1:15" x14ac:dyDescent="0.25">
      <c r="A176" s="111" t="s">
        <v>112</v>
      </c>
      <c r="B176" s="112"/>
      <c r="C176" s="440" t="s">
        <v>170</v>
      </c>
      <c r="D176" s="440"/>
      <c r="E176" s="440"/>
      <c r="F176" s="436"/>
      <c r="G176" s="436"/>
      <c r="H176" s="436"/>
      <c r="I176" s="436"/>
      <c r="J176" s="436"/>
      <c r="K176" s="436"/>
      <c r="L176" s="436"/>
      <c r="M176" s="436"/>
      <c r="N176" s="52"/>
      <c r="O176" s="52"/>
    </row>
    <row r="177" spans="1:15" x14ac:dyDescent="0.25">
      <c r="A177" s="112"/>
      <c r="B177" s="112"/>
      <c r="C177" s="440" t="s">
        <v>171</v>
      </c>
      <c r="D177" s="440"/>
      <c r="E177" s="440"/>
      <c r="F177" s="436"/>
      <c r="G177" s="436"/>
      <c r="H177" s="436"/>
      <c r="I177" s="436"/>
      <c r="J177" s="436"/>
      <c r="K177" s="436"/>
      <c r="L177" s="436"/>
      <c r="M177" s="436"/>
      <c r="N177" s="52"/>
      <c r="O177" s="52"/>
    </row>
    <row r="178" spans="1:15" x14ac:dyDescent="0.25">
      <c r="A178" s="112"/>
      <c r="B178" s="112"/>
      <c r="C178" s="440" t="s">
        <v>113</v>
      </c>
      <c r="D178" s="440"/>
      <c r="E178" s="440"/>
      <c r="F178" s="436"/>
      <c r="G178" s="436"/>
      <c r="H178" s="436"/>
      <c r="I178" s="436"/>
      <c r="J178" s="436"/>
      <c r="K178" s="436"/>
      <c r="L178" s="436"/>
      <c r="M178" s="436"/>
      <c r="N178" s="52"/>
      <c r="O178" s="52"/>
    </row>
  </sheetData>
  <customSheetViews>
    <customSheetView guid="{AD479C9E-06F7-4C03-8179-295428B49475}" scale="80">
      <selection activeCell="E38" sqref="E38"/>
      <pageMargins left="0.7" right="0.7" top="0.78740157499999996" bottom="0.78740157499999996" header="0.3" footer="0.3"/>
      <pageSetup paperSize="9" orientation="portrait" horizontalDpi="0" verticalDpi="0" copies="0" r:id="rId1"/>
    </customSheetView>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2"/>
    </customSheetView>
  </customSheetViews>
  <mergeCells count="1">
    <mergeCell ref="A165:B165"/>
  </mergeCells>
  <phoneticPr fontId="39" type="noConversion"/>
  <conditionalFormatting sqref="M27:O28 O42:O43">
    <cfRule type="cellIs" dxfId="101" priority="2019" operator="equal">
      <formula>$G$4</formula>
    </cfRule>
    <cfRule type="cellIs" dxfId="100" priority="2020" operator="equal">
      <formula>$F$4</formula>
    </cfRule>
    <cfRule type="cellIs" dxfId="99" priority="2021" operator="equal">
      <formula>$E$4</formula>
    </cfRule>
    <cfRule type="cellIs" dxfId="98" priority="2022" operator="equal">
      <formula>$D$4</formula>
    </cfRule>
  </conditionalFormatting>
  <conditionalFormatting sqref="O30:O31 O87:O88">
    <cfRule type="cellIs" dxfId="97" priority="71" operator="equal">
      <formula>$G$4</formula>
    </cfRule>
    <cfRule type="cellIs" dxfId="96" priority="72" operator="equal">
      <formula>$F$4</formula>
    </cfRule>
    <cfRule type="cellIs" dxfId="95" priority="73" operator="equal">
      <formula>$E$4</formula>
    </cfRule>
    <cfRule type="cellIs" dxfId="94" priority="74" operator="equal">
      <formula>$D$4</formula>
    </cfRule>
  </conditionalFormatting>
  <conditionalFormatting sqref="O34:O37">
    <cfRule type="cellIs" dxfId="93" priority="55" operator="equal">
      <formula>$G$4</formula>
    </cfRule>
    <cfRule type="cellIs" dxfId="92" priority="56" operator="equal">
      <formula>$F$4</formula>
    </cfRule>
    <cfRule type="cellIs" dxfId="91" priority="57" operator="equal">
      <formula>$E$4</formula>
    </cfRule>
    <cfRule type="cellIs" dxfId="90" priority="58" operator="equal">
      <formula>$D$4</formula>
    </cfRule>
  </conditionalFormatting>
  <conditionalFormatting sqref="O99:O100">
    <cfRule type="cellIs" dxfId="89" priority="9" operator="equal">
      <formula>$G$4</formula>
    </cfRule>
    <cfRule type="cellIs" dxfId="88" priority="10" operator="equal">
      <formula>$F$4</formula>
    </cfRule>
    <cfRule type="cellIs" dxfId="87" priority="11" operator="equal">
      <formula>$E$4</formula>
    </cfRule>
    <cfRule type="cellIs" dxfId="86" priority="12" operator="equal">
      <formula>$D$4</formula>
    </cfRule>
  </conditionalFormatting>
  <conditionalFormatting sqref="O102:O103">
    <cfRule type="cellIs" dxfId="85" priority="5" operator="equal">
      <formula>$G$4</formula>
    </cfRule>
    <cfRule type="cellIs" dxfId="84" priority="6" operator="equal">
      <formula>$F$4</formula>
    </cfRule>
    <cfRule type="cellIs" dxfId="83" priority="7" operator="equal">
      <formula>$E$4</formula>
    </cfRule>
    <cfRule type="cellIs" dxfId="82" priority="8" operator="equal">
      <formula>$D$4</formula>
    </cfRule>
  </conditionalFormatting>
  <pageMargins left="0.7" right="0.7" top="0.78740157499999996" bottom="0.78740157499999996" header="0.3" footer="0.3"/>
  <pageSetup paperSize="9" orientation="portrait"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
  <dimension ref="B1:N40"/>
  <sheetViews>
    <sheetView showGridLines="0" showWhiteSpace="0" topLeftCell="A2" zoomScaleNormal="100" zoomScaleSheetLayoutView="41" workbookViewId="0">
      <selection activeCell="S14" sqref="S14"/>
    </sheetView>
  </sheetViews>
  <sheetFormatPr defaultColWidth="11.42578125" defaultRowHeight="15" x14ac:dyDescent="0.25"/>
  <cols>
    <col min="1" max="1" width="0.85546875" customWidth="1"/>
    <col min="2" max="2" width="5" style="85" customWidth="1"/>
    <col min="3" max="3" width="21.28515625" customWidth="1"/>
    <col min="4" max="4" width="6.85546875" customWidth="1"/>
    <col min="5" max="5" width="9.140625" customWidth="1"/>
    <col min="6" max="7" width="6.7109375" customWidth="1"/>
    <col min="8" max="8" width="6" customWidth="1"/>
    <col min="9" max="9" width="7" customWidth="1"/>
    <col min="10" max="10" width="10.140625" customWidth="1"/>
    <col min="11" max="12" width="30.85546875" customWidth="1"/>
    <col min="13" max="13" width="0.5703125" customWidth="1"/>
    <col min="14" max="14" width="14.140625" hidden="1" customWidth="1"/>
  </cols>
  <sheetData>
    <row r="1" spans="2:14" s="3" customFormat="1" ht="12" hidden="1" customHeight="1" x14ac:dyDescent="0.2">
      <c r="B1" s="10"/>
      <c r="C1" s="266" t="e">
        <f ca="1">IF(N11=TRUE,"A1:L15",CONCATENATE("A1:L",(MATCH("",B:B,-1)-1)))</f>
        <v>#REF!</v>
      </c>
    </row>
    <row r="2" spans="2:14" s="3" customFormat="1" ht="18" customHeight="1" x14ac:dyDescent="0.2">
      <c r="B2" s="23" t="s">
        <v>408</v>
      </c>
      <c r="C2" s="23"/>
      <c r="D2" s="23"/>
      <c r="E2" s="23"/>
      <c r="F2" s="23"/>
      <c r="G2" s="23"/>
      <c r="H2" s="23"/>
      <c r="I2" s="23"/>
    </row>
    <row r="3" spans="2:14" s="3" customFormat="1" ht="15.75" x14ac:dyDescent="0.2">
      <c r="B3" s="265" t="s">
        <v>264</v>
      </c>
      <c r="L3" s="22"/>
    </row>
    <row r="4" spans="2:14" s="3" customFormat="1" ht="12.75" customHeight="1" x14ac:dyDescent="0.2">
      <c r="B4" s="10"/>
      <c r="L4" s="22"/>
    </row>
    <row r="5" spans="2:14" s="3" customFormat="1" ht="12.75" customHeight="1" x14ac:dyDescent="0.2">
      <c r="B5" s="10"/>
      <c r="D5" s="9"/>
      <c r="E5" s="9"/>
      <c r="F5" s="9"/>
      <c r="G5" s="9"/>
      <c r="H5" s="9"/>
      <c r="I5" s="9"/>
      <c r="J5" s="9"/>
      <c r="K5" s="9"/>
      <c r="L5" s="22"/>
    </row>
    <row r="6" spans="2:14" s="23" customFormat="1" ht="15" customHeight="1" x14ac:dyDescent="0.2">
      <c r="B6" s="55"/>
      <c r="C6" s="26" t="s">
        <v>118</v>
      </c>
      <c r="D6" s="781" t="str">
        <f>IF('Basic data'!C8=0,"",'Basic data'!C8)</f>
        <v/>
      </c>
      <c r="E6" s="783"/>
      <c r="F6" s="783"/>
      <c r="G6" s="783"/>
      <c r="H6" s="783"/>
      <c r="I6" s="783"/>
      <c r="J6" s="783"/>
      <c r="K6" s="782"/>
      <c r="L6" s="22"/>
    </row>
    <row r="7" spans="2:14" s="23" customFormat="1" ht="6.95" customHeight="1" x14ac:dyDescent="0.2">
      <c r="B7" s="55"/>
      <c r="C7" s="5"/>
      <c r="D7" s="9"/>
      <c r="E7" s="9"/>
      <c r="F7" s="9"/>
      <c r="G7" s="9"/>
      <c r="H7" s="9"/>
      <c r="I7" s="9"/>
      <c r="J7" s="9"/>
      <c r="K7" s="9"/>
      <c r="L7" s="22"/>
    </row>
    <row r="8" spans="2:14" s="23" customFormat="1" ht="15" customHeight="1" x14ac:dyDescent="0.25">
      <c r="B8" s="55"/>
      <c r="C8" s="26" t="s">
        <v>75</v>
      </c>
      <c r="D8" s="835" t="str">
        <f>IF('Basic data'!C6=0,"",'Basic data'!C6)</f>
        <v/>
      </c>
      <c r="E8" s="836"/>
      <c r="F8" s="837"/>
      <c r="G8" s="22"/>
      <c r="I8" s="4" t="s">
        <v>339</v>
      </c>
      <c r="K8" s="36" t="str">
        <f>IF('Basic data'!O12=0,"",'Basic data'!O12)</f>
        <v/>
      </c>
      <c r="L8" s="22"/>
    </row>
    <row r="9" spans="2:14" s="3" customFormat="1" ht="15.75" customHeight="1" x14ac:dyDescent="0.2">
      <c r="B9" s="10"/>
      <c r="L9" s="22"/>
    </row>
    <row r="10" spans="2:14" s="3" customFormat="1" ht="15.75" customHeight="1" x14ac:dyDescent="0.2">
      <c r="B10" s="10"/>
      <c r="C10" s="289" t="e">
        <f ca="1">IF($N$11=TRUE,"Kein Datendefizit vorhanden","")</f>
        <v>#REF!</v>
      </c>
      <c r="L10" s="22"/>
      <c r="N10" s="281" t="s">
        <v>338</v>
      </c>
    </row>
    <row r="11" spans="2:14" s="3" customFormat="1" ht="15.75" customHeight="1" x14ac:dyDescent="0.2">
      <c r="B11" s="10"/>
      <c r="C11" s="262" t="e">
        <f ca="1">IF($N$11=TRUE,"","Übertragung erfolgt automatisch aus Kennzahlenbogen (Ist-Werte, Begründungen und Aktionen)")</f>
        <v>#REF!</v>
      </c>
      <c r="L11" s="22"/>
      <c r="N11" s="280" t="e">
        <f t="array" aca="1" ref="N11" ca="1">$B$14:$L$40=""</f>
        <v>#REF!</v>
      </c>
    </row>
    <row r="12" spans="2:14" ht="15" customHeight="1" x14ac:dyDescent="0.25">
      <c r="B12" s="830" t="e">
        <f ca="1">IF($N$11=TRUE,"","KN")</f>
        <v>#REF!</v>
      </c>
      <c r="C12" s="834" t="e">
        <f ca="1">IF($N$11=TRUE,"","Kennzahlendefinition")</f>
        <v>#REF!</v>
      </c>
      <c r="D12" s="834" t="e">
        <f ca="1">IF($N$11=TRUE,"","Vorgaben Datenqualität")</f>
        <v>#REF!</v>
      </c>
      <c r="E12" s="834"/>
      <c r="F12" s="834"/>
      <c r="G12" s="834" t="e">
        <f ca="1">IF($N$11=TRUE,"","Ist-Werte")</f>
        <v>#REF!</v>
      </c>
      <c r="H12" s="834"/>
      <c r="I12" s="834"/>
      <c r="J12" s="832" t="e">
        <f ca="1">IF($N$11=TRUE,"","Daten-qualität")</f>
        <v>#REF!</v>
      </c>
      <c r="K12" s="838" t="e">
        <f ca="1">IF($N$11=TRUE,"","Verifizierung Zentrum")</f>
        <v>#REF!</v>
      </c>
      <c r="L12" s="838"/>
      <c r="N12" s="279"/>
    </row>
    <row r="13" spans="2:14" ht="22.5" customHeight="1" x14ac:dyDescent="0.25">
      <c r="B13" s="831"/>
      <c r="C13" s="833"/>
      <c r="D13" s="261" t="e">
        <f ca="1">IF($N$11=TRUE,"","Plausi unklar")</f>
        <v>#REF!</v>
      </c>
      <c r="E13" s="261" t="e">
        <f ca="1">IF($N$11=TRUE,"","Sollvorgabe")</f>
        <v>#REF!</v>
      </c>
      <c r="F13" s="261" t="e">
        <f ca="1">IF($N$11=TRUE,"","Plausi unklar")</f>
        <v>#REF!</v>
      </c>
      <c r="G13" s="261" t="e">
        <f ca="1">IF($N$11=TRUE,"","Zähler / Anzahl")</f>
        <v>#REF!</v>
      </c>
      <c r="H13" s="261" t="e">
        <f ca="1">IF($N$11=TRUE,"","Nenner")</f>
        <v>#REF!</v>
      </c>
      <c r="I13" s="261" t="e">
        <f ca="1">IF($N$11=TRUE,"","Quote")</f>
        <v>#REF!</v>
      </c>
      <c r="J13" s="833"/>
      <c r="K13" s="344" t="e">
        <f ca="1">IF($N$11=TRUE,"","Begründung / Ursache")</f>
        <v>#REF!</v>
      </c>
      <c r="L13" s="343" t="e">
        <f ca="1">IF($N$11=TRUE,"","Eingeleitete / geplante Aktionen")</f>
        <v>#REF!</v>
      </c>
    </row>
    <row r="14" spans="2:14" ht="170.25" customHeight="1" x14ac:dyDescent="0.25">
      <c r="B14" s="263" t="e">
        <f ca="1">'Hilfstabelle Datendef KB'!O2</f>
        <v>#REF!</v>
      </c>
      <c r="C14" s="264" t="e">
        <f ca="1">'Hilfstabelle Datendef KB'!P2</f>
        <v>#REF!</v>
      </c>
      <c r="D14" s="273" t="e">
        <f ca="1">'Hilfstabelle Datendef KB'!Q2</f>
        <v>#REF!</v>
      </c>
      <c r="E14" s="273" t="e">
        <f ca="1">'Hilfstabelle Datendef KB'!R2</f>
        <v>#REF!</v>
      </c>
      <c r="F14" s="273" t="e">
        <f ca="1">'Hilfstabelle Datendef KB'!S2</f>
        <v>#REF!</v>
      </c>
      <c r="G14" s="263" t="e">
        <f ca="1">'Hilfstabelle Datendef KB'!T2</f>
        <v>#REF!</v>
      </c>
      <c r="H14" s="263" t="e">
        <f ca="1">'Hilfstabelle Datendef KB'!U2</f>
        <v>#REF!</v>
      </c>
      <c r="I14" s="272" t="e">
        <f ca="1">'Hilfstabelle Datendef KB'!V2</f>
        <v>#REF!</v>
      </c>
      <c r="J14" s="263" t="e">
        <f ca="1">'Hilfstabelle Datendef KB'!W2</f>
        <v>#REF!</v>
      </c>
      <c r="K14" s="288" t="e">
        <f ca="1">'Hilfstabelle Datendef KB'!X2</f>
        <v>#REF!</v>
      </c>
      <c r="L14" s="264" t="e">
        <f ca="1">'Hilfstabelle Datendef KB'!Y2</f>
        <v>#REF!</v>
      </c>
    </row>
    <row r="15" spans="2:14" ht="170.25" customHeight="1" x14ac:dyDescent="0.25">
      <c r="B15" s="263" t="e">
        <f ca="1">'Hilfstabelle Datendef KB'!O3</f>
        <v>#REF!</v>
      </c>
      <c r="C15" s="264" t="e">
        <f ca="1">'Hilfstabelle Datendef KB'!P3</f>
        <v>#REF!</v>
      </c>
      <c r="D15" s="273" t="e">
        <f ca="1">'Hilfstabelle Datendef KB'!Q3</f>
        <v>#REF!</v>
      </c>
      <c r="E15" s="273" t="e">
        <f ca="1">'Hilfstabelle Datendef KB'!R3</f>
        <v>#REF!</v>
      </c>
      <c r="F15" s="273" t="e">
        <f ca="1">'Hilfstabelle Datendef KB'!S3</f>
        <v>#REF!</v>
      </c>
      <c r="G15" s="263" t="e">
        <f ca="1">'Hilfstabelle Datendef KB'!T3</f>
        <v>#REF!</v>
      </c>
      <c r="H15" s="263" t="e">
        <f ca="1">'Hilfstabelle Datendef KB'!U3</f>
        <v>#REF!</v>
      </c>
      <c r="I15" s="272" t="e">
        <f ca="1">'Hilfstabelle Datendef KB'!V3</f>
        <v>#REF!</v>
      </c>
      <c r="J15" s="263" t="e">
        <f ca="1">'Hilfstabelle Datendef KB'!W3</f>
        <v>#REF!</v>
      </c>
      <c r="K15" s="288" t="e">
        <f ca="1">'Hilfstabelle Datendef KB'!X3</f>
        <v>#REF!</v>
      </c>
      <c r="L15" s="264" t="e">
        <f ca="1">'Hilfstabelle Datendef KB'!Y3</f>
        <v>#REF!</v>
      </c>
    </row>
    <row r="16" spans="2:14" ht="170.25" customHeight="1" x14ac:dyDescent="0.25">
      <c r="B16" s="263" t="e">
        <f ca="1">'Hilfstabelle Datendef KB'!O4</f>
        <v>#REF!</v>
      </c>
      <c r="C16" s="264" t="e">
        <f ca="1">'Hilfstabelle Datendef KB'!P4</f>
        <v>#REF!</v>
      </c>
      <c r="D16" s="273" t="e">
        <f ca="1">'Hilfstabelle Datendef KB'!Q4</f>
        <v>#REF!</v>
      </c>
      <c r="E16" s="273" t="e">
        <f ca="1">'Hilfstabelle Datendef KB'!R4</f>
        <v>#REF!</v>
      </c>
      <c r="F16" s="273" t="e">
        <f ca="1">'Hilfstabelle Datendef KB'!S4</f>
        <v>#REF!</v>
      </c>
      <c r="G16" s="263" t="e">
        <f ca="1">'Hilfstabelle Datendef KB'!T4</f>
        <v>#REF!</v>
      </c>
      <c r="H16" s="263" t="e">
        <f ca="1">'Hilfstabelle Datendef KB'!U4</f>
        <v>#REF!</v>
      </c>
      <c r="I16" s="272" t="e">
        <f ca="1">'Hilfstabelle Datendef KB'!V4</f>
        <v>#REF!</v>
      </c>
      <c r="J16" s="263" t="e">
        <f ca="1">'Hilfstabelle Datendef KB'!W4</f>
        <v>#REF!</v>
      </c>
      <c r="K16" s="288" t="e">
        <f ca="1">'Hilfstabelle Datendef KB'!X4</f>
        <v>#REF!</v>
      </c>
      <c r="L16" s="264" t="e">
        <f ca="1">'Hilfstabelle Datendef KB'!Y4</f>
        <v>#REF!</v>
      </c>
    </row>
    <row r="17" spans="2:12" ht="170.25" customHeight="1" x14ac:dyDescent="0.25">
      <c r="B17" s="263" t="e">
        <f ca="1">'Hilfstabelle Datendef KB'!O5</f>
        <v>#REF!</v>
      </c>
      <c r="C17" s="264" t="e">
        <f ca="1">'Hilfstabelle Datendef KB'!P5</f>
        <v>#REF!</v>
      </c>
      <c r="D17" s="273" t="e">
        <f ca="1">'Hilfstabelle Datendef KB'!Q5</f>
        <v>#REF!</v>
      </c>
      <c r="E17" s="273" t="e">
        <f ca="1">'Hilfstabelle Datendef KB'!R5</f>
        <v>#REF!</v>
      </c>
      <c r="F17" s="273" t="e">
        <f ca="1">'Hilfstabelle Datendef KB'!S5</f>
        <v>#REF!</v>
      </c>
      <c r="G17" s="263" t="e">
        <f ca="1">'Hilfstabelle Datendef KB'!T5</f>
        <v>#REF!</v>
      </c>
      <c r="H17" s="263" t="e">
        <f ca="1">'Hilfstabelle Datendef KB'!U5</f>
        <v>#REF!</v>
      </c>
      <c r="I17" s="272" t="e">
        <f ca="1">'Hilfstabelle Datendef KB'!V5</f>
        <v>#REF!</v>
      </c>
      <c r="J17" s="263" t="e">
        <f ca="1">'Hilfstabelle Datendef KB'!W5</f>
        <v>#REF!</v>
      </c>
      <c r="K17" s="288" t="e">
        <f ca="1">'Hilfstabelle Datendef KB'!X5</f>
        <v>#REF!</v>
      </c>
      <c r="L17" s="264" t="e">
        <f ca="1">'Hilfstabelle Datendef KB'!Y5</f>
        <v>#REF!</v>
      </c>
    </row>
    <row r="18" spans="2:12" ht="170.25" customHeight="1" x14ac:dyDescent="0.25">
      <c r="B18" s="263" t="e">
        <f ca="1">'Hilfstabelle Datendef KB'!O6</f>
        <v>#REF!</v>
      </c>
      <c r="C18" s="264" t="e">
        <f ca="1">'Hilfstabelle Datendef KB'!P6</f>
        <v>#REF!</v>
      </c>
      <c r="D18" s="273" t="e">
        <f ca="1">'Hilfstabelle Datendef KB'!Q6</f>
        <v>#REF!</v>
      </c>
      <c r="E18" s="273" t="e">
        <f ca="1">'Hilfstabelle Datendef KB'!R6</f>
        <v>#REF!</v>
      </c>
      <c r="F18" s="273" t="e">
        <f ca="1">'Hilfstabelle Datendef KB'!S6</f>
        <v>#REF!</v>
      </c>
      <c r="G18" s="263" t="e">
        <f ca="1">'Hilfstabelle Datendef KB'!T6</f>
        <v>#REF!</v>
      </c>
      <c r="H18" s="263" t="e">
        <f ca="1">'Hilfstabelle Datendef KB'!U6</f>
        <v>#REF!</v>
      </c>
      <c r="I18" s="272" t="e">
        <f ca="1">'Hilfstabelle Datendef KB'!V6</f>
        <v>#REF!</v>
      </c>
      <c r="J18" s="263" t="e">
        <f ca="1">'Hilfstabelle Datendef KB'!W6</f>
        <v>#REF!</v>
      </c>
      <c r="K18" s="288" t="e">
        <f ca="1">'Hilfstabelle Datendef KB'!X6</f>
        <v>#REF!</v>
      </c>
      <c r="L18" s="264" t="e">
        <f ca="1">'Hilfstabelle Datendef KB'!Y6</f>
        <v>#REF!</v>
      </c>
    </row>
    <row r="19" spans="2:12" ht="170.25" customHeight="1" x14ac:dyDescent="0.25">
      <c r="B19" s="263" t="e">
        <f ca="1">'Hilfstabelle Datendef KB'!O7</f>
        <v>#REF!</v>
      </c>
      <c r="C19" s="264" t="e">
        <f ca="1">'Hilfstabelle Datendef KB'!P7</f>
        <v>#REF!</v>
      </c>
      <c r="D19" s="273" t="e">
        <f ca="1">'Hilfstabelle Datendef KB'!Q7</f>
        <v>#REF!</v>
      </c>
      <c r="E19" s="273" t="e">
        <f ca="1">'Hilfstabelle Datendef KB'!R7</f>
        <v>#REF!</v>
      </c>
      <c r="F19" s="273" t="e">
        <f ca="1">'Hilfstabelle Datendef KB'!S7</f>
        <v>#REF!</v>
      </c>
      <c r="G19" s="263" t="e">
        <f ca="1">'Hilfstabelle Datendef KB'!T7</f>
        <v>#REF!</v>
      </c>
      <c r="H19" s="263" t="e">
        <f ca="1">'Hilfstabelle Datendef KB'!U7</f>
        <v>#REF!</v>
      </c>
      <c r="I19" s="272" t="e">
        <f ca="1">'Hilfstabelle Datendef KB'!V7</f>
        <v>#REF!</v>
      </c>
      <c r="J19" s="263" t="e">
        <f ca="1">'Hilfstabelle Datendef KB'!W7</f>
        <v>#REF!</v>
      </c>
      <c r="K19" s="288" t="e">
        <f ca="1">'Hilfstabelle Datendef KB'!X7</f>
        <v>#REF!</v>
      </c>
      <c r="L19" s="264" t="e">
        <f ca="1">'Hilfstabelle Datendef KB'!Y7</f>
        <v>#REF!</v>
      </c>
    </row>
    <row r="20" spans="2:12" ht="170.25" customHeight="1" x14ac:dyDescent="0.25">
      <c r="B20" s="263" t="e">
        <f ca="1">'Hilfstabelle Datendef KB'!O8</f>
        <v>#REF!</v>
      </c>
      <c r="C20" s="264" t="e">
        <f ca="1">'Hilfstabelle Datendef KB'!P8</f>
        <v>#REF!</v>
      </c>
      <c r="D20" s="273" t="e">
        <f ca="1">'Hilfstabelle Datendef KB'!Q8</f>
        <v>#REF!</v>
      </c>
      <c r="E20" s="273" t="e">
        <f ca="1">'Hilfstabelle Datendef KB'!R8</f>
        <v>#REF!</v>
      </c>
      <c r="F20" s="273" t="e">
        <f ca="1">'Hilfstabelle Datendef KB'!S8</f>
        <v>#REF!</v>
      </c>
      <c r="G20" s="263" t="e">
        <f ca="1">'Hilfstabelle Datendef KB'!T8</f>
        <v>#REF!</v>
      </c>
      <c r="H20" s="263" t="e">
        <f ca="1">'Hilfstabelle Datendef KB'!U8</f>
        <v>#REF!</v>
      </c>
      <c r="I20" s="272" t="e">
        <f ca="1">'Hilfstabelle Datendef KB'!V8</f>
        <v>#REF!</v>
      </c>
      <c r="J20" s="263" t="e">
        <f ca="1">'Hilfstabelle Datendef KB'!W8</f>
        <v>#REF!</v>
      </c>
      <c r="K20" s="288" t="e">
        <f ca="1">'Hilfstabelle Datendef KB'!X8</f>
        <v>#REF!</v>
      </c>
      <c r="L20" s="264" t="e">
        <f ca="1">'Hilfstabelle Datendef KB'!Y8</f>
        <v>#REF!</v>
      </c>
    </row>
    <row r="21" spans="2:12" ht="170.25" customHeight="1" x14ac:dyDescent="0.25">
      <c r="B21" s="263" t="e">
        <f ca="1">'Hilfstabelle Datendef KB'!O9</f>
        <v>#REF!</v>
      </c>
      <c r="C21" s="264" t="e">
        <f ca="1">'Hilfstabelle Datendef KB'!P9</f>
        <v>#REF!</v>
      </c>
      <c r="D21" s="273" t="e">
        <f ca="1">'Hilfstabelle Datendef KB'!Q9</f>
        <v>#REF!</v>
      </c>
      <c r="E21" s="273" t="e">
        <f ca="1">'Hilfstabelle Datendef KB'!R9</f>
        <v>#REF!</v>
      </c>
      <c r="F21" s="273" t="e">
        <f ca="1">'Hilfstabelle Datendef KB'!S9</f>
        <v>#REF!</v>
      </c>
      <c r="G21" s="263" t="e">
        <f ca="1">'Hilfstabelle Datendef KB'!T9</f>
        <v>#REF!</v>
      </c>
      <c r="H21" s="263" t="e">
        <f ca="1">'Hilfstabelle Datendef KB'!U9</f>
        <v>#REF!</v>
      </c>
      <c r="I21" s="272" t="e">
        <f ca="1">'Hilfstabelle Datendef KB'!V9</f>
        <v>#REF!</v>
      </c>
      <c r="J21" s="263" t="e">
        <f ca="1">'Hilfstabelle Datendef KB'!W9</f>
        <v>#REF!</v>
      </c>
      <c r="K21" s="288" t="e">
        <f ca="1">'Hilfstabelle Datendef KB'!X9</f>
        <v>#REF!</v>
      </c>
      <c r="L21" s="264" t="e">
        <f ca="1">'Hilfstabelle Datendef KB'!Y9</f>
        <v>#REF!</v>
      </c>
    </row>
    <row r="22" spans="2:12" ht="170.25" customHeight="1" x14ac:dyDescent="0.25">
      <c r="B22" s="263" t="e">
        <f ca="1">'Hilfstabelle Datendef KB'!O10</f>
        <v>#REF!</v>
      </c>
      <c r="C22" s="264" t="e">
        <f ca="1">'Hilfstabelle Datendef KB'!P10</f>
        <v>#REF!</v>
      </c>
      <c r="D22" s="273" t="e">
        <f ca="1">'Hilfstabelle Datendef KB'!Q10</f>
        <v>#REF!</v>
      </c>
      <c r="E22" s="273" t="e">
        <f ca="1">'Hilfstabelle Datendef KB'!R10</f>
        <v>#REF!</v>
      </c>
      <c r="F22" s="273" t="e">
        <f ca="1">'Hilfstabelle Datendef KB'!S10</f>
        <v>#REF!</v>
      </c>
      <c r="G22" s="263" t="e">
        <f ca="1">'Hilfstabelle Datendef KB'!T10</f>
        <v>#REF!</v>
      </c>
      <c r="H22" s="263" t="e">
        <f ca="1">'Hilfstabelle Datendef KB'!U10</f>
        <v>#REF!</v>
      </c>
      <c r="I22" s="272" t="e">
        <f ca="1">'Hilfstabelle Datendef KB'!V10</f>
        <v>#REF!</v>
      </c>
      <c r="J22" s="263" t="e">
        <f ca="1">'Hilfstabelle Datendef KB'!W10</f>
        <v>#REF!</v>
      </c>
      <c r="K22" s="288" t="e">
        <f ca="1">'Hilfstabelle Datendef KB'!X10</f>
        <v>#REF!</v>
      </c>
      <c r="L22" s="264" t="e">
        <f ca="1">'Hilfstabelle Datendef KB'!Y10</f>
        <v>#REF!</v>
      </c>
    </row>
    <row r="23" spans="2:12" ht="170.25" customHeight="1" x14ac:dyDescent="0.25">
      <c r="B23" s="263" t="e">
        <f ca="1">'Hilfstabelle Datendef KB'!O11</f>
        <v>#REF!</v>
      </c>
      <c r="C23" s="264" t="e">
        <f ca="1">'Hilfstabelle Datendef KB'!P11</f>
        <v>#REF!</v>
      </c>
      <c r="D23" s="273" t="e">
        <f ca="1">'Hilfstabelle Datendef KB'!Q11</f>
        <v>#REF!</v>
      </c>
      <c r="E23" s="273" t="e">
        <f ca="1">'Hilfstabelle Datendef KB'!R11</f>
        <v>#REF!</v>
      </c>
      <c r="F23" s="273" t="e">
        <f ca="1">'Hilfstabelle Datendef KB'!S11</f>
        <v>#REF!</v>
      </c>
      <c r="G23" s="263" t="e">
        <f ca="1">'Hilfstabelle Datendef KB'!T11</f>
        <v>#REF!</v>
      </c>
      <c r="H23" s="263" t="e">
        <f ca="1">'Hilfstabelle Datendef KB'!U11</f>
        <v>#REF!</v>
      </c>
      <c r="I23" s="272" t="e">
        <f ca="1">'Hilfstabelle Datendef KB'!V11</f>
        <v>#REF!</v>
      </c>
      <c r="J23" s="263" t="e">
        <f ca="1">'Hilfstabelle Datendef KB'!W11</f>
        <v>#REF!</v>
      </c>
      <c r="K23" s="288" t="e">
        <f ca="1">'Hilfstabelle Datendef KB'!X11</f>
        <v>#REF!</v>
      </c>
      <c r="L23" s="264" t="e">
        <f ca="1">'Hilfstabelle Datendef KB'!Y11</f>
        <v>#REF!</v>
      </c>
    </row>
    <row r="24" spans="2:12" ht="170.25" customHeight="1" x14ac:dyDescent="0.25">
      <c r="B24" s="263" t="e">
        <f ca="1">'Hilfstabelle Datendef KB'!O12</f>
        <v>#REF!</v>
      </c>
      <c r="C24" s="264" t="e">
        <f ca="1">'Hilfstabelle Datendef KB'!P12</f>
        <v>#REF!</v>
      </c>
      <c r="D24" s="273" t="e">
        <f ca="1">'Hilfstabelle Datendef KB'!Q12</f>
        <v>#REF!</v>
      </c>
      <c r="E24" s="273" t="e">
        <f ca="1">'Hilfstabelle Datendef KB'!R12</f>
        <v>#REF!</v>
      </c>
      <c r="F24" s="273" t="e">
        <f ca="1">'Hilfstabelle Datendef KB'!S12</f>
        <v>#REF!</v>
      </c>
      <c r="G24" s="263" t="e">
        <f ca="1">'Hilfstabelle Datendef KB'!T12</f>
        <v>#REF!</v>
      </c>
      <c r="H24" s="263" t="e">
        <f ca="1">'Hilfstabelle Datendef KB'!U12</f>
        <v>#REF!</v>
      </c>
      <c r="I24" s="272" t="e">
        <f ca="1">'Hilfstabelle Datendef KB'!V12</f>
        <v>#REF!</v>
      </c>
      <c r="J24" s="263" t="e">
        <f ca="1">'Hilfstabelle Datendef KB'!W12</f>
        <v>#REF!</v>
      </c>
      <c r="K24" s="288" t="e">
        <f ca="1">'Hilfstabelle Datendef KB'!X12</f>
        <v>#REF!</v>
      </c>
      <c r="L24" s="264" t="e">
        <f ca="1">'Hilfstabelle Datendef KB'!Y12</f>
        <v>#REF!</v>
      </c>
    </row>
    <row r="25" spans="2:12" ht="170.25" customHeight="1" x14ac:dyDescent="0.25">
      <c r="B25" s="263" t="e">
        <f ca="1">'Hilfstabelle Datendef KB'!O13</f>
        <v>#REF!</v>
      </c>
      <c r="C25" s="264" t="e">
        <f ca="1">'Hilfstabelle Datendef KB'!P13</f>
        <v>#REF!</v>
      </c>
      <c r="D25" s="273" t="e">
        <f ca="1">'Hilfstabelle Datendef KB'!Q13</f>
        <v>#REF!</v>
      </c>
      <c r="E25" s="273" t="e">
        <f ca="1">'Hilfstabelle Datendef KB'!R13</f>
        <v>#REF!</v>
      </c>
      <c r="F25" s="273" t="e">
        <f ca="1">'Hilfstabelle Datendef KB'!S13</f>
        <v>#REF!</v>
      </c>
      <c r="G25" s="263" t="e">
        <f ca="1">'Hilfstabelle Datendef KB'!T13</f>
        <v>#REF!</v>
      </c>
      <c r="H25" s="263" t="e">
        <f ca="1">'Hilfstabelle Datendef KB'!U13</f>
        <v>#REF!</v>
      </c>
      <c r="I25" s="272" t="e">
        <f ca="1">'Hilfstabelle Datendef KB'!V13</f>
        <v>#REF!</v>
      </c>
      <c r="J25" s="263" t="e">
        <f ca="1">'Hilfstabelle Datendef KB'!W13</f>
        <v>#REF!</v>
      </c>
      <c r="K25" s="288" t="e">
        <f ca="1">'Hilfstabelle Datendef KB'!X13</f>
        <v>#REF!</v>
      </c>
      <c r="L25" s="264" t="e">
        <f ca="1">'Hilfstabelle Datendef KB'!Y13</f>
        <v>#REF!</v>
      </c>
    </row>
    <row r="26" spans="2:12" ht="170.25" customHeight="1" x14ac:dyDescent="0.25">
      <c r="B26" s="263" t="e">
        <f ca="1">'Hilfstabelle Datendef KB'!O14</f>
        <v>#REF!</v>
      </c>
      <c r="C26" s="264" t="e">
        <f ca="1">'Hilfstabelle Datendef KB'!P14</f>
        <v>#REF!</v>
      </c>
      <c r="D26" s="273" t="e">
        <f ca="1">'Hilfstabelle Datendef KB'!Q14</f>
        <v>#REF!</v>
      </c>
      <c r="E26" s="273" t="e">
        <f ca="1">'Hilfstabelle Datendef KB'!R14</f>
        <v>#REF!</v>
      </c>
      <c r="F26" s="273" t="e">
        <f ca="1">'Hilfstabelle Datendef KB'!S14</f>
        <v>#REF!</v>
      </c>
      <c r="G26" s="263" t="e">
        <f ca="1">'Hilfstabelle Datendef KB'!T14</f>
        <v>#REF!</v>
      </c>
      <c r="H26" s="263" t="e">
        <f ca="1">'Hilfstabelle Datendef KB'!U14</f>
        <v>#REF!</v>
      </c>
      <c r="I26" s="272" t="e">
        <f ca="1">'Hilfstabelle Datendef KB'!V14</f>
        <v>#REF!</v>
      </c>
      <c r="J26" s="263" t="e">
        <f ca="1">'Hilfstabelle Datendef KB'!W14</f>
        <v>#REF!</v>
      </c>
      <c r="K26" s="288" t="e">
        <f ca="1">'Hilfstabelle Datendef KB'!X14</f>
        <v>#REF!</v>
      </c>
      <c r="L26" s="264" t="e">
        <f ca="1">'Hilfstabelle Datendef KB'!Y14</f>
        <v>#REF!</v>
      </c>
    </row>
    <row r="27" spans="2:12" ht="170.25" customHeight="1" x14ac:dyDescent="0.25">
      <c r="B27" s="263" t="e">
        <f ca="1">'Hilfstabelle Datendef KB'!O15</f>
        <v>#REF!</v>
      </c>
      <c r="C27" s="264" t="e">
        <f ca="1">'Hilfstabelle Datendef KB'!P15</f>
        <v>#REF!</v>
      </c>
      <c r="D27" s="273" t="e">
        <f ca="1">'Hilfstabelle Datendef KB'!Q15</f>
        <v>#REF!</v>
      </c>
      <c r="E27" s="273" t="e">
        <f ca="1">'Hilfstabelle Datendef KB'!R15</f>
        <v>#REF!</v>
      </c>
      <c r="F27" s="273" t="e">
        <f ca="1">'Hilfstabelle Datendef KB'!S15</f>
        <v>#REF!</v>
      </c>
      <c r="G27" s="263" t="e">
        <f ca="1">'Hilfstabelle Datendef KB'!T15</f>
        <v>#REF!</v>
      </c>
      <c r="H27" s="263" t="e">
        <f ca="1">'Hilfstabelle Datendef KB'!U15</f>
        <v>#REF!</v>
      </c>
      <c r="I27" s="272" t="e">
        <f ca="1">'Hilfstabelle Datendef KB'!V15</f>
        <v>#REF!</v>
      </c>
      <c r="J27" s="263" t="e">
        <f ca="1">'Hilfstabelle Datendef KB'!W15</f>
        <v>#REF!</v>
      </c>
      <c r="K27" s="288" t="e">
        <f ca="1">'Hilfstabelle Datendef KB'!X15</f>
        <v>#REF!</v>
      </c>
      <c r="L27" s="264" t="e">
        <f ca="1">'Hilfstabelle Datendef KB'!Y15</f>
        <v>#REF!</v>
      </c>
    </row>
    <row r="28" spans="2:12" ht="170.25" customHeight="1" x14ac:dyDescent="0.25">
      <c r="B28" s="263" t="e">
        <f ca="1">'Hilfstabelle Datendef KB'!O16</f>
        <v>#REF!</v>
      </c>
      <c r="C28" s="264" t="e">
        <f ca="1">'Hilfstabelle Datendef KB'!P16</f>
        <v>#REF!</v>
      </c>
      <c r="D28" s="273" t="e">
        <f ca="1">'Hilfstabelle Datendef KB'!Q16</f>
        <v>#REF!</v>
      </c>
      <c r="E28" s="273" t="e">
        <f ca="1">'Hilfstabelle Datendef KB'!R16</f>
        <v>#REF!</v>
      </c>
      <c r="F28" s="273" t="e">
        <f ca="1">'Hilfstabelle Datendef KB'!S16</f>
        <v>#REF!</v>
      </c>
      <c r="G28" s="263" t="e">
        <f ca="1">'Hilfstabelle Datendef KB'!T16</f>
        <v>#REF!</v>
      </c>
      <c r="H28" s="263" t="e">
        <f ca="1">'Hilfstabelle Datendef KB'!U16</f>
        <v>#REF!</v>
      </c>
      <c r="I28" s="272" t="e">
        <f ca="1">'Hilfstabelle Datendef KB'!V16</f>
        <v>#REF!</v>
      </c>
      <c r="J28" s="263" t="e">
        <f ca="1">'Hilfstabelle Datendef KB'!W16</f>
        <v>#REF!</v>
      </c>
      <c r="K28" s="288" t="e">
        <f ca="1">'Hilfstabelle Datendef KB'!X16</f>
        <v>#REF!</v>
      </c>
      <c r="L28" s="264" t="e">
        <f ca="1">'Hilfstabelle Datendef KB'!Y16</f>
        <v>#REF!</v>
      </c>
    </row>
    <row r="29" spans="2:12" ht="170.25" customHeight="1" x14ac:dyDescent="0.25">
      <c r="B29" s="263" t="e">
        <f ca="1">'Hilfstabelle Datendef KB'!O17</f>
        <v>#REF!</v>
      </c>
      <c r="C29" s="264" t="e">
        <f ca="1">'Hilfstabelle Datendef KB'!P17</f>
        <v>#REF!</v>
      </c>
      <c r="D29" s="273" t="e">
        <f ca="1">'Hilfstabelle Datendef KB'!Q17</f>
        <v>#REF!</v>
      </c>
      <c r="E29" s="273" t="e">
        <f ca="1">'Hilfstabelle Datendef KB'!R17</f>
        <v>#REF!</v>
      </c>
      <c r="F29" s="273" t="e">
        <f ca="1">'Hilfstabelle Datendef KB'!S17</f>
        <v>#REF!</v>
      </c>
      <c r="G29" s="263" t="e">
        <f ca="1">'Hilfstabelle Datendef KB'!T17</f>
        <v>#REF!</v>
      </c>
      <c r="H29" s="263" t="e">
        <f ca="1">'Hilfstabelle Datendef KB'!U17</f>
        <v>#REF!</v>
      </c>
      <c r="I29" s="272" t="e">
        <f ca="1">'Hilfstabelle Datendef KB'!V17</f>
        <v>#REF!</v>
      </c>
      <c r="J29" s="263" t="e">
        <f ca="1">'Hilfstabelle Datendef KB'!W17</f>
        <v>#REF!</v>
      </c>
      <c r="K29" s="288" t="e">
        <f ca="1">'Hilfstabelle Datendef KB'!X17</f>
        <v>#REF!</v>
      </c>
      <c r="L29" s="264" t="e">
        <f ca="1">'Hilfstabelle Datendef KB'!Y17</f>
        <v>#REF!</v>
      </c>
    </row>
    <row r="30" spans="2:12" ht="170.25" customHeight="1" x14ac:dyDescent="0.25">
      <c r="B30" s="263" t="e">
        <f ca="1">'Hilfstabelle Datendef KB'!O18</f>
        <v>#REF!</v>
      </c>
      <c r="C30" s="264" t="e">
        <f ca="1">'Hilfstabelle Datendef KB'!P18</f>
        <v>#REF!</v>
      </c>
      <c r="D30" s="273" t="e">
        <f ca="1">'Hilfstabelle Datendef KB'!Q18</f>
        <v>#REF!</v>
      </c>
      <c r="E30" s="273" t="e">
        <f ca="1">'Hilfstabelle Datendef KB'!R18</f>
        <v>#REF!</v>
      </c>
      <c r="F30" s="273" t="e">
        <f ca="1">'Hilfstabelle Datendef KB'!S18</f>
        <v>#REF!</v>
      </c>
      <c r="G30" s="263" t="e">
        <f ca="1">'Hilfstabelle Datendef KB'!T18</f>
        <v>#REF!</v>
      </c>
      <c r="H30" s="263" t="e">
        <f ca="1">'Hilfstabelle Datendef KB'!U18</f>
        <v>#REF!</v>
      </c>
      <c r="I30" s="272" t="e">
        <f ca="1">'Hilfstabelle Datendef KB'!V18</f>
        <v>#REF!</v>
      </c>
      <c r="J30" s="263" t="e">
        <f ca="1">'Hilfstabelle Datendef KB'!W18</f>
        <v>#REF!</v>
      </c>
      <c r="K30" s="288" t="e">
        <f ca="1">'Hilfstabelle Datendef KB'!X18</f>
        <v>#REF!</v>
      </c>
      <c r="L30" s="264" t="e">
        <f ca="1">'Hilfstabelle Datendef KB'!Y18</f>
        <v>#REF!</v>
      </c>
    </row>
    <row r="31" spans="2:12" ht="170.25" customHeight="1" x14ac:dyDescent="0.25">
      <c r="B31" s="263" t="e">
        <f ca="1">'Hilfstabelle Datendef KB'!O19</f>
        <v>#REF!</v>
      </c>
      <c r="C31" s="264" t="e">
        <f ca="1">'Hilfstabelle Datendef KB'!P19</f>
        <v>#REF!</v>
      </c>
      <c r="D31" s="273" t="e">
        <f ca="1">'Hilfstabelle Datendef KB'!Q19</f>
        <v>#REF!</v>
      </c>
      <c r="E31" s="273" t="e">
        <f ca="1">'Hilfstabelle Datendef KB'!R19</f>
        <v>#REF!</v>
      </c>
      <c r="F31" s="273" t="e">
        <f ca="1">'Hilfstabelle Datendef KB'!S19</f>
        <v>#REF!</v>
      </c>
      <c r="G31" s="263" t="e">
        <f ca="1">'Hilfstabelle Datendef KB'!T19</f>
        <v>#REF!</v>
      </c>
      <c r="H31" s="263" t="e">
        <f ca="1">'Hilfstabelle Datendef KB'!U19</f>
        <v>#REF!</v>
      </c>
      <c r="I31" s="272" t="e">
        <f ca="1">'Hilfstabelle Datendef KB'!V19</f>
        <v>#REF!</v>
      </c>
      <c r="J31" s="263" t="e">
        <f ca="1">'Hilfstabelle Datendef KB'!W19</f>
        <v>#REF!</v>
      </c>
      <c r="K31" s="288" t="e">
        <f ca="1">'Hilfstabelle Datendef KB'!X19</f>
        <v>#REF!</v>
      </c>
      <c r="L31" s="264" t="e">
        <f ca="1">'Hilfstabelle Datendef KB'!Y19</f>
        <v>#REF!</v>
      </c>
    </row>
    <row r="32" spans="2:12" ht="170.25" customHeight="1" x14ac:dyDescent="0.25">
      <c r="B32" s="263" t="e">
        <f ca="1">'Hilfstabelle Datendef KB'!O20</f>
        <v>#REF!</v>
      </c>
      <c r="C32" s="264" t="e">
        <f ca="1">'Hilfstabelle Datendef KB'!P20</f>
        <v>#REF!</v>
      </c>
      <c r="D32" s="273" t="e">
        <f ca="1">'Hilfstabelle Datendef KB'!Q20</f>
        <v>#REF!</v>
      </c>
      <c r="E32" s="273" t="e">
        <f ca="1">'Hilfstabelle Datendef KB'!R20</f>
        <v>#REF!</v>
      </c>
      <c r="F32" s="273" t="e">
        <f ca="1">'Hilfstabelle Datendef KB'!S20</f>
        <v>#REF!</v>
      </c>
      <c r="G32" s="263" t="e">
        <f ca="1">'Hilfstabelle Datendef KB'!T20</f>
        <v>#REF!</v>
      </c>
      <c r="H32" s="263" t="e">
        <f ca="1">'Hilfstabelle Datendef KB'!U20</f>
        <v>#REF!</v>
      </c>
      <c r="I32" s="272" t="e">
        <f ca="1">'Hilfstabelle Datendef KB'!V20</f>
        <v>#REF!</v>
      </c>
      <c r="J32" s="263" t="e">
        <f ca="1">'Hilfstabelle Datendef KB'!W20</f>
        <v>#REF!</v>
      </c>
      <c r="K32" s="288" t="e">
        <f ca="1">'Hilfstabelle Datendef KB'!X20</f>
        <v>#REF!</v>
      </c>
      <c r="L32" s="264" t="e">
        <f ca="1">'Hilfstabelle Datendef KB'!Y20</f>
        <v>#REF!</v>
      </c>
    </row>
    <row r="33" spans="2:12" ht="170.25" customHeight="1" x14ac:dyDescent="0.25">
      <c r="B33" s="263" t="e">
        <f ca="1">'Hilfstabelle Datendef KB'!O21</f>
        <v>#REF!</v>
      </c>
      <c r="C33" s="264" t="e">
        <f ca="1">'Hilfstabelle Datendef KB'!P21</f>
        <v>#REF!</v>
      </c>
      <c r="D33" s="273" t="e">
        <f ca="1">'Hilfstabelle Datendef KB'!Q21</f>
        <v>#REF!</v>
      </c>
      <c r="E33" s="273" t="e">
        <f ca="1">'Hilfstabelle Datendef KB'!R21</f>
        <v>#REF!</v>
      </c>
      <c r="F33" s="273" t="e">
        <f ca="1">'Hilfstabelle Datendef KB'!S21</f>
        <v>#REF!</v>
      </c>
      <c r="G33" s="263" t="e">
        <f ca="1">'Hilfstabelle Datendef KB'!T21</f>
        <v>#REF!</v>
      </c>
      <c r="H33" s="263" t="e">
        <f ca="1">'Hilfstabelle Datendef KB'!U21</f>
        <v>#REF!</v>
      </c>
      <c r="I33" s="272" t="e">
        <f ca="1">'Hilfstabelle Datendef KB'!V21</f>
        <v>#REF!</v>
      </c>
      <c r="J33" s="263" t="e">
        <f ca="1">'Hilfstabelle Datendef KB'!W21</f>
        <v>#REF!</v>
      </c>
      <c r="K33" s="288" t="e">
        <f ca="1">'Hilfstabelle Datendef KB'!X21</f>
        <v>#REF!</v>
      </c>
      <c r="L33" s="264" t="e">
        <f ca="1">'Hilfstabelle Datendef KB'!Y21</f>
        <v>#REF!</v>
      </c>
    </row>
    <row r="34" spans="2:12" ht="170.25" customHeight="1" x14ac:dyDescent="0.25">
      <c r="B34" s="263" t="e">
        <f ca="1">'Hilfstabelle Datendef KB'!O22</f>
        <v>#REF!</v>
      </c>
      <c r="C34" s="264" t="e">
        <f ca="1">'Hilfstabelle Datendef KB'!P22</f>
        <v>#REF!</v>
      </c>
      <c r="D34" s="273" t="e">
        <f ca="1">'Hilfstabelle Datendef KB'!Q22</f>
        <v>#REF!</v>
      </c>
      <c r="E34" s="273" t="e">
        <f ca="1">'Hilfstabelle Datendef KB'!R22</f>
        <v>#REF!</v>
      </c>
      <c r="F34" s="273" t="e">
        <f ca="1">'Hilfstabelle Datendef KB'!S22</f>
        <v>#REF!</v>
      </c>
      <c r="G34" s="263" t="e">
        <f ca="1">'Hilfstabelle Datendef KB'!T22</f>
        <v>#REF!</v>
      </c>
      <c r="H34" s="263" t="e">
        <f ca="1">'Hilfstabelle Datendef KB'!U22</f>
        <v>#REF!</v>
      </c>
      <c r="I34" s="272" t="e">
        <f ca="1">'Hilfstabelle Datendef KB'!V22</f>
        <v>#REF!</v>
      </c>
      <c r="J34" s="263" t="e">
        <f ca="1">'Hilfstabelle Datendef KB'!W22</f>
        <v>#REF!</v>
      </c>
      <c r="K34" s="288" t="e">
        <f ca="1">'Hilfstabelle Datendef KB'!X22</f>
        <v>#REF!</v>
      </c>
      <c r="L34" s="264" t="e">
        <f ca="1">'Hilfstabelle Datendef KB'!Y22</f>
        <v>#REF!</v>
      </c>
    </row>
    <row r="35" spans="2:12" ht="170.25" customHeight="1" x14ac:dyDescent="0.25">
      <c r="B35" s="263" t="e">
        <f ca="1">'Hilfstabelle Datendef KB'!O23</f>
        <v>#REF!</v>
      </c>
      <c r="C35" s="264" t="e">
        <f ca="1">'Hilfstabelle Datendef KB'!P23</f>
        <v>#REF!</v>
      </c>
      <c r="D35" s="273" t="e">
        <f ca="1">'Hilfstabelle Datendef KB'!Q23</f>
        <v>#REF!</v>
      </c>
      <c r="E35" s="273" t="e">
        <f ca="1">'Hilfstabelle Datendef KB'!R23</f>
        <v>#REF!</v>
      </c>
      <c r="F35" s="273" t="e">
        <f ca="1">'Hilfstabelle Datendef KB'!S23</f>
        <v>#REF!</v>
      </c>
      <c r="G35" s="263" t="e">
        <f ca="1">'Hilfstabelle Datendef KB'!T23</f>
        <v>#REF!</v>
      </c>
      <c r="H35" s="263" t="e">
        <f ca="1">'Hilfstabelle Datendef KB'!U23</f>
        <v>#REF!</v>
      </c>
      <c r="I35" s="272" t="e">
        <f ca="1">'Hilfstabelle Datendef KB'!V23</f>
        <v>#REF!</v>
      </c>
      <c r="J35" s="263" t="e">
        <f ca="1">'Hilfstabelle Datendef KB'!W23</f>
        <v>#REF!</v>
      </c>
      <c r="K35" s="288" t="e">
        <f ca="1">'Hilfstabelle Datendef KB'!X23</f>
        <v>#REF!</v>
      </c>
      <c r="L35" s="264" t="e">
        <f ca="1">'Hilfstabelle Datendef KB'!Y23</f>
        <v>#REF!</v>
      </c>
    </row>
    <row r="36" spans="2:12" ht="170.25" customHeight="1" x14ac:dyDescent="0.25">
      <c r="B36" s="263" t="e">
        <f ca="1">'Hilfstabelle Datendef KB'!O24</f>
        <v>#REF!</v>
      </c>
      <c r="C36" s="264" t="e">
        <f ca="1">'Hilfstabelle Datendef KB'!P24</f>
        <v>#REF!</v>
      </c>
      <c r="D36" s="273" t="e">
        <f ca="1">'Hilfstabelle Datendef KB'!Q24</f>
        <v>#REF!</v>
      </c>
      <c r="E36" s="273" t="e">
        <f ca="1">'Hilfstabelle Datendef KB'!R24</f>
        <v>#REF!</v>
      </c>
      <c r="F36" s="273" t="e">
        <f ca="1">'Hilfstabelle Datendef KB'!S24</f>
        <v>#REF!</v>
      </c>
      <c r="G36" s="263" t="e">
        <f ca="1">'Hilfstabelle Datendef KB'!T24</f>
        <v>#REF!</v>
      </c>
      <c r="H36" s="263" t="e">
        <f ca="1">'Hilfstabelle Datendef KB'!U24</f>
        <v>#REF!</v>
      </c>
      <c r="I36" s="272" t="e">
        <f ca="1">'Hilfstabelle Datendef KB'!V24</f>
        <v>#REF!</v>
      </c>
      <c r="J36" s="263" t="e">
        <f ca="1">'Hilfstabelle Datendef KB'!W24</f>
        <v>#REF!</v>
      </c>
      <c r="K36" s="288" t="e">
        <f ca="1">'Hilfstabelle Datendef KB'!X24</f>
        <v>#REF!</v>
      </c>
      <c r="L36" s="264" t="e">
        <f ca="1">'Hilfstabelle Datendef KB'!Y24</f>
        <v>#REF!</v>
      </c>
    </row>
    <row r="37" spans="2:12" ht="170.25" customHeight="1" x14ac:dyDescent="0.25">
      <c r="B37" s="263" t="e">
        <f ca="1">'Hilfstabelle Datendef KB'!O25</f>
        <v>#REF!</v>
      </c>
      <c r="C37" s="264" t="e">
        <f ca="1">'Hilfstabelle Datendef KB'!P25</f>
        <v>#REF!</v>
      </c>
      <c r="D37" s="273" t="e">
        <f ca="1">'Hilfstabelle Datendef KB'!Q25</f>
        <v>#REF!</v>
      </c>
      <c r="E37" s="273" t="e">
        <f ca="1">'Hilfstabelle Datendef KB'!R25</f>
        <v>#REF!</v>
      </c>
      <c r="F37" s="273" t="e">
        <f ca="1">'Hilfstabelle Datendef KB'!S25</f>
        <v>#REF!</v>
      </c>
      <c r="G37" s="263" t="e">
        <f ca="1">'Hilfstabelle Datendef KB'!T25</f>
        <v>#REF!</v>
      </c>
      <c r="H37" s="263" t="e">
        <f ca="1">'Hilfstabelle Datendef KB'!U25</f>
        <v>#REF!</v>
      </c>
      <c r="I37" s="272" t="e">
        <f ca="1">'Hilfstabelle Datendef KB'!V25</f>
        <v>#REF!</v>
      </c>
      <c r="J37" s="263" t="e">
        <f ca="1">'Hilfstabelle Datendef KB'!W25</f>
        <v>#REF!</v>
      </c>
      <c r="K37" s="288" t="e">
        <f ca="1">'Hilfstabelle Datendef KB'!X25</f>
        <v>#REF!</v>
      </c>
      <c r="L37" s="264" t="e">
        <f ca="1">'Hilfstabelle Datendef KB'!Y25</f>
        <v>#REF!</v>
      </c>
    </row>
    <row r="38" spans="2:12" ht="170.25" customHeight="1" x14ac:dyDescent="0.25">
      <c r="B38" s="263" t="e">
        <f ca="1">'Hilfstabelle Datendef KB'!O26</f>
        <v>#REF!</v>
      </c>
      <c r="C38" s="264" t="e">
        <f ca="1">'Hilfstabelle Datendef KB'!P26</f>
        <v>#REF!</v>
      </c>
      <c r="D38" s="273" t="e">
        <f ca="1">'Hilfstabelle Datendef KB'!Q26</f>
        <v>#REF!</v>
      </c>
      <c r="E38" s="273" t="e">
        <f ca="1">'Hilfstabelle Datendef KB'!R26</f>
        <v>#REF!</v>
      </c>
      <c r="F38" s="273" t="e">
        <f ca="1">'Hilfstabelle Datendef KB'!S26</f>
        <v>#REF!</v>
      </c>
      <c r="G38" s="263" t="e">
        <f ca="1">'Hilfstabelle Datendef KB'!T26</f>
        <v>#REF!</v>
      </c>
      <c r="H38" s="263" t="e">
        <f ca="1">'Hilfstabelle Datendef KB'!U26</f>
        <v>#REF!</v>
      </c>
      <c r="I38" s="272" t="e">
        <f ca="1">'Hilfstabelle Datendef KB'!V26</f>
        <v>#REF!</v>
      </c>
      <c r="J38" s="263" t="e">
        <f ca="1">'Hilfstabelle Datendef KB'!W26</f>
        <v>#REF!</v>
      </c>
      <c r="K38" s="288" t="e">
        <f ca="1">'Hilfstabelle Datendef KB'!X26</f>
        <v>#REF!</v>
      </c>
      <c r="L38" s="264" t="e">
        <f ca="1">'Hilfstabelle Datendef KB'!Y26</f>
        <v>#REF!</v>
      </c>
    </row>
    <row r="39" spans="2:12" ht="170.25" customHeight="1" x14ac:dyDescent="0.25">
      <c r="B39" s="263" t="e">
        <f ca="1">'Hilfstabelle Datendef KB'!O27</f>
        <v>#REF!</v>
      </c>
      <c r="C39" s="264" t="e">
        <f ca="1">'Hilfstabelle Datendef KB'!P27</f>
        <v>#REF!</v>
      </c>
      <c r="D39" s="273" t="e">
        <f ca="1">'Hilfstabelle Datendef KB'!Q27</f>
        <v>#REF!</v>
      </c>
      <c r="E39" s="273" t="e">
        <f ca="1">'Hilfstabelle Datendef KB'!R27</f>
        <v>#REF!</v>
      </c>
      <c r="F39" s="273" t="e">
        <f ca="1">'Hilfstabelle Datendef KB'!S27</f>
        <v>#REF!</v>
      </c>
      <c r="G39" s="263" t="e">
        <f ca="1">'Hilfstabelle Datendef KB'!T27</f>
        <v>#REF!</v>
      </c>
      <c r="H39" s="263" t="e">
        <f ca="1">'Hilfstabelle Datendef KB'!U27</f>
        <v>#REF!</v>
      </c>
      <c r="I39" s="272" t="e">
        <f ca="1">'Hilfstabelle Datendef KB'!V27</f>
        <v>#REF!</v>
      </c>
      <c r="J39" s="263" t="e">
        <f ca="1">'Hilfstabelle Datendef KB'!W27</f>
        <v>#REF!</v>
      </c>
      <c r="K39" s="288" t="e">
        <f ca="1">'Hilfstabelle Datendef KB'!X27</f>
        <v>#REF!</v>
      </c>
      <c r="L39" s="264" t="e">
        <f ca="1">'Hilfstabelle Datendef KB'!Y27</f>
        <v>#REF!</v>
      </c>
    </row>
    <row r="40" spans="2:12" ht="170.25" customHeight="1" x14ac:dyDescent="0.25">
      <c r="B40" s="263" t="e">
        <f ca="1">'Hilfstabelle Datendef KB'!O28</f>
        <v>#REF!</v>
      </c>
      <c r="C40" s="264" t="e">
        <f ca="1">'Hilfstabelle Datendef KB'!P28</f>
        <v>#REF!</v>
      </c>
      <c r="D40" s="273" t="e">
        <f ca="1">'Hilfstabelle Datendef KB'!Q28</f>
        <v>#REF!</v>
      </c>
      <c r="E40" s="273" t="e">
        <f ca="1">'Hilfstabelle Datendef KB'!R28</f>
        <v>#REF!</v>
      </c>
      <c r="F40" s="273" t="e">
        <f ca="1">'Hilfstabelle Datendef KB'!S28</f>
        <v>#REF!</v>
      </c>
      <c r="G40" s="263" t="e">
        <f ca="1">'Hilfstabelle Datendef KB'!T28</f>
        <v>#REF!</v>
      </c>
      <c r="H40" s="263" t="e">
        <f ca="1">'Hilfstabelle Datendef KB'!U28</f>
        <v>#REF!</v>
      </c>
      <c r="I40" s="272" t="e">
        <f ca="1">'Hilfstabelle Datendef KB'!V28</f>
        <v>#REF!</v>
      </c>
      <c r="J40" s="263" t="e">
        <f ca="1">'Hilfstabelle Datendef KB'!W28</f>
        <v>#REF!</v>
      </c>
      <c r="K40" s="288" t="e">
        <f ca="1">'Hilfstabelle Datendef KB'!X28</f>
        <v>#REF!</v>
      </c>
      <c r="L40" s="264" t="e">
        <f ca="1">'Hilfstabelle Datendef KB'!Y28</f>
        <v>#REF!</v>
      </c>
    </row>
  </sheetData>
  <sheetProtection selectLockedCells="1"/>
  <customSheetViews>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8">
    <mergeCell ref="D6:K6"/>
    <mergeCell ref="B12:B13"/>
    <mergeCell ref="J12:J13"/>
    <mergeCell ref="C12:C13"/>
    <mergeCell ref="D8:F8"/>
    <mergeCell ref="D12:F12"/>
    <mergeCell ref="G12:I12"/>
    <mergeCell ref="K12:L12"/>
  </mergeCells>
  <phoneticPr fontId="39" type="noConversion"/>
  <conditionalFormatting sqref="B14:I40 K14:L40">
    <cfRule type="notContainsBlanks" dxfId="81" priority="27" stopIfTrue="1">
      <formula>LEN(TRIM(B14))&gt;0</formula>
    </cfRule>
  </conditionalFormatting>
  <conditionalFormatting sqref="B12:J13">
    <cfRule type="expression" dxfId="80" priority="2" stopIfTrue="1">
      <formula>$C$10="Kein Datendefizit vorhanden"</formula>
    </cfRule>
  </conditionalFormatting>
  <conditionalFormatting sqref="J14:J40">
    <cfRule type="expression" dxfId="79" priority="1">
      <formula>AND($J14&lt;&gt;"",$J14="Ausnahme (Plausibilität unklar)")</formula>
    </cfRule>
    <cfRule type="expression" dxfId="78" priority="3" stopIfTrue="1">
      <formula>AND($J14&lt;&gt;"",$J14="Sollvorgabe nicht erfüllt")</formula>
    </cfRule>
    <cfRule type="expression" dxfId="77" priority="4" stopIfTrue="1">
      <formula>AND($J14&lt;&gt;"",$J14="I.O. (Plausibilität unklar)")</formula>
    </cfRule>
    <cfRule type="expression" dxfId="76" priority="15" stopIfTrue="1">
      <formula>OR(AND($J14&lt;&gt;"",$J14="Unvollständig"),AND($J14&lt;&gt;"",$J14="Inkorrekt"))</formula>
    </cfRule>
    <cfRule type="expression" dxfId="75" priority="28" stopIfTrue="1">
      <formula>AND($J14&lt;&gt;"",$J14="optional - Sollvorgabe nicht erfüllt")</formula>
    </cfRule>
    <cfRule type="expression" dxfId="74" priority="29" stopIfTrue="1">
      <formula>AND($J14&lt;&gt;"",$J14="optional - I.O. (Plausibilität unklar)")</formula>
    </cfRule>
    <cfRule type="expression" dxfId="73" priority="30" stopIfTrue="1">
      <formula>AND($J14&lt;&gt;"",$J14="optional - Unvollständig")</formula>
    </cfRule>
  </conditionalFormatting>
  <conditionalFormatting sqref="K12:K13">
    <cfRule type="expression" dxfId="72" priority="13" stopIfTrue="1">
      <formula>$C$10="Kein Datendefizit vorhanden"</formula>
    </cfRule>
  </conditionalFormatting>
  <conditionalFormatting sqref="K12:L12">
    <cfRule type="expression" dxfId="71" priority="5" stopIfTrue="1">
      <formula>K12&lt;&gt;""</formula>
    </cfRule>
  </conditionalFormatting>
  <conditionalFormatting sqref="L13">
    <cfRule type="expression" dxfId="70" priority="12" stopIfTrue="1">
      <formula>$C$10="Kein Datendefizit vorhanden"</formula>
    </cfRule>
  </conditionalFormatting>
  <pageMargins left="0.39370078740157483" right="3.937007874015748E-2" top="0.59055118110236227" bottom="0.39370078740157483" header="0.31496062992125984" footer="0.11811023622047245"/>
  <pageSetup paperSize="9" scale="98"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2" manualBreakCount="2">
    <brk id="15" min="1" max="12" man="1"/>
    <brk id="18" min="1" max="12" man="1"/>
  </rowBreaks>
  <ignoredErrors>
    <ignoredError sqref="E13" formula="1"/>
  </ignoredErrors>
  <drawing r:id="rId4"/>
  <legacy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5"/>
  <sheetViews>
    <sheetView workbookViewId="0">
      <selection activeCell="T34" sqref="T34"/>
    </sheetView>
  </sheetViews>
  <sheetFormatPr defaultColWidth="9.140625" defaultRowHeight="15" x14ac:dyDescent="0.25"/>
  <cols>
    <col min="1" max="1" width="22.140625" customWidth="1"/>
    <col min="4" max="4" width="53.85546875" customWidth="1"/>
    <col min="5" max="7" width="12.5703125" customWidth="1"/>
    <col min="8" max="10" width="10.7109375" customWidth="1"/>
    <col min="11" max="11" width="16.28515625" customWidth="1"/>
    <col min="12" max="13" width="31.5703125" customWidth="1"/>
    <col min="16" max="16" width="43.28515625" customWidth="1"/>
  </cols>
  <sheetData>
    <row r="1" spans="1:25" x14ac:dyDescent="0.25">
      <c r="A1" s="489" t="s">
        <v>56</v>
      </c>
      <c r="C1" t="s">
        <v>344</v>
      </c>
      <c r="D1" t="s">
        <v>336</v>
      </c>
      <c r="E1" t="s">
        <v>305</v>
      </c>
      <c r="F1" t="s">
        <v>2</v>
      </c>
      <c r="G1" t="s">
        <v>305</v>
      </c>
      <c r="H1" t="s">
        <v>159</v>
      </c>
      <c r="I1" t="s">
        <v>3</v>
      </c>
      <c r="J1" t="s">
        <v>9</v>
      </c>
      <c r="K1" t="s">
        <v>56</v>
      </c>
      <c r="L1" t="s">
        <v>295</v>
      </c>
      <c r="M1" t="s">
        <v>296</v>
      </c>
      <c r="O1" t="s">
        <v>337</v>
      </c>
    </row>
    <row r="2" spans="1:25" x14ac:dyDescent="0.25">
      <c r="A2" s="436" t="str">
        <f>IF('Indicator sheet'!R8=0,"",'Indicator sheet'!R8)</f>
        <v>Incomplete</v>
      </c>
      <c r="B2" s="436"/>
      <c r="C2" s="490" t="str">
        <f>IF($A2="I.O.","",'Indicator sheet'!B8)</f>
        <v>1 a)</v>
      </c>
      <c r="D2" s="436" t="str">
        <f>IF($A2="I.O.","",'Indicator sheet'!E8)</f>
        <v>Number of primary cases of prostate carcinoma</v>
      </c>
      <c r="E2" s="436" t="str">
        <f>IF(AND('Indicator sheet'!L8="",$A2&lt;&gt;"I.O."),"-----",IF($A2="I.O.","",'Indicator sheet'!L8))</f>
        <v>-----</v>
      </c>
      <c r="F2" s="436" t="str">
        <f>IF($A2="I.O.","",'Indicator sheet'!M8)</f>
        <v xml:space="preserve">≥ 100 </v>
      </c>
      <c r="G2" s="436" t="str">
        <f>IF(AND('Indicator sheet'!O8="",$A2&lt;&gt;"I.O."),"-----",IF($A2="I.O.","",'Indicator sheet'!O8))</f>
        <v>-----</v>
      </c>
      <c r="H2" s="436">
        <f>IF($A2="I.O.","",IF('Indicator sheet'!Q8="","-----",'Indicator sheet'!Q8))</f>
        <v>0</v>
      </c>
      <c r="I2" s="436" t="str">
        <f>IF($A2="I.O.","","-----")</f>
        <v>-----</v>
      </c>
      <c r="J2" s="436" t="str">
        <f>IF($A2="I.O.","","-----")</f>
        <v>-----</v>
      </c>
      <c r="K2" s="436" t="str">
        <f>IF($A2="I.O.","",'Indicator sheet'!R8)</f>
        <v>Incomplete</v>
      </c>
      <c r="L2" s="436" t="str">
        <f>IF(AND('Indicator sheet'!S8="",$A2&lt;&gt;"I.O."),"-----",IF($A2="I.O.","",'Indicator sheet'!S8))</f>
        <v>-----</v>
      </c>
      <c r="M2" s="436" t="str">
        <f>IF(AND('Indicator sheet'!T8="",$A2&lt;&gt;"I.O."),"-----",IF($A2="I.O.","",'Indicator sheet'!T8))</f>
        <v>-----</v>
      </c>
      <c r="O2" s="491" t="e">
        <f t="array" aca="1" ref="O2" ca="1">IF(ROW()-ROW($D$2:$D$28)+1&gt;ROWS($C$2:$C$28)-COUNTBLANK($C$2:$C$28),"",INDIRECT(ADDRESS(SMALL((IF($C$2:$C$28&lt;&gt;"",ROW($C$2:$C$28),ROW()+ROWS($C$2:$C$28))),ROW()-ROW($D$2:$D$28)+1),COLUMN($C$2:$C$28),4)))</f>
        <v>#REF!</v>
      </c>
      <c r="P2" s="436" t="e">
        <f t="array" aca="1" ref="P2" ca="1">IF(ROW()-ROW($E$2:$E$28)+1&gt;ROWS($D$2:$D$28)-COUNTBLANK($D$2:$D$28),"",INDIRECT(ADDRESS(SMALL((IF($D$2:$D$28&gt;"",ROW($D$2:$D$28),ROW()+ROWS($D$2:$D$28))),ROW()-ROW($E$2:$E$28)+1),COLUMN($D$2:$D$28),4)))</f>
        <v>#REF!</v>
      </c>
      <c r="Q2" s="436" t="e">
        <f t="array" aca="1" ref="Q2" ca="1">IF(ROW()-ROW($F$2:$F$28)+1&gt;ROWS($E$2:$E$28)-COUNTBLANK($E$2:$E$28),"",INDIRECT(ADDRESS(SMALL((IF($E$2:$E$28&gt;"",ROW($E$2:$E$28),ROW()+ROWS($E$2:$E$28))),ROW()-ROW($F$2:$F$28)+1),COLUMN($E$2:$E$28),4)))</f>
        <v>#REF!</v>
      </c>
      <c r="R2" s="436" t="e">
        <f t="array" aca="1" ref="R2" ca="1">IF(ROW()-ROW($G$2:$G$28)+1&gt;ROWS($F$2:$F$28)-COUNTBLANK($F$2:$F$28),"",INDIRECT(ADDRESS(SMALL((IF($F$2:$F$28&gt;"",ROW($F$2:$F$28),ROW()+ROWS($F$2:$F$28))),ROW()-ROW($G$2:$G$28)+1),COLUMN($F$2:$F$28),4)))</f>
        <v>#REF!</v>
      </c>
      <c r="S2" s="436" t="e">
        <f t="array" aca="1" ref="S2" ca="1">IF(ROW()-ROW($H$2:$H$28)+1&gt;ROWS($G$2:$G$28)-COUNTBLANK($G$2:$G$28),"",INDIRECT(ADDRESS(SMALL((IF($G$2:$G$28&lt;&gt;"",ROW($G$2:$G$28),ROW()+ROWS($G$2:$G$28))),ROW()-ROW($H$2:$H$28)+1),COLUMN($G$2:$G$28),4)))</f>
        <v>#REF!</v>
      </c>
      <c r="T2" s="436" t="e">
        <f t="array" aca="1" ref="T2" ca="1">IF(ROW()-ROW($I$2:$I$28)+1&gt;ROWS($H$2:$H$28)-COUNTBLANK($H$2:$H$28),"",INDIRECT(ADDRESS(SMALL((IF($H$2:$H$28&lt;&gt;"",ROW($H$2:$H$28),ROW()+ROWS($H$2:$H$28))),ROW()-ROW($I$2:$I$28)+1),COLUMN($H$2:$H$28),4)))</f>
        <v>#REF!</v>
      </c>
      <c r="U2" s="436" t="e">
        <f t="array" aca="1" ref="U2" ca="1">IF(ROW()-ROW($J$2:$J$28)+1&gt;ROWS($I$2:$I$28)-COUNTBLANK($I$2:$I$28),"",INDIRECT(ADDRESS(SMALL((IF($I$2:$I$28&lt;&gt;"",ROW($I$2:$I$28),ROW()+ROWS($I$2:$I$28))),ROW()-ROW($J$2:$J$28)+1),COLUMN($I$2:$I$28),4)))</f>
        <v>#REF!</v>
      </c>
      <c r="V2" s="436" t="e">
        <f t="array" aca="1" ref="V2" ca="1">IF(ROW()-ROW($K$2:$K$28)+1&gt;ROWS($J$2:$J$28)-COUNTBLANK($J$2:$J$28),"",INDIRECT(ADDRESS(SMALL((IF($J$2:$J$28&lt;&gt;"",ROW($J$2:$J$28),ROW()+ROWS($J$2:$J$28))),ROW()-ROW($K$2:$K$28)+1),COLUMN($J$2:$J$28),4)))</f>
        <v>#REF!</v>
      </c>
      <c r="W2" s="436" t="e">
        <f t="array" aca="1" ref="W2" ca="1">IF(ROW()-ROW($L$2:$L$28)+1&gt;ROWS($K$2:$K$28)-COUNTBLANK($K$2:$K$28),"",INDIRECT(ADDRESS(SMALL((IF($K$2:$K$28&lt;&gt;"",ROW($K$2:$K$28),ROW()+ROWS($K$2:$K$28))),ROW()-ROW($L$2:$L$28)+1),COLUMN($K$2:$K$28),4)))</f>
        <v>#REF!</v>
      </c>
      <c r="X2" s="436" t="e">
        <f t="array" aca="1" ref="X2" ca="1">IF(ROW()-ROW($M$2:$M$28)+1&gt;ROWS($L$2:$L$28)-COUNTBLANK($L$2:$L$28),"",INDIRECT(ADDRESS(SMALL((IF($L$2:$L$28&lt;&gt;"",ROW($L$2:$L$28),ROW()+ROWS($L$2:$L$28))),ROW()-ROW($M$2:$M$28)+1),COLUMN($L$2:$L$28),4)))</f>
        <v>#REF!</v>
      </c>
      <c r="Y2" s="436" t="e">
        <f t="array" aca="1" ref="Y2" ca="1">IF(ROW()-ROW($N$2:$N$28)+1&gt;ROWS($M$2:$M$28)-COUNTBLANK($M$2:$M$28),"",INDIRECT(ADDRESS(SMALL((IF($M$2:$M$28&lt;&gt;"",ROW($M$2:$M$28),ROW()+ROWS($M$2:$M$28))),ROW()-ROW($N$2:$N$28)+1),COLUMN($M$2:$M$28),4)))</f>
        <v>#REF!</v>
      </c>
    </row>
    <row r="3" spans="1:25" x14ac:dyDescent="0.25">
      <c r="A3" s="436" t="str">
        <f>IF('Indicator sheet'!R11=0,"",'Indicator sheet'!R11)</f>
        <v>Incomplete</v>
      </c>
      <c r="B3" s="436"/>
      <c r="C3" s="490" t="str">
        <f>IF($A3="I.O.","",CONCATENATE('Indicator sheet'!B11,'Indicator sheet'!C11))</f>
        <v>1 b) 1</v>
      </c>
      <c r="D3" s="436" t="str">
        <f>IF($A3="I.O.","",CONCATENATE('Indicator sheet'!E11," - niedrigem Risiko"))</f>
        <v>Distribution of primary cases with locally confined prostate carcinoma and low risk - niedrigem Risiko</v>
      </c>
      <c r="E3" s="436" t="str">
        <f>IF(AND('Indicator sheet'!L11="",$A3&lt;&gt;"I.O."),"-----",IF($A3="I.O.","",'Indicator sheet'!L11))</f>
        <v>-----</v>
      </c>
      <c r="F3" s="436" t="str">
        <f>IF($A3="I.O.","",'Indicator sheet'!M11)</f>
        <v>No target value</v>
      </c>
      <c r="G3" s="436" t="str">
        <f>IF(AND('Indicator sheet'!O11="",$A3&lt;&gt;"I.O."),"-----",IF($A3="I.O.","",'Indicator sheet'!O11))</f>
        <v>-----</v>
      </c>
      <c r="H3" s="436">
        <f>IF($A3="I.O.","",IF('Indicator sheet'!Q11="","-----",'Indicator sheet'!Q11))</f>
        <v>0</v>
      </c>
      <c r="I3" s="436" t="str">
        <f t="shared" ref="I3:J5" si="0">IF($A3="I.O.","","-----")</f>
        <v>-----</v>
      </c>
      <c r="J3" s="436" t="str">
        <f t="shared" si="0"/>
        <v>-----</v>
      </c>
      <c r="K3" s="436" t="str">
        <f>IF($A3="I.O.","",'Indicator sheet'!R11)</f>
        <v>Incomplete</v>
      </c>
      <c r="L3" s="436" t="str">
        <f>IF(AND('Indicator sheet'!S11="",$A3&lt;&gt;"I.O."),"-----",IF($A3="I.O.","",'Indicator sheet'!S11))</f>
        <v>-----</v>
      </c>
      <c r="M3" s="436" t="str">
        <f>IF(AND('Indicator sheet'!T11="",$A3&lt;&gt;"I.O."),"-----",IF($A3="I.O.","",'Indicator sheet'!T11))</f>
        <v>-----</v>
      </c>
      <c r="O3" s="491" t="e">
        <f t="array" aca="1" ref="O3" ca="1">IF(ROW()-ROW($D$2:$D$28)+1&gt;ROWS($C$2:$C$28)-COUNTBLANK($C$2:$C$28),"",INDIRECT(ADDRESS(SMALL((IF($C$2:$C$28&lt;&gt;"",ROW($C$2:$C$28),ROW()+ROWS($C$2:$C$28))),ROW()-ROW($D$2:$D$28)+1),COLUMN($C$2:$C$28),4)))</f>
        <v>#REF!</v>
      </c>
      <c r="P3" s="436" t="e">
        <f t="array" aca="1" ref="P3" ca="1">IF(ROW()-ROW($E$2:$E$28)+1&gt;ROWS($D$2:$D$28)-COUNTBLANK($D$2:$D$28),"",INDIRECT(ADDRESS(SMALL((IF($D$2:$D$28&gt;"",ROW($D$2:$D$28),ROW()+ROWS($D$2:$D$28))),ROW()-ROW($E$2:$E$28)+1),COLUMN($D$2:$D$28),4)))</f>
        <v>#REF!</v>
      </c>
      <c r="Q3" s="436" t="e">
        <f t="array" aca="1" ref="Q3" ca="1">IF(ROW()-ROW($F$2:$F$28)+1&gt;ROWS($E$2:$E$28)-COUNTBLANK($E$2:$E$28),"",INDIRECT(ADDRESS(SMALL((IF($E$2:$E$28&gt;"",ROW($E$2:$E$28),ROW()+ROWS($E$2:$E$28))),ROW()-ROW($F$2:$F$28)+1),COLUMN($E$2:$E$28),4)))</f>
        <v>#REF!</v>
      </c>
      <c r="R3" s="436" t="e">
        <f t="array" aca="1" ref="R3" ca="1">IF(ROW()-ROW($G$2:$G$28)+1&gt;ROWS($F$2:$F$28)-COUNTBLANK($F$2:$F$28),"",INDIRECT(ADDRESS(SMALL((IF($F$2:$F$28&gt;"",ROW($F$2:$F$28),ROW()+ROWS($F$2:$F$28))),ROW()-ROW($G$2:$G$28)+1),COLUMN($F$2:$F$28),4)))</f>
        <v>#REF!</v>
      </c>
      <c r="S3" s="436" t="e">
        <f t="array" aca="1" ref="S3" ca="1">IF(ROW()-ROW($H$2:$H$28)+1&gt;ROWS($G$2:$G$28)-COUNTBLANK($G$2:$G$28),"",INDIRECT(ADDRESS(SMALL((IF($G$2:$G$28&lt;&gt;"",ROW($G$2:$G$28),ROW()+ROWS($G$2:$G$28))),ROW()-ROW($H$2:$H$28)+1),COLUMN($G$2:$G$28),4)))</f>
        <v>#REF!</v>
      </c>
      <c r="T3" s="436" t="e">
        <f t="array" aca="1" ref="T3" ca="1">IF(ROW()-ROW($I$2:$I$28)+1&gt;ROWS($H$2:$H$28)-COUNTBLANK($H$2:$H$28),"",INDIRECT(ADDRESS(SMALL((IF($H$2:$H$28&lt;&gt;"",ROW($H$2:$H$28),ROW()+ROWS($H$2:$H$28))),ROW()-ROW($I$2:$I$28)+1),COLUMN($H$2:$H$28),4)))</f>
        <v>#REF!</v>
      </c>
      <c r="U3" s="436" t="e">
        <f t="array" aca="1" ref="U3" ca="1">IF(ROW()-ROW($J$2:$J$28)+1&gt;ROWS($I$2:$I$28)-COUNTBLANK($I$2:$I$28),"",INDIRECT(ADDRESS(SMALL((IF($I$2:$I$28&lt;&gt;"",ROW($I$2:$I$28),ROW()+ROWS($I$2:$I$28))),ROW()-ROW($J$2:$J$28)+1),COLUMN($I$2:$I$28),4)))</f>
        <v>#REF!</v>
      </c>
      <c r="V3" s="436" t="e">
        <f t="array" aca="1" ref="V3" ca="1">IF(ROW()-ROW($K$2:$K$28)+1&gt;ROWS($J$2:$J$28)-COUNTBLANK($J$2:$J$28),"",INDIRECT(ADDRESS(SMALL((IF($J$2:$J$28&lt;&gt;"",ROW($J$2:$J$28),ROW()+ROWS($J$2:$J$28))),ROW()-ROW($K$2:$K$28)+1),COLUMN($J$2:$J$28),4)))</f>
        <v>#REF!</v>
      </c>
      <c r="W3" s="436" t="e">
        <f t="array" aca="1" ref="W3" ca="1">IF(ROW()-ROW($L$2:$L$28)+1&gt;ROWS($K$2:$K$28)-COUNTBLANK($K$2:$K$28),"",INDIRECT(ADDRESS(SMALL((IF($K$2:$K$28&lt;&gt;"",ROW($K$2:$K$28),ROW()+ROWS($K$2:$K$28))),ROW()-ROW($L$2:$L$28)+1),COLUMN($K$2:$K$28),4)))</f>
        <v>#REF!</v>
      </c>
      <c r="X3" s="436" t="e">
        <f t="array" aca="1" ref="X3" ca="1">IF(ROW()-ROW($M$2:$M$28)+1&gt;ROWS($L$2:$L$28)-COUNTBLANK($L$2:$L$28),"",INDIRECT(ADDRESS(SMALL((IF($L$2:$L$28&lt;&gt;"",ROW($L$2:$L$28),ROW()+ROWS($L$2:$L$28))),ROW()-ROW($M$2:$M$28)+1),COLUMN($L$2:$L$28),4)))</f>
        <v>#REF!</v>
      </c>
      <c r="Y3" s="436" t="e">
        <f t="array" aca="1" ref="Y3" ca="1">IF(ROW()-ROW($N$2:$N$28)+1&gt;ROWS($M$2:$M$28)-COUNTBLANK($M$2:$M$28),"",INDIRECT(ADDRESS(SMALL((IF($M$2:$M$28&lt;&gt;"",ROW($M$2:$M$28),ROW()+ROWS($M$2:$M$28))),ROW()-ROW($N$2:$N$28)+1),COLUMN($M$2:$M$28),4)))</f>
        <v>#REF!</v>
      </c>
    </row>
    <row r="4" spans="1:25" x14ac:dyDescent="0.25">
      <c r="A4" s="436" t="str">
        <f>IF('Indicator sheet'!R14=0,"",'Indicator sheet'!R14)</f>
        <v>Incomplete</v>
      </c>
      <c r="B4" s="436"/>
      <c r="C4" s="490" t="str">
        <f>IF($A4="I.O.","",CONCATENATE('Indicator sheet'!B11,'Indicator sheet'!C14))</f>
        <v>1 b) 2</v>
      </c>
      <c r="D4" s="436" t="str">
        <f>IF($A4="I.O.","",CONCATENATE('Indicator sheet'!E14," - mittlerem Risiko"))</f>
        <v>Distribution of primary cases with locally confined prostate carcinoma and intermediate risk - mittlerem Risiko</v>
      </c>
      <c r="E4" s="436" t="str">
        <f>IF(AND('Indicator sheet'!L14="",$A4&lt;&gt;"I.O."),"-----",IF($A4="I.O.","",'Indicator sheet'!L14))</f>
        <v>-----</v>
      </c>
      <c r="F4" s="436" t="str">
        <f>IF($A4="I.O.","",'Indicator sheet'!M14)</f>
        <v>No target value</v>
      </c>
      <c r="G4" s="436" t="str">
        <f>IF(AND('Indicator sheet'!O14="",$A4&lt;&gt;"I.O."),"-----",IF($A4="I.O.","",'Indicator sheet'!O14))</f>
        <v>-----</v>
      </c>
      <c r="H4" s="436">
        <f>IF($A4="I.O.","",IF('Indicator sheet'!Q14="","-----",'Indicator sheet'!Q14))</f>
        <v>0</v>
      </c>
      <c r="I4" s="436" t="str">
        <f t="shared" si="0"/>
        <v>-----</v>
      </c>
      <c r="J4" s="436" t="str">
        <f t="shared" si="0"/>
        <v>-----</v>
      </c>
      <c r="K4" s="436" t="str">
        <f>IF($A4="I.O.","",'Indicator sheet'!R14)</f>
        <v>Incomplete</v>
      </c>
      <c r="L4" s="436" t="str">
        <f>IF(AND('Indicator sheet'!S14="",$A4&lt;&gt;"I.O."),"-----",IF($A4="I.O.","",'Indicator sheet'!S14))</f>
        <v>-----</v>
      </c>
      <c r="M4" s="436" t="str">
        <f>IF(AND('Indicator sheet'!T14="",$A4&lt;&gt;"I.O."),"-----",IF($A4="I.O.","",'Indicator sheet'!T14))</f>
        <v>-----</v>
      </c>
      <c r="O4" s="491" t="e">
        <f t="array" aca="1" ref="O4" ca="1">IF(ROW()-ROW($D$2:$D$28)+1&gt;ROWS($C$2:$C$28)-COUNTBLANK($C$2:$C$28),"",INDIRECT(ADDRESS(SMALL((IF($C$2:$C$28&lt;&gt;"",ROW($C$2:$C$28),ROW()+ROWS($C$2:$C$28))),ROW()-ROW($D$2:$D$28)+1),COLUMN($C$2:$C$28),4)))</f>
        <v>#REF!</v>
      </c>
      <c r="P4" s="436" t="e">
        <f t="array" aca="1" ref="P4" ca="1">IF(ROW()-ROW($E$2:$E$28)+1&gt;ROWS($D$2:$D$28)-COUNTBLANK($D$2:$D$28),"",INDIRECT(ADDRESS(SMALL((IF($D$2:$D$28&gt;"",ROW($D$2:$D$28),ROW()+ROWS($D$2:$D$28))),ROW()-ROW($E$2:$E$28)+1),COLUMN($D$2:$D$28),4)))</f>
        <v>#REF!</v>
      </c>
      <c r="Q4" s="436" t="e">
        <f t="array" aca="1" ref="Q4" ca="1">IF(ROW()-ROW($F$2:$F$28)+1&gt;ROWS($E$2:$E$28)-COUNTBLANK($E$2:$E$28),"",INDIRECT(ADDRESS(SMALL((IF($E$2:$E$28&gt;"",ROW($E$2:$E$28),ROW()+ROWS($E$2:$E$28))),ROW()-ROW($F$2:$F$28)+1),COLUMN($E$2:$E$28),4)))</f>
        <v>#REF!</v>
      </c>
      <c r="R4" s="436" t="e">
        <f t="array" aca="1" ref="R4" ca="1">IF(ROW()-ROW($G$2:$G$28)+1&gt;ROWS($F$2:$F$28)-COUNTBLANK($F$2:$F$28),"",INDIRECT(ADDRESS(SMALL((IF($F$2:$F$28&gt;"",ROW($F$2:$F$28),ROW()+ROWS($F$2:$F$28))),ROW()-ROW($G$2:$G$28)+1),COLUMN($F$2:$F$28),4)))</f>
        <v>#REF!</v>
      </c>
      <c r="S4" s="436" t="e">
        <f t="array" aca="1" ref="S4" ca="1">IF(ROW()-ROW($H$2:$H$28)+1&gt;ROWS($G$2:$G$28)-COUNTBLANK($G$2:$G$28),"",INDIRECT(ADDRESS(SMALL((IF($G$2:$G$28&lt;&gt;"",ROW($G$2:$G$28),ROW()+ROWS($G$2:$G$28))),ROW()-ROW($H$2:$H$28)+1),COLUMN($G$2:$G$28),4)))</f>
        <v>#REF!</v>
      </c>
      <c r="T4" s="436" t="e">
        <f t="array" aca="1" ref="T4" ca="1">IF(ROW()-ROW($I$2:$I$28)+1&gt;ROWS($H$2:$H$28)-COUNTBLANK($H$2:$H$28),"",INDIRECT(ADDRESS(SMALL((IF($H$2:$H$28&lt;&gt;"",ROW($H$2:$H$28),ROW()+ROWS($H$2:$H$28))),ROW()-ROW($I$2:$I$28)+1),COLUMN($H$2:$H$28),4)))</f>
        <v>#REF!</v>
      </c>
      <c r="U4" s="436" t="e">
        <f t="array" aca="1" ref="U4" ca="1">IF(ROW()-ROW($J$2:$J$28)+1&gt;ROWS($I$2:$I$28)-COUNTBLANK($I$2:$I$28),"",INDIRECT(ADDRESS(SMALL((IF($I$2:$I$28&lt;&gt;"",ROW($I$2:$I$28),ROW()+ROWS($I$2:$I$28))),ROW()-ROW($J$2:$J$28)+1),COLUMN($I$2:$I$28),4)))</f>
        <v>#REF!</v>
      </c>
      <c r="V4" s="436" t="e">
        <f t="array" aca="1" ref="V4" ca="1">IF(ROW()-ROW($K$2:$K$28)+1&gt;ROWS($J$2:$J$28)-COUNTBLANK($J$2:$J$28),"",INDIRECT(ADDRESS(SMALL((IF($J$2:$J$28&lt;&gt;"",ROW($J$2:$J$28),ROW()+ROWS($J$2:$J$28))),ROW()-ROW($K$2:$K$28)+1),COLUMN($J$2:$J$28),4)))</f>
        <v>#REF!</v>
      </c>
      <c r="W4" s="436" t="e">
        <f t="array" aca="1" ref="W4" ca="1">IF(ROW()-ROW($L$2:$L$28)+1&gt;ROWS($K$2:$K$28)-COUNTBLANK($K$2:$K$28),"",INDIRECT(ADDRESS(SMALL((IF($K$2:$K$28&lt;&gt;"",ROW($K$2:$K$28),ROW()+ROWS($K$2:$K$28))),ROW()-ROW($L$2:$L$28)+1),COLUMN($K$2:$K$28),4)))</f>
        <v>#REF!</v>
      </c>
      <c r="X4" s="436" t="e">
        <f t="array" aca="1" ref="X4" ca="1">IF(ROW()-ROW($M$2:$M$28)+1&gt;ROWS($L$2:$L$28)-COUNTBLANK($L$2:$L$28),"",INDIRECT(ADDRESS(SMALL((IF($L$2:$L$28&lt;&gt;"",ROW($L$2:$L$28),ROW()+ROWS($L$2:$L$28))),ROW()-ROW($M$2:$M$28)+1),COLUMN($L$2:$L$28),4)))</f>
        <v>#REF!</v>
      </c>
      <c r="Y4" s="436" t="e">
        <f t="array" aca="1" ref="Y4" ca="1">IF(ROW()-ROW($N$2:$N$28)+1&gt;ROWS($M$2:$M$28)-COUNTBLANK($M$2:$M$28),"",INDIRECT(ADDRESS(SMALL((IF($M$2:$M$28&lt;&gt;"",ROW($M$2:$M$28),ROW()+ROWS($M$2:$M$28))),ROW()-ROW($N$2:$N$28)+1),COLUMN($M$2:$M$28),4)))</f>
        <v>#REF!</v>
      </c>
    </row>
    <row r="5" spans="1:25" x14ac:dyDescent="0.25">
      <c r="A5" s="436" t="str">
        <f>IF('Indicator sheet'!R17=0,"",'Indicator sheet'!R17)</f>
        <v>Incomplete</v>
      </c>
      <c r="B5" s="436"/>
      <c r="C5" s="490" t="str">
        <f>IF($A5="I.O.","",CONCATENATE('Indicator sheet'!B11,'Indicator sheet'!C17))</f>
        <v>1 b) 3</v>
      </c>
      <c r="D5" s="436" t="str">
        <f>IF($A5="I.O.","",CONCATENATE('Indicator sheet'!E17," - hohem Risiko"))</f>
        <v>Distribution of primary cases with locally confined prostate carcinoma and high risk - hohem Risiko</v>
      </c>
      <c r="E5" s="436" t="str">
        <f>IF(AND('Indicator sheet'!L17="",$A5&lt;&gt;"I.O."),"-----",IF($A5="I.O.","",'Indicator sheet'!L17))</f>
        <v>-----</v>
      </c>
      <c r="F5" s="436" t="str">
        <f>IF($A5="I.O.","",'Indicator sheet'!M17)</f>
        <v>No target value</v>
      </c>
      <c r="G5" s="436" t="str">
        <f>IF(AND('Indicator sheet'!O17="",$A5&lt;&gt;"I.O."),"-----",IF($A5="I.O.","",'Indicator sheet'!O17))</f>
        <v>-----</v>
      </c>
      <c r="H5" s="436">
        <f>IF($A5="I.O.","",IF('Indicator sheet'!Q17="","-----",'Indicator sheet'!Q17))</f>
        <v>0</v>
      </c>
      <c r="I5" s="436" t="str">
        <f t="shared" si="0"/>
        <v>-----</v>
      </c>
      <c r="J5" s="436" t="str">
        <f>IF($A5="I.O.","","-----")</f>
        <v>-----</v>
      </c>
      <c r="K5" s="436" t="str">
        <f>IF($A5="I.O.","",'Indicator sheet'!R17)</f>
        <v>Incomplete</v>
      </c>
      <c r="L5" s="436" t="str">
        <f>IF(AND('Indicator sheet'!S17="",$A5&lt;&gt;"I.O."),"-----",IF($A5="I.O.","",'Indicator sheet'!S17))</f>
        <v>-----</v>
      </c>
      <c r="M5" s="436" t="str">
        <f>IF(AND('Indicator sheet'!T17="",$A5&lt;&gt;"I.O."),"-----",IF($A5="I.O.","",'Indicator sheet'!T17))</f>
        <v>-----</v>
      </c>
      <c r="O5" s="491" t="e">
        <f t="array" aca="1" ref="O5" ca="1">IF(ROW()-ROW($D$2:$D$28)+1&gt;ROWS($C$2:$C$28)-COUNTBLANK($C$2:$C$28),"",INDIRECT(ADDRESS(SMALL((IF($C$2:$C$28&lt;&gt;"",ROW($C$2:$C$28),ROW()+ROWS($C$2:$C$28))),ROW()-ROW($D$2:$D$28)+1),COLUMN($C$2:$C$28),4)))</f>
        <v>#REF!</v>
      </c>
      <c r="P5" s="436" t="e">
        <f t="array" aca="1" ref="P5" ca="1">IF(ROW()-ROW($E$2:$E$28)+1&gt;ROWS($D$2:$D$28)-COUNTBLANK($D$2:$D$28),"",INDIRECT(ADDRESS(SMALL((IF($D$2:$D$28&gt;"",ROW($D$2:$D$28),ROW()+ROWS($D$2:$D$28))),ROW()-ROW($E$2:$E$28)+1),COLUMN($D$2:$D$28),4)))</f>
        <v>#REF!</v>
      </c>
      <c r="Q5" s="436" t="e">
        <f t="array" aca="1" ref="Q5" ca="1">IF(ROW()-ROW($F$2:$F$28)+1&gt;ROWS($E$2:$E$28)-COUNTBLANK($E$2:$E$28),"",INDIRECT(ADDRESS(SMALL((IF($E$2:$E$28&gt;"",ROW($E$2:$E$28),ROW()+ROWS($E$2:$E$28))),ROW()-ROW($F$2:$F$28)+1),COLUMN($E$2:$E$28),4)))</f>
        <v>#REF!</v>
      </c>
      <c r="R5" s="436" t="e">
        <f t="array" aca="1" ref="R5" ca="1">IF(ROW()-ROW($G$2:$G$28)+1&gt;ROWS($F$2:$F$28)-COUNTBLANK($F$2:$F$28),"",INDIRECT(ADDRESS(SMALL((IF($F$2:$F$28&gt;"",ROW($F$2:$F$28),ROW()+ROWS($F$2:$F$28))),ROW()-ROW($G$2:$G$28)+1),COLUMN($F$2:$F$28),4)))</f>
        <v>#REF!</v>
      </c>
      <c r="S5" s="436" t="e">
        <f t="array" aca="1" ref="S5" ca="1">IF(ROW()-ROW($H$2:$H$28)+1&gt;ROWS($G$2:$G$28)-COUNTBLANK($G$2:$G$28),"",INDIRECT(ADDRESS(SMALL((IF($G$2:$G$28&lt;&gt;"",ROW($G$2:$G$28),ROW()+ROWS($G$2:$G$28))),ROW()-ROW($H$2:$H$28)+1),COLUMN($G$2:$G$28),4)))</f>
        <v>#REF!</v>
      </c>
      <c r="T5" s="436" t="e">
        <f t="array" aca="1" ref="T5" ca="1">IF(ROW()-ROW($I$2:$I$28)+1&gt;ROWS($H$2:$H$28)-COUNTBLANK($H$2:$H$28),"",INDIRECT(ADDRESS(SMALL((IF($H$2:$H$28&lt;&gt;"",ROW($H$2:$H$28),ROW()+ROWS($H$2:$H$28))),ROW()-ROW($I$2:$I$28)+1),COLUMN($H$2:$H$28),4)))</f>
        <v>#REF!</v>
      </c>
      <c r="U5" s="436" t="e">
        <f t="array" aca="1" ref="U5" ca="1">IF(ROW()-ROW($J$2:$J$28)+1&gt;ROWS($I$2:$I$28)-COUNTBLANK($I$2:$I$28),"",INDIRECT(ADDRESS(SMALL((IF($I$2:$I$28&lt;&gt;"",ROW($I$2:$I$28),ROW()+ROWS($I$2:$I$28))),ROW()-ROW($J$2:$J$28)+1),COLUMN($I$2:$I$28),4)))</f>
        <v>#REF!</v>
      </c>
      <c r="V5" s="436" t="e">
        <f t="array" aca="1" ref="V5" ca="1">IF(ROW()-ROW($K$2:$K$28)+1&gt;ROWS($J$2:$J$28)-COUNTBLANK($J$2:$J$28),"",INDIRECT(ADDRESS(SMALL((IF($J$2:$J$28&lt;&gt;"",ROW($J$2:$J$28),ROW()+ROWS($J$2:$J$28))),ROW()-ROW($K$2:$K$28)+1),COLUMN($J$2:$J$28),4)))</f>
        <v>#REF!</v>
      </c>
      <c r="W5" s="436" t="e">
        <f t="array" aca="1" ref="W5" ca="1">IF(ROW()-ROW($L$2:$L$28)+1&gt;ROWS($K$2:$K$28)-COUNTBLANK($K$2:$K$28),"",INDIRECT(ADDRESS(SMALL((IF($K$2:$K$28&lt;&gt;"",ROW($K$2:$K$28),ROW()+ROWS($K$2:$K$28))),ROW()-ROW($L$2:$L$28)+1),COLUMN($K$2:$K$28),4)))</f>
        <v>#REF!</v>
      </c>
      <c r="X5" s="436" t="e">
        <f t="array" aca="1" ref="X5" ca="1">IF(ROW()-ROW($M$2:$M$28)+1&gt;ROWS($L$2:$L$28)-COUNTBLANK($L$2:$L$28),"",INDIRECT(ADDRESS(SMALL((IF($L$2:$L$28&lt;&gt;"",ROW($L$2:$L$28),ROW()+ROWS($L$2:$L$28))),ROW()-ROW($M$2:$M$28)+1),COLUMN($L$2:$L$28),4)))</f>
        <v>#REF!</v>
      </c>
      <c r="Y5" s="436" t="e">
        <f t="array" aca="1" ref="Y5" ca="1">IF(ROW()-ROW($N$2:$N$28)+1&gt;ROWS($M$2:$M$28)-COUNTBLANK($M$2:$M$28),"",INDIRECT(ADDRESS(SMALL((IF($M$2:$M$28&lt;&gt;"",ROW($M$2:$M$28),ROW()+ROWS($M$2:$M$28))),ROW()-ROW($N$2:$N$28)+1),COLUMN($M$2:$M$28),4)))</f>
        <v>#REF!</v>
      </c>
    </row>
    <row r="6" spans="1:25" x14ac:dyDescent="0.25">
      <c r="A6" s="436" t="str">
        <f>IF('Indicator sheet'!R23=0,"",'Indicator sheet'!R23)</f>
        <v>Incomplete</v>
      </c>
      <c r="B6" s="436"/>
      <c r="C6" s="490" t="str">
        <f>IF($A6="I.O.","",CONCATENATE('Indicator sheet'!B23,'Indicator sheet'!C23))</f>
        <v>2a</v>
      </c>
      <c r="D6" s="436" t="str">
        <f>IF($A6="I.O.","",CONCATENATE('Indicator sheet'!E23," - Urologie"))</f>
        <v>Presentation at the weekly pre-therapeutic tumour board - Urologie</v>
      </c>
      <c r="E6" s="436" t="str">
        <f>IF(AND('Indicator sheet'!L23="",$A6&lt;&gt;"I.O."),"-----",IF($A6="I.O.","",'Indicator sheet'!L23))</f>
        <v>-----</v>
      </c>
      <c r="F6" s="436" t="str">
        <f>IF($A6="I.O.","",'Indicator sheet'!M23)</f>
        <v>≥ 95%</v>
      </c>
      <c r="G6" s="436" t="str">
        <f>IF(AND('Indicator sheet'!O23="",$A6&lt;&gt;"I.O."),"-----",IF($A6="I.O.","",'Indicator sheet'!O23))</f>
        <v>-----</v>
      </c>
      <c r="H6" s="436" t="str">
        <f>IF($A6="I.O.","",IF('Indicator sheet'!Q23="","-----",'Indicator sheet'!Q23))</f>
        <v>-----</v>
      </c>
      <c r="I6" s="436" t="str">
        <f>IF($A6="I.O.","",IF('Indicator sheet'!Q24="","-----",'Indicator sheet'!Q24))</f>
        <v>-----</v>
      </c>
      <c r="J6" s="436" t="str">
        <f>IF($A6="I.O.","",IF('Indicator sheet'!Q25="","-----",'Indicator sheet'!Q25))</f>
        <v>n.d.</v>
      </c>
      <c r="K6" s="436" t="str">
        <f>IF($A6="I.O.","",'Indicator sheet'!R23)</f>
        <v>Incomplete</v>
      </c>
      <c r="L6" s="436" t="str">
        <f>IF(AND('Indicator sheet'!S23="",$A6&lt;&gt;"I.O."),"-----",IF($A6="I.O.","",'Indicator sheet'!S23))</f>
        <v>-----</v>
      </c>
      <c r="M6" s="436" t="str">
        <f>IF(AND('Indicator sheet'!T23="",$A6&lt;&gt;"I.O."),"-----",IF($A6="I.O.","",'Indicator sheet'!T23))</f>
        <v>-----</v>
      </c>
      <c r="O6" s="491" t="e">
        <f t="array" aca="1" ref="O6" ca="1">IF(ROW()-ROW($D$2:$D$28)+1&gt;ROWS($C$2:$C$28)-COUNTBLANK($C$2:$C$28),"",INDIRECT(ADDRESS(SMALL((IF($C$2:$C$28&lt;&gt;"",ROW($C$2:$C$28),ROW()+ROWS($C$2:$C$28))),ROW()-ROW($D$2:$D$28)+1),COLUMN($C$2:$C$28),4)))</f>
        <v>#REF!</v>
      </c>
      <c r="P6" s="436" t="e">
        <f t="array" aca="1" ref="P6" ca="1">IF(ROW()-ROW($E$2:$E$28)+1&gt;ROWS($D$2:$D$28)-COUNTBLANK($D$2:$D$28),"",INDIRECT(ADDRESS(SMALL((IF($D$2:$D$28&gt;"",ROW($D$2:$D$28),ROW()+ROWS($D$2:$D$28))),ROW()-ROW($E$2:$E$28)+1),COLUMN($D$2:$D$28),4)))</f>
        <v>#REF!</v>
      </c>
      <c r="Q6" s="436" t="e">
        <f t="array" aca="1" ref="Q6" ca="1">IF(ROW()-ROW($F$2:$F$28)+1&gt;ROWS($E$2:$E$28)-COUNTBLANK($E$2:$E$28),"",INDIRECT(ADDRESS(SMALL((IF($E$2:$E$28&gt;"",ROW($E$2:$E$28),ROW()+ROWS($E$2:$E$28))),ROW()-ROW($F$2:$F$28)+1),COLUMN($E$2:$E$28),4)))</f>
        <v>#REF!</v>
      </c>
      <c r="R6" s="436" t="e">
        <f t="array" aca="1" ref="R6" ca="1">IF(ROW()-ROW($G$2:$G$28)+1&gt;ROWS($F$2:$F$28)-COUNTBLANK($F$2:$F$28),"",INDIRECT(ADDRESS(SMALL((IF($F$2:$F$28&gt;"",ROW($F$2:$F$28),ROW()+ROWS($F$2:$F$28))),ROW()-ROW($G$2:$G$28)+1),COLUMN($F$2:$F$28),4)))</f>
        <v>#REF!</v>
      </c>
      <c r="S6" s="436" t="e">
        <f t="array" aca="1" ref="S6" ca="1">IF(ROW()-ROW($H$2:$H$28)+1&gt;ROWS($G$2:$G$28)-COUNTBLANK($G$2:$G$28),"",INDIRECT(ADDRESS(SMALL((IF($G$2:$G$28&lt;&gt;"",ROW($G$2:$G$28),ROW()+ROWS($G$2:$G$28))),ROW()-ROW($H$2:$H$28)+1),COLUMN($G$2:$G$28),4)))</f>
        <v>#REF!</v>
      </c>
      <c r="T6" s="436" t="e">
        <f t="array" aca="1" ref="T6" ca="1">IF(ROW()-ROW($I$2:$I$28)+1&gt;ROWS($H$2:$H$28)-COUNTBLANK($H$2:$H$28),"",INDIRECT(ADDRESS(SMALL((IF($H$2:$H$28&lt;&gt;"",ROW($H$2:$H$28),ROW()+ROWS($H$2:$H$28))),ROW()-ROW($I$2:$I$28)+1),COLUMN($H$2:$H$28),4)))</f>
        <v>#REF!</v>
      </c>
      <c r="U6" s="436" t="e">
        <f t="array" aca="1" ref="U6" ca="1">IF(ROW()-ROW($J$2:$J$28)+1&gt;ROWS($I$2:$I$28)-COUNTBLANK($I$2:$I$28),"",INDIRECT(ADDRESS(SMALL((IF($I$2:$I$28&lt;&gt;"",ROW($I$2:$I$28),ROW()+ROWS($I$2:$I$28))),ROW()-ROW($J$2:$J$28)+1),COLUMN($I$2:$I$28),4)))</f>
        <v>#REF!</v>
      </c>
      <c r="V6" s="436" t="e">
        <f t="array" aca="1" ref="V6" ca="1">IF(ROW()-ROW($K$2:$K$28)+1&gt;ROWS($J$2:$J$28)-COUNTBLANK($J$2:$J$28),"",INDIRECT(ADDRESS(SMALL((IF($J$2:$J$28&lt;&gt;"",ROW($J$2:$J$28),ROW()+ROWS($J$2:$J$28))),ROW()-ROW($K$2:$K$28)+1),COLUMN($J$2:$J$28),4)))</f>
        <v>#REF!</v>
      </c>
      <c r="W6" s="436" t="e">
        <f t="array" aca="1" ref="W6" ca="1">IF(ROW()-ROW($L$2:$L$28)+1&gt;ROWS($K$2:$K$28)-COUNTBLANK($K$2:$K$28),"",INDIRECT(ADDRESS(SMALL((IF($K$2:$K$28&lt;&gt;"",ROW($K$2:$K$28),ROW()+ROWS($K$2:$K$28))),ROW()-ROW($L$2:$L$28)+1),COLUMN($K$2:$K$28),4)))</f>
        <v>#REF!</v>
      </c>
      <c r="X6" s="436" t="e">
        <f t="array" aca="1" ref="X6" ca="1">IF(ROW()-ROW($M$2:$M$28)+1&gt;ROWS($L$2:$L$28)-COUNTBLANK($L$2:$L$28),"",INDIRECT(ADDRESS(SMALL((IF($L$2:$L$28&lt;&gt;"",ROW($L$2:$L$28),ROW()+ROWS($L$2:$L$28))),ROW()-ROW($M$2:$M$28)+1),COLUMN($L$2:$L$28),4)))</f>
        <v>#REF!</v>
      </c>
      <c r="Y6" s="436" t="e">
        <f t="array" aca="1" ref="Y6" ca="1">IF(ROW()-ROW($N$2:$N$28)+1&gt;ROWS($M$2:$M$28)-COUNTBLANK($M$2:$M$28),"",INDIRECT(ADDRESS(SMALL((IF($M$2:$M$28&lt;&gt;"",ROW($M$2:$M$28),ROW()+ROWS($M$2:$M$28))),ROW()-ROW($N$2:$N$28)+1),COLUMN($M$2:$M$28),4)))</f>
        <v>#REF!</v>
      </c>
    </row>
    <row r="7" spans="1:25" x14ac:dyDescent="0.25">
      <c r="A7" s="436" t="str">
        <f>IF('Indicator sheet'!R26=0,"",'Indicator sheet'!R26)</f>
        <v>Incomplete</v>
      </c>
      <c r="B7" s="436"/>
      <c r="C7" s="490" t="str">
        <f>IF($A7="I.O.","",CONCATENATE('Indicator sheet'!B23,'Indicator sheet'!C26))</f>
        <v>2b</v>
      </c>
      <c r="D7" s="436" t="str">
        <f>IF($A7="I.O.","",CONCATENATE('Indicator sheet'!E23," - Strahlentherapie"))</f>
        <v>Presentation at the weekly pre-therapeutic tumour board - Strahlentherapie</v>
      </c>
      <c r="E7" s="436" t="str">
        <f>IF(AND('Indicator sheet'!L26="",$A7&lt;&gt;"I.O."),"-----",IF($A7="I.O.","",'Indicator sheet'!L26))</f>
        <v>-----</v>
      </c>
      <c r="F7" s="436" t="str">
        <f>IF($A7="I.O.","",'Indicator sheet'!M26)</f>
        <v>≥ 95%</v>
      </c>
      <c r="G7" s="436" t="str">
        <f>IF(AND('Indicator sheet'!O26="",$A7&lt;&gt;"I.O."),"-----",IF($A7="I.O.","",'Indicator sheet'!O26))</f>
        <v>-----</v>
      </c>
      <c r="H7" s="436" t="str">
        <f>IF($A7="I.O.","",IF('Indicator sheet'!Q26="","-----",'Indicator sheet'!Q26))</f>
        <v>-----</v>
      </c>
      <c r="I7" s="436" t="str">
        <f>IF($A7="I.O.","",IF('Indicator sheet'!Q27="","-----",'Indicator sheet'!Q27))</f>
        <v>-----</v>
      </c>
      <c r="J7" s="436" t="str">
        <f>IF($A7="I.O.","",IF('Indicator sheet'!Q28="","-----",'Indicator sheet'!Q28))</f>
        <v>n.d.</v>
      </c>
      <c r="K7" s="436" t="str">
        <f>IF($A7="I.O.","",'Indicator sheet'!R26)</f>
        <v>Incomplete</v>
      </c>
      <c r="L7" s="436" t="str">
        <f>IF(AND('Indicator sheet'!S26="",$A7&lt;&gt;"I.O."),"-----",IF($A7="I.O.","",'Indicator sheet'!S26))</f>
        <v>-----</v>
      </c>
      <c r="M7" s="436" t="str">
        <f>IF(AND('Indicator sheet'!T26="",$A7&lt;&gt;"I.O."),"-----",IF($A7="I.O.","",'Indicator sheet'!T26))</f>
        <v>-----</v>
      </c>
      <c r="O7" s="491" t="e">
        <f t="array" aca="1" ref="O7" ca="1">IF(ROW()-ROW($D$2:$D$28)+1&gt;ROWS($C$2:$C$28)-COUNTBLANK($C$2:$C$28),"",INDIRECT(ADDRESS(SMALL((IF($C$2:$C$28&lt;&gt;"",ROW($C$2:$C$28),ROW()+ROWS($C$2:$C$28))),ROW()-ROW($D$2:$D$28)+1),COLUMN($C$2:$C$28),4)))</f>
        <v>#REF!</v>
      </c>
      <c r="P7" s="436" t="e">
        <f t="array" aca="1" ref="P7" ca="1">IF(ROW()-ROW($E$2:$E$28)+1&gt;ROWS($D$2:$D$28)-COUNTBLANK($D$2:$D$28),"",INDIRECT(ADDRESS(SMALL((IF($D$2:$D$28&gt;"",ROW($D$2:$D$28),ROW()+ROWS($D$2:$D$28))),ROW()-ROW($E$2:$E$28)+1),COLUMN($D$2:$D$28),4)))</f>
        <v>#REF!</v>
      </c>
      <c r="Q7" s="436" t="e">
        <f t="array" aca="1" ref="Q7" ca="1">IF(ROW()-ROW($F$2:$F$28)+1&gt;ROWS($E$2:$E$28)-COUNTBLANK($E$2:$E$28),"",INDIRECT(ADDRESS(SMALL((IF($E$2:$E$28&gt;"",ROW($E$2:$E$28),ROW()+ROWS($E$2:$E$28))),ROW()-ROW($F$2:$F$28)+1),COLUMN($E$2:$E$28),4)))</f>
        <v>#REF!</v>
      </c>
      <c r="R7" s="436" t="e">
        <f t="array" aca="1" ref="R7" ca="1">IF(ROW()-ROW($G$2:$G$28)+1&gt;ROWS($F$2:$F$28)-COUNTBLANK($F$2:$F$28),"",INDIRECT(ADDRESS(SMALL((IF($F$2:$F$28&gt;"",ROW($F$2:$F$28),ROW()+ROWS($F$2:$F$28))),ROW()-ROW($G$2:$G$28)+1),COLUMN($F$2:$F$28),4)))</f>
        <v>#REF!</v>
      </c>
      <c r="S7" s="436" t="e">
        <f t="array" aca="1" ref="S7" ca="1">IF(ROW()-ROW($H$2:$H$28)+1&gt;ROWS($G$2:$G$28)-COUNTBLANK($G$2:$G$28),"",INDIRECT(ADDRESS(SMALL((IF($G$2:$G$28&lt;&gt;"",ROW($G$2:$G$28),ROW()+ROWS($G$2:$G$28))),ROW()-ROW($H$2:$H$28)+1),COLUMN($G$2:$G$28),4)))</f>
        <v>#REF!</v>
      </c>
      <c r="T7" s="436" t="e">
        <f t="array" aca="1" ref="T7" ca="1">IF(ROW()-ROW($I$2:$I$28)+1&gt;ROWS($H$2:$H$28)-COUNTBLANK($H$2:$H$28),"",INDIRECT(ADDRESS(SMALL((IF($H$2:$H$28&lt;&gt;"",ROW($H$2:$H$28),ROW()+ROWS($H$2:$H$28))),ROW()-ROW($I$2:$I$28)+1),COLUMN($H$2:$H$28),4)))</f>
        <v>#REF!</v>
      </c>
      <c r="U7" s="436" t="e">
        <f t="array" aca="1" ref="U7" ca="1">IF(ROW()-ROW($J$2:$J$28)+1&gt;ROWS($I$2:$I$28)-COUNTBLANK($I$2:$I$28),"",INDIRECT(ADDRESS(SMALL((IF($I$2:$I$28&lt;&gt;"",ROW($I$2:$I$28),ROW()+ROWS($I$2:$I$28))),ROW()-ROW($J$2:$J$28)+1),COLUMN($I$2:$I$28),4)))</f>
        <v>#REF!</v>
      </c>
      <c r="V7" s="436" t="e">
        <f t="array" aca="1" ref="V7" ca="1">IF(ROW()-ROW($K$2:$K$28)+1&gt;ROWS($J$2:$J$28)-COUNTBLANK($J$2:$J$28),"",INDIRECT(ADDRESS(SMALL((IF($J$2:$J$28&lt;&gt;"",ROW($J$2:$J$28),ROW()+ROWS($J$2:$J$28))),ROW()-ROW($K$2:$K$28)+1),COLUMN($J$2:$J$28),4)))</f>
        <v>#REF!</v>
      </c>
      <c r="W7" s="436" t="e">
        <f t="array" aca="1" ref="W7" ca="1">IF(ROW()-ROW($L$2:$L$28)+1&gt;ROWS($K$2:$K$28)-COUNTBLANK($K$2:$K$28),"",INDIRECT(ADDRESS(SMALL((IF($K$2:$K$28&lt;&gt;"",ROW($K$2:$K$28),ROW()+ROWS($K$2:$K$28))),ROW()-ROW($L$2:$L$28)+1),COLUMN($K$2:$K$28),4)))</f>
        <v>#REF!</v>
      </c>
      <c r="X7" s="436" t="e">
        <f t="array" aca="1" ref="X7" ca="1">IF(ROW()-ROW($M$2:$M$28)+1&gt;ROWS($L$2:$L$28)-COUNTBLANK($L$2:$L$28),"",INDIRECT(ADDRESS(SMALL((IF($L$2:$L$28&lt;&gt;"",ROW($L$2:$L$28),ROW()+ROWS($L$2:$L$28))),ROW()-ROW($M$2:$M$28)+1),COLUMN($L$2:$L$28),4)))</f>
        <v>#REF!</v>
      </c>
      <c r="Y7" s="436" t="e">
        <f t="array" aca="1" ref="Y7" ca="1">IF(ROW()-ROW($N$2:$N$28)+1&gt;ROWS($M$2:$M$28)-COUNTBLANK($M$2:$M$28),"",INDIRECT(ADDRESS(SMALL((IF($M$2:$M$28&lt;&gt;"",ROW($M$2:$M$28),ROW()+ROWS($M$2:$M$28))),ROW()-ROW($N$2:$N$28)+1),COLUMN($M$2:$M$28),4)))</f>
        <v>#REF!</v>
      </c>
    </row>
    <row r="8" spans="1:25" x14ac:dyDescent="0.25">
      <c r="A8" s="436" t="str">
        <f>IF('Indicator sheet'!R29=0,"",'Indicator sheet'!R29)</f>
        <v>Incomplete</v>
      </c>
      <c r="B8" s="436"/>
      <c r="C8" s="490" t="str">
        <f>IF($A8="I.O.","",CONCATENATE('Indicator sheet'!B29,'Indicator sheet'!C29))</f>
        <v>3a</v>
      </c>
      <c r="D8" s="436" t="str">
        <f>IF($A8="I.O.","",CONCATENATE('Indicator sheet'!E29," - Primärfälle &gt; pT3a u/o R1 u/o pN+"))</f>
        <v>Presentation in the weekly tumour board - Primärfälle &gt; pT3a u/o R1 u/o pN+</v>
      </c>
      <c r="E8" s="436" t="str">
        <f>IF(AND('Indicator sheet'!L29="",$A8&lt;&gt;"I.O."),"-----",IF($A8="I.O.","",'Indicator sheet'!L29))</f>
        <v>-----</v>
      </c>
      <c r="F8" s="436" t="str">
        <f>IF($A8="I.O.","","100%")</f>
        <v>100%</v>
      </c>
      <c r="G8" s="436" t="str">
        <f>IF(AND('Indicator sheet'!O29="",$A8&lt;&gt;"I.O."),"-----",IF($A8="I.O.","",'Indicator sheet'!O29))</f>
        <v>-----</v>
      </c>
      <c r="H8" s="436" t="str">
        <f>IF($A8="I.O.","",IF('Indicator sheet'!Q29="","-----",'Indicator sheet'!Q29))</f>
        <v>-----</v>
      </c>
      <c r="I8" s="436" t="str">
        <f>IF($A8="I.O.","",IF('Indicator sheet'!Q30="","-----",'Indicator sheet'!Q30))</f>
        <v>-----</v>
      </c>
      <c r="J8" s="436" t="str">
        <f>IF($A8="I.O.","",IF('Indicator sheet'!Q31="","-----",'Indicator sheet'!Q31))</f>
        <v>n.d.</v>
      </c>
      <c r="K8" s="436" t="str">
        <f>IF($A8="I.O.","",'Indicator sheet'!R29)</f>
        <v>Incomplete</v>
      </c>
      <c r="L8" s="436" t="str">
        <f>IF(AND('Indicator sheet'!S29="",$A8&lt;&gt;"I.O."),"-----",IF($A8="I.O.","",'Indicator sheet'!S29))</f>
        <v>-----</v>
      </c>
      <c r="M8" s="436" t="str">
        <f>IF(AND('Indicator sheet'!T29="",$A8&lt;&gt;"I.O."),"-----",IF($A8="I.O.","",'Indicator sheet'!T29))</f>
        <v>-----</v>
      </c>
      <c r="O8" s="491" t="e">
        <f t="array" aca="1" ref="O8" ca="1">IF(ROW()-ROW($D$2:$D$28)+1&gt;ROWS($C$2:$C$28)-COUNTBLANK($C$2:$C$28),"",INDIRECT(ADDRESS(SMALL((IF($C$2:$C$28&lt;&gt;"",ROW($C$2:$C$28),ROW()+ROWS($C$2:$C$28))),ROW()-ROW($D$2:$D$28)+1),COLUMN($C$2:$C$28),4)))</f>
        <v>#REF!</v>
      </c>
      <c r="P8" s="436" t="e">
        <f t="array" aca="1" ref="P8" ca="1">IF(ROW()-ROW($E$2:$E$28)+1&gt;ROWS($D$2:$D$28)-COUNTBLANK($D$2:$D$28),"",INDIRECT(ADDRESS(SMALL((IF($D$2:$D$28&gt;"",ROW($D$2:$D$28),ROW()+ROWS($D$2:$D$28))),ROW()-ROW($E$2:$E$28)+1),COLUMN($D$2:$D$28),4)))</f>
        <v>#REF!</v>
      </c>
      <c r="Q8" s="436" t="e">
        <f t="array" aca="1" ref="Q8" ca="1">IF(ROW()-ROW($F$2:$F$28)+1&gt;ROWS($E$2:$E$28)-COUNTBLANK($E$2:$E$28),"",INDIRECT(ADDRESS(SMALL((IF($E$2:$E$28&gt;"",ROW($E$2:$E$28),ROW()+ROWS($E$2:$E$28))),ROW()-ROW($F$2:$F$28)+1),COLUMN($E$2:$E$28),4)))</f>
        <v>#REF!</v>
      </c>
      <c r="R8" s="436" t="e">
        <f t="array" aca="1" ref="R8" ca="1">IF(ROW()-ROW($G$2:$G$28)+1&gt;ROWS($F$2:$F$28)-COUNTBLANK($F$2:$F$28),"",INDIRECT(ADDRESS(SMALL((IF($F$2:$F$28&gt;"",ROW($F$2:$F$28),ROW()+ROWS($F$2:$F$28))),ROW()-ROW($G$2:$G$28)+1),COLUMN($F$2:$F$28),4)))</f>
        <v>#REF!</v>
      </c>
      <c r="S8" s="436" t="e">
        <f t="array" aca="1" ref="S8" ca="1">IF(ROW()-ROW($H$2:$H$28)+1&gt;ROWS($G$2:$G$28)-COUNTBLANK($G$2:$G$28),"",INDIRECT(ADDRESS(SMALL((IF($G$2:$G$28&lt;&gt;"",ROW($G$2:$G$28),ROW()+ROWS($G$2:$G$28))),ROW()-ROW($H$2:$H$28)+1),COLUMN($G$2:$G$28),4)))</f>
        <v>#REF!</v>
      </c>
      <c r="T8" s="436" t="e">
        <f t="array" aca="1" ref="T8" ca="1">IF(ROW()-ROW($I$2:$I$28)+1&gt;ROWS($H$2:$H$28)-COUNTBLANK($H$2:$H$28),"",INDIRECT(ADDRESS(SMALL((IF($H$2:$H$28&lt;&gt;"",ROW($H$2:$H$28),ROW()+ROWS($H$2:$H$28))),ROW()-ROW($I$2:$I$28)+1),COLUMN($H$2:$H$28),4)))</f>
        <v>#REF!</v>
      </c>
      <c r="U8" s="436" t="e">
        <f t="array" aca="1" ref="U8" ca="1">IF(ROW()-ROW($J$2:$J$28)+1&gt;ROWS($I$2:$I$28)-COUNTBLANK($I$2:$I$28),"",INDIRECT(ADDRESS(SMALL((IF($I$2:$I$28&lt;&gt;"",ROW($I$2:$I$28),ROW()+ROWS($I$2:$I$28))),ROW()-ROW($J$2:$J$28)+1),COLUMN($I$2:$I$28),4)))</f>
        <v>#REF!</v>
      </c>
      <c r="V8" s="436" t="e">
        <f t="array" aca="1" ref="V8" ca="1">IF(ROW()-ROW($K$2:$K$28)+1&gt;ROWS($J$2:$J$28)-COUNTBLANK($J$2:$J$28),"",INDIRECT(ADDRESS(SMALL((IF($J$2:$J$28&lt;&gt;"",ROW($J$2:$J$28),ROW()+ROWS($J$2:$J$28))),ROW()-ROW($K$2:$K$28)+1),COLUMN($J$2:$J$28),4)))</f>
        <v>#REF!</v>
      </c>
      <c r="W8" s="436" t="e">
        <f t="array" aca="1" ref="W8" ca="1">IF(ROW()-ROW($L$2:$L$28)+1&gt;ROWS($K$2:$K$28)-COUNTBLANK($K$2:$K$28),"",INDIRECT(ADDRESS(SMALL((IF($K$2:$K$28&lt;&gt;"",ROW($K$2:$K$28),ROW()+ROWS($K$2:$K$28))),ROW()-ROW($L$2:$L$28)+1),COLUMN($K$2:$K$28),4)))</f>
        <v>#REF!</v>
      </c>
      <c r="X8" s="436" t="e">
        <f t="array" aca="1" ref="X8" ca="1">IF(ROW()-ROW($M$2:$M$28)+1&gt;ROWS($L$2:$L$28)-COUNTBLANK($L$2:$L$28),"",INDIRECT(ADDRESS(SMALL((IF($L$2:$L$28&lt;&gt;"",ROW($L$2:$L$28),ROW()+ROWS($L$2:$L$28))),ROW()-ROW($M$2:$M$28)+1),COLUMN($L$2:$L$28),4)))</f>
        <v>#REF!</v>
      </c>
      <c r="Y8" s="436" t="e">
        <f t="array" aca="1" ref="Y8" ca="1">IF(ROW()-ROW($N$2:$N$28)+1&gt;ROWS($M$2:$M$28)-COUNTBLANK($M$2:$M$28),"",INDIRECT(ADDRESS(SMALL((IF($M$2:$M$28&lt;&gt;"",ROW($M$2:$M$28),ROW()+ROWS($M$2:$M$28))),ROW()-ROW($N$2:$N$28)+1),COLUMN($M$2:$M$28),4)))</f>
        <v>#REF!</v>
      </c>
    </row>
    <row r="9" spans="1:25" x14ac:dyDescent="0.25">
      <c r="A9" s="436" t="str">
        <f>IF('Indicator sheet'!R32=0,"",'Indicator sheet'!R32)</f>
        <v>Incomplete</v>
      </c>
      <c r="B9" s="436"/>
      <c r="C9" s="490" t="str">
        <f>IF($A9="I.O.","",CONCATENATE('Indicator sheet'!B29,'Indicator sheet'!C32))</f>
        <v>3b</v>
      </c>
      <c r="D9" s="436" t="str">
        <f>IF($A9="I.O.","",CONCATENATE('Indicator sheet'!E29," - Primärfälle mit primär M1"))</f>
        <v>Presentation in the weekly tumour board - Primärfälle mit primär M1</v>
      </c>
      <c r="E9" s="436" t="str">
        <f>IF(AND('Indicator sheet'!L32="",$A9&lt;&gt;"I.O."),"-----",IF($A9="I.O.","",'Indicator sheet'!L32))</f>
        <v>-----</v>
      </c>
      <c r="F9" s="436" t="str">
        <f>IF($A9="I.O.","","100%")</f>
        <v>100%</v>
      </c>
      <c r="G9" s="436" t="str">
        <f>IF(AND('Indicator sheet'!O32="",$A9&lt;&gt;"I.O."),"-----",IF($A9="I.O.","",'Indicator sheet'!O32))</f>
        <v>-----</v>
      </c>
      <c r="H9" s="436" t="str">
        <f>IF($A9="I.O.","",IF('Indicator sheet'!Q32="","-----",'Indicator sheet'!Q32))</f>
        <v>-----</v>
      </c>
      <c r="I9" s="436" t="str">
        <f>IF($A9="I.O.","",IF('Indicator sheet'!Q33="","-----",'Indicator sheet'!Q33))</f>
        <v>-----</v>
      </c>
      <c r="J9" s="436" t="str">
        <f>IF($A9="I.O.","",IF('Indicator sheet'!Q34="","-----",'Indicator sheet'!Q34))</f>
        <v>n.d.</v>
      </c>
      <c r="K9" s="436" t="str">
        <f>IF($A9="I.O.","",'Indicator sheet'!R32)</f>
        <v>Incomplete</v>
      </c>
      <c r="L9" s="436" t="str">
        <f>IF(AND('Indicator sheet'!S32="",$A9&lt;&gt;"I.O."),"-----",IF($A9="I.O.","",'Indicator sheet'!S32))</f>
        <v>-----</v>
      </c>
      <c r="M9" s="436" t="str">
        <f>IF(AND('Indicator sheet'!T32="",$A9&lt;&gt;"I.O."),"-----",IF($A9="I.O.","",'Indicator sheet'!T32))</f>
        <v>-----</v>
      </c>
      <c r="O9" s="491" t="e">
        <f t="array" aca="1" ref="O9" ca="1">IF(ROW()-ROW($D$2:$D$28)+1&gt;ROWS($C$2:$C$28)-COUNTBLANK($C$2:$C$28),"",INDIRECT(ADDRESS(SMALL((IF($C$2:$C$28&lt;&gt;"",ROW($C$2:$C$28),ROW()+ROWS($C$2:$C$28))),ROW()-ROW($D$2:$D$28)+1),COLUMN($C$2:$C$28),4)))</f>
        <v>#REF!</v>
      </c>
      <c r="P9" s="436" t="e">
        <f t="array" aca="1" ref="P9" ca="1">IF(ROW()-ROW($E$2:$E$28)+1&gt;ROWS($D$2:$D$28)-COUNTBLANK($D$2:$D$28),"",INDIRECT(ADDRESS(SMALL((IF($D$2:$D$28&gt;"",ROW($D$2:$D$28),ROW()+ROWS($D$2:$D$28))),ROW()-ROW($E$2:$E$28)+1),COLUMN($D$2:$D$28),4)))</f>
        <v>#REF!</v>
      </c>
      <c r="Q9" s="436" t="e">
        <f t="array" aca="1" ref="Q9" ca="1">IF(ROW()-ROW($F$2:$F$28)+1&gt;ROWS($E$2:$E$28)-COUNTBLANK($E$2:$E$28),"",INDIRECT(ADDRESS(SMALL((IF($E$2:$E$28&gt;"",ROW($E$2:$E$28),ROW()+ROWS($E$2:$E$28))),ROW()-ROW($F$2:$F$28)+1),COLUMN($E$2:$E$28),4)))</f>
        <v>#REF!</v>
      </c>
      <c r="R9" s="436" t="e">
        <f t="array" aca="1" ref="R9" ca="1">IF(ROW()-ROW($G$2:$G$28)+1&gt;ROWS($F$2:$F$28)-COUNTBLANK($F$2:$F$28),"",INDIRECT(ADDRESS(SMALL((IF($F$2:$F$28&gt;"",ROW($F$2:$F$28),ROW()+ROWS($F$2:$F$28))),ROW()-ROW($G$2:$G$28)+1),COLUMN($F$2:$F$28),4)))</f>
        <v>#REF!</v>
      </c>
      <c r="S9" s="436" t="e">
        <f t="array" aca="1" ref="S9" ca="1">IF(ROW()-ROW($H$2:$H$28)+1&gt;ROWS($G$2:$G$28)-COUNTBLANK($G$2:$G$28),"",INDIRECT(ADDRESS(SMALL((IF($G$2:$G$28&lt;&gt;"",ROW($G$2:$G$28),ROW()+ROWS($G$2:$G$28))),ROW()-ROW($H$2:$H$28)+1),COLUMN($G$2:$G$28),4)))</f>
        <v>#REF!</v>
      </c>
      <c r="T9" s="436" t="e">
        <f t="array" aca="1" ref="T9" ca="1">IF(ROW()-ROW($I$2:$I$28)+1&gt;ROWS($H$2:$H$28)-COUNTBLANK($H$2:$H$28),"",INDIRECT(ADDRESS(SMALL((IF($H$2:$H$28&lt;&gt;"",ROW($H$2:$H$28),ROW()+ROWS($H$2:$H$28))),ROW()-ROW($I$2:$I$28)+1),COLUMN($H$2:$H$28),4)))</f>
        <v>#REF!</v>
      </c>
      <c r="U9" s="436" t="e">
        <f t="array" aca="1" ref="U9" ca="1">IF(ROW()-ROW($J$2:$J$28)+1&gt;ROWS($I$2:$I$28)-COUNTBLANK($I$2:$I$28),"",INDIRECT(ADDRESS(SMALL((IF($I$2:$I$28&lt;&gt;"",ROW($I$2:$I$28),ROW()+ROWS($I$2:$I$28))),ROW()-ROW($J$2:$J$28)+1),COLUMN($I$2:$I$28),4)))</f>
        <v>#REF!</v>
      </c>
      <c r="V9" s="436" t="e">
        <f t="array" aca="1" ref="V9" ca="1">IF(ROW()-ROW($K$2:$K$28)+1&gt;ROWS($J$2:$J$28)-COUNTBLANK($J$2:$J$28),"",INDIRECT(ADDRESS(SMALL((IF($J$2:$J$28&lt;&gt;"",ROW($J$2:$J$28),ROW()+ROWS($J$2:$J$28))),ROW()-ROW($K$2:$K$28)+1),COLUMN($J$2:$J$28),4)))</f>
        <v>#REF!</v>
      </c>
      <c r="W9" s="436" t="e">
        <f t="array" aca="1" ref="W9" ca="1">IF(ROW()-ROW($L$2:$L$28)+1&gt;ROWS($K$2:$K$28)-COUNTBLANK($K$2:$K$28),"",INDIRECT(ADDRESS(SMALL((IF($K$2:$K$28&lt;&gt;"",ROW($K$2:$K$28),ROW()+ROWS($K$2:$K$28))),ROW()-ROW($L$2:$L$28)+1),COLUMN($K$2:$K$28),4)))</f>
        <v>#REF!</v>
      </c>
      <c r="X9" s="436" t="e">
        <f t="array" aca="1" ref="X9" ca="1">IF(ROW()-ROW($M$2:$M$28)+1&gt;ROWS($L$2:$L$28)-COUNTBLANK($L$2:$L$28),"",INDIRECT(ADDRESS(SMALL((IF($L$2:$L$28&lt;&gt;"",ROW($L$2:$L$28),ROW()+ROWS($L$2:$L$28))),ROW()-ROW($M$2:$M$28)+1),COLUMN($L$2:$L$28),4)))</f>
        <v>#REF!</v>
      </c>
      <c r="Y9" s="436" t="e">
        <f t="array" aca="1" ref="Y9" ca="1">IF(ROW()-ROW($N$2:$N$28)+1&gt;ROWS($M$2:$M$28)-COUNTBLANK($M$2:$M$28),"",INDIRECT(ADDRESS(SMALL((IF($M$2:$M$28&lt;&gt;"",ROW($M$2:$M$28),ROW()+ROWS($M$2:$M$28))),ROW()-ROW($N$2:$N$28)+1),COLUMN($M$2:$M$28),4)))</f>
        <v>#REF!</v>
      </c>
    </row>
    <row r="10" spans="1:25" x14ac:dyDescent="0.25">
      <c r="A10" s="436" t="str">
        <f>IF('Indicator sheet'!R35=0,"",'Indicator sheet'!R35)</f>
        <v>Incomplete</v>
      </c>
      <c r="B10" s="436"/>
      <c r="C10" s="490" t="str">
        <f>IF($A10="I.O.","",CONCATENATE('Indicator sheet'!B29,'Indicator sheet'!C35))</f>
        <v>3c</v>
      </c>
      <c r="D10" s="436" t="str">
        <f>IF($A10="I.O.","",CONCATENATE('Indicator sheet'!E29," - Patienten mit Neudiagnose Rezidiv und/oder Fernmetastasierung"))</f>
        <v>Presentation in the weekly tumour board - Patienten mit Neudiagnose Rezidiv und/oder Fernmetastasierung</v>
      </c>
      <c r="E10" s="436" t="str">
        <f>IF(AND('Indicator sheet'!L35="",$A10&lt;&gt;"I.O."),"-----",IF($A10="I.O.","",'Indicator sheet'!L35))</f>
        <v>-----</v>
      </c>
      <c r="F10" s="436" t="str">
        <f>IF($A10="I.O.","","100%")</f>
        <v>100%</v>
      </c>
      <c r="G10" s="436" t="str">
        <f>IF(AND('Indicator sheet'!O35="",$A10&lt;&gt;"I.O."),"-----",IF($A10="I.O.","",'Indicator sheet'!O35))</f>
        <v>-----</v>
      </c>
      <c r="H10" s="436" t="str">
        <f>IF($A10="I.O.","",IF('Indicator sheet'!Q35="","-----",'Indicator sheet'!Q35))</f>
        <v>-----</v>
      </c>
      <c r="I10" s="436">
        <f>IF($A10="I.O.","",IF('Indicator sheet'!Q36="","-----",'Indicator sheet'!Q36))</f>
        <v>0</v>
      </c>
      <c r="J10" s="436" t="str">
        <f>IF($A10="I.O.","",IF('Indicator sheet'!Q37="","-----",'Indicator sheet'!Q37))</f>
        <v>n.d.</v>
      </c>
      <c r="K10" s="436" t="str">
        <f>IF($A10="I.O.","",'Indicator sheet'!R35)</f>
        <v>Incomplete</v>
      </c>
      <c r="L10" s="436" t="str">
        <f>IF(AND('Indicator sheet'!S35="",$A10&lt;&gt;"I.O."),"-----",IF($A10="I.O.","",'Indicator sheet'!S35))</f>
        <v>-----</v>
      </c>
      <c r="M10" s="436" t="str">
        <f>IF(AND('Indicator sheet'!T35="",$A10&lt;&gt;"I.O."),"-----",IF($A10="I.O.","",'Indicator sheet'!T35))</f>
        <v>-----</v>
      </c>
      <c r="O10" s="491" t="e">
        <f t="array" aca="1" ref="O10" ca="1">IF(ROW()-ROW($D$2:$D$28)+1&gt;ROWS($C$2:$C$28)-COUNTBLANK($C$2:$C$28),"",INDIRECT(ADDRESS(SMALL((IF($C$2:$C$28&lt;&gt;"",ROW($C$2:$C$28),ROW()+ROWS($C$2:$C$28))),ROW()-ROW($D$2:$D$28)+1),COLUMN($C$2:$C$28),4)))</f>
        <v>#REF!</v>
      </c>
      <c r="P10" s="436" t="e">
        <f t="array" aca="1" ref="P10" ca="1">IF(ROW()-ROW($E$2:$E$28)+1&gt;ROWS($D$2:$D$28)-COUNTBLANK($D$2:$D$28),"",INDIRECT(ADDRESS(SMALL((IF($D$2:$D$28&gt;"",ROW($D$2:$D$28),ROW()+ROWS($D$2:$D$28))),ROW()-ROW($E$2:$E$28)+1),COLUMN($D$2:$D$28),4)))</f>
        <v>#REF!</v>
      </c>
      <c r="Q10" s="436" t="e">
        <f t="array" aca="1" ref="Q10" ca="1">IF(ROW()-ROW($F$2:$F$28)+1&gt;ROWS($E$2:$E$28)-COUNTBLANK($E$2:$E$28),"",INDIRECT(ADDRESS(SMALL((IF($E$2:$E$28&gt;"",ROW($E$2:$E$28),ROW()+ROWS($E$2:$E$28))),ROW()-ROW($F$2:$F$28)+1),COLUMN($E$2:$E$28),4)))</f>
        <v>#REF!</v>
      </c>
      <c r="R10" s="436" t="e">
        <f t="array" aca="1" ref="R10" ca="1">IF(ROW()-ROW($G$2:$G$28)+1&gt;ROWS($F$2:$F$28)-COUNTBLANK($F$2:$F$28),"",INDIRECT(ADDRESS(SMALL((IF($F$2:$F$28&gt;"",ROW($F$2:$F$28),ROW()+ROWS($F$2:$F$28))),ROW()-ROW($G$2:$G$28)+1),COLUMN($F$2:$F$28),4)))</f>
        <v>#REF!</v>
      </c>
      <c r="S10" s="436" t="e">
        <f t="array" aca="1" ref="S10" ca="1">IF(ROW()-ROW($H$2:$H$28)+1&gt;ROWS($G$2:$G$28)-COUNTBLANK($G$2:$G$28),"",INDIRECT(ADDRESS(SMALL((IF($G$2:$G$28&lt;&gt;"",ROW($G$2:$G$28),ROW()+ROWS($G$2:$G$28))),ROW()-ROW($H$2:$H$28)+1),COLUMN($G$2:$G$28),4)))</f>
        <v>#REF!</v>
      </c>
      <c r="T10" s="436" t="e">
        <f t="array" aca="1" ref="T10" ca="1">IF(ROW()-ROW($I$2:$I$28)+1&gt;ROWS($H$2:$H$28)-COUNTBLANK($H$2:$H$28),"",INDIRECT(ADDRESS(SMALL((IF($H$2:$H$28&lt;&gt;"",ROW($H$2:$H$28),ROW()+ROWS($H$2:$H$28))),ROW()-ROW($I$2:$I$28)+1),COLUMN($H$2:$H$28),4)))</f>
        <v>#REF!</v>
      </c>
      <c r="U10" s="436" t="e">
        <f t="array" aca="1" ref="U10" ca="1">IF(ROW()-ROW($J$2:$J$28)+1&gt;ROWS($I$2:$I$28)-COUNTBLANK($I$2:$I$28),"",INDIRECT(ADDRESS(SMALL((IF($I$2:$I$28&lt;&gt;"",ROW($I$2:$I$28),ROW()+ROWS($I$2:$I$28))),ROW()-ROW($J$2:$J$28)+1),COLUMN($I$2:$I$28),4)))</f>
        <v>#REF!</v>
      </c>
      <c r="V10" s="436" t="e">
        <f t="array" aca="1" ref="V10" ca="1">IF(ROW()-ROW($K$2:$K$28)+1&gt;ROWS($J$2:$J$28)-COUNTBLANK($J$2:$J$28),"",INDIRECT(ADDRESS(SMALL((IF($J$2:$J$28&lt;&gt;"",ROW($J$2:$J$28),ROW()+ROWS($J$2:$J$28))),ROW()-ROW($K$2:$K$28)+1),COLUMN($J$2:$J$28),4)))</f>
        <v>#REF!</v>
      </c>
      <c r="W10" s="436" t="e">
        <f t="array" aca="1" ref="W10" ca="1">IF(ROW()-ROW($L$2:$L$28)+1&gt;ROWS($K$2:$K$28)-COUNTBLANK($K$2:$K$28),"",INDIRECT(ADDRESS(SMALL((IF($K$2:$K$28&lt;&gt;"",ROW($K$2:$K$28),ROW()+ROWS($K$2:$K$28))),ROW()-ROW($L$2:$L$28)+1),COLUMN($K$2:$K$28),4)))</f>
        <v>#REF!</v>
      </c>
      <c r="X10" s="436" t="e">
        <f t="array" aca="1" ref="X10" ca="1">IF(ROW()-ROW($M$2:$M$28)+1&gt;ROWS($L$2:$L$28)-COUNTBLANK($L$2:$L$28),"",INDIRECT(ADDRESS(SMALL((IF($L$2:$L$28&lt;&gt;"",ROW($L$2:$L$28),ROW()+ROWS($L$2:$L$28))),ROW()-ROW($M$2:$M$28)+1),COLUMN($L$2:$L$28),4)))</f>
        <v>#REF!</v>
      </c>
      <c r="Y10" s="436" t="e">
        <f t="array" aca="1" ref="Y10" ca="1">IF(ROW()-ROW($N$2:$N$28)+1&gt;ROWS($M$2:$M$28)-COUNTBLANK($M$2:$M$28),"",INDIRECT(ADDRESS(SMALL((IF($M$2:$M$28&lt;&gt;"",ROW($M$2:$M$28),ROW()+ROWS($M$2:$M$28))),ROW()-ROW($N$2:$N$28)+1),COLUMN($M$2:$M$28),4)))</f>
        <v>#REF!</v>
      </c>
    </row>
    <row r="11" spans="1:25" x14ac:dyDescent="0.25">
      <c r="A11" s="436" t="str">
        <f>IF('Indicator sheet'!R38=0,"",'Indicator sheet'!R38)</f>
        <v>Incomplete</v>
      </c>
      <c r="B11" s="436"/>
      <c r="C11" s="490">
        <f>IF($A11="I.O.","",'Indicator sheet'!B38)</f>
        <v>4</v>
      </c>
      <c r="D11" s="436" t="str">
        <f>IF($A11="I.O.","",'Indicator sheet'!E38)</f>
        <v>Active Monitoring
for locally confined, low-risk prostate cancer</v>
      </c>
      <c r="E11" s="436" t="str">
        <f>IF(AND('Indicator sheet'!L38="",$A11&lt;&gt;"I.O."),"-----",IF($A11="I.O.","",'Indicator sheet'!L38))</f>
        <v>-----</v>
      </c>
      <c r="F11" s="436" t="str">
        <f>IF($A11="I.O.","",'Indicator sheet'!M38)</f>
        <v>≥ 30%</v>
      </c>
      <c r="G11" s="436" t="str">
        <f>IF(AND('Indicator sheet'!O38="",$A11&lt;&gt;"I.O."),"-----",IF($A11="I.O.","",'Indicator sheet'!O38))</f>
        <v>-----</v>
      </c>
      <c r="H11" s="436">
        <f>IF($A11="I.O.","",IF('Indicator sheet'!Q38="","-----",'Indicator sheet'!Q38))</f>
        <v>0</v>
      </c>
      <c r="I11" s="436" t="str">
        <f t="shared" ref="I11:J12" si="1">IF($A11="I.O.","","-----")</f>
        <v>-----</v>
      </c>
      <c r="J11" s="436" t="str">
        <f t="shared" si="1"/>
        <v>-----</v>
      </c>
      <c r="K11" s="436" t="str">
        <f>IF($A11="I.O.","",'Indicator sheet'!R38)</f>
        <v>Incomplete</v>
      </c>
      <c r="L11" s="436" t="str">
        <f>IF(AND('Indicator sheet'!S38="",$A11&lt;&gt;"I.O."),"-----",IF($A11="I.O.","",'Indicator sheet'!S38))</f>
        <v>-----</v>
      </c>
      <c r="M11" s="436" t="str">
        <f>IF(AND('Indicator sheet'!T38="",$A11&lt;&gt;"I.O."),"-----",IF($A11="I.O.","",'Indicator sheet'!T38))</f>
        <v>-----</v>
      </c>
      <c r="O11" s="491" t="e">
        <f t="array" aca="1" ref="O11" ca="1">IF(ROW()-ROW($D$2:$D$28)+1&gt;ROWS($C$2:$C$28)-COUNTBLANK($C$2:$C$28),"",INDIRECT(ADDRESS(SMALL((IF($C$2:$C$28&lt;&gt;"",ROW($C$2:$C$28),ROW()+ROWS($C$2:$C$28))),ROW()-ROW($D$2:$D$28)+1),COLUMN($C$2:$C$28),4)))</f>
        <v>#REF!</v>
      </c>
      <c r="P11" s="436" t="e">
        <f t="array" aca="1" ref="P11" ca="1">IF(ROW()-ROW($E$2:$E$28)+1&gt;ROWS($D$2:$D$28)-COUNTBLANK($D$2:$D$28),"",INDIRECT(ADDRESS(SMALL((IF($D$2:$D$28&gt;"",ROW($D$2:$D$28),ROW()+ROWS($D$2:$D$28))),ROW()-ROW($E$2:$E$28)+1),COLUMN($D$2:$D$28),4)))</f>
        <v>#REF!</v>
      </c>
      <c r="Q11" s="436" t="e">
        <f t="array" aca="1" ref="Q11" ca="1">IF(ROW()-ROW($F$2:$F$28)+1&gt;ROWS($E$2:$E$28)-COUNTBLANK($E$2:$E$28),"",INDIRECT(ADDRESS(SMALL((IF($E$2:$E$28&gt;"",ROW($E$2:$E$28),ROW()+ROWS($E$2:$E$28))),ROW()-ROW($F$2:$F$28)+1),COLUMN($E$2:$E$28),4)))</f>
        <v>#REF!</v>
      </c>
      <c r="R11" s="436" t="e">
        <f t="array" aca="1" ref="R11" ca="1">IF(ROW()-ROW($G$2:$G$28)+1&gt;ROWS($F$2:$F$28)-COUNTBLANK($F$2:$F$28),"",INDIRECT(ADDRESS(SMALL((IF($F$2:$F$28&gt;"",ROW($F$2:$F$28),ROW()+ROWS($F$2:$F$28))),ROW()-ROW($G$2:$G$28)+1),COLUMN($F$2:$F$28),4)))</f>
        <v>#REF!</v>
      </c>
      <c r="S11" s="436" t="e">
        <f t="array" aca="1" ref="S11" ca="1">IF(ROW()-ROW($H$2:$H$28)+1&gt;ROWS($G$2:$G$28)-COUNTBLANK($G$2:$G$28),"",INDIRECT(ADDRESS(SMALL((IF($G$2:$G$28&lt;&gt;"",ROW($G$2:$G$28),ROW()+ROWS($G$2:$G$28))),ROW()-ROW($H$2:$H$28)+1),COLUMN($G$2:$G$28),4)))</f>
        <v>#REF!</v>
      </c>
      <c r="T11" s="436" t="e">
        <f t="array" aca="1" ref="T11" ca="1">IF(ROW()-ROW($I$2:$I$28)+1&gt;ROWS($H$2:$H$28)-COUNTBLANK($H$2:$H$28),"",INDIRECT(ADDRESS(SMALL((IF($H$2:$H$28&lt;&gt;"",ROW($H$2:$H$28),ROW()+ROWS($H$2:$H$28))),ROW()-ROW($I$2:$I$28)+1),COLUMN($H$2:$H$28),4)))</f>
        <v>#REF!</v>
      </c>
      <c r="U11" s="436" t="e">
        <f t="array" aca="1" ref="U11" ca="1">IF(ROW()-ROW($J$2:$J$28)+1&gt;ROWS($I$2:$I$28)-COUNTBLANK($I$2:$I$28),"",INDIRECT(ADDRESS(SMALL((IF($I$2:$I$28&lt;&gt;"",ROW($I$2:$I$28),ROW()+ROWS($I$2:$I$28))),ROW()-ROW($J$2:$J$28)+1),COLUMN($I$2:$I$28),4)))</f>
        <v>#REF!</v>
      </c>
      <c r="V11" s="436" t="e">
        <f t="array" aca="1" ref="V11" ca="1">IF(ROW()-ROW($K$2:$K$28)+1&gt;ROWS($J$2:$J$28)-COUNTBLANK($J$2:$J$28),"",INDIRECT(ADDRESS(SMALL((IF($J$2:$J$28&lt;&gt;"",ROW($J$2:$J$28),ROW()+ROWS($J$2:$J$28))),ROW()-ROW($K$2:$K$28)+1),COLUMN($J$2:$J$28),4)))</f>
        <v>#REF!</v>
      </c>
      <c r="W11" s="436" t="e">
        <f t="array" aca="1" ref="W11" ca="1">IF(ROW()-ROW($L$2:$L$28)+1&gt;ROWS($K$2:$K$28)-COUNTBLANK($K$2:$K$28),"",INDIRECT(ADDRESS(SMALL((IF($K$2:$K$28&lt;&gt;"",ROW($K$2:$K$28),ROW()+ROWS($K$2:$K$28))),ROW()-ROW($L$2:$L$28)+1),COLUMN($K$2:$K$28),4)))</f>
        <v>#REF!</v>
      </c>
      <c r="X11" s="436" t="e">
        <f t="array" aca="1" ref="X11" ca="1">IF(ROW()-ROW($M$2:$M$28)+1&gt;ROWS($L$2:$L$28)-COUNTBLANK($L$2:$L$28),"",INDIRECT(ADDRESS(SMALL((IF($L$2:$L$28&lt;&gt;"",ROW($L$2:$L$28),ROW()+ROWS($L$2:$L$28))),ROW()-ROW($M$2:$M$28)+1),COLUMN($L$2:$L$28),4)))</f>
        <v>#REF!</v>
      </c>
      <c r="Y11" s="436" t="e">
        <f t="array" aca="1" ref="Y11" ca="1">IF(ROW()-ROW($N$2:$N$28)+1&gt;ROWS($M$2:$M$28)-COUNTBLANK($M$2:$M$28),"",INDIRECT(ADDRESS(SMALL((IF($M$2:$M$28&lt;&gt;"",ROW($M$2:$M$28),ROW()+ROWS($M$2:$M$28))),ROW()-ROW($N$2:$N$28)+1),COLUMN($M$2:$M$28),4)))</f>
        <v>#REF!</v>
      </c>
    </row>
    <row r="12" spans="1:25" x14ac:dyDescent="0.25">
      <c r="A12" s="436" t="str">
        <f>IF('Indicator sheet'!R41=0,"",'Indicator sheet'!R41)</f>
        <v>Incomplete</v>
      </c>
      <c r="B12" s="436"/>
      <c r="C12" s="490">
        <f>IF($A12="I.O.","",'Indicator sheet'!B41)</f>
        <v>5</v>
      </c>
      <c r="D12" s="436" t="str">
        <f>IF($A12="I.O.","",'Indicator sheet'!E41)</f>
        <v>Percutaneous radiotherapy with hormone ablation therapy for locally confined PCa with high risk</v>
      </c>
      <c r="E12" s="436" t="str">
        <f>IF(AND('Indicator sheet'!L41="",$A12&lt;&gt;"I.O."),"-----",IF($A12="I.O.","",'Indicator sheet'!L41))</f>
        <v>-----</v>
      </c>
      <c r="F12" s="436" t="str">
        <f>IF($A12="I.O.","",'Indicator sheet'!M41)</f>
        <v>≥ 70%</v>
      </c>
      <c r="G12" s="436" t="str">
        <f>IF(AND('Indicator sheet'!O41="",$A12&lt;&gt;"I.O."),"-----",IF($A12="I.O.","",'Indicator sheet'!O41))</f>
        <v>-----</v>
      </c>
      <c r="H12" s="436" t="str">
        <f>IF($A12="I.O.","",IF('Indicator sheet'!Q41="","-----",'Indicator sheet'!Q41))</f>
        <v>-----</v>
      </c>
      <c r="I12" s="436" t="str">
        <f t="shared" si="1"/>
        <v>-----</v>
      </c>
      <c r="J12" s="436" t="str">
        <f t="shared" si="1"/>
        <v>-----</v>
      </c>
      <c r="K12" s="436" t="str">
        <f>IF($A12="I.O.","",'Indicator sheet'!R41)</f>
        <v>Incomplete</v>
      </c>
      <c r="L12" s="436" t="str">
        <f>IF(AND('Indicator sheet'!S41="",$A12&lt;&gt;"I.O."),"-----",IF($A12="I.O.","",'Indicator sheet'!S41))</f>
        <v>-----</v>
      </c>
      <c r="M12" s="436" t="str">
        <f>IF(AND('Indicator sheet'!T41="",$A12&lt;&gt;"I.O."),"-----",IF($A12="I.O.","",'Indicator sheet'!T41))</f>
        <v>-----</v>
      </c>
      <c r="O12" s="491" t="e">
        <f t="array" aca="1" ref="O12" ca="1">IF(ROW()-ROW($D$2:$D$28)+1&gt;ROWS($C$2:$C$28)-COUNTBLANK($C$2:$C$28),"",INDIRECT(ADDRESS(SMALL((IF($C$2:$C$28&lt;&gt;"",ROW($C$2:$C$28),ROW()+ROWS($C$2:$C$28))),ROW()-ROW($D$2:$D$28)+1),COLUMN($C$2:$C$28),4)))</f>
        <v>#REF!</v>
      </c>
      <c r="P12" s="436" t="e">
        <f t="array" aca="1" ref="P12" ca="1">IF(ROW()-ROW($E$2:$E$28)+1&gt;ROWS($D$2:$D$28)-COUNTBLANK($D$2:$D$28),"",INDIRECT(ADDRESS(SMALL((IF($D$2:$D$28&gt;"",ROW($D$2:$D$28),ROW()+ROWS($D$2:$D$28))),ROW()-ROW($E$2:$E$28)+1),COLUMN($D$2:$D$28),4)))</f>
        <v>#REF!</v>
      </c>
      <c r="Q12" s="436" t="e">
        <f t="array" aca="1" ref="Q12" ca="1">IF(ROW()-ROW($F$2:$F$28)+1&gt;ROWS($E$2:$E$28)-COUNTBLANK($E$2:$E$28),"",INDIRECT(ADDRESS(SMALL((IF($E$2:$E$28&gt;"",ROW($E$2:$E$28),ROW()+ROWS($E$2:$E$28))),ROW()-ROW($F$2:$F$28)+1),COLUMN($E$2:$E$28),4)))</f>
        <v>#REF!</v>
      </c>
      <c r="R12" s="436" t="e">
        <f t="array" aca="1" ref="R12" ca="1">IF(ROW()-ROW($G$2:$G$28)+1&gt;ROWS($F$2:$F$28)-COUNTBLANK($F$2:$F$28),"",INDIRECT(ADDRESS(SMALL((IF($F$2:$F$28&gt;"",ROW($F$2:$F$28),ROW()+ROWS($F$2:$F$28))),ROW()-ROW($G$2:$G$28)+1),COLUMN($F$2:$F$28),4)))</f>
        <v>#REF!</v>
      </c>
      <c r="S12" s="436" t="e">
        <f t="array" aca="1" ref="S12" ca="1">IF(ROW()-ROW($H$2:$H$28)+1&gt;ROWS($G$2:$G$28)-COUNTBLANK($G$2:$G$28),"",INDIRECT(ADDRESS(SMALL((IF($G$2:$G$28&lt;&gt;"",ROW($G$2:$G$28),ROW()+ROWS($G$2:$G$28))),ROW()-ROW($H$2:$H$28)+1),COLUMN($G$2:$G$28),4)))</f>
        <v>#REF!</v>
      </c>
      <c r="T12" s="436" t="e">
        <f t="array" aca="1" ref="T12" ca="1">IF(ROW()-ROW($I$2:$I$28)+1&gt;ROWS($H$2:$H$28)-COUNTBLANK($H$2:$H$28),"",INDIRECT(ADDRESS(SMALL((IF($H$2:$H$28&lt;&gt;"",ROW($H$2:$H$28),ROW()+ROWS($H$2:$H$28))),ROW()-ROW($I$2:$I$28)+1),COLUMN($H$2:$H$28),4)))</f>
        <v>#REF!</v>
      </c>
      <c r="U12" s="436" t="e">
        <f t="array" aca="1" ref="U12" ca="1">IF(ROW()-ROW($J$2:$J$28)+1&gt;ROWS($I$2:$I$28)-COUNTBLANK($I$2:$I$28),"",INDIRECT(ADDRESS(SMALL((IF($I$2:$I$28&lt;&gt;"",ROW($I$2:$I$28),ROW()+ROWS($I$2:$I$28))),ROW()-ROW($J$2:$J$28)+1),COLUMN($I$2:$I$28),4)))</f>
        <v>#REF!</v>
      </c>
      <c r="V12" s="436" t="e">
        <f t="array" aca="1" ref="V12" ca="1">IF(ROW()-ROW($K$2:$K$28)+1&gt;ROWS($J$2:$J$28)-COUNTBLANK($J$2:$J$28),"",INDIRECT(ADDRESS(SMALL((IF($J$2:$J$28&lt;&gt;"",ROW($J$2:$J$28),ROW()+ROWS($J$2:$J$28))),ROW()-ROW($K$2:$K$28)+1),COLUMN($J$2:$J$28),4)))</f>
        <v>#REF!</v>
      </c>
      <c r="W12" s="436" t="e">
        <f t="array" aca="1" ref="W12" ca="1">IF(ROW()-ROW($L$2:$L$28)+1&gt;ROWS($K$2:$K$28)-COUNTBLANK($K$2:$K$28),"",INDIRECT(ADDRESS(SMALL((IF($K$2:$K$28&lt;&gt;"",ROW($K$2:$K$28),ROW()+ROWS($K$2:$K$28))),ROW()-ROW($L$2:$L$28)+1),COLUMN($K$2:$K$28),4)))</f>
        <v>#REF!</v>
      </c>
      <c r="X12" s="436" t="e">
        <f t="array" aca="1" ref="X12" ca="1">IF(ROW()-ROW($M$2:$M$28)+1&gt;ROWS($L$2:$L$28)-COUNTBLANK($L$2:$L$28),"",INDIRECT(ADDRESS(SMALL((IF($L$2:$L$28&lt;&gt;"",ROW($L$2:$L$28),ROW()+ROWS($L$2:$L$28))),ROW()-ROW($M$2:$M$28)+1),COLUMN($L$2:$L$28),4)))</f>
        <v>#REF!</v>
      </c>
      <c r="Y12" s="436" t="e">
        <f t="array" aca="1" ref="Y12" ca="1">IF(ROW()-ROW($N$2:$N$28)+1&gt;ROWS($M$2:$M$28)-COUNTBLANK($M$2:$M$28),"",INDIRECT(ADDRESS(SMALL((IF($M$2:$M$28&lt;&gt;"",ROW($M$2:$M$28),ROW()+ROWS($M$2:$M$28))),ROW()-ROW($N$2:$N$28)+1),COLUMN($M$2:$M$28),4)))</f>
        <v>#REF!</v>
      </c>
    </row>
    <row r="13" spans="1:25" x14ac:dyDescent="0.25">
      <c r="A13" s="436" t="str">
        <f>IF('Indicator sheet'!R44=0,"",'Indicator sheet'!R44)</f>
        <v>Incomplete</v>
      </c>
      <c r="B13" s="436"/>
      <c r="C13" s="490" t="str">
        <f>IF($A13="I.O.","",'Indicator sheet'!B44)</f>
        <v xml:space="preserve">6
</v>
      </c>
      <c r="D13" s="436" t="str">
        <f>IF($A13="I.O.","",'Indicator sheet'!E44)</f>
        <v xml:space="preserve">Psycho-oncological distress screening </v>
      </c>
      <c r="E13" s="436" t="str">
        <f>IF(AND('Indicator sheet'!L44="",$A13&lt;&gt;"I.O."),"-----",IF($A13="I.O.","",'Indicator sheet'!L44))</f>
        <v>-----</v>
      </c>
      <c r="F13" s="436" t="str">
        <f>IF($A13="I.O.","",'Indicator sheet'!M44)</f>
        <v>≥ 65%</v>
      </c>
      <c r="G13" s="436" t="str">
        <f>IF(AND('Indicator sheet'!O44="",$A13&lt;&gt;"I.O."),"-----",IF($A13="I.O.","",'Indicator sheet'!O44))</f>
        <v>-----</v>
      </c>
      <c r="H13" s="436" t="str">
        <f>IF($A13="I.O.","",IF('Indicator sheet'!Q44="","-----",'Indicator sheet'!Q44))</f>
        <v>-----</v>
      </c>
      <c r="I13" s="436" t="str">
        <f t="shared" ref="I13:J23" si="2">IF($A13="I.O.","","-----")</f>
        <v>-----</v>
      </c>
      <c r="J13" s="436" t="str">
        <f t="shared" si="2"/>
        <v>-----</v>
      </c>
      <c r="K13" s="436" t="str">
        <f>IF($A13="I.O.","",'Indicator sheet'!R44)</f>
        <v>Incomplete</v>
      </c>
      <c r="L13" s="436" t="str">
        <f>IF(AND('Indicator sheet'!S44="",$A13&lt;&gt;"I.O."),"-----",IF($A13="I.O.","",'Indicator sheet'!S44))</f>
        <v>-----</v>
      </c>
      <c r="M13" s="436" t="str">
        <f>IF(AND('Indicator sheet'!T44="",$A13&lt;&gt;"I.O."),"-----",IF($A13="I.O.","",'Indicator sheet'!T44))</f>
        <v>-----</v>
      </c>
      <c r="O13" s="491" t="e">
        <f t="array" aca="1" ref="O13" ca="1">IF(ROW()-ROW($D$2:$D$28)+1&gt;ROWS($C$2:$C$28)-COUNTBLANK($C$2:$C$28),"",INDIRECT(ADDRESS(SMALL((IF($C$2:$C$28&lt;&gt;"",ROW($C$2:$C$28),ROW()+ROWS($C$2:$C$28))),ROW()-ROW($D$2:$D$28)+1),COLUMN($C$2:$C$28),4)))</f>
        <v>#REF!</v>
      </c>
      <c r="P13" s="436" t="e">
        <f t="array" aca="1" ref="P13" ca="1">IF(ROW()-ROW($E$2:$E$28)+1&gt;ROWS($D$2:$D$28)-COUNTBLANK($D$2:$D$28),"",INDIRECT(ADDRESS(SMALL((IF($D$2:$D$28&gt;"",ROW($D$2:$D$28),ROW()+ROWS($D$2:$D$28))),ROW()-ROW($E$2:$E$28)+1),COLUMN($D$2:$D$28),4)))</f>
        <v>#REF!</v>
      </c>
      <c r="Q13" s="436" t="e">
        <f t="array" aca="1" ref="Q13" ca="1">IF(ROW()-ROW($F$2:$F$28)+1&gt;ROWS($E$2:$E$28)-COUNTBLANK($E$2:$E$28),"",INDIRECT(ADDRESS(SMALL((IF($E$2:$E$28&gt;"",ROW($E$2:$E$28),ROW()+ROWS($E$2:$E$28))),ROW()-ROW($F$2:$F$28)+1),COLUMN($E$2:$E$28),4)))</f>
        <v>#REF!</v>
      </c>
      <c r="R13" s="436" t="e">
        <f t="array" aca="1" ref="R13" ca="1">IF(ROW()-ROW($G$2:$G$28)+1&gt;ROWS($F$2:$F$28)-COUNTBLANK($F$2:$F$28),"",INDIRECT(ADDRESS(SMALL((IF($F$2:$F$28&gt;"",ROW($F$2:$F$28),ROW()+ROWS($F$2:$F$28))),ROW()-ROW($G$2:$G$28)+1),COLUMN($F$2:$F$28),4)))</f>
        <v>#REF!</v>
      </c>
      <c r="S13" s="436" t="e">
        <f t="array" aca="1" ref="S13" ca="1">IF(ROW()-ROW($H$2:$H$28)+1&gt;ROWS($G$2:$G$28)-COUNTBLANK($G$2:$G$28),"",INDIRECT(ADDRESS(SMALL((IF($G$2:$G$28&lt;&gt;"",ROW($G$2:$G$28),ROW()+ROWS($G$2:$G$28))),ROW()-ROW($H$2:$H$28)+1),COLUMN($G$2:$G$28),4)))</f>
        <v>#REF!</v>
      </c>
      <c r="T13" s="436" t="e">
        <f t="array" aca="1" ref="T13" ca="1">IF(ROW()-ROW($I$2:$I$28)+1&gt;ROWS($H$2:$H$28)-COUNTBLANK($H$2:$H$28),"",INDIRECT(ADDRESS(SMALL((IF($H$2:$H$28&lt;&gt;"",ROW($H$2:$H$28),ROW()+ROWS($H$2:$H$28))),ROW()-ROW($I$2:$I$28)+1),COLUMN($H$2:$H$28),4)))</f>
        <v>#REF!</v>
      </c>
      <c r="U13" s="436" t="e">
        <f t="array" aca="1" ref="U13" ca="1">IF(ROW()-ROW($J$2:$J$28)+1&gt;ROWS($I$2:$I$28)-COUNTBLANK($I$2:$I$28),"",INDIRECT(ADDRESS(SMALL((IF($I$2:$I$28&lt;&gt;"",ROW($I$2:$I$28),ROW()+ROWS($I$2:$I$28))),ROW()-ROW($J$2:$J$28)+1),COLUMN($I$2:$I$28),4)))</f>
        <v>#REF!</v>
      </c>
      <c r="V13" s="436" t="e">
        <f t="array" aca="1" ref="V13" ca="1">IF(ROW()-ROW($K$2:$K$28)+1&gt;ROWS($J$2:$J$28)-COUNTBLANK($J$2:$J$28),"",INDIRECT(ADDRESS(SMALL((IF($J$2:$J$28&lt;&gt;"",ROW($J$2:$J$28),ROW()+ROWS($J$2:$J$28))),ROW()-ROW($K$2:$K$28)+1),COLUMN($J$2:$J$28),4)))</f>
        <v>#REF!</v>
      </c>
      <c r="W13" s="436" t="e">
        <f t="array" aca="1" ref="W13" ca="1">IF(ROW()-ROW($L$2:$L$28)+1&gt;ROWS($K$2:$K$28)-COUNTBLANK($K$2:$K$28),"",INDIRECT(ADDRESS(SMALL((IF($K$2:$K$28&lt;&gt;"",ROW($K$2:$K$28),ROW()+ROWS($K$2:$K$28))),ROW()-ROW($L$2:$L$28)+1),COLUMN($K$2:$K$28),4)))</f>
        <v>#REF!</v>
      </c>
      <c r="X13" s="436" t="e">
        <f t="array" aca="1" ref="X13" ca="1">IF(ROW()-ROW($M$2:$M$28)+1&gt;ROWS($L$2:$L$28)-COUNTBLANK($L$2:$L$28),"",INDIRECT(ADDRESS(SMALL((IF($L$2:$L$28&lt;&gt;"",ROW($L$2:$L$28),ROW()+ROWS($L$2:$L$28))),ROW()-ROW($M$2:$M$28)+1),COLUMN($L$2:$L$28),4)))</f>
        <v>#REF!</v>
      </c>
      <c r="Y13" s="436" t="e">
        <f t="array" aca="1" ref="Y13" ca="1">IF(ROW()-ROW($N$2:$N$28)+1&gt;ROWS($M$2:$M$28)-COUNTBLANK($M$2:$M$28),"",INDIRECT(ADDRESS(SMALL((IF($M$2:$M$28&lt;&gt;"",ROW($M$2:$M$28),ROW()+ROWS($M$2:$M$28))),ROW()-ROW($N$2:$N$28)+1),COLUMN($M$2:$M$28),4)))</f>
        <v>#REF!</v>
      </c>
    </row>
    <row r="14" spans="1:25" x14ac:dyDescent="0.25">
      <c r="A14" s="436" t="str">
        <f>IF('Indicator sheet'!R47=0,"",'Indicator sheet'!R47)</f>
        <v>Incomplete</v>
      </c>
      <c r="B14" s="436"/>
      <c r="C14" s="490">
        <f>IF($A14="I.O.","",'Indicator sheet'!B47)</f>
        <v>7</v>
      </c>
      <c r="D14" s="436" t="str">
        <f>IF($A14="I.O.","",'Indicator sheet'!E47)</f>
        <v>Social service counselling</v>
      </c>
      <c r="E14" s="436" t="str">
        <f>IF(AND('Indicator sheet'!L47="",$A14&lt;&gt;"I.O."),"-----",IF($A14="I.O.","",'Indicator sheet'!L47))</f>
        <v>&lt; 50%</v>
      </c>
      <c r="F14" s="436" t="str">
        <f>IF($A14="I.O.","",'Indicator sheet'!M47)</f>
        <v>No target value</v>
      </c>
      <c r="G14" s="436" t="str">
        <f>IF(AND('Indicator sheet'!O47="",$A14&lt;&gt;"I.O."),"-----",IF($A14="I.O.","",'Indicator sheet'!O47))</f>
        <v>-----</v>
      </c>
      <c r="H14" s="436" t="str">
        <f>IF($A14="I.O.","",IF('Indicator sheet'!Q47="","-----",'Indicator sheet'!Q47))</f>
        <v>-----</v>
      </c>
      <c r="I14" s="436" t="str">
        <f t="shared" si="2"/>
        <v>-----</v>
      </c>
      <c r="J14" s="436" t="str">
        <f t="shared" si="2"/>
        <v>-----</v>
      </c>
      <c r="K14" s="436" t="str">
        <f>IF($A14="I.O.","",'Indicator sheet'!R47)</f>
        <v>Incomplete</v>
      </c>
      <c r="L14" s="436" t="str">
        <f>IF(AND('Indicator sheet'!S47="",$A14&lt;&gt;"I.O."),"-----",IF($A14="I.O.","",'Indicator sheet'!S47))</f>
        <v>-----</v>
      </c>
      <c r="M14" s="436" t="str">
        <f>IF(AND('Indicator sheet'!T47="",$A14&lt;&gt;"I.O."),"-----",IF($A14="I.O.","",'Indicator sheet'!T47))</f>
        <v>-----</v>
      </c>
      <c r="O14" s="491" t="e">
        <f t="array" aca="1" ref="O14" ca="1">IF(ROW()-ROW($D$2:$D$28)+1&gt;ROWS($C$2:$C$28)-COUNTBLANK($C$2:$C$28),"",INDIRECT(ADDRESS(SMALL((IF($C$2:$C$28&lt;&gt;"",ROW($C$2:$C$28),ROW()+ROWS($C$2:$C$28))),ROW()-ROW($D$2:$D$28)+1),COLUMN($C$2:$C$28),4)))</f>
        <v>#REF!</v>
      </c>
      <c r="P14" s="436" t="e">
        <f t="array" aca="1" ref="P14" ca="1">IF(ROW()-ROW($E$2:$E$28)+1&gt;ROWS($D$2:$D$28)-COUNTBLANK($D$2:$D$28),"",INDIRECT(ADDRESS(SMALL((IF($D$2:$D$28&gt;"",ROW($D$2:$D$28),ROW()+ROWS($D$2:$D$28))),ROW()-ROW($E$2:$E$28)+1),COLUMN($D$2:$D$28),4)))</f>
        <v>#REF!</v>
      </c>
      <c r="Q14" s="436" t="e">
        <f t="array" aca="1" ref="Q14" ca="1">IF(ROW()-ROW($F$2:$F$28)+1&gt;ROWS($E$2:$E$28)-COUNTBLANK($E$2:$E$28),"",INDIRECT(ADDRESS(SMALL((IF($E$2:$E$28&gt;"",ROW($E$2:$E$28),ROW()+ROWS($E$2:$E$28))),ROW()-ROW($F$2:$F$28)+1),COLUMN($E$2:$E$28),4)))</f>
        <v>#REF!</v>
      </c>
      <c r="R14" s="436" t="e">
        <f t="array" aca="1" ref="R14" ca="1">IF(ROW()-ROW($G$2:$G$28)+1&gt;ROWS($F$2:$F$28)-COUNTBLANK($F$2:$F$28),"",INDIRECT(ADDRESS(SMALL((IF($F$2:$F$28&gt;"",ROW($F$2:$F$28),ROW()+ROWS($F$2:$F$28))),ROW()-ROW($G$2:$G$28)+1),COLUMN($F$2:$F$28),4)))</f>
        <v>#REF!</v>
      </c>
      <c r="S14" s="436" t="e">
        <f t="array" aca="1" ref="S14" ca="1">IF(ROW()-ROW($H$2:$H$28)+1&gt;ROWS($G$2:$G$28)-COUNTBLANK($G$2:$G$28),"",INDIRECT(ADDRESS(SMALL((IF($G$2:$G$28&lt;&gt;"",ROW($G$2:$G$28),ROW()+ROWS($G$2:$G$28))),ROW()-ROW($H$2:$H$28)+1),COLUMN($G$2:$G$28),4)))</f>
        <v>#REF!</v>
      </c>
      <c r="T14" s="436" t="e">
        <f t="array" aca="1" ref="T14" ca="1">IF(ROW()-ROW($I$2:$I$28)+1&gt;ROWS($H$2:$H$28)-COUNTBLANK($H$2:$H$28),"",INDIRECT(ADDRESS(SMALL((IF($H$2:$H$28&lt;&gt;"",ROW($H$2:$H$28),ROW()+ROWS($H$2:$H$28))),ROW()-ROW($I$2:$I$28)+1),COLUMN($H$2:$H$28),4)))</f>
        <v>#REF!</v>
      </c>
      <c r="U14" s="436" t="e">
        <f t="array" aca="1" ref="U14" ca="1">IF(ROW()-ROW($J$2:$J$28)+1&gt;ROWS($I$2:$I$28)-COUNTBLANK($I$2:$I$28),"",INDIRECT(ADDRESS(SMALL((IF($I$2:$I$28&lt;&gt;"",ROW($I$2:$I$28),ROW()+ROWS($I$2:$I$28))),ROW()-ROW($J$2:$J$28)+1),COLUMN($I$2:$I$28),4)))</f>
        <v>#REF!</v>
      </c>
      <c r="V14" s="436" t="e">
        <f t="array" aca="1" ref="V14" ca="1">IF(ROW()-ROW($K$2:$K$28)+1&gt;ROWS($J$2:$J$28)-COUNTBLANK($J$2:$J$28),"",INDIRECT(ADDRESS(SMALL((IF($J$2:$J$28&lt;&gt;"",ROW($J$2:$J$28),ROW()+ROWS($J$2:$J$28))),ROW()-ROW($K$2:$K$28)+1),COLUMN($J$2:$J$28),4)))</f>
        <v>#REF!</v>
      </c>
      <c r="W14" s="436" t="e">
        <f t="array" aca="1" ref="W14" ca="1">IF(ROW()-ROW($L$2:$L$28)+1&gt;ROWS($K$2:$K$28)-COUNTBLANK($K$2:$K$28),"",INDIRECT(ADDRESS(SMALL((IF($K$2:$K$28&lt;&gt;"",ROW($K$2:$K$28),ROW()+ROWS($K$2:$K$28))),ROW()-ROW($L$2:$L$28)+1),COLUMN($K$2:$K$28),4)))</f>
        <v>#REF!</v>
      </c>
      <c r="X14" s="436" t="e">
        <f t="array" aca="1" ref="X14" ca="1">IF(ROW()-ROW($M$2:$M$28)+1&gt;ROWS($L$2:$L$28)-COUNTBLANK($L$2:$L$28),"",INDIRECT(ADDRESS(SMALL((IF($L$2:$L$28&lt;&gt;"",ROW($L$2:$L$28),ROW()+ROWS($L$2:$L$28))),ROW()-ROW($M$2:$M$28)+1),COLUMN($L$2:$L$28),4)))</f>
        <v>#REF!</v>
      </c>
      <c r="Y14" s="436" t="e">
        <f t="array" aca="1" ref="Y14" ca="1">IF(ROW()-ROW($N$2:$N$28)+1&gt;ROWS($M$2:$M$28)-COUNTBLANK($M$2:$M$28),"",INDIRECT(ADDRESS(SMALL((IF($M$2:$M$28&lt;&gt;"",ROW($M$2:$M$28),ROW()+ROWS($M$2:$M$28))),ROW()-ROW($N$2:$N$28)+1),COLUMN($M$2:$M$28),4)))</f>
        <v>#REF!</v>
      </c>
    </row>
    <row r="15" spans="1:25" x14ac:dyDescent="0.25">
      <c r="A15" s="436" t="str">
        <f>IF('Indicator sheet'!R50=0,"",'Indicator sheet'!R50)</f>
        <v>Incomplete</v>
      </c>
      <c r="B15" s="436"/>
      <c r="C15" s="490">
        <f>IF($A15="I.O.","",'Indicator sheet'!B50)</f>
        <v>8</v>
      </c>
      <c r="D15" s="436" t="str">
        <f>IF($A15="I.O.","",'Indicator sheet'!E50)</f>
        <v>Patients enrolled in a study</v>
      </c>
      <c r="E15" s="436" t="str">
        <f>IF(AND('Indicator sheet'!L50="",$A15&lt;&gt;"I.O."),"-----",IF($A15="I.O.","",'Indicator sheet'!L50))</f>
        <v>-----</v>
      </c>
      <c r="F15" s="436" t="str">
        <f>IF($A15="I.O.","",'Indicator sheet'!M50)</f>
        <v>≥ 5%</v>
      </c>
      <c r="G15" s="436" t="str">
        <f>IF(AND('Indicator sheet'!O50="",$A15&lt;&gt;"I.O."),"-----",IF($A15="I.O.","",'Indicator sheet'!O50))</f>
        <v>-----</v>
      </c>
      <c r="H15" s="436">
        <f>IF($A15="I.O.","",IF('Indicator sheet'!Q50="","-----",'Indicator sheet'!Q50))</f>
        <v>0</v>
      </c>
      <c r="I15" s="436" t="str">
        <f t="shared" si="2"/>
        <v>-----</v>
      </c>
      <c r="J15" s="436" t="str">
        <f t="shared" si="2"/>
        <v>-----</v>
      </c>
      <c r="K15" s="436" t="str">
        <f>IF($A15="I.O.","",'Indicator sheet'!R50)</f>
        <v>Incomplete</v>
      </c>
      <c r="L15" s="436" t="str">
        <f>IF(AND('Indicator sheet'!S50="",$A15&lt;&gt;"I.O."),"-----",IF($A15="I.O.","",'Indicator sheet'!S50))</f>
        <v>-----</v>
      </c>
      <c r="M15" s="436" t="str">
        <f>IF(AND('Indicator sheet'!T50="",$A15&lt;&gt;"I.O."),"-----",IF($A15="I.O.","",'Indicator sheet'!T50))</f>
        <v>-----</v>
      </c>
      <c r="O15" s="491" t="e">
        <f t="array" aca="1" ref="O15" ca="1">IF(ROW()-ROW($D$2:$D$28)+1&gt;ROWS($C$2:$C$28)-COUNTBLANK($C$2:$C$28),"",INDIRECT(ADDRESS(SMALL((IF($C$2:$C$28&lt;&gt;"",ROW($C$2:$C$28),ROW()+ROWS($C$2:$C$28))),ROW()-ROW($D$2:$D$28)+1),COLUMN($C$2:$C$28),4)))</f>
        <v>#REF!</v>
      </c>
      <c r="P15" s="436" t="e">
        <f t="array" aca="1" ref="P15" ca="1">IF(ROW()-ROW($E$2:$E$28)+1&gt;ROWS($D$2:$D$28)-COUNTBLANK($D$2:$D$28),"",INDIRECT(ADDRESS(SMALL((IF($D$2:$D$28&gt;"",ROW($D$2:$D$28),ROW()+ROWS($D$2:$D$28))),ROW()-ROW($E$2:$E$28)+1),COLUMN($D$2:$D$28),4)))</f>
        <v>#REF!</v>
      </c>
      <c r="Q15" s="436" t="e">
        <f t="array" aca="1" ref="Q15" ca="1">IF(ROW()-ROW($F$2:$F$28)+1&gt;ROWS($E$2:$E$28)-COUNTBLANK($E$2:$E$28),"",INDIRECT(ADDRESS(SMALL((IF($E$2:$E$28&gt;"",ROW($E$2:$E$28),ROW()+ROWS($E$2:$E$28))),ROW()-ROW($F$2:$F$28)+1),COLUMN($E$2:$E$28),4)))</f>
        <v>#REF!</v>
      </c>
      <c r="R15" s="436" t="e">
        <f t="array" aca="1" ref="R15" ca="1">IF(ROW()-ROW($G$2:$G$28)+1&gt;ROWS($F$2:$F$28)-COUNTBLANK($F$2:$F$28),"",INDIRECT(ADDRESS(SMALL((IF($F$2:$F$28&gt;"",ROW($F$2:$F$28),ROW()+ROWS($F$2:$F$28))),ROW()-ROW($G$2:$G$28)+1),COLUMN($F$2:$F$28),4)))</f>
        <v>#REF!</v>
      </c>
      <c r="S15" s="436" t="e">
        <f t="array" aca="1" ref="S15" ca="1">IF(ROW()-ROW($H$2:$H$28)+1&gt;ROWS($G$2:$G$28)-COUNTBLANK($G$2:$G$28),"",INDIRECT(ADDRESS(SMALL((IF($G$2:$G$28&lt;&gt;"",ROW($G$2:$G$28),ROW()+ROWS($G$2:$G$28))),ROW()-ROW($H$2:$H$28)+1),COLUMN($G$2:$G$28),4)))</f>
        <v>#REF!</v>
      </c>
      <c r="T15" s="436" t="e">
        <f t="array" aca="1" ref="T15" ca="1">IF(ROW()-ROW($I$2:$I$28)+1&gt;ROWS($H$2:$H$28)-COUNTBLANK($H$2:$H$28),"",INDIRECT(ADDRESS(SMALL((IF($H$2:$H$28&lt;&gt;"",ROW($H$2:$H$28),ROW()+ROWS($H$2:$H$28))),ROW()-ROW($I$2:$I$28)+1),COLUMN($H$2:$H$28),4)))</f>
        <v>#REF!</v>
      </c>
      <c r="U15" s="436" t="e">
        <f t="array" aca="1" ref="U15" ca="1">IF(ROW()-ROW($J$2:$J$28)+1&gt;ROWS($I$2:$I$28)-COUNTBLANK($I$2:$I$28),"",INDIRECT(ADDRESS(SMALL((IF($I$2:$I$28&lt;&gt;"",ROW($I$2:$I$28),ROW()+ROWS($I$2:$I$28))),ROW()-ROW($J$2:$J$28)+1),COLUMN($I$2:$I$28),4)))</f>
        <v>#REF!</v>
      </c>
      <c r="V15" s="436" t="e">
        <f t="array" aca="1" ref="V15" ca="1">IF(ROW()-ROW($K$2:$K$28)+1&gt;ROWS($J$2:$J$28)-COUNTBLANK($J$2:$J$28),"",INDIRECT(ADDRESS(SMALL((IF($J$2:$J$28&lt;&gt;"",ROW($J$2:$J$28),ROW()+ROWS($J$2:$J$28))),ROW()-ROW($K$2:$K$28)+1),COLUMN($J$2:$J$28),4)))</f>
        <v>#REF!</v>
      </c>
      <c r="W15" s="436" t="e">
        <f t="array" aca="1" ref="W15" ca="1">IF(ROW()-ROW($L$2:$L$28)+1&gt;ROWS($K$2:$K$28)-COUNTBLANK($K$2:$K$28),"",INDIRECT(ADDRESS(SMALL((IF($K$2:$K$28&lt;&gt;"",ROW($K$2:$K$28),ROW()+ROWS($K$2:$K$28))),ROW()-ROW($L$2:$L$28)+1),COLUMN($K$2:$K$28),4)))</f>
        <v>#REF!</v>
      </c>
      <c r="X15" s="436" t="e">
        <f t="array" aca="1" ref="X15" ca="1">IF(ROW()-ROW($M$2:$M$28)+1&gt;ROWS($L$2:$L$28)-COUNTBLANK($L$2:$L$28),"",INDIRECT(ADDRESS(SMALL((IF($L$2:$L$28&lt;&gt;"",ROW($L$2:$L$28),ROW()+ROWS($L$2:$L$28))),ROW()-ROW($M$2:$M$28)+1),COLUMN($L$2:$L$28),4)))</f>
        <v>#REF!</v>
      </c>
      <c r="Y15" s="436" t="e">
        <f t="array" aca="1" ref="Y15" ca="1">IF(ROW()-ROW($N$2:$N$28)+1&gt;ROWS($M$2:$M$28)-COUNTBLANK($M$2:$M$28),"",INDIRECT(ADDRESS(SMALL((IF($M$2:$M$28&lt;&gt;"",ROW($M$2:$M$28),ROW()+ROWS($M$2:$M$28))),ROW()-ROW($N$2:$N$28)+1),COLUMN($M$2:$M$28),4)))</f>
        <v>#REF!</v>
      </c>
    </row>
    <row r="16" spans="1:25" x14ac:dyDescent="0.25">
      <c r="A16" s="436" t="str">
        <f>IF('Indicator sheet'!R53=0,"",'Indicator sheet'!R53)</f>
        <v>Incomplete</v>
      </c>
      <c r="B16" s="436"/>
      <c r="C16" s="490">
        <f>IF($A16="I.O.","",'Indicator sheet'!B53)</f>
        <v>9</v>
      </c>
      <c r="D16" s="436" t="str">
        <f>IF($A16="I.O.","",'Indicator sheet'!E53)</f>
        <v>Surgical expertise</v>
      </c>
      <c r="E16" s="436" t="str">
        <f>IF(AND('Indicator sheet'!L53="",$A16&lt;&gt;"I.O."),"-----",IF($A16="I.O.","",'Indicator sheet'!L53))</f>
        <v>-----</v>
      </c>
      <c r="F16" s="436" t="str">
        <f>IF($A16="I.O.","",'Indicator sheet'!M53)</f>
        <v>≥ 50</v>
      </c>
      <c r="G16" s="436" t="str">
        <f>IF(AND('Indicator sheet'!O53="",$A16&lt;&gt;"I.O."),"-----",IF($A16="I.O.","",'Indicator sheet'!O53))</f>
        <v>-----</v>
      </c>
      <c r="H16" s="436">
        <f>IF($A16="I.O.","",IF('Indicator sheet'!Q53="","-----",'Indicator sheet'!Q53))</f>
        <v>0</v>
      </c>
      <c r="I16" s="436" t="str">
        <f t="shared" si="2"/>
        <v>-----</v>
      </c>
      <c r="J16" s="436" t="str">
        <f t="shared" si="2"/>
        <v>-----</v>
      </c>
      <c r="K16" s="436" t="str">
        <f>IF($A16="I.O.","",'Indicator sheet'!R53)</f>
        <v>Incomplete</v>
      </c>
      <c r="L16" s="436" t="str">
        <f>IF(AND('Indicator sheet'!S53="",$A16&lt;&gt;"I.O."),"-----",IF($A16="I.O.","",'Indicator sheet'!S53))</f>
        <v>-----</v>
      </c>
      <c r="M16" s="436" t="str">
        <f>IF(AND('Indicator sheet'!T53="",$A16&lt;&gt;"I.O."),"-----",IF($A16="I.O.","",'Indicator sheet'!T53))</f>
        <v>-----</v>
      </c>
      <c r="O16" s="491" t="e">
        <f t="array" aca="1" ref="O16" ca="1">IF(ROW()-ROW($D$2:$D$28)+1&gt;ROWS($C$2:$C$28)-COUNTBLANK($C$2:$C$28),"",INDIRECT(ADDRESS(SMALL((IF($C$2:$C$28&lt;&gt;"",ROW($C$2:$C$28),ROW()+ROWS($C$2:$C$28))),ROW()-ROW($D$2:$D$28)+1),COLUMN($C$2:$C$28),4)))</f>
        <v>#REF!</v>
      </c>
      <c r="P16" s="436" t="e">
        <f t="array" aca="1" ref="P16" ca="1">IF(ROW()-ROW($E$2:$E$28)+1&gt;ROWS($D$2:$D$28)-COUNTBLANK($D$2:$D$28),"",INDIRECT(ADDRESS(SMALL((IF($D$2:$D$28&gt;"",ROW($D$2:$D$28),ROW()+ROWS($D$2:$D$28))),ROW()-ROW($E$2:$E$28)+1),COLUMN($D$2:$D$28),4)))</f>
        <v>#REF!</v>
      </c>
      <c r="Q16" s="436" t="e">
        <f t="array" aca="1" ref="Q16" ca="1">IF(ROW()-ROW($F$2:$F$28)+1&gt;ROWS($E$2:$E$28)-COUNTBLANK($E$2:$E$28),"",INDIRECT(ADDRESS(SMALL((IF($E$2:$E$28&gt;"",ROW($E$2:$E$28),ROW()+ROWS($E$2:$E$28))),ROW()-ROW($F$2:$F$28)+1),COLUMN($E$2:$E$28),4)))</f>
        <v>#REF!</v>
      </c>
      <c r="R16" s="436" t="e">
        <f t="array" aca="1" ref="R16" ca="1">IF(ROW()-ROW($G$2:$G$28)+1&gt;ROWS($F$2:$F$28)-COUNTBLANK($F$2:$F$28),"",INDIRECT(ADDRESS(SMALL((IF($F$2:$F$28&gt;"",ROW($F$2:$F$28),ROW()+ROWS($F$2:$F$28))),ROW()-ROW($G$2:$G$28)+1),COLUMN($F$2:$F$28),4)))</f>
        <v>#REF!</v>
      </c>
      <c r="S16" s="436" t="e">
        <f t="array" aca="1" ref="S16" ca="1">IF(ROW()-ROW($H$2:$H$28)+1&gt;ROWS($G$2:$G$28)-COUNTBLANK($G$2:$G$28),"",INDIRECT(ADDRESS(SMALL((IF($G$2:$G$28&lt;&gt;"",ROW($G$2:$G$28),ROW()+ROWS($G$2:$G$28))),ROW()-ROW($H$2:$H$28)+1),COLUMN($G$2:$G$28),4)))</f>
        <v>#REF!</v>
      </c>
      <c r="T16" s="436" t="e">
        <f t="array" aca="1" ref="T16" ca="1">IF(ROW()-ROW($I$2:$I$28)+1&gt;ROWS($H$2:$H$28)-COUNTBLANK($H$2:$H$28),"",INDIRECT(ADDRESS(SMALL((IF($H$2:$H$28&lt;&gt;"",ROW($H$2:$H$28),ROW()+ROWS($H$2:$H$28))),ROW()-ROW($I$2:$I$28)+1),COLUMN($H$2:$H$28),4)))</f>
        <v>#REF!</v>
      </c>
      <c r="U16" s="436" t="e">
        <f t="array" aca="1" ref="U16" ca="1">IF(ROW()-ROW($J$2:$J$28)+1&gt;ROWS($I$2:$I$28)-COUNTBLANK($I$2:$I$28),"",INDIRECT(ADDRESS(SMALL((IF($I$2:$I$28&lt;&gt;"",ROW($I$2:$I$28),ROW()+ROWS($I$2:$I$28))),ROW()-ROW($J$2:$J$28)+1),COLUMN($I$2:$I$28),4)))</f>
        <v>#REF!</v>
      </c>
      <c r="V16" s="436" t="e">
        <f t="array" aca="1" ref="V16" ca="1">IF(ROW()-ROW($K$2:$K$28)+1&gt;ROWS($J$2:$J$28)-COUNTBLANK($J$2:$J$28),"",INDIRECT(ADDRESS(SMALL((IF($J$2:$J$28&lt;&gt;"",ROW($J$2:$J$28),ROW()+ROWS($J$2:$J$28))),ROW()-ROW($K$2:$K$28)+1),COLUMN($J$2:$J$28),4)))</f>
        <v>#REF!</v>
      </c>
      <c r="W16" s="436" t="e">
        <f t="array" aca="1" ref="W16" ca="1">IF(ROW()-ROW($L$2:$L$28)+1&gt;ROWS($K$2:$K$28)-COUNTBLANK($K$2:$K$28),"",INDIRECT(ADDRESS(SMALL((IF($K$2:$K$28&lt;&gt;"",ROW($K$2:$K$28),ROW()+ROWS($K$2:$K$28))),ROW()-ROW($L$2:$L$28)+1),COLUMN($K$2:$K$28),4)))</f>
        <v>#REF!</v>
      </c>
      <c r="X16" s="436" t="e">
        <f t="array" aca="1" ref="X16" ca="1">IF(ROW()-ROW($M$2:$M$28)+1&gt;ROWS($L$2:$L$28)-COUNTBLANK($L$2:$L$28),"",INDIRECT(ADDRESS(SMALL((IF($L$2:$L$28&lt;&gt;"",ROW($L$2:$L$28),ROW()+ROWS($L$2:$L$28))),ROW()-ROW($M$2:$M$28)+1),COLUMN($L$2:$L$28),4)))</f>
        <v>#REF!</v>
      </c>
      <c r="Y16" s="436" t="e">
        <f t="array" aca="1" ref="Y16" ca="1">IF(ROW()-ROW($N$2:$N$28)+1&gt;ROWS($M$2:$M$28)-COUNTBLANK($M$2:$M$28),"",INDIRECT(ADDRESS(SMALL((IF($M$2:$M$28&lt;&gt;"",ROW($M$2:$M$28),ROW()+ROWS($M$2:$M$28))),ROW()-ROW($N$2:$N$28)+1),COLUMN($M$2:$M$28),4)))</f>
        <v>#REF!</v>
      </c>
    </row>
    <row r="17" spans="1:25" x14ac:dyDescent="0.25">
      <c r="A17" s="436" t="str">
        <f>IF('Indicator sheet'!R56=0,"",'Indicator sheet'!R56)</f>
        <v>Incomplete</v>
      </c>
      <c r="B17" s="436"/>
      <c r="C17" s="490">
        <f>IF($A17="I.O.","",'Indicator sheet'!B56)</f>
        <v>10</v>
      </c>
      <c r="D17" s="436" t="str">
        <f>IF($A17="I.O.","",'Indicator sheet'!E56)</f>
        <v>Record of R1 resections for (y)pT2 c / pN0 or Nx M0</v>
      </c>
      <c r="E17" s="436" t="str">
        <f>IF(AND('Indicator sheet'!L56="",$A17&lt;&gt;"I.O."),"-----",IF($A17="I.O.","",'Indicator sheet'!L56))</f>
        <v>-----</v>
      </c>
      <c r="F17" s="436" t="str">
        <f>IF($A17="I.O.","",'Indicator sheet'!M56)</f>
        <v>≤ 15%</v>
      </c>
      <c r="G17" s="436" t="str">
        <f>IF(AND('Indicator sheet'!O56="",$A17&lt;&gt;"I.O."),"-----",IF($A17="I.O.","",'Indicator sheet'!O56))</f>
        <v>-----</v>
      </c>
      <c r="H17" s="436" t="str">
        <f>IF($A17="I.O.","",IF('Indicator sheet'!Q56="","-----",'Indicator sheet'!Q56))</f>
        <v>-----</v>
      </c>
      <c r="I17" s="436" t="str">
        <f t="shared" si="2"/>
        <v>-----</v>
      </c>
      <c r="J17" s="436" t="str">
        <f t="shared" si="2"/>
        <v>-----</v>
      </c>
      <c r="K17" s="436" t="str">
        <f>IF($A17="I.O.","",'Indicator sheet'!R56)</f>
        <v>Incomplete</v>
      </c>
      <c r="L17" s="436" t="str">
        <f>IF(AND('Indicator sheet'!S56="",$A17&lt;&gt;"I.O."),"-----",IF($A17="I.O.","",'Indicator sheet'!S56))</f>
        <v>-----</v>
      </c>
      <c r="M17" s="436" t="str">
        <f>IF(AND('Indicator sheet'!T56="",$A17&lt;&gt;"I.O."),"-----",IF($A17="I.O.","",'Indicator sheet'!T56))</f>
        <v>-----</v>
      </c>
      <c r="O17" s="491" t="e">
        <f t="array" aca="1" ref="O17" ca="1">IF(ROW()-ROW($D$2:$D$28)+1&gt;ROWS($C$2:$C$28)-COUNTBLANK($C$2:$C$28),"",INDIRECT(ADDRESS(SMALL((IF($C$2:$C$28&lt;&gt;"",ROW($C$2:$C$28),ROW()+ROWS($C$2:$C$28))),ROW()-ROW($D$2:$D$28)+1),COLUMN($C$2:$C$28),4)))</f>
        <v>#REF!</v>
      </c>
      <c r="P17" s="436" t="e">
        <f t="array" aca="1" ref="P17" ca="1">IF(ROW()-ROW($E$2:$E$28)+1&gt;ROWS($D$2:$D$28)-COUNTBLANK($D$2:$D$28),"",INDIRECT(ADDRESS(SMALL((IF($D$2:$D$28&gt;"",ROW($D$2:$D$28),ROW()+ROWS($D$2:$D$28))),ROW()-ROW($E$2:$E$28)+1),COLUMN($D$2:$D$28),4)))</f>
        <v>#REF!</v>
      </c>
      <c r="Q17" s="436" t="e">
        <f t="array" aca="1" ref="Q17" ca="1">IF(ROW()-ROW($F$2:$F$28)+1&gt;ROWS($E$2:$E$28)-COUNTBLANK($E$2:$E$28),"",INDIRECT(ADDRESS(SMALL((IF($E$2:$E$28&gt;"",ROW($E$2:$E$28),ROW()+ROWS($E$2:$E$28))),ROW()-ROW($F$2:$F$28)+1),COLUMN($E$2:$E$28),4)))</f>
        <v>#REF!</v>
      </c>
      <c r="R17" s="436" t="e">
        <f t="array" aca="1" ref="R17" ca="1">IF(ROW()-ROW($G$2:$G$28)+1&gt;ROWS($F$2:$F$28)-COUNTBLANK($F$2:$F$28),"",INDIRECT(ADDRESS(SMALL((IF($F$2:$F$28&gt;"",ROW($F$2:$F$28),ROW()+ROWS($F$2:$F$28))),ROW()-ROW($G$2:$G$28)+1),COLUMN($F$2:$F$28),4)))</f>
        <v>#REF!</v>
      </c>
      <c r="S17" s="436" t="e">
        <f t="array" aca="1" ref="S17" ca="1">IF(ROW()-ROW($H$2:$H$28)+1&gt;ROWS($G$2:$G$28)-COUNTBLANK($G$2:$G$28),"",INDIRECT(ADDRESS(SMALL((IF($G$2:$G$28&lt;&gt;"",ROW($G$2:$G$28),ROW()+ROWS($G$2:$G$28))),ROW()-ROW($H$2:$H$28)+1),COLUMN($G$2:$G$28),4)))</f>
        <v>#REF!</v>
      </c>
      <c r="T17" s="436" t="e">
        <f t="array" aca="1" ref="T17" ca="1">IF(ROW()-ROW($I$2:$I$28)+1&gt;ROWS($H$2:$H$28)-COUNTBLANK($H$2:$H$28),"",INDIRECT(ADDRESS(SMALL((IF($H$2:$H$28&lt;&gt;"",ROW($H$2:$H$28),ROW()+ROWS($H$2:$H$28))),ROW()-ROW($I$2:$I$28)+1),COLUMN($H$2:$H$28),4)))</f>
        <v>#REF!</v>
      </c>
      <c r="U17" s="436" t="e">
        <f t="array" aca="1" ref="U17" ca="1">IF(ROW()-ROW($J$2:$J$28)+1&gt;ROWS($I$2:$I$28)-COUNTBLANK($I$2:$I$28),"",INDIRECT(ADDRESS(SMALL((IF($I$2:$I$28&lt;&gt;"",ROW($I$2:$I$28),ROW()+ROWS($I$2:$I$28))),ROW()-ROW($J$2:$J$28)+1),COLUMN($I$2:$I$28),4)))</f>
        <v>#REF!</v>
      </c>
      <c r="V17" s="436" t="e">
        <f t="array" aca="1" ref="V17" ca="1">IF(ROW()-ROW($K$2:$K$28)+1&gt;ROWS($J$2:$J$28)-COUNTBLANK($J$2:$J$28),"",INDIRECT(ADDRESS(SMALL((IF($J$2:$J$28&lt;&gt;"",ROW($J$2:$J$28),ROW()+ROWS($J$2:$J$28))),ROW()-ROW($K$2:$K$28)+1),COLUMN($J$2:$J$28),4)))</f>
        <v>#REF!</v>
      </c>
      <c r="W17" s="436" t="e">
        <f t="array" aca="1" ref="W17" ca="1">IF(ROW()-ROW($L$2:$L$28)+1&gt;ROWS($K$2:$K$28)-COUNTBLANK($K$2:$K$28),"",INDIRECT(ADDRESS(SMALL((IF($K$2:$K$28&lt;&gt;"",ROW($K$2:$K$28),ROW()+ROWS($K$2:$K$28))),ROW()-ROW($L$2:$L$28)+1),COLUMN($K$2:$K$28),4)))</f>
        <v>#REF!</v>
      </c>
      <c r="X17" s="436" t="e">
        <f t="array" aca="1" ref="X17" ca="1">IF(ROW()-ROW($M$2:$M$28)+1&gt;ROWS($L$2:$L$28)-COUNTBLANK($L$2:$L$28),"",INDIRECT(ADDRESS(SMALL((IF($L$2:$L$28&lt;&gt;"",ROW($L$2:$L$28),ROW()+ROWS($L$2:$L$28))),ROW()-ROW($M$2:$M$28)+1),COLUMN($L$2:$L$28),4)))</f>
        <v>#REF!</v>
      </c>
      <c r="Y17" s="436" t="e">
        <f t="array" aca="1" ref="Y17" ca="1">IF(ROW()-ROW($N$2:$N$28)+1&gt;ROWS($M$2:$M$28)-COUNTBLANK($M$2:$M$28),"",INDIRECT(ADDRESS(SMALL((IF($M$2:$M$28&lt;&gt;"",ROW($M$2:$M$28),ROW()+ROWS($M$2:$M$28))),ROW()-ROW($N$2:$N$28)+1),COLUMN($M$2:$M$28),4)))</f>
        <v>#REF!</v>
      </c>
    </row>
    <row r="18" spans="1:25" x14ac:dyDescent="0.25">
      <c r="A18" s="436" t="str">
        <f>IF('Indicator sheet'!R59=0,"",'Indicator sheet'!R59)</f>
        <v>Incomplete</v>
      </c>
      <c r="B18" s="436"/>
      <c r="C18" s="490">
        <f>IF($A18="I.O.","",'Indicator sheet'!B59)</f>
        <v>11</v>
      </c>
      <c r="D18" s="436" t="str">
        <f>IF($A18="I.O.","",'Indicator sheet'!E59)</f>
        <v>Definitive radiotherapy</v>
      </c>
      <c r="E18" s="436" t="str">
        <f>IF(AND('Indicator sheet'!L59="",$A18&lt;&gt;"I.O."),"-----",IF($A18="I.O.","",'Indicator sheet'!L59))</f>
        <v>&lt; 10%</v>
      </c>
      <c r="F18" s="436" t="str">
        <f>IF($A18="I.O.","",'Indicator sheet'!M59)</f>
        <v>No target value</v>
      </c>
      <c r="G18" s="436" t="str">
        <f>IF(AND('Indicator sheet'!O59="",$A18&lt;&gt;"I.O."),"-----",IF($A18="I.O.","",'Indicator sheet'!O59))</f>
        <v>&gt; 90%</v>
      </c>
      <c r="H18" s="436">
        <f>IF($A18="I.O.","",IF('Indicator sheet'!Q59="","-----",'Indicator sheet'!Q59))</f>
        <v>0</v>
      </c>
      <c r="I18" s="436" t="str">
        <f t="shared" si="2"/>
        <v>-----</v>
      </c>
      <c r="J18" s="436" t="str">
        <f t="shared" si="2"/>
        <v>-----</v>
      </c>
      <c r="K18" s="436" t="str">
        <f>IF($A18="I.O.","",'Indicator sheet'!R59)</f>
        <v>Incomplete</v>
      </c>
      <c r="L18" s="436" t="str">
        <f>IF(AND('Indicator sheet'!S59="",$A18&lt;&gt;"I.O."),"-----",IF($A18="I.O.","",'Indicator sheet'!S59))</f>
        <v>-----</v>
      </c>
      <c r="M18" s="436" t="str">
        <f>IF(AND('Indicator sheet'!T59="",$A18&lt;&gt;"I.O."),"-----",IF($A18="I.O.","",'Indicator sheet'!T59))</f>
        <v>-----</v>
      </c>
      <c r="O18" s="491" t="e">
        <f t="array" aca="1" ref="O18" ca="1">IF(ROW()-ROW($D$2:$D$28)+1&gt;ROWS($C$2:$C$28)-COUNTBLANK($C$2:$C$28),"",INDIRECT(ADDRESS(SMALL((IF($C$2:$C$28&lt;&gt;"",ROW($C$2:$C$28),ROW()+ROWS($C$2:$C$28))),ROW()-ROW($D$2:$D$28)+1),COLUMN($C$2:$C$28),4)))</f>
        <v>#REF!</v>
      </c>
      <c r="P18" s="436" t="e">
        <f t="array" aca="1" ref="P18" ca="1">IF(ROW()-ROW($E$2:$E$28)+1&gt;ROWS($D$2:$D$28)-COUNTBLANK($D$2:$D$28),"",INDIRECT(ADDRESS(SMALL((IF($D$2:$D$28&gt;"",ROW($D$2:$D$28),ROW()+ROWS($D$2:$D$28))),ROW()-ROW($E$2:$E$28)+1),COLUMN($D$2:$D$28),4)))</f>
        <v>#REF!</v>
      </c>
      <c r="Q18" s="436" t="e">
        <f t="array" aca="1" ref="Q18" ca="1">IF(ROW()-ROW($F$2:$F$28)+1&gt;ROWS($E$2:$E$28)-COUNTBLANK($E$2:$E$28),"",INDIRECT(ADDRESS(SMALL((IF($E$2:$E$28&gt;"",ROW($E$2:$E$28),ROW()+ROWS($E$2:$E$28))),ROW()-ROW($F$2:$F$28)+1),COLUMN($E$2:$E$28),4)))</f>
        <v>#REF!</v>
      </c>
      <c r="R18" s="436" t="e">
        <f t="array" aca="1" ref="R18" ca="1">IF(ROW()-ROW($G$2:$G$28)+1&gt;ROWS($F$2:$F$28)-COUNTBLANK($F$2:$F$28),"",INDIRECT(ADDRESS(SMALL((IF($F$2:$F$28&gt;"",ROW($F$2:$F$28),ROW()+ROWS($F$2:$F$28))),ROW()-ROW($G$2:$G$28)+1),COLUMN($F$2:$F$28),4)))</f>
        <v>#REF!</v>
      </c>
      <c r="S18" s="436" t="e">
        <f t="array" aca="1" ref="S18" ca="1">IF(ROW()-ROW($H$2:$H$28)+1&gt;ROWS($G$2:$G$28)-COUNTBLANK($G$2:$G$28),"",INDIRECT(ADDRESS(SMALL((IF($G$2:$G$28&lt;&gt;"",ROW($G$2:$G$28),ROW()+ROWS($G$2:$G$28))),ROW()-ROW($H$2:$H$28)+1),COLUMN($G$2:$G$28),4)))</f>
        <v>#REF!</v>
      </c>
      <c r="T18" s="436" t="e">
        <f t="array" aca="1" ref="T18" ca="1">IF(ROW()-ROW($I$2:$I$28)+1&gt;ROWS($H$2:$H$28)-COUNTBLANK($H$2:$H$28),"",INDIRECT(ADDRESS(SMALL((IF($H$2:$H$28&lt;&gt;"",ROW($H$2:$H$28),ROW()+ROWS($H$2:$H$28))),ROW()-ROW($I$2:$I$28)+1),COLUMN($H$2:$H$28),4)))</f>
        <v>#REF!</v>
      </c>
      <c r="U18" s="436" t="e">
        <f t="array" aca="1" ref="U18" ca="1">IF(ROW()-ROW($J$2:$J$28)+1&gt;ROWS($I$2:$I$28)-COUNTBLANK($I$2:$I$28),"",INDIRECT(ADDRESS(SMALL((IF($I$2:$I$28&lt;&gt;"",ROW($I$2:$I$28),ROW()+ROWS($I$2:$I$28))),ROW()-ROW($J$2:$J$28)+1),COLUMN($I$2:$I$28),4)))</f>
        <v>#REF!</v>
      </c>
      <c r="V18" s="436" t="e">
        <f t="array" aca="1" ref="V18" ca="1">IF(ROW()-ROW($K$2:$K$28)+1&gt;ROWS($J$2:$J$28)-COUNTBLANK($J$2:$J$28),"",INDIRECT(ADDRESS(SMALL((IF($J$2:$J$28&lt;&gt;"",ROW($J$2:$J$28),ROW()+ROWS($J$2:$J$28))),ROW()-ROW($K$2:$K$28)+1),COLUMN($J$2:$J$28),4)))</f>
        <v>#REF!</v>
      </c>
      <c r="W18" s="436" t="e">
        <f t="array" aca="1" ref="W18" ca="1">IF(ROW()-ROW($L$2:$L$28)+1&gt;ROWS($K$2:$K$28)-COUNTBLANK($K$2:$K$28),"",INDIRECT(ADDRESS(SMALL((IF($K$2:$K$28&lt;&gt;"",ROW($K$2:$K$28),ROW()+ROWS($K$2:$K$28))),ROW()-ROW($L$2:$L$28)+1),COLUMN($K$2:$K$28),4)))</f>
        <v>#REF!</v>
      </c>
      <c r="X18" s="436" t="e">
        <f t="array" aca="1" ref="X18" ca="1">IF(ROW()-ROW($M$2:$M$28)+1&gt;ROWS($L$2:$L$28)-COUNTBLANK($L$2:$L$28),"",INDIRECT(ADDRESS(SMALL((IF($L$2:$L$28&lt;&gt;"",ROW($L$2:$L$28),ROW()+ROWS($L$2:$L$28))),ROW()-ROW($M$2:$M$28)+1),COLUMN($L$2:$L$28),4)))</f>
        <v>#REF!</v>
      </c>
      <c r="Y18" s="436" t="e">
        <f t="array" aca="1" ref="Y18" ca="1">IF(ROW()-ROW($N$2:$N$28)+1&gt;ROWS($M$2:$M$28)-COUNTBLANK($M$2:$M$28),"",INDIRECT(ADDRESS(SMALL((IF($M$2:$M$28&lt;&gt;"",ROW($M$2:$M$28),ROW()+ROWS($M$2:$M$28))),ROW()-ROW($N$2:$N$28)+1),COLUMN($M$2:$M$28),4)))</f>
        <v>#REF!</v>
      </c>
    </row>
    <row r="19" spans="1:25" x14ac:dyDescent="0.25">
      <c r="A19" s="436" t="str">
        <f>IF('Indicator sheet'!R62=0,"",'Indicator sheet'!R62)</f>
        <v>Incomplete</v>
      </c>
      <c r="B19" s="436"/>
      <c r="C19" s="490">
        <f>IF($A19="I.O.","",'Indicator sheet'!B62)</f>
        <v>12</v>
      </c>
      <c r="D19" s="436" t="str">
        <f>IF($A19="I.O.","",'Indicator sheet'!E62)</f>
        <v>Permanent seed implantation – D 90 &gt; 130 Gy
* Implementation of this therapy is voluntary!</v>
      </c>
      <c r="E19" s="436" t="str">
        <f>IF(AND('Indicator sheet'!L62="",$A19&lt;&gt;"I.O."),"-----",IF($A19="I.O.","",'Indicator sheet'!L62))</f>
        <v>-----</v>
      </c>
      <c r="F19" s="436" t="str">
        <f>IF($A19="I.O.","",'Indicator sheet'!M62)</f>
        <v>≥ 90%</v>
      </c>
      <c r="G19" s="436" t="str">
        <f>IF(AND('Indicator sheet'!O62="",$A19&lt;&gt;"I.O."),"-----",IF($A19="I.O.","",'Indicator sheet'!O62))</f>
        <v>-----</v>
      </c>
      <c r="H19" s="436" t="str">
        <f>IF($A19="I.O.","",IF('Indicator sheet'!Q62="","-----",'Indicator sheet'!Q62))</f>
        <v>-----</v>
      </c>
      <c r="I19" s="436" t="str">
        <f t="shared" si="2"/>
        <v>-----</v>
      </c>
      <c r="J19" s="436" t="str">
        <f t="shared" si="2"/>
        <v>-----</v>
      </c>
      <c r="K19" s="436" t="str">
        <f>IF($A19="I.O.","",'Indicator sheet'!R62)</f>
        <v>Incomplete</v>
      </c>
      <c r="L19" s="436" t="str">
        <f>IF(AND('Indicator sheet'!S62="",$A19&lt;&gt;"I.O."),"-----",IF($A19="I.O.","",'Indicator sheet'!S62))</f>
        <v>-----</v>
      </c>
      <c r="M19" s="436" t="str">
        <f>IF(AND('Indicator sheet'!T62="",$A19&lt;&gt;"I.O."),"-----",IF($A19="I.O.","",'Indicator sheet'!T62))</f>
        <v>-----</v>
      </c>
      <c r="O19" s="491" t="e">
        <f t="array" aca="1" ref="O19" ca="1">IF(ROW()-ROW($D$2:$D$28)+1&gt;ROWS($C$2:$C$28)-COUNTBLANK($C$2:$C$28),"",INDIRECT(ADDRESS(SMALL((IF($C$2:$C$28&lt;&gt;"",ROW($C$2:$C$28),ROW()+ROWS($C$2:$C$28))),ROW()-ROW($D$2:$D$28)+1),COLUMN($C$2:$C$28),4)))</f>
        <v>#REF!</v>
      </c>
      <c r="P19" s="436" t="e">
        <f t="array" aca="1" ref="P19" ca="1">IF(ROW()-ROW($E$2:$E$28)+1&gt;ROWS($D$2:$D$28)-COUNTBLANK($D$2:$D$28),"",INDIRECT(ADDRESS(SMALL((IF($D$2:$D$28&gt;"",ROW($D$2:$D$28),ROW()+ROWS($D$2:$D$28))),ROW()-ROW($E$2:$E$28)+1),COLUMN($D$2:$D$28),4)))</f>
        <v>#REF!</v>
      </c>
      <c r="Q19" s="436" t="e">
        <f t="array" aca="1" ref="Q19" ca="1">IF(ROW()-ROW($F$2:$F$28)+1&gt;ROWS($E$2:$E$28)-COUNTBLANK($E$2:$E$28),"",INDIRECT(ADDRESS(SMALL((IF($E$2:$E$28&gt;"",ROW($E$2:$E$28),ROW()+ROWS($E$2:$E$28))),ROW()-ROW($F$2:$F$28)+1),COLUMN($E$2:$E$28),4)))</f>
        <v>#REF!</v>
      </c>
      <c r="R19" s="436" t="e">
        <f t="array" aca="1" ref="R19" ca="1">IF(ROW()-ROW($G$2:$G$28)+1&gt;ROWS($F$2:$F$28)-COUNTBLANK($F$2:$F$28),"",INDIRECT(ADDRESS(SMALL((IF($F$2:$F$28&gt;"",ROW($F$2:$F$28),ROW()+ROWS($F$2:$F$28))),ROW()-ROW($G$2:$G$28)+1),COLUMN($F$2:$F$28),4)))</f>
        <v>#REF!</v>
      </c>
      <c r="S19" s="436" t="e">
        <f t="array" aca="1" ref="S19" ca="1">IF(ROW()-ROW($H$2:$H$28)+1&gt;ROWS($G$2:$G$28)-COUNTBLANK($G$2:$G$28),"",INDIRECT(ADDRESS(SMALL((IF($G$2:$G$28&lt;&gt;"",ROW($G$2:$G$28),ROW()+ROWS($G$2:$G$28))),ROW()-ROW($H$2:$H$28)+1),COLUMN($G$2:$G$28),4)))</f>
        <v>#REF!</v>
      </c>
      <c r="T19" s="436" t="e">
        <f t="array" aca="1" ref="T19" ca="1">IF(ROW()-ROW($I$2:$I$28)+1&gt;ROWS($H$2:$H$28)-COUNTBLANK($H$2:$H$28),"",INDIRECT(ADDRESS(SMALL((IF($H$2:$H$28&lt;&gt;"",ROW($H$2:$H$28),ROW()+ROWS($H$2:$H$28))),ROW()-ROW($I$2:$I$28)+1),COLUMN($H$2:$H$28),4)))</f>
        <v>#REF!</v>
      </c>
      <c r="U19" s="436" t="e">
        <f t="array" aca="1" ref="U19" ca="1">IF(ROW()-ROW($J$2:$J$28)+1&gt;ROWS($I$2:$I$28)-COUNTBLANK($I$2:$I$28),"",INDIRECT(ADDRESS(SMALL((IF($I$2:$I$28&lt;&gt;"",ROW($I$2:$I$28),ROW()+ROWS($I$2:$I$28))),ROW()-ROW($J$2:$J$28)+1),COLUMN($I$2:$I$28),4)))</f>
        <v>#REF!</v>
      </c>
      <c r="V19" s="436" t="e">
        <f t="array" aca="1" ref="V19" ca="1">IF(ROW()-ROW($K$2:$K$28)+1&gt;ROWS($J$2:$J$28)-COUNTBLANK($J$2:$J$28),"",INDIRECT(ADDRESS(SMALL((IF($J$2:$J$28&lt;&gt;"",ROW($J$2:$J$28),ROW()+ROWS($J$2:$J$28))),ROW()-ROW($K$2:$K$28)+1),COLUMN($J$2:$J$28),4)))</f>
        <v>#REF!</v>
      </c>
      <c r="W19" s="436" t="e">
        <f t="array" aca="1" ref="W19" ca="1">IF(ROW()-ROW($L$2:$L$28)+1&gt;ROWS($K$2:$K$28)-COUNTBLANK($K$2:$K$28),"",INDIRECT(ADDRESS(SMALL((IF($K$2:$K$28&lt;&gt;"",ROW($K$2:$K$28),ROW()+ROWS($K$2:$K$28))),ROW()-ROW($L$2:$L$28)+1),COLUMN($K$2:$K$28),4)))</f>
        <v>#REF!</v>
      </c>
      <c r="X19" s="436" t="e">
        <f t="array" aca="1" ref="X19" ca="1">IF(ROW()-ROW($M$2:$M$28)+1&gt;ROWS($L$2:$L$28)-COUNTBLANK($L$2:$L$28),"",INDIRECT(ADDRESS(SMALL((IF($L$2:$L$28&lt;&gt;"",ROW($L$2:$L$28),ROW()+ROWS($L$2:$L$28))),ROW()-ROW($M$2:$M$28)+1),COLUMN($L$2:$L$28),4)))</f>
        <v>#REF!</v>
      </c>
      <c r="Y19" s="436" t="e">
        <f t="array" aca="1" ref="Y19" ca="1">IF(ROW()-ROW($N$2:$N$28)+1&gt;ROWS($M$2:$M$28)-COUNTBLANK($M$2:$M$28),"",INDIRECT(ADDRESS(SMALL((IF($M$2:$M$28&lt;&gt;"",ROW($M$2:$M$28),ROW()+ROWS($M$2:$M$28))),ROW()-ROW($N$2:$N$28)+1),COLUMN($M$2:$M$28),4)))</f>
        <v>#REF!</v>
      </c>
    </row>
    <row r="20" spans="1:25" x14ac:dyDescent="0.25">
      <c r="A20" s="436" t="str">
        <f>IF('Indicator sheet'!R65=0,"",'Indicator sheet'!R65)</f>
        <v>Incomplete</v>
      </c>
      <c r="B20" s="436"/>
      <c r="C20" s="490">
        <f>IF($A20="I.O.","",'Indicator sheet'!B65)</f>
        <v>13</v>
      </c>
      <c r="D20" s="436" t="str">
        <f>IF($A20="I.O.","",'Indicator sheet'!E65)</f>
        <v>HDR brachytherapy
* Implementation of this therapy is voluntary!</v>
      </c>
      <c r="E20" s="436" t="str">
        <f>IF(AND('Indicator sheet'!L65="",$A20&lt;&gt;"I.O."),"-----",IF($A20="I.O.","",'Indicator sheet'!L65))</f>
        <v>-----</v>
      </c>
      <c r="F20" s="436" t="str">
        <f>IF($A20="I.O.","",'Indicator sheet'!M65)</f>
        <v>No target value</v>
      </c>
      <c r="G20" s="436" t="str">
        <f>IF(AND('Indicator sheet'!O65="",$A20&lt;&gt;"I.O."),"-----",IF($A20="I.O.","",'Indicator sheet'!O65))</f>
        <v>-----</v>
      </c>
      <c r="H20" s="436">
        <f>IF($A20="I.O.","",IF('Indicator sheet'!Q65="","-----",'Indicator sheet'!Q65))</f>
        <v>0</v>
      </c>
      <c r="I20" s="436" t="str">
        <f t="shared" si="2"/>
        <v>-----</v>
      </c>
      <c r="J20" s="436" t="str">
        <f t="shared" si="2"/>
        <v>-----</v>
      </c>
      <c r="K20" s="436" t="str">
        <f>IF($A20="I.O.","",'Indicator sheet'!R65)</f>
        <v>Incomplete</v>
      </c>
      <c r="L20" s="436" t="str">
        <f>IF(AND('Indicator sheet'!S65="",$A20&lt;&gt;"I.O."),"-----",IF($A20="I.O.","",'Indicator sheet'!S65))</f>
        <v>-----</v>
      </c>
      <c r="M20" s="436" t="str">
        <f>IF(AND('Indicator sheet'!T65="",$A20&lt;&gt;"I.O."),"-----",IF($A20="I.O.","",'Indicator sheet'!T65))</f>
        <v>-----</v>
      </c>
      <c r="O20" s="491" t="e">
        <f t="array" aca="1" ref="O20" ca="1">IF(ROW()-ROW($D$2:$D$28)+1&gt;ROWS($C$2:$C$28)-COUNTBLANK($C$2:$C$28),"",INDIRECT(ADDRESS(SMALL((IF($C$2:$C$28&lt;&gt;"",ROW($C$2:$C$28),ROW()+ROWS($C$2:$C$28))),ROW()-ROW($D$2:$D$28)+1),COLUMN($C$2:$C$28),4)))</f>
        <v>#REF!</v>
      </c>
      <c r="P20" s="436" t="e">
        <f t="array" aca="1" ref="P20" ca="1">IF(ROW()-ROW($E$2:$E$28)+1&gt;ROWS($D$2:$D$28)-COUNTBLANK($D$2:$D$28),"",INDIRECT(ADDRESS(SMALL((IF($D$2:$D$28&gt;"",ROW($D$2:$D$28),ROW()+ROWS($D$2:$D$28))),ROW()-ROW($E$2:$E$28)+1),COLUMN($D$2:$D$28),4)))</f>
        <v>#REF!</v>
      </c>
      <c r="Q20" s="436" t="e">
        <f t="array" aca="1" ref="Q20" ca="1">IF(ROW()-ROW($F$2:$F$28)+1&gt;ROWS($E$2:$E$28)-COUNTBLANK($E$2:$E$28),"",INDIRECT(ADDRESS(SMALL((IF($E$2:$E$28&gt;"",ROW($E$2:$E$28),ROW()+ROWS($E$2:$E$28))),ROW()-ROW($F$2:$F$28)+1),COLUMN($E$2:$E$28),4)))</f>
        <v>#REF!</v>
      </c>
      <c r="R20" s="436" t="e">
        <f t="array" aca="1" ref="R20" ca="1">IF(ROW()-ROW($G$2:$G$28)+1&gt;ROWS($F$2:$F$28)-COUNTBLANK($F$2:$F$28),"",INDIRECT(ADDRESS(SMALL((IF($F$2:$F$28&gt;"",ROW($F$2:$F$28),ROW()+ROWS($F$2:$F$28))),ROW()-ROW($G$2:$G$28)+1),COLUMN($F$2:$F$28),4)))</f>
        <v>#REF!</v>
      </c>
      <c r="S20" s="436" t="e">
        <f t="array" aca="1" ref="S20" ca="1">IF(ROW()-ROW($H$2:$H$28)+1&gt;ROWS($G$2:$G$28)-COUNTBLANK($G$2:$G$28),"",INDIRECT(ADDRESS(SMALL((IF($G$2:$G$28&lt;&gt;"",ROW($G$2:$G$28),ROW()+ROWS($G$2:$G$28))),ROW()-ROW($H$2:$H$28)+1),COLUMN($G$2:$G$28),4)))</f>
        <v>#REF!</v>
      </c>
      <c r="T20" s="436" t="e">
        <f t="array" aca="1" ref="T20" ca="1">IF(ROW()-ROW($I$2:$I$28)+1&gt;ROWS($H$2:$H$28)-COUNTBLANK($H$2:$H$28),"",INDIRECT(ADDRESS(SMALL((IF($H$2:$H$28&lt;&gt;"",ROW($H$2:$H$28),ROW()+ROWS($H$2:$H$28))),ROW()-ROW($I$2:$I$28)+1),COLUMN($H$2:$H$28),4)))</f>
        <v>#REF!</v>
      </c>
      <c r="U20" s="436" t="e">
        <f t="array" aca="1" ref="U20" ca="1">IF(ROW()-ROW($J$2:$J$28)+1&gt;ROWS($I$2:$I$28)-COUNTBLANK($I$2:$I$28),"",INDIRECT(ADDRESS(SMALL((IF($I$2:$I$28&lt;&gt;"",ROW($I$2:$I$28),ROW()+ROWS($I$2:$I$28))),ROW()-ROW($J$2:$J$28)+1),COLUMN($I$2:$I$28),4)))</f>
        <v>#REF!</v>
      </c>
      <c r="V20" s="436" t="e">
        <f t="array" aca="1" ref="V20" ca="1">IF(ROW()-ROW($K$2:$K$28)+1&gt;ROWS($J$2:$J$28)-COUNTBLANK($J$2:$J$28),"",INDIRECT(ADDRESS(SMALL((IF($J$2:$J$28&lt;&gt;"",ROW($J$2:$J$28),ROW()+ROWS($J$2:$J$28))),ROW()-ROW($K$2:$K$28)+1),COLUMN($J$2:$J$28),4)))</f>
        <v>#REF!</v>
      </c>
      <c r="W20" s="436" t="e">
        <f t="array" aca="1" ref="W20" ca="1">IF(ROW()-ROW($L$2:$L$28)+1&gt;ROWS($K$2:$K$28)-COUNTBLANK($K$2:$K$28),"",INDIRECT(ADDRESS(SMALL((IF($K$2:$K$28&lt;&gt;"",ROW($K$2:$K$28),ROW()+ROWS($K$2:$K$28))),ROW()-ROW($L$2:$L$28)+1),COLUMN($K$2:$K$28),4)))</f>
        <v>#REF!</v>
      </c>
      <c r="X20" s="436" t="e">
        <f t="array" aca="1" ref="X20" ca="1">IF(ROW()-ROW($M$2:$M$28)+1&gt;ROWS($L$2:$L$28)-COUNTBLANK($L$2:$L$28),"",INDIRECT(ADDRESS(SMALL((IF($L$2:$L$28&lt;&gt;"",ROW($L$2:$L$28),ROW()+ROWS($L$2:$L$28))),ROW()-ROW($M$2:$M$28)+1),COLUMN($L$2:$L$28),4)))</f>
        <v>#REF!</v>
      </c>
      <c r="Y20" s="436" t="e">
        <f t="array" aca="1" ref="Y20" ca="1">IF(ROW()-ROW($N$2:$N$28)+1&gt;ROWS($M$2:$M$28)-COUNTBLANK($M$2:$M$28),"",INDIRECT(ADDRESS(SMALL((IF($M$2:$M$28&lt;&gt;"",ROW($M$2:$M$28),ROW()+ROWS($M$2:$M$28))),ROW()-ROW($N$2:$N$28)+1),COLUMN($M$2:$M$28),4)))</f>
        <v>#REF!</v>
      </c>
    </row>
    <row r="21" spans="1:25" x14ac:dyDescent="0.25">
      <c r="A21" s="436" t="str">
        <f>IF('Indicator sheet'!R68=0,"",'Indicator sheet'!R68)</f>
        <v>Incomplete</v>
      </c>
      <c r="B21" s="436"/>
      <c r="C21" s="490">
        <f>IF($A21="I.O.","",'Indicator sheet'!B68)</f>
        <v>14</v>
      </c>
      <c r="D21" s="436" t="str">
        <f>IF($A21="I.O.","",'Indicator sheet'!E68)</f>
        <v>Diagnostic report - punch biopsy</v>
      </c>
      <c r="E21" s="436" t="str">
        <f>IF(AND('Indicator sheet'!L68="",$A21&lt;&gt;"I.O."),"-----",IF($A21="I.O.","",'Indicator sheet'!L68))</f>
        <v>-----</v>
      </c>
      <c r="F21" s="436" t="str">
        <f>IF($A21="I.O.","",'Indicator sheet'!M68)</f>
        <v>≥ 90%</v>
      </c>
      <c r="G21" s="436" t="str">
        <f>IF(AND('Indicator sheet'!O68="",$A21&lt;&gt;"I.O."),"-----",IF($A21="I.O.","",'Indicator sheet'!O68))</f>
        <v>-----</v>
      </c>
      <c r="H21" s="436" t="str">
        <f>IF($A21="I.O.","",IF('Indicator sheet'!Q68="","-----",'Indicator sheet'!Q68))</f>
        <v>-----</v>
      </c>
      <c r="I21" s="436" t="str">
        <f t="shared" si="2"/>
        <v>-----</v>
      </c>
      <c r="J21" s="436" t="str">
        <f t="shared" si="2"/>
        <v>-----</v>
      </c>
      <c r="K21" s="436" t="str">
        <f>IF($A21="I.O.","",'Indicator sheet'!R68)</f>
        <v>Incomplete</v>
      </c>
      <c r="L21" s="436" t="str">
        <f>IF(AND('Indicator sheet'!S68="",$A21&lt;&gt;"I.O."),"-----",IF($A21="I.O.","",'Indicator sheet'!S68))</f>
        <v>-----</v>
      </c>
      <c r="M21" s="436" t="str">
        <f>IF(AND('Indicator sheet'!T68="",$A21&lt;&gt;"I.O."),"-----",IF($A21="I.O.","",'Indicator sheet'!T68))</f>
        <v>-----</v>
      </c>
      <c r="O21" s="491" t="e">
        <f t="array" aca="1" ref="O21" ca="1">IF(ROW()-ROW($D$2:$D$28)+1&gt;ROWS($C$2:$C$28)-COUNTBLANK($C$2:$C$28),"",INDIRECT(ADDRESS(SMALL((IF($C$2:$C$28&lt;&gt;"",ROW($C$2:$C$28),ROW()+ROWS($C$2:$C$28))),ROW()-ROW($D$2:$D$28)+1),COLUMN($C$2:$C$28),4)))</f>
        <v>#REF!</v>
      </c>
      <c r="P21" s="436" t="e">
        <f t="array" aca="1" ref="P21" ca="1">IF(ROW()-ROW($E$2:$E$28)+1&gt;ROWS($D$2:$D$28)-COUNTBLANK($D$2:$D$28),"",INDIRECT(ADDRESS(SMALL((IF($D$2:$D$28&gt;"",ROW($D$2:$D$28),ROW()+ROWS($D$2:$D$28))),ROW()-ROW($E$2:$E$28)+1),COLUMN($D$2:$D$28),4)))</f>
        <v>#REF!</v>
      </c>
      <c r="Q21" s="436" t="e">
        <f t="array" aca="1" ref="Q21" ca="1">IF(ROW()-ROW($F$2:$F$28)+1&gt;ROWS($E$2:$E$28)-COUNTBLANK($E$2:$E$28),"",INDIRECT(ADDRESS(SMALL((IF($E$2:$E$28&gt;"",ROW($E$2:$E$28),ROW()+ROWS($E$2:$E$28))),ROW()-ROW($F$2:$F$28)+1),COLUMN($E$2:$E$28),4)))</f>
        <v>#REF!</v>
      </c>
      <c r="R21" s="436" t="e">
        <f t="array" aca="1" ref="R21" ca="1">IF(ROW()-ROW($G$2:$G$28)+1&gt;ROWS($F$2:$F$28)-COUNTBLANK($F$2:$F$28),"",INDIRECT(ADDRESS(SMALL((IF($F$2:$F$28&gt;"",ROW($F$2:$F$28),ROW()+ROWS($F$2:$F$28))),ROW()-ROW($G$2:$G$28)+1),COLUMN($F$2:$F$28),4)))</f>
        <v>#REF!</v>
      </c>
      <c r="S21" s="436" t="e">
        <f t="array" aca="1" ref="S21" ca="1">IF(ROW()-ROW($H$2:$H$28)+1&gt;ROWS($G$2:$G$28)-COUNTBLANK($G$2:$G$28),"",INDIRECT(ADDRESS(SMALL((IF($G$2:$G$28&lt;&gt;"",ROW($G$2:$G$28),ROW()+ROWS($G$2:$G$28))),ROW()-ROW($H$2:$H$28)+1),COLUMN($G$2:$G$28),4)))</f>
        <v>#REF!</v>
      </c>
      <c r="T21" s="436" t="e">
        <f t="array" aca="1" ref="T21" ca="1">IF(ROW()-ROW($I$2:$I$28)+1&gt;ROWS($H$2:$H$28)-COUNTBLANK($H$2:$H$28),"",INDIRECT(ADDRESS(SMALL((IF($H$2:$H$28&lt;&gt;"",ROW($H$2:$H$28),ROW()+ROWS($H$2:$H$28))),ROW()-ROW($I$2:$I$28)+1),COLUMN($H$2:$H$28),4)))</f>
        <v>#REF!</v>
      </c>
      <c r="U21" s="436" t="e">
        <f t="array" aca="1" ref="U21" ca="1">IF(ROW()-ROW($J$2:$J$28)+1&gt;ROWS($I$2:$I$28)-COUNTBLANK($I$2:$I$28),"",INDIRECT(ADDRESS(SMALL((IF($I$2:$I$28&lt;&gt;"",ROW($I$2:$I$28),ROW()+ROWS($I$2:$I$28))),ROW()-ROW($J$2:$J$28)+1),COLUMN($I$2:$I$28),4)))</f>
        <v>#REF!</v>
      </c>
      <c r="V21" s="436" t="e">
        <f t="array" aca="1" ref="V21" ca="1">IF(ROW()-ROW($K$2:$K$28)+1&gt;ROWS($J$2:$J$28)-COUNTBLANK($J$2:$J$28),"",INDIRECT(ADDRESS(SMALL((IF($J$2:$J$28&lt;&gt;"",ROW($J$2:$J$28),ROW()+ROWS($J$2:$J$28))),ROW()-ROW($K$2:$K$28)+1),COLUMN($J$2:$J$28),4)))</f>
        <v>#REF!</v>
      </c>
      <c r="W21" s="436" t="e">
        <f t="array" aca="1" ref="W21" ca="1">IF(ROW()-ROW($L$2:$L$28)+1&gt;ROWS($K$2:$K$28)-COUNTBLANK($K$2:$K$28),"",INDIRECT(ADDRESS(SMALL((IF($K$2:$K$28&lt;&gt;"",ROW($K$2:$K$28),ROW()+ROWS($K$2:$K$28))),ROW()-ROW($L$2:$L$28)+1),COLUMN($K$2:$K$28),4)))</f>
        <v>#REF!</v>
      </c>
      <c r="X21" s="436" t="e">
        <f t="array" aca="1" ref="X21" ca="1">IF(ROW()-ROW($M$2:$M$28)+1&gt;ROWS($L$2:$L$28)-COUNTBLANK($L$2:$L$28),"",INDIRECT(ADDRESS(SMALL((IF($L$2:$L$28&lt;&gt;"",ROW($L$2:$L$28),ROW()+ROWS($L$2:$L$28))),ROW()-ROW($M$2:$M$28)+1),COLUMN($L$2:$L$28),4)))</f>
        <v>#REF!</v>
      </c>
      <c r="Y21" s="436" t="e">
        <f t="array" aca="1" ref="Y21" ca="1">IF(ROW()-ROW($N$2:$N$28)+1&gt;ROWS($M$2:$M$28)-COUNTBLANK($M$2:$M$28),"",INDIRECT(ADDRESS(SMALL((IF($M$2:$M$28&lt;&gt;"",ROW($M$2:$M$28),ROW()+ROWS($M$2:$M$28))),ROW()-ROW($N$2:$N$28)+1),COLUMN($M$2:$M$28),4)))</f>
        <v>#REF!</v>
      </c>
    </row>
    <row r="22" spans="1:25" x14ac:dyDescent="0.25">
      <c r="A22" s="436" t="str">
        <f>IF('Indicator sheet'!R71=0,"",'Indicator sheet'!R71)</f>
        <v>Incomplete</v>
      </c>
      <c r="B22" s="436"/>
      <c r="C22" s="490">
        <f>IF($A22="I.O.","",'Indicator sheet'!B71)</f>
        <v>15</v>
      </c>
      <c r="D22" s="436" t="str">
        <f>IF($A22="I.O.","",'Indicator sheet'!E71)</f>
        <v>Diagnostic report - lymph nodes</v>
      </c>
      <c r="E22" s="436" t="str">
        <f>IF(AND('Indicator sheet'!L71="",$A22&lt;&gt;"I.O."),"-----",IF($A22="I.O.","",'Indicator sheet'!L71))</f>
        <v>-----</v>
      </c>
      <c r="F22" s="436" t="str">
        <f>IF($A22="I.O.","",'Indicator sheet'!M71)</f>
        <v>≥ 95%</v>
      </c>
      <c r="G22" s="436" t="str">
        <f>IF(AND('Indicator sheet'!O71="",$A22&lt;&gt;"I.O."),"-----",IF($A22="I.O.","",'Indicator sheet'!O71))</f>
        <v>-----</v>
      </c>
      <c r="H22" s="436" t="str">
        <f>IF($A22="I.O.","",IF('Indicator sheet'!Q71="","-----",'Indicator sheet'!Q71))</f>
        <v>-----</v>
      </c>
      <c r="I22" s="436" t="str">
        <f t="shared" si="2"/>
        <v>-----</v>
      </c>
      <c r="J22" s="436" t="str">
        <f t="shared" si="2"/>
        <v>-----</v>
      </c>
      <c r="K22" s="436" t="str">
        <f>IF($A22="I.O.","",'Indicator sheet'!R71)</f>
        <v>Incomplete</v>
      </c>
      <c r="L22" s="436" t="str">
        <f>IF(AND('Indicator sheet'!S71="",$A22&lt;&gt;"I.O."),"-----",IF($A22="I.O.","",'Indicator sheet'!S71))</f>
        <v>-----</v>
      </c>
      <c r="M22" s="436" t="str">
        <f>IF(AND('Indicator sheet'!T71="",$A22&lt;&gt;"I.O."),"-----",IF($A22="I.O.","",'Indicator sheet'!T71))</f>
        <v>-----</v>
      </c>
      <c r="O22" s="491" t="e">
        <f t="array" aca="1" ref="O22" ca="1">IF(ROW()-ROW($D$2:$D$28)+1&gt;ROWS($C$2:$C$28)-COUNTBLANK($C$2:$C$28),"",INDIRECT(ADDRESS(SMALL((IF($C$2:$C$28&lt;&gt;"",ROW($C$2:$C$28),ROW()+ROWS($C$2:$C$28))),ROW()-ROW($D$2:$D$28)+1),COLUMN($C$2:$C$28),4)))</f>
        <v>#REF!</v>
      </c>
      <c r="P22" s="436" t="e">
        <f t="array" aca="1" ref="P22" ca="1">IF(ROW()-ROW($E$2:$E$28)+1&gt;ROWS($D$2:$D$28)-COUNTBLANK($D$2:$D$28),"",INDIRECT(ADDRESS(SMALL((IF($D$2:$D$28&gt;"",ROW($D$2:$D$28),ROW()+ROWS($D$2:$D$28))),ROW()-ROW($E$2:$E$28)+1),COLUMN($D$2:$D$28),4)))</f>
        <v>#REF!</v>
      </c>
      <c r="Q22" s="436" t="e">
        <f t="array" aca="1" ref="Q22" ca="1">IF(ROW()-ROW($F$2:$F$28)+1&gt;ROWS($E$2:$E$28)-COUNTBLANK($E$2:$E$28),"",INDIRECT(ADDRESS(SMALL((IF($E$2:$E$28&gt;"",ROW($E$2:$E$28),ROW()+ROWS($E$2:$E$28))),ROW()-ROW($F$2:$F$28)+1),COLUMN($E$2:$E$28),4)))</f>
        <v>#REF!</v>
      </c>
      <c r="R22" s="436" t="e">
        <f t="array" aca="1" ref="R22" ca="1">IF(ROW()-ROW($G$2:$G$28)+1&gt;ROWS($F$2:$F$28)-COUNTBLANK($F$2:$F$28),"",INDIRECT(ADDRESS(SMALL((IF($F$2:$F$28&gt;"",ROW($F$2:$F$28),ROW()+ROWS($F$2:$F$28))),ROW()-ROW($G$2:$G$28)+1),COLUMN($F$2:$F$28),4)))</f>
        <v>#REF!</v>
      </c>
      <c r="S22" s="436" t="e">
        <f t="array" aca="1" ref="S22" ca="1">IF(ROW()-ROW($H$2:$H$28)+1&gt;ROWS($G$2:$G$28)-COUNTBLANK($G$2:$G$28),"",INDIRECT(ADDRESS(SMALL((IF($G$2:$G$28&lt;&gt;"",ROW($G$2:$G$28),ROW()+ROWS($G$2:$G$28))),ROW()-ROW($H$2:$H$28)+1),COLUMN($G$2:$G$28),4)))</f>
        <v>#REF!</v>
      </c>
      <c r="T22" s="436" t="e">
        <f t="array" aca="1" ref="T22" ca="1">IF(ROW()-ROW($I$2:$I$28)+1&gt;ROWS($H$2:$H$28)-COUNTBLANK($H$2:$H$28),"",INDIRECT(ADDRESS(SMALL((IF($H$2:$H$28&lt;&gt;"",ROW($H$2:$H$28),ROW()+ROWS($H$2:$H$28))),ROW()-ROW($I$2:$I$28)+1),COLUMN($H$2:$H$28),4)))</f>
        <v>#REF!</v>
      </c>
      <c r="U22" s="436" t="e">
        <f t="array" aca="1" ref="U22" ca="1">IF(ROW()-ROW($J$2:$J$28)+1&gt;ROWS($I$2:$I$28)-COUNTBLANK($I$2:$I$28),"",INDIRECT(ADDRESS(SMALL((IF($I$2:$I$28&lt;&gt;"",ROW($I$2:$I$28),ROW()+ROWS($I$2:$I$28))),ROW()-ROW($J$2:$J$28)+1),COLUMN($I$2:$I$28),4)))</f>
        <v>#REF!</v>
      </c>
      <c r="V22" s="436" t="e">
        <f t="array" aca="1" ref="V22" ca="1">IF(ROW()-ROW($K$2:$K$28)+1&gt;ROWS($J$2:$J$28)-COUNTBLANK($J$2:$J$28),"",INDIRECT(ADDRESS(SMALL((IF($J$2:$J$28&lt;&gt;"",ROW($J$2:$J$28),ROW()+ROWS($J$2:$J$28))),ROW()-ROW($K$2:$K$28)+1),COLUMN($J$2:$J$28),4)))</f>
        <v>#REF!</v>
      </c>
      <c r="W22" s="436" t="e">
        <f t="array" aca="1" ref="W22" ca="1">IF(ROW()-ROW($L$2:$L$28)+1&gt;ROWS($K$2:$K$28)-COUNTBLANK($K$2:$K$28),"",INDIRECT(ADDRESS(SMALL((IF($K$2:$K$28&lt;&gt;"",ROW($K$2:$K$28),ROW()+ROWS($K$2:$K$28))),ROW()-ROW($L$2:$L$28)+1),COLUMN($K$2:$K$28),4)))</f>
        <v>#REF!</v>
      </c>
      <c r="X22" s="436" t="e">
        <f t="array" aca="1" ref="X22" ca="1">IF(ROW()-ROW($M$2:$M$28)+1&gt;ROWS($L$2:$L$28)-COUNTBLANK($L$2:$L$28),"",INDIRECT(ADDRESS(SMALL((IF($L$2:$L$28&lt;&gt;"",ROW($L$2:$L$28),ROW()+ROWS($L$2:$L$28))),ROW()-ROW($M$2:$M$28)+1),COLUMN($L$2:$L$28),4)))</f>
        <v>#REF!</v>
      </c>
      <c r="Y22" s="436" t="e">
        <f t="array" aca="1" ref="Y22" ca="1">IF(ROW()-ROW($N$2:$N$28)+1&gt;ROWS($M$2:$M$28)-COUNTBLANK($M$2:$M$28),"",INDIRECT(ADDRESS(SMALL((IF($M$2:$M$28&lt;&gt;"",ROW($M$2:$M$28),ROW()+ROWS($M$2:$M$28))),ROW()-ROW($N$2:$N$28)+1),COLUMN($M$2:$M$28),4)))</f>
        <v>#REF!</v>
      </c>
    </row>
    <row r="23" spans="1:25" x14ac:dyDescent="0.25">
      <c r="A23" s="436" t="str">
        <f>IF('Indicator sheet'!R74=0,"",'Indicator sheet'!R74)</f>
        <v>Incomplete</v>
      </c>
      <c r="B23" s="436"/>
      <c r="C23" s="490">
        <f>IF($A23="I.O.","",'Indicator sheet'!B74)</f>
        <v>16</v>
      </c>
      <c r="D23" s="436" t="str">
        <f>IF($A23="I.O.","",'Indicator sheet'!E74)</f>
        <v xml:space="preserve">Beginning of Salvage-radiotherapy for recurrent prostate cancer </v>
      </c>
      <c r="E23" s="436" t="str">
        <f>IF(AND('Indicator sheet'!L74="",$A23&lt;&gt;"I.O."),"-----",IF($A23="I.O.","",'Indicator sheet'!L74))</f>
        <v>-----</v>
      </c>
      <c r="F23" s="436" t="str">
        <f>IF($A23="I.O.","",'Indicator sheet'!M74)</f>
        <v>≥ 70%</v>
      </c>
      <c r="G23" s="436" t="str">
        <f>IF(AND('Indicator sheet'!O74="",$A23&lt;&gt;"I.O."),"-----",IF($A23="I.O.","",'Indicator sheet'!O74))</f>
        <v>-----</v>
      </c>
      <c r="H23" s="436" t="str">
        <f>IF($A23="I.O.","",IF('Indicator sheet'!Q74="","-----",'Indicator sheet'!Q74))</f>
        <v>-----</v>
      </c>
      <c r="I23" s="436" t="str">
        <f t="shared" si="2"/>
        <v>-----</v>
      </c>
      <c r="J23" s="436" t="str">
        <f t="shared" si="2"/>
        <v>-----</v>
      </c>
      <c r="K23" s="436" t="str">
        <f>IF($A23="I.O.","",'Indicator sheet'!R74)</f>
        <v>Incomplete</v>
      </c>
      <c r="L23" s="436" t="str">
        <f>IF(AND('Indicator sheet'!S74="",$A23&lt;&gt;"I.O."),"-----",IF($A23="I.O.","",'Indicator sheet'!S74))</f>
        <v>-----</v>
      </c>
      <c r="M23" s="436" t="str">
        <f>IF(AND('Indicator sheet'!T74="",$A23&lt;&gt;"I.O."),"-----",IF($A23="I.O.","",'Indicator sheet'!T74))</f>
        <v>-----</v>
      </c>
      <c r="O23" s="491" t="e">
        <f t="array" aca="1" ref="O23" ca="1">IF(ROW()-ROW($D$2:$D$28)+1&gt;ROWS($C$2:$C$28)-COUNTBLANK($C$2:$C$28),"",INDIRECT(ADDRESS(SMALL((IF($C$2:$C$28&lt;&gt;"",ROW($C$2:$C$28),ROW()+ROWS($C$2:$C$28))),ROW()-ROW($D$2:$D$28)+1),COLUMN($C$2:$C$28),4)))</f>
        <v>#REF!</v>
      </c>
      <c r="P23" s="436" t="e">
        <f t="array" aca="1" ref="P23" ca="1">IF(ROW()-ROW($E$2:$E$28)+1&gt;ROWS($D$2:$D$28)-COUNTBLANK($D$2:$D$28),"",INDIRECT(ADDRESS(SMALL((IF($D$2:$D$28&gt;"",ROW($D$2:$D$28),ROW()+ROWS($D$2:$D$28))),ROW()-ROW($E$2:$E$28)+1),COLUMN($D$2:$D$28),4)))</f>
        <v>#REF!</v>
      </c>
      <c r="Q23" s="436" t="e">
        <f t="array" aca="1" ref="Q23" ca="1">IF(ROW()-ROW($F$2:$F$28)+1&gt;ROWS($E$2:$E$28)-COUNTBLANK($E$2:$E$28),"",INDIRECT(ADDRESS(SMALL((IF($E$2:$E$28&gt;"",ROW($E$2:$E$28),ROW()+ROWS($E$2:$E$28))),ROW()-ROW($F$2:$F$28)+1),COLUMN($E$2:$E$28),4)))</f>
        <v>#REF!</v>
      </c>
      <c r="R23" s="436" t="e">
        <f t="array" aca="1" ref="R23" ca="1">IF(ROW()-ROW($G$2:$G$28)+1&gt;ROWS($F$2:$F$28)-COUNTBLANK($F$2:$F$28),"",INDIRECT(ADDRESS(SMALL((IF($F$2:$F$28&gt;"",ROW($F$2:$F$28),ROW()+ROWS($F$2:$F$28))),ROW()-ROW($G$2:$G$28)+1),COLUMN($F$2:$F$28),4)))</f>
        <v>#REF!</v>
      </c>
      <c r="S23" s="436" t="e">
        <f t="array" aca="1" ref="S23" ca="1">IF(ROW()-ROW($H$2:$H$28)+1&gt;ROWS($G$2:$G$28)-COUNTBLANK($G$2:$G$28),"",INDIRECT(ADDRESS(SMALL((IF($G$2:$G$28&lt;&gt;"",ROW($G$2:$G$28),ROW()+ROWS($G$2:$G$28))),ROW()-ROW($H$2:$H$28)+1),COLUMN($G$2:$G$28),4)))</f>
        <v>#REF!</v>
      </c>
      <c r="T23" s="436" t="e">
        <f t="array" aca="1" ref="T23" ca="1">IF(ROW()-ROW($I$2:$I$28)+1&gt;ROWS($H$2:$H$28)-COUNTBLANK($H$2:$H$28),"",INDIRECT(ADDRESS(SMALL((IF($H$2:$H$28&lt;&gt;"",ROW($H$2:$H$28),ROW()+ROWS($H$2:$H$28))),ROW()-ROW($I$2:$I$28)+1),COLUMN($H$2:$H$28),4)))</f>
        <v>#REF!</v>
      </c>
      <c r="U23" s="436" t="e">
        <f t="array" aca="1" ref="U23" ca="1">IF(ROW()-ROW($J$2:$J$28)+1&gt;ROWS($I$2:$I$28)-COUNTBLANK($I$2:$I$28),"",INDIRECT(ADDRESS(SMALL((IF($I$2:$I$28&lt;&gt;"",ROW($I$2:$I$28),ROW()+ROWS($I$2:$I$28))),ROW()-ROW($J$2:$J$28)+1),COLUMN($I$2:$I$28),4)))</f>
        <v>#REF!</v>
      </c>
      <c r="V23" s="436" t="e">
        <f t="array" aca="1" ref="V23" ca="1">IF(ROW()-ROW($K$2:$K$28)+1&gt;ROWS($J$2:$J$28)-COUNTBLANK($J$2:$J$28),"",INDIRECT(ADDRESS(SMALL((IF($J$2:$J$28&lt;&gt;"",ROW($J$2:$J$28),ROW()+ROWS($J$2:$J$28))),ROW()-ROW($K$2:$K$28)+1),COLUMN($J$2:$J$28),4)))</f>
        <v>#REF!</v>
      </c>
      <c r="W23" s="436" t="e">
        <f t="array" aca="1" ref="W23" ca="1">IF(ROW()-ROW($L$2:$L$28)+1&gt;ROWS($K$2:$K$28)-COUNTBLANK($K$2:$K$28),"",INDIRECT(ADDRESS(SMALL((IF($K$2:$K$28&lt;&gt;"",ROW($K$2:$K$28),ROW()+ROWS($K$2:$K$28))),ROW()-ROW($L$2:$L$28)+1),COLUMN($K$2:$K$28),4)))</f>
        <v>#REF!</v>
      </c>
      <c r="X23" s="436" t="e">
        <f t="array" aca="1" ref="X23" ca="1">IF(ROW()-ROW($M$2:$M$28)+1&gt;ROWS($L$2:$L$28)-COUNTBLANK($L$2:$L$28),"",INDIRECT(ADDRESS(SMALL((IF($L$2:$L$28&lt;&gt;"",ROW($L$2:$L$28),ROW()+ROWS($L$2:$L$28))),ROW()-ROW($M$2:$M$28)+1),COLUMN($L$2:$L$28),4)))</f>
        <v>#REF!</v>
      </c>
      <c r="Y23" s="436" t="e">
        <f t="array" aca="1" ref="Y23" ca="1">IF(ROW()-ROW($N$2:$N$28)+1&gt;ROWS($M$2:$M$28)-COUNTBLANK($M$2:$M$28),"",INDIRECT(ADDRESS(SMALL((IF($M$2:$M$28&lt;&gt;"",ROW($M$2:$M$28),ROW()+ROWS($M$2:$M$28))),ROW()-ROW($N$2:$N$28)+1),COLUMN($M$2:$M$28),4)))</f>
        <v>#REF!</v>
      </c>
    </row>
    <row r="24" spans="1:25" x14ac:dyDescent="0.25">
      <c r="A24" s="436" t="str">
        <f>IF('Indicator sheet'!R77=0,"",'Indicator sheet'!R77)</f>
        <v>Incomplete</v>
      </c>
      <c r="B24" s="436"/>
      <c r="C24" s="490">
        <f>IF($A24="I.O.","",'Indicator sheet'!B77)</f>
        <v>17</v>
      </c>
      <c r="D24" s="436" t="str">
        <f>IF($A24="I.O.","",'Indicator sheet'!E77)</f>
        <v xml:space="preserve">Postoperative complications after radical prostatectomy </v>
      </c>
      <c r="E24" s="436" t="str">
        <f>IF(AND('Indicator sheet'!L77="",$A24&lt;&gt;"I.O."),"-----",IF($A24="I.O.","",'Indicator sheet'!L77))</f>
        <v>-----</v>
      </c>
      <c r="F24" s="436" t="str">
        <f>IF($A24="I.O.","",'Indicator sheet'!M77)</f>
        <v>≤ 15%</v>
      </c>
      <c r="G24" s="436" t="str">
        <f>IF(AND('Indicator sheet'!O77="",$A24&lt;&gt;"I.O."),"-----",IF($A24="I.O.","",'Indicator sheet'!O77))</f>
        <v>-----</v>
      </c>
      <c r="H24" s="436" t="str">
        <f>IF($A24="I.O.","",IF('Indicator sheet'!Q77="","-----",'Indicator sheet'!Q77))</f>
        <v>-----</v>
      </c>
      <c r="I24" s="436" t="str">
        <f t="shared" ref="I24:J28" si="3">IF($A24="I.O.","","-----")</f>
        <v>-----</v>
      </c>
      <c r="J24" s="436" t="str">
        <f t="shared" si="3"/>
        <v>-----</v>
      </c>
      <c r="K24" s="436" t="str">
        <f>IF($A24="I.O.","",'Indicator sheet'!R77)</f>
        <v>Incomplete</v>
      </c>
      <c r="L24" s="436" t="str">
        <f>IF(AND('Indicator sheet'!S77="",$A24&lt;&gt;"I.O."),"-----",IF($A24="I.O.","",'Indicator sheet'!S77))</f>
        <v>-----</v>
      </c>
      <c r="M24" s="436" t="str">
        <f>IF(AND('Indicator sheet'!T77="",$A24&lt;&gt;"I.O."),"-----",IF($A24="I.O.","",'Indicator sheet'!T77))</f>
        <v>-----</v>
      </c>
      <c r="O24" s="491" t="e">
        <f t="array" aca="1" ref="O24" ca="1">IF(ROW()-ROW($D$2:$D$28)+1&gt;ROWS($C$2:$C$28)-COUNTBLANK($C$2:$C$28),"",INDIRECT(ADDRESS(SMALL((IF($C$2:$C$28&lt;&gt;"",ROW($C$2:$C$28),ROW()+ROWS($C$2:$C$28))),ROW()-ROW($D$2:$D$28)+1),COLUMN($C$2:$C$28),4)))</f>
        <v>#REF!</v>
      </c>
      <c r="P24" s="436" t="e">
        <f t="array" aca="1" ref="P24" ca="1">IF(ROW()-ROW($E$2:$E$28)+1&gt;ROWS($D$2:$D$28)-COUNTBLANK($D$2:$D$28),"",INDIRECT(ADDRESS(SMALL((IF($D$2:$D$28&gt;"",ROW($D$2:$D$28),ROW()+ROWS($D$2:$D$28))),ROW()-ROW($E$2:$E$28)+1),COLUMN($D$2:$D$28),4)))</f>
        <v>#REF!</v>
      </c>
      <c r="Q24" s="436" t="e">
        <f t="array" aca="1" ref="Q24" ca="1">IF(ROW()-ROW($F$2:$F$28)+1&gt;ROWS($E$2:$E$28)-COUNTBLANK($E$2:$E$28),"",INDIRECT(ADDRESS(SMALL((IF($E$2:$E$28&gt;"",ROW($E$2:$E$28),ROW()+ROWS($E$2:$E$28))),ROW()-ROW($F$2:$F$28)+1),COLUMN($E$2:$E$28),4)))</f>
        <v>#REF!</v>
      </c>
      <c r="R24" s="436" t="e">
        <f t="array" aca="1" ref="R24" ca="1">IF(ROW()-ROW($G$2:$G$28)+1&gt;ROWS($F$2:$F$28)-COUNTBLANK($F$2:$F$28),"",INDIRECT(ADDRESS(SMALL((IF($F$2:$F$28&gt;"",ROW($F$2:$F$28),ROW()+ROWS($F$2:$F$28))),ROW()-ROW($G$2:$G$28)+1),COLUMN($F$2:$F$28),4)))</f>
        <v>#REF!</v>
      </c>
      <c r="S24" s="436" t="e">
        <f t="array" aca="1" ref="S24" ca="1">IF(ROW()-ROW($H$2:$H$28)+1&gt;ROWS($G$2:$G$28)-COUNTBLANK($G$2:$G$28),"",INDIRECT(ADDRESS(SMALL((IF($G$2:$G$28&lt;&gt;"",ROW($G$2:$G$28),ROW()+ROWS($G$2:$G$28))),ROW()-ROW($H$2:$H$28)+1),COLUMN($G$2:$G$28),4)))</f>
        <v>#REF!</v>
      </c>
      <c r="T24" s="436" t="e">
        <f t="array" aca="1" ref="T24" ca="1">IF(ROW()-ROW($I$2:$I$28)+1&gt;ROWS($H$2:$H$28)-COUNTBLANK($H$2:$H$28),"",INDIRECT(ADDRESS(SMALL((IF($H$2:$H$28&lt;&gt;"",ROW($H$2:$H$28),ROW()+ROWS($H$2:$H$28))),ROW()-ROW($I$2:$I$28)+1),COLUMN($H$2:$H$28),4)))</f>
        <v>#REF!</v>
      </c>
      <c r="U24" s="436" t="e">
        <f t="array" aca="1" ref="U24" ca="1">IF(ROW()-ROW($J$2:$J$28)+1&gt;ROWS($I$2:$I$28)-COUNTBLANK($I$2:$I$28),"",INDIRECT(ADDRESS(SMALL((IF($I$2:$I$28&lt;&gt;"",ROW($I$2:$I$28),ROW()+ROWS($I$2:$I$28))),ROW()-ROW($J$2:$J$28)+1),COLUMN($I$2:$I$28),4)))</f>
        <v>#REF!</v>
      </c>
      <c r="V24" s="436" t="e">
        <f t="array" aca="1" ref="V24" ca="1">IF(ROW()-ROW($K$2:$K$28)+1&gt;ROWS($J$2:$J$28)-COUNTBLANK($J$2:$J$28),"",INDIRECT(ADDRESS(SMALL((IF($J$2:$J$28&lt;&gt;"",ROW($J$2:$J$28),ROW()+ROWS($J$2:$J$28))),ROW()-ROW($K$2:$K$28)+1),COLUMN($J$2:$J$28),4)))</f>
        <v>#REF!</v>
      </c>
      <c r="W24" s="436" t="e">
        <f t="array" aca="1" ref="W24" ca="1">IF(ROW()-ROW($L$2:$L$28)+1&gt;ROWS($K$2:$K$28)-COUNTBLANK($K$2:$K$28),"",INDIRECT(ADDRESS(SMALL((IF($K$2:$K$28&lt;&gt;"",ROW($K$2:$K$28),ROW()+ROWS($K$2:$K$28))),ROW()-ROW($L$2:$L$28)+1),COLUMN($K$2:$K$28),4)))</f>
        <v>#REF!</v>
      </c>
      <c r="X24" s="436" t="e">
        <f t="array" aca="1" ref="X24" ca="1">IF(ROW()-ROW($M$2:$M$28)+1&gt;ROWS($L$2:$L$28)-COUNTBLANK($L$2:$L$28),"",INDIRECT(ADDRESS(SMALL((IF($L$2:$L$28&lt;&gt;"",ROW($L$2:$L$28),ROW()+ROWS($L$2:$L$28))),ROW()-ROW($M$2:$M$28)+1),COLUMN($L$2:$L$28),4)))</f>
        <v>#REF!</v>
      </c>
      <c r="Y24" s="436" t="e">
        <f t="array" aca="1" ref="Y24" ca="1">IF(ROW()-ROW($N$2:$N$28)+1&gt;ROWS($M$2:$M$28)-COUNTBLANK($M$2:$M$28),"",INDIRECT(ADDRESS(SMALL((IF($M$2:$M$28&lt;&gt;"",ROW($M$2:$M$28),ROW()+ROWS($M$2:$M$28))),ROW()-ROW($N$2:$N$28)+1),COLUMN($M$2:$M$28),4)))</f>
        <v>#REF!</v>
      </c>
    </row>
    <row r="25" spans="1:25" x14ac:dyDescent="0.25">
      <c r="A25" s="436" t="str">
        <f>IF('Indicator sheet'!R80=0,"",'Indicator sheet'!R80)</f>
        <v>Incomplete</v>
      </c>
      <c r="B25" s="436"/>
      <c r="C25" s="490">
        <f>IF($A25="I.O.","",'Indicator sheet'!B80)</f>
        <v>18</v>
      </c>
      <c r="D25" s="436" t="str">
        <f>IF($A25="I.O.","",'Indicator sheet'!E80)</f>
        <v xml:space="preserve">Adverse effects after radiotherapy </v>
      </c>
      <c r="E25" s="436" t="str">
        <f>IF(AND('Indicator sheet'!L80="",$A25&lt;&gt;"I.O."),"-----",IF($A25="I.O.","",'Indicator sheet'!L80))</f>
        <v>-----</v>
      </c>
      <c r="F25" s="436" t="str">
        <f>IF($A25="I.O.","",'Indicator sheet'!M80)</f>
        <v>≤ 3,5%</v>
      </c>
      <c r="G25" s="436" t="str">
        <f>IF(AND('Indicator sheet'!O80="",$A25&lt;&gt;"I.O."),"-----",IF($A25="I.O.","",'Indicator sheet'!O80))</f>
        <v>-----</v>
      </c>
      <c r="H25" s="436" t="str">
        <f>IF($A25="I.O.","",IF('Indicator sheet'!Q80="","-----",'Indicator sheet'!Q80))</f>
        <v>-----</v>
      </c>
      <c r="I25" s="436" t="str">
        <f t="shared" si="3"/>
        <v>-----</v>
      </c>
      <c r="J25" s="436" t="str">
        <f t="shared" si="3"/>
        <v>-----</v>
      </c>
      <c r="K25" s="436" t="str">
        <f>IF($A25="I.O.","",'Indicator sheet'!R80)</f>
        <v>Incomplete</v>
      </c>
      <c r="L25" s="436" t="str">
        <f>IF(AND('Indicator sheet'!S80="",$A25&lt;&gt;"I.O."),"-----",IF($A25="I.O.","",'Indicator sheet'!S80))</f>
        <v>-----</v>
      </c>
      <c r="M25" s="436" t="str">
        <f>IF(AND('Indicator sheet'!T80="",$A25&lt;&gt;"I.O."),"-----",IF($A25="I.O.","",'Indicator sheet'!T80))</f>
        <v>-----</v>
      </c>
      <c r="O25" s="491" t="e">
        <f t="array" aca="1" ref="O25" ca="1">IF(ROW()-ROW($D$2:$D$28)+1&gt;ROWS($C$2:$C$28)-COUNTBLANK($C$2:$C$28),"",INDIRECT(ADDRESS(SMALL((IF($C$2:$C$28&lt;&gt;"",ROW($C$2:$C$28),ROW()+ROWS($C$2:$C$28))),ROW()-ROW($D$2:$D$28)+1),COLUMN($C$2:$C$28),4)))</f>
        <v>#REF!</v>
      </c>
      <c r="P25" s="436" t="e">
        <f t="array" aca="1" ref="P25" ca="1">IF(ROW()-ROW($E$2:$E$28)+1&gt;ROWS($D$2:$D$28)-COUNTBLANK($D$2:$D$28),"",INDIRECT(ADDRESS(SMALL((IF($D$2:$D$28&gt;"",ROW($D$2:$D$28),ROW()+ROWS($D$2:$D$28))),ROW()-ROW($E$2:$E$28)+1),COLUMN($D$2:$D$28),4)))</f>
        <v>#REF!</v>
      </c>
      <c r="Q25" s="436" t="e">
        <f t="array" aca="1" ref="Q25" ca="1">IF(ROW()-ROW($F$2:$F$28)+1&gt;ROWS($E$2:$E$28)-COUNTBLANK($E$2:$E$28),"",INDIRECT(ADDRESS(SMALL((IF($E$2:$E$28&gt;"",ROW($E$2:$E$28),ROW()+ROWS($E$2:$E$28))),ROW()-ROW($F$2:$F$28)+1),COLUMN($E$2:$E$28),4)))</f>
        <v>#REF!</v>
      </c>
      <c r="R25" s="436" t="e">
        <f t="array" aca="1" ref="R25" ca="1">IF(ROW()-ROW($G$2:$G$28)+1&gt;ROWS($F$2:$F$28)-COUNTBLANK($F$2:$F$28),"",INDIRECT(ADDRESS(SMALL((IF($F$2:$F$28&gt;"",ROW($F$2:$F$28),ROW()+ROWS($F$2:$F$28))),ROW()-ROW($G$2:$G$28)+1),COLUMN($F$2:$F$28),4)))</f>
        <v>#REF!</v>
      </c>
      <c r="S25" s="436" t="e">
        <f t="array" aca="1" ref="S25" ca="1">IF(ROW()-ROW($H$2:$H$28)+1&gt;ROWS($G$2:$G$28)-COUNTBLANK($G$2:$G$28),"",INDIRECT(ADDRESS(SMALL((IF($G$2:$G$28&lt;&gt;"",ROW($G$2:$G$28),ROW()+ROWS($G$2:$G$28))),ROW()-ROW($H$2:$H$28)+1),COLUMN($G$2:$G$28),4)))</f>
        <v>#REF!</v>
      </c>
      <c r="T25" s="436" t="e">
        <f t="array" aca="1" ref="T25" ca="1">IF(ROW()-ROW($I$2:$I$28)+1&gt;ROWS($H$2:$H$28)-COUNTBLANK($H$2:$H$28),"",INDIRECT(ADDRESS(SMALL((IF($H$2:$H$28&lt;&gt;"",ROW($H$2:$H$28),ROW()+ROWS($H$2:$H$28))),ROW()-ROW($I$2:$I$28)+1),COLUMN($H$2:$H$28),4)))</f>
        <v>#REF!</v>
      </c>
      <c r="U25" s="436" t="e">
        <f t="array" aca="1" ref="U25" ca="1">IF(ROW()-ROW($J$2:$J$28)+1&gt;ROWS($I$2:$I$28)-COUNTBLANK($I$2:$I$28),"",INDIRECT(ADDRESS(SMALL((IF($I$2:$I$28&lt;&gt;"",ROW($I$2:$I$28),ROW()+ROWS($I$2:$I$28))),ROW()-ROW($J$2:$J$28)+1),COLUMN($I$2:$I$28),4)))</f>
        <v>#REF!</v>
      </c>
      <c r="V25" s="436" t="e">
        <f t="array" aca="1" ref="V25" ca="1">IF(ROW()-ROW($K$2:$K$28)+1&gt;ROWS($J$2:$J$28)-COUNTBLANK($J$2:$J$28),"",INDIRECT(ADDRESS(SMALL((IF($J$2:$J$28&lt;&gt;"",ROW($J$2:$J$28),ROW()+ROWS($J$2:$J$28))),ROW()-ROW($K$2:$K$28)+1),COLUMN($J$2:$J$28),4)))</f>
        <v>#REF!</v>
      </c>
      <c r="W25" s="436" t="e">
        <f t="array" aca="1" ref="W25" ca="1">IF(ROW()-ROW($L$2:$L$28)+1&gt;ROWS($K$2:$K$28)-COUNTBLANK($K$2:$K$28),"",INDIRECT(ADDRESS(SMALL((IF($K$2:$K$28&lt;&gt;"",ROW($K$2:$K$28),ROW()+ROWS($K$2:$K$28))),ROW()-ROW($L$2:$L$28)+1),COLUMN($K$2:$K$28),4)))</f>
        <v>#REF!</v>
      </c>
      <c r="X25" s="436" t="e">
        <f t="array" aca="1" ref="X25" ca="1">IF(ROW()-ROW($M$2:$M$28)+1&gt;ROWS($L$2:$L$28)-COUNTBLANK($L$2:$L$28),"",INDIRECT(ADDRESS(SMALL((IF($L$2:$L$28&lt;&gt;"",ROW($L$2:$L$28),ROW()+ROWS($L$2:$L$28))),ROW()-ROW($M$2:$M$28)+1),COLUMN($L$2:$L$28),4)))</f>
        <v>#REF!</v>
      </c>
      <c r="Y25" s="436" t="e">
        <f t="array" aca="1" ref="Y25" ca="1">IF(ROW()-ROW($N$2:$N$28)+1&gt;ROWS($M$2:$M$28)-COUNTBLANK($M$2:$M$28),"",INDIRECT(ADDRESS(SMALL((IF($M$2:$M$28&lt;&gt;"",ROW($M$2:$M$28),ROW()+ROWS($M$2:$M$28))),ROW()-ROW($N$2:$N$28)+1),COLUMN($M$2:$M$28),4)))</f>
        <v>#REF!</v>
      </c>
    </row>
    <row r="26" spans="1:25" x14ac:dyDescent="0.25">
      <c r="A26" s="436" t="str">
        <f>IF('Indicator sheet'!R83=0,"",'Indicator sheet'!R83)</f>
        <v>Incomplete</v>
      </c>
      <c r="B26" s="436"/>
      <c r="C26" s="490">
        <f>IF($A26="I.O.","",'Indicator sheet'!B83)</f>
        <v>19</v>
      </c>
      <c r="D26" s="436" t="str">
        <f>IF($A26="I.O.","",'Indicator sheet'!E83)</f>
        <v>Dental examination prior to commencement of bisphosphonate or denosumab therapy</v>
      </c>
      <c r="E26" s="436" t="str">
        <f>IF(AND('Indicator sheet'!L83="",$A26&lt;&gt;"I.O."),"-----",IF($A26="I.O.","",'Indicator sheet'!L83))</f>
        <v>-----</v>
      </c>
      <c r="F26" s="436" t="str">
        <f>IF($A26="I.O.","",'Indicator sheet'!M83)</f>
        <v>≥ 90%</v>
      </c>
      <c r="G26" s="436" t="str">
        <f>IF(AND('Indicator sheet'!O83="",$A26&lt;&gt;"I.O."),"-----",IF($A26="I.O.","",'Indicator sheet'!O83))</f>
        <v>-----</v>
      </c>
      <c r="H26" s="436" t="str">
        <f>IF($A26="I.O.","",IF('Indicator sheet'!Q83="","-----",'Indicator sheet'!Q83))</f>
        <v>-----</v>
      </c>
      <c r="I26" s="436" t="str">
        <f t="shared" si="3"/>
        <v>-----</v>
      </c>
      <c r="J26" s="436" t="str">
        <f t="shared" si="3"/>
        <v>-----</v>
      </c>
      <c r="K26" s="436" t="str">
        <f>IF($A26="I.O.","",'Indicator sheet'!R83)</f>
        <v>Incomplete</v>
      </c>
      <c r="L26" s="436" t="str">
        <f>IF(AND('Indicator sheet'!S83="",$A26&lt;&gt;"I.O."),"-----",IF($A26="I.O.","",'Indicator sheet'!S83))</f>
        <v>-----</v>
      </c>
      <c r="M26" s="436" t="str">
        <f>IF(AND('Indicator sheet'!T83="",$A26&lt;&gt;"I.O."),"-----",IF($A26="I.O.","",'Indicator sheet'!T83))</f>
        <v>-----</v>
      </c>
      <c r="O26" s="491" t="e">
        <f t="array" aca="1" ref="O26" ca="1">IF(ROW()-ROW($D$2:$D$28)+1&gt;ROWS($C$2:$C$28)-COUNTBLANK($C$2:$C$28),"",INDIRECT(ADDRESS(SMALL((IF($C$2:$C$28&lt;&gt;"",ROW($C$2:$C$28),ROW()+ROWS($C$2:$C$28))),ROW()-ROW($D$2:$D$28)+1),COLUMN($C$2:$C$28),4)))</f>
        <v>#REF!</v>
      </c>
      <c r="P26" s="436" t="e">
        <f t="array" aca="1" ref="P26" ca="1">IF(ROW()-ROW($E$2:$E$28)+1&gt;ROWS($D$2:$D$28)-COUNTBLANK($D$2:$D$28),"",INDIRECT(ADDRESS(SMALL((IF($D$2:$D$28&gt;"",ROW($D$2:$D$28),ROW()+ROWS($D$2:$D$28))),ROW()-ROW($E$2:$E$28)+1),COLUMN($D$2:$D$28),4)))</f>
        <v>#REF!</v>
      </c>
      <c r="Q26" s="436" t="e">
        <f t="array" aca="1" ref="Q26" ca="1">IF(ROW()-ROW($F$2:$F$28)+1&gt;ROWS($E$2:$E$28)-COUNTBLANK($E$2:$E$28),"",INDIRECT(ADDRESS(SMALL((IF($E$2:$E$28&gt;"",ROW($E$2:$E$28),ROW()+ROWS($E$2:$E$28))),ROW()-ROW($F$2:$F$28)+1),COLUMN($E$2:$E$28),4)))</f>
        <v>#REF!</v>
      </c>
      <c r="R26" s="436" t="e">
        <f t="array" aca="1" ref="R26" ca="1">IF(ROW()-ROW($G$2:$G$28)+1&gt;ROWS($F$2:$F$28)-COUNTBLANK($F$2:$F$28),"",INDIRECT(ADDRESS(SMALL((IF($F$2:$F$28&gt;"",ROW($F$2:$F$28),ROW()+ROWS($F$2:$F$28))),ROW()-ROW($G$2:$G$28)+1),COLUMN($F$2:$F$28),4)))</f>
        <v>#REF!</v>
      </c>
      <c r="S26" s="436" t="e">
        <f t="array" aca="1" ref="S26" ca="1">IF(ROW()-ROW($H$2:$H$28)+1&gt;ROWS($G$2:$G$28)-COUNTBLANK($G$2:$G$28),"",INDIRECT(ADDRESS(SMALL((IF($G$2:$G$28&lt;&gt;"",ROW($G$2:$G$28),ROW()+ROWS($G$2:$G$28))),ROW()-ROW($H$2:$H$28)+1),COLUMN($G$2:$G$28),4)))</f>
        <v>#REF!</v>
      </c>
      <c r="T26" s="436" t="e">
        <f t="array" aca="1" ref="T26" ca="1">IF(ROW()-ROW($I$2:$I$28)+1&gt;ROWS($H$2:$H$28)-COUNTBLANK($H$2:$H$28),"",INDIRECT(ADDRESS(SMALL((IF($H$2:$H$28&lt;&gt;"",ROW($H$2:$H$28),ROW()+ROWS($H$2:$H$28))),ROW()-ROW($I$2:$I$28)+1),COLUMN($H$2:$H$28),4)))</f>
        <v>#REF!</v>
      </c>
      <c r="U26" s="436" t="e">
        <f t="array" aca="1" ref="U26" ca="1">IF(ROW()-ROW($J$2:$J$28)+1&gt;ROWS($I$2:$I$28)-COUNTBLANK($I$2:$I$28),"",INDIRECT(ADDRESS(SMALL((IF($I$2:$I$28&lt;&gt;"",ROW($I$2:$I$28),ROW()+ROWS($I$2:$I$28))),ROW()-ROW($J$2:$J$28)+1),COLUMN($I$2:$I$28),4)))</f>
        <v>#REF!</v>
      </c>
      <c r="V26" s="436" t="e">
        <f t="array" aca="1" ref="V26" ca="1">IF(ROW()-ROW($K$2:$K$28)+1&gt;ROWS($J$2:$J$28)-COUNTBLANK($J$2:$J$28),"",INDIRECT(ADDRESS(SMALL((IF($J$2:$J$28&lt;&gt;"",ROW($J$2:$J$28),ROW()+ROWS($J$2:$J$28))),ROW()-ROW($K$2:$K$28)+1),COLUMN($J$2:$J$28),4)))</f>
        <v>#REF!</v>
      </c>
      <c r="W26" s="436" t="e">
        <f t="array" aca="1" ref="W26" ca="1">IF(ROW()-ROW($L$2:$L$28)+1&gt;ROWS($K$2:$K$28)-COUNTBLANK($K$2:$K$28),"",INDIRECT(ADDRESS(SMALL((IF($K$2:$K$28&lt;&gt;"",ROW($K$2:$K$28),ROW()+ROWS($K$2:$K$28))),ROW()-ROW($L$2:$L$28)+1),COLUMN($K$2:$K$28),4)))</f>
        <v>#REF!</v>
      </c>
      <c r="X26" s="436" t="e">
        <f t="array" aca="1" ref="X26" ca="1">IF(ROW()-ROW($M$2:$M$28)+1&gt;ROWS($L$2:$L$28)-COUNTBLANK($L$2:$L$28),"",INDIRECT(ADDRESS(SMALL((IF($L$2:$L$28&lt;&gt;"",ROW($L$2:$L$28),ROW()+ROWS($L$2:$L$28))),ROW()-ROW($M$2:$M$28)+1),COLUMN($L$2:$L$28),4)))</f>
        <v>#REF!</v>
      </c>
      <c r="Y26" s="436" t="e">
        <f t="array" aca="1" ref="Y26" ca="1">IF(ROW()-ROW($N$2:$N$28)+1&gt;ROWS($M$2:$M$28)-COUNTBLANK($M$2:$M$28),"",INDIRECT(ADDRESS(SMALL((IF($M$2:$M$28&lt;&gt;"",ROW($M$2:$M$28),ROW()+ROWS($M$2:$M$28))),ROW()-ROW($N$2:$N$28)+1),COLUMN($M$2:$M$28),4)))</f>
        <v>#REF!</v>
      </c>
    </row>
    <row r="27" spans="1:25" x14ac:dyDescent="0.25">
      <c r="A27" s="436" t="e">
        <f>IF('Indicator sheet'!#REF!=0,"",'Indicator sheet'!#REF!)</f>
        <v>#REF!</v>
      </c>
      <c r="B27" s="436"/>
      <c r="C27" s="490" t="e">
        <f>IF($A27="I.O.","",'Indicator sheet'!#REF!)</f>
        <v>#REF!</v>
      </c>
      <c r="D27" s="436" t="e">
        <f>IF($A27="I.O.","",'Indicator sheet'!#REF!)</f>
        <v>#REF!</v>
      </c>
      <c r="E27" s="436" t="e">
        <f>IF(AND('Indicator sheet'!#REF!="",$A27&lt;&gt;"I.O."),"-----",IF($A27="I.O.","",'Indicator sheet'!#REF!))</f>
        <v>#REF!</v>
      </c>
      <c r="F27" s="436" t="e">
        <f>IF($A27="I.O.","",'Indicator sheet'!#REF!)</f>
        <v>#REF!</v>
      </c>
      <c r="G27" s="436" t="e">
        <f>IF(AND('Indicator sheet'!#REF!="",$A27&lt;&gt;"I.O."),"-----",IF($A27="I.O.","",'Indicator sheet'!#REF!))</f>
        <v>#REF!</v>
      </c>
      <c r="H27" s="436" t="e">
        <f>IF($A27="I.O.","",IF('Indicator sheet'!#REF!="","-----",'Indicator sheet'!#REF!))</f>
        <v>#REF!</v>
      </c>
      <c r="I27" s="436" t="e">
        <f t="shared" si="3"/>
        <v>#REF!</v>
      </c>
      <c r="J27" s="436" t="e">
        <f t="shared" si="3"/>
        <v>#REF!</v>
      </c>
      <c r="K27" s="436" t="e">
        <f>IF($A27="I.O.","",'Indicator sheet'!#REF!)</f>
        <v>#REF!</v>
      </c>
      <c r="L27" s="436" t="e">
        <f>IF(AND('Indicator sheet'!#REF!="",$A27&lt;&gt;"I.O."),"-----",IF($A27="I.O.","",'Indicator sheet'!#REF!))</f>
        <v>#REF!</v>
      </c>
      <c r="M27" s="436" t="e">
        <f>IF(AND('Indicator sheet'!#REF!="",$A27&lt;&gt;"I.O."),"-----",IF($A27="I.O.","",'Indicator sheet'!#REF!))</f>
        <v>#REF!</v>
      </c>
      <c r="O27" s="491" t="e">
        <f t="array" aca="1" ref="O27" ca="1">IF(ROW()-ROW($D$2:$D$28)+1&gt;ROWS($C$2:$C$28)-COUNTBLANK($C$2:$C$28),"",INDIRECT(ADDRESS(SMALL((IF($C$2:$C$28&lt;&gt;"",ROW($C$2:$C$28),ROW()+ROWS($C$2:$C$28))),ROW()-ROW($D$2:$D$28)+1),COLUMN($C$2:$C$28),4)))</f>
        <v>#REF!</v>
      </c>
      <c r="P27" s="436" t="e">
        <f t="array" aca="1" ref="P27" ca="1">IF(ROW()-ROW($E$2:$E$28)+1&gt;ROWS($D$2:$D$28)-COUNTBLANK($D$2:$D$28),"",INDIRECT(ADDRESS(SMALL((IF($D$2:$D$28&gt;"",ROW($D$2:$D$28),ROW()+ROWS($D$2:$D$28))),ROW()-ROW($E$2:$E$28)+1),COLUMN($D$2:$D$28),4)))</f>
        <v>#REF!</v>
      </c>
      <c r="Q27" s="436" t="e">
        <f t="array" aca="1" ref="Q27" ca="1">IF(ROW()-ROW($F$2:$F$28)+1&gt;ROWS($E$2:$E$28)-COUNTBLANK($E$2:$E$28),"",INDIRECT(ADDRESS(SMALL((IF($E$2:$E$28&gt;"",ROW($E$2:$E$28),ROW()+ROWS($E$2:$E$28))),ROW()-ROW($F$2:$F$28)+1),COLUMN($E$2:$E$28),4)))</f>
        <v>#REF!</v>
      </c>
      <c r="R27" s="436" t="e">
        <f t="array" aca="1" ref="R27" ca="1">IF(ROW()-ROW($G$2:$G$28)+1&gt;ROWS($F$2:$F$28)-COUNTBLANK($F$2:$F$28),"",INDIRECT(ADDRESS(SMALL((IF($F$2:$F$28&gt;"",ROW($F$2:$F$28),ROW()+ROWS($F$2:$F$28))),ROW()-ROW($G$2:$G$28)+1),COLUMN($F$2:$F$28),4)))</f>
        <v>#REF!</v>
      </c>
      <c r="S27" s="436" t="e">
        <f t="array" aca="1" ref="S27" ca="1">IF(ROW()-ROW($H$2:$H$28)+1&gt;ROWS($G$2:$G$28)-COUNTBLANK($G$2:$G$28),"",INDIRECT(ADDRESS(SMALL((IF($G$2:$G$28&lt;&gt;"",ROW($G$2:$G$28),ROW()+ROWS($G$2:$G$28))),ROW()-ROW($H$2:$H$28)+1),COLUMN($G$2:$G$28),4)))</f>
        <v>#REF!</v>
      </c>
      <c r="T27" s="436" t="e">
        <f t="array" aca="1" ref="T27" ca="1">IF(ROW()-ROW($I$2:$I$28)+1&gt;ROWS($H$2:$H$28)-COUNTBLANK($H$2:$H$28),"",INDIRECT(ADDRESS(SMALL((IF($H$2:$H$28&lt;&gt;"",ROW($H$2:$H$28),ROW()+ROWS($H$2:$H$28))),ROW()-ROW($I$2:$I$28)+1),COLUMN($H$2:$H$28),4)))</f>
        <v>#REF!</v>
      </c>
      <c r="U27" s="436" t="e">
        <f t="array" aca="1" ref="U27" ca="1">IF(ROW()-ROW($J$2:$J$28)+1&gt;ROWS($I$2:$I$28)-COUNTBLANK($I$2:$I$28),"",INDIRECT(ADDRESS(SMALL((IF($I$2:$I$28&lt;&gt;"",ROW($I$2:$I$28),ROW()+ROWS($I$2:$I$28))),ROW()-ROW($J$2:$J$28)+1),COLUMN($I$2:$I$28),4)))</f>
        <v>#REF!</v>
      </c>
      <c r="V27" s="436" t="e">
        <f t="array" aca="1" ref="V27" ca="1">IF(ROW()-ROW($K$2:$K$28)+1&gt;ROWS($J$2:$J$28)-COUNTBLANK($J$2:$J$28),"",INDIRECT(ADDRESS(SMALL((IF($J$2:$J$28&lt;&gt;"",ROW($J$2:$J$28),ROW()+ROWS($J$2:$J$28))),ROW()-ROW($K$2:$K$28)+1),COLUMN($J$2:$J$28),4)))</f>
        <v>#REF!</v>
      </c>
      <c r="W27" s="436" t="e">
        <f t="array" aca="1" ref="W27" ca="1">IF(ROW()-ROW($L$2:$L$28)+1&gt;ROWS($K$2:$K$28)-COUNTBLANK($K$2:$K$28),"",INDIRECT(ADDRESS(SMALL((IF($K$2:$K$28&lt;&gt;"",ROW($K$2:$K$28),ROW()+ROWS($K$2:$K$28))),ROW()-ROW($L$2:$L$28)+1),COLUMN($K$2:$K$28),4)))</f>
        <v>#REF!</v>
      </c>
      <c r="X27" s="436" t="e">
        <f t="array" aca="1" ref="X27" ca="1">IF(ROW()-ROW($M$2:$M$28)+1&gt;ROWS($L$2:$L$28)-COUNTBLANK($L$2:$L$28),"",INDIRECT(ADDRESS(SMALL((IF($L$2:$L$28&lt;&gt;"",ROW($L$2:$L$28),ROW()+ROWS($L$2:$L$28))),ROW()-ROW($M$2:$M$28)+1),COLUMN($L$2:$L$28),4)))</f>
        <v>#REF!</v>
      </c>
      <c r="Y27" s="436" t="e">
        <f t="array" aca="1" ref="Y27" ca="1">IF(ROW()-ROW($N$2:$N$28)+1&gt;ROWS($M$2:$M$28)-COUNTBLANK($M$2:$M$28),"",INDIRECT(ADDRESS(SMALL((IF($M$2:$M$28&lt;&gt;"",ROW($M$2:$M$28),ROW()+ROWS($M$2:$M$28))),ROW()-ROW($N$2:$N$28)+1),COLUMN($M$2:$M$28),4)))</f>
        <v>#REF!</v>
      </c>
    </row>
    <row r="28" spans="1:25" x14ac:dyDescent="0.25">
      <c r="A28" s="436" t="e">
        <f>IF('Indicator sheet'!#REF!=0,"",'Indicator sheet'!#REF!)</f>
        <v>#REF!</v>
      </c>
      <c r="B28" s="436"/>
      <c r="C28" s="490" t="e">
        <f>IF($A28="I.O.","",'Indicator sheet'!#REF!)</f>
        <v>#REF!</v>
      </c>
      <c r="D28" s="436" t="e">
        <f>IF($A28="I.O.","",'Indicator sheet'!#REF!)</f>
        <v>#REF!</v>
      </c>
      <c r="E28" s="436" t="e">
        <f>IF(AND('Indicator sheet'!#REF!="",$A28&lt;&gt;"I.O."),"-----",IF($A28="I.O.","",'Indicator sheet'!#REF!))</f>
        <v>#REF!</v>
      </c>
      <c r="F28" s="436" t="e">
        <f>IF($A28="I.O.","",'Indicator sheet'!#REF!)</f>
        <v>#REF!</v>
      </c>
      <c r="G28" s="436" t="e">
        <f>IF(AND('Indicator sheet'!#REF!="",$A28&lt;&gt;"I.O."),"-----",IF($A28="I.O.","",'Indicator sheet'!#REF!))</f>
        <v>#REF!</v>
      </c>
      <c r="H28" s="436" t="e">
        <f>IF($A28="I.O.","",IF('Indicator sheet'!#REF!="","-----",'Indicator sheet'!#REF!))</f>
        <v>#REF!</v>
      </c>
      <c r="I28" s="436" t="e">
        <f t="shared" si="3"/>
        <v>#REF!</v>
      </c>
      <c r="J28" s="436" t="e">
        <f t="shared" si="3"/>
        <v>#REF!</v>
      </c>
      <c r="K28" s="436" t="e">
        <f>IF($A28="I.O.","",'Indicator sheet'!#REF!)</f>
        <v>#REF!</v>
      </c>
      <c r="L28" s="436" t="e">
        <f>IF(AND('Indicator sheet'!#REF!="",$A28&lt;&gt;"I.O."),"-----",IF($A28="I.O.","",'Indicator sheet'!#REF!))</f>
        <v>#REF!</v>
      </c>
      <c r="M28" s="436" t="e">
        <f>IF(AND('Indicator sheet'!#REF!="",$A28&lt;&gt;"I.O."),"-----",IF($A28="I.O.","",'Indicator sheet'!#REF!))</f>
        <v>#REF!</v>
      </c>
      <c r="O28" s="491" t="e">
        <f t="array" aca="1" ref="O28" ca="1">IF(ROW()-ROW($D$2:$D$28)+1&gt;ROWS($C$2:$C$28)-COUNTBLANK($C$2:$C$28),"",INDIRECT(ADDRESS(SMALL((IF($C$2:$C$28&lt;&gt;"",ROW($C$2:$C$28),ROW()+ROWS($C$2:$C$28))),ROW()-ROW($D$2:$D$28)+1),COLUMN($C$2:$C$28),4)))</f>
        <v>#REF!</v>
      </c>
      <c r="P28" s="436" t="e">
        <f t="array" aca="1" ref="P28" ca="1">IF(ROW()-ROW($E$2:$E$28)+1&gt;ROWS($D$2:$D$28)-COUNTBLANK($D$2:$D$28),"",INDIRECT(ADDRESS(SMALL((IF($D$2:$D$28&gt;"",ROW($D$2:$D$28),ROW()+ROWS($D$2:$D$28))),ROW()-ROW($E$2:$E$28)+1),COLUMN($D$2:$D$28),4)))</f>
        <v>#REF!</v>
      </c>
      <c r="Q28" s="436" t="e">
        <f t="array" aca="1" ref="Q28" ca="1">IF(ROW()-ROW($F$2:$F$28)+1&gt;ROWS($E$2:$E$28)-COUNTBLANK($E$2:$E$28),"",INDIRECT(ADDRESS(SMALL((IF($E$2:$E$28&gt;"",ROW($E$2:$E$28),ROW()+ROWS($E$2:$E$28))),ROW()-ROW($F$2:$F$28)+1),COLUMN($E$2:$E$28),4)))</f>
        <v>#REF!</v>
      </c>
      <c r="R28" s="436" t="e">
        <f t="array" aca="1" ref="R28" ca="1">IF(ROW()-ROW($G$2:$G$28)+1&gt;ROWS($F$2:$F$28)-COUNTBLANK($F$2:$F$28),"",INDIRECT(ADDRESS(SMALL((IF($F$2:$F$28&gt;"",ROW($F$2:$F$28),ROW()+ROWS($F$2:$F$28))),ROW()-ROW($G$2:$G$28)+1),COLUMN($F$2:$F$28),4)))</f>
        <v>#REF!</v>
      </c>
      <c r="S28" s="436" t="e">
        <f t="array" aca="1" ref="S28" ca="1">IF(ROW()-ROW($H$2:$H$28)+1&gt;ROWS($G$2:$G$28)-COUNTBLANK($G$2:$G$28),"",INDIRECT(ADDRESS(SMALL((IF($G$2:$G$28&lt;&gt;"",ROW($G$2:$G$28),ROW()+ROWS($G$2:$G$28))),ROW()-ROW($H$2:$H$28)+1),COLUMN($G$2:$G$28),4)))</f>
        <v>#REF!</v>
      </c>
      <c r="T28" s="436" t="e">
        <f t="array" aca="1" ref="T28" ca="1">IF(ROW()-ROW($I$2:$I$28)+1&gt;ROWS($H$2:$H$28)-COUNTBLANK($H$2:$H$28),"",INDIRECT(ADDRESS(SMALL((IF($H$2:$H$28&lt;&gt;"",ROW($H$2:$H$28),ROW()+ROWS($H$2:$H$28))),ROW()-ROW($I$2:$I$28)+1),COLUMN($H$2:$H$28),4)))</f>
        <v>#REF!</v>
      </c>
      <c r="U28" s="436" t="e">
        <f t="array" aca="1" ref="U28" ca="1">IF(ROW()-ROW($J$2:$J$28)+1&gt;ROWS($I$2:$I$28)-COUNTBLANK($I$2:$I$28),"",INDIRECT(ADDRESS(SMALL((IF($I$2:$I$28&lt;&gt;"",ROW($I$2:$I$28),ROW()+ROWS($I$2:$I$28))),ROW()-ROW($J$2:$J$28)+1),COLUMN($I$2:$I$28),4)))</f>
        <v>#REF!</v>
      </c>
      <c r="V28" s="436" t="e">
        <f t="array" aca="1" ref="V28" ca="1">IF(ROW()-ROW($K$2:$K$28)+1&gt;ROWS($J$2:$J$28)-COUNTBLANK($J$2:$J$28),"",INDIRECT(ADDRESS(SMALL((IF($J$2:$J$28&lt;&gt;"",ROW($J$2:$J$28),ROW()+ROWS($J$2:$J$28))),ROW()-ROW($K$2:$K$28)+1),COLUMN($J$2:$J$28),4)))</f>
        <v>#REF!</v>
      </c>
      <c r="W28" s="436" t="e">
        <f t="array" aca="1" ref="W28" ca="1">IF(ROW()-ROW($L$2:$L$28)+1&gt;ROWS($K$2:$K$28)-COUNTBLANK($K$2:$K$28),"",INDIRECT(ADDRESS(SMALL((IF($K$2:$K$28&lt;&gt;"",ROW($K$2:$K$28),ROW()+ROWS($K$2:$K$28))),ROW()-ROW($L$2:$L$28)+1),COLUMN($K$2:$K$28),4)))</f>
        <v>#REF!</v>
      </c>
      <c r="X28" s="436" t="e">
        <f t="array" aca="1" ref="X28" ca="1">IF(ROW()-ROW($M$2:$M$28)+1&gt;ROWS($L$2:$L$28)-COUNTBLANK($L$2:$L$28),"",INDIRECT(ADDRESS(SMALL((IF($L$2:$L$28&lt;&gt;"",ROW($L$2:$L$28),ROW()+ROWS($L$2:$L$28))),ROW()-ROW($M$2:$M$28)+1),COLUMN($L$2:$L$28),4)))</f>
        <v>#REF!</v>
      </c>
      <c r="Y28" s="436" t="e">
        <f t="array" aca="1" ref="Y28" ca="1">IF(ROW()-ROW($N$2:$N$28)+1&gt;ROWS($M$2:$M$28)-COUNTBLANK($M$2:$M$28),"",INDIRECT(ADDRESS(SMALL((IF($M$2:$M$28&lt;&gt;"",ROW($M$2:$M$28),ROW()+ROWS($M$2:$M$28))),ROW()-ROW($N$2:$N$28)+1),COLUMN($M$2:$M$28),4)))</f>
        <v>#REF!</v>
      </c>
    </row>
    <row r="29" spans="1:25" x14ac:dyDescent="0.25">
      <c r="A29" t="str">
        <f>IF('Indicator sheet'!R173=0,"",'Indicator sheet'!R173)</f>
        <v/>
      </c>
    </row>
    <row r="30" spans="1:25" x14ac:dyDescent="0.25">
      <c r="A30" t="str">
        <f>IF('Indicator sheet'!R174=0,"",'Indicator sheet'!R174)</f>
        <v/>
      </c>
    </row>
    <row r="31" spans="1:25" x14ac:dyDescent="0.25">
      <c r="A31" t="str">
        <f>IF('Indicator sheet'!R175=0,"",'Indicator sheet'!R175)</f>
        <v/>
      </c>
    </row>
    <row r="32" spans="1:25" x14ac:dyDescent="0.25">
      <c r="A32" t="str">
        <f>IF('Indicator sheet'!R176=0,"",'Indicator sheet'!R176)</f>
        <v/>
      </c>
    </row>
    <row r="33" spans="1:1" x14ac:dyDescent="0.25">
      <c r="A33" t="str">
        <f>IF('Indicator sheet'!R177=0,"",'Indicator sheet'!R177)</f>
        <v/>
      </c>
    </row>
    <row r="34" spans="1:1" x14ac:dyDescent="0.25">
      <c r="A34" t="str">
        <f>IF('Indicator sheet'!R178=0,"",'Indicator sheet'!R178)</f>
        <v/>
      </c>
    </row>
    <row r="35" spans="1:1" x14ac:dyDescent="0.25">
      <c r="A35" t="str">
        <f>IF('Indicator sheet'!R179=0,"",'Indicator sheet'!R179)</f>
        <v/>
      </c>
    </row>
    <row r="36" spans="1:1" x14ac:dyDescent="0.25">
      <c r="A36" t="str">
        <f>IF('Indicator sheet'!R180=0,"",'Indicator sheet'!R180)</f>
        <v/>
      </c>
    </row>
    <row r="37" spans="1:1" x14ac:dyDescent="0.25">
      <c r="A37" t="str">
        <f>IF('Indicator sheet'!R181=0,"",'Indicator sheet'!R181)</f>
        <v/>
      </c>
    </row>
    <row r="38" spans="1:1" x14ac:dyDescent="0.25">
      <c r="A38" t="str">
        <f>IF('Indicator sheet'!R182=0,"",'Indicator sheet'!R182)</f>
        <v/>
      </c>
    </row>
    <row r="39" spans="1:1" x14ac:dyDescent="0.25">
      <c r="A39" t="str">
        <f>IF('Indicator sheet'!R183=0,"",'Indicator sheet'!R183)</f>
        <v/>
      </c>
    </row>
    <row r="40" spans="1:1" x14ac:dyDescent="0.25">
      <c r="A40" t="str">
        <f>IF('Indicator sheet'!R184=0,"",'Indicator sheet'!R184)</f>
        <v/>
      </c>
    </row>
    <row r="41" spans="1:1" x14ac:dyDescent="0.25">
      <c r="A41" t="str">
        <f>IF('Indicator sheet'!R185=0,"",'Indicator sheet'!R185)</f>
        <v/>
      </c>
    </row>
    <row r="42" spans="1:1" x14ac:dyDescent="0.25">
      <c r="A42" t="str">
        <f>IF('Indicator sheet'!R186=0,"",'Indicator sheet'!R186)</f>
        <v/>
      </c>
    </row>
    <row r="43" spans="1:1" x14ac:dyDescent="0.25">
      <c r="A43" t="str">
        <f>IF('Indicator sheet'!R187=0,"",'Indicator sheet'!R187)</f>
        <v/>
      </c>
    </row>
    <row r="44" spans="1:1" x14ac:dyDescent="0.25">
      <c r="A44" t="str">
        <f>IF('Indicator sheet'!R188=0,"",'Indicator sheet'!R188)</f>
        <v/>
      </c>
    </row>
    <row r="45" spans="1:1" x14ac:dyDescent="0.25">
      <c r="A45" t="str">
        <f>IF('Indicator sheet'!R189=0,"",'Indicator sheet'!R189)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1"/>
  <dimension ref="B1:AG97"/>
  <sheetViews>
    <sheetView showGridLines="0" zoomScaleNormal="100" workbookViewId="0">
      <selection activeCell="D20" sqref="D20"/>
    </sheetView>
  </sheetViews>
  <sheetFormatPr defaultColWidth="9" defaultRowHeight="14.25" x14ac:dyDescent="0.2"/>
  <cols>
    <col min="1" max="1" width="0.85546875" style="3" customWidth="1"/>
    <col min="2" max="2" width="14.42578125" style="3" customWidth="1"/>
    <col min="3" max="3" width="10.7109375" style="3" customWidth="1"/>
    <col min="4" max="4" width="14.42578125" style="3" customWidth="1"/>
    <col min="5" max="5" width="0.5703125" style="3" customWidth="1"/>
    <col min="6" max="7" width="10.7109375" style="3" customWidth="1"/>
    <col min="8" max="8" width="0.5703125" style="3" customWidth="1"/>
    <col min="9" max="9" width="10.7109375" style="3" customWidth="1"/>
    <col min="10" max="10" width="12.5703125" style="3" customWidth="1"/>
    <col min="11" max="11" width="0.5703125" style="3" customWidth="1"/>
    <col min="12" max="13" width="10.7109375" style="3" customWidth="1"/>
    <col min="14" max="14" width="4.7109375" style="3" customWidth="1"/>
    <col min="15" max="15" width="5.42578125" style="3" customWidth="1"/>
    <col min="16" max="18" width="4.85546875" style="3" customWidth="1"/>
    <col min="19" max="20" width="0.42578125" style="3" customWidth="1"/>
    <col min="21" max="21" width="4.85546875" style="3" customWidth="1"/>
    <col min="22" max="22" width="4.42578125" style="3" customWidth="1"/>
    <col min="23" max="23" width="4.85546875" style="3" customWidth="1"/>
    <col min="24" max="24" width="4.42578125" style="3" customWidth="1"/>
    <col min="25" max="26" width="4.85546875" style="3" customWidth="1"/>
    <col min="27" max="27" width="0.5703125" style="3" customWidth="1"/>
    <col min="28" max="28" width="6" style="3" customWidth="1"/>
    <col min="29" max="29" width="6.42578125" style="12" customWidth="1"/>
    <col min="30" max="223" width="11.42578125" style="3" customWidth="1"/>
    <col min="224" max="16384" width="9" style="3"/>
  </cols>
  <sheetData>
    <row r="1" spans="2:33" ht="9.9499999999999993" customHeight="1" x14ac:dyDescent="0.2">
      <c r="D1" s="28"/>
      <c r="P1" s="17"/>
      <c r="Q1" s="17"/>
      <c r="R1" s="17"/>
      <c r="S1" s="17"/>
      <c r="T1" s="17"/>
      <c r="U1" s="17"/>
    </row>
    <row r="2" spans="2:33" ht="12.95" customHeight="1" x14ac:dyDescent="0.2">
      <c r="B2" s="441" t="s">
        <v>405</v>
      </c>
      <c r="P2" s="17"/>
      <c r="Q2" s="17"/>
      <c r="R2" s="17"/>
      <c r="S2" s="17"/>
      <c r="T2" s="17"/>
      <c r="U2" s="17"/>
    </row>
    <row r="3" spans="2:33" ht="19.5" customHeight="1" x14ac:dyDescent="0.2">
      <c r="B3" s="147" t="s">
        <v>266</v>
      </c>
      <c r="P3" s="17"/>
      <c r="Q3" s="17"/>
      <c r="R3" s="17"/>
      <c r="S3" s="17"/>
      <c r="T3" s="17"/>
      <c r="U3" s="17"/>
      <c r="V3" s="18"/>
      <c r="W3" s="18"/>
      <c r="X3" s="18"/>
    </row>
    <row r="4" spans="2:33" ht="12" customHeight="1" x14ac:dyDescent="0.2">
      <c r="B4" s="22" t="s">
        <v>297</v>
      </c>
      <c r="P4" s="17"/>
      <c r="Q4" s="17"/>
      <c r="R4" s="17"/>
      <c r="S4" s="17"/>
      <c r="T4" s="17"/>
      <c r="U4" s="17"/>
      <c r="V4" s="18"/>
      <c r="W4" s="18"/>
      <c r="X4" s="18"/>
    </row>
    <row r="5" spans="2:33" ht="11.25" customHeight="1" x14ac:dyDescent="0.2">
      <c r="U5" s="17"/>
    </row>
    <row r="6" spans="2:33" s="23" customFormat="1" ht="15" customHeight="1" x14ac:dyDescent="0.2">
      <c r="B6" s="148" t="s">
        <v>118</v>
      </c>
      <c r="C6" s="781" t="str">
        <f>IF('Basic data'!C8=0,"",'Basic data'!C8)</f>
        <v/>
      </c>
      <c r="D6" s="783"/>
      <c r="E6" s="783"/>
      <c r="F6" s="783"/>
      <c r="G6" s="783"/>
      <c r="H6" s="783"/>
      <c r="I6" s="783"/>
      <c r="J6" s="783"/>
      <c r="K6" s="783"/>
      <c r="L6" s="783"/>
      <c r="M6" s="782"/>
      <c r="P6" s="11"/>
    </row>
    <row r="7" spans="2:33" s="23" customFormat="1" ht="6.95" customHeight="1" x14ac:dyDescent="0.2">
      <c r="B7" s="25"/>
      <c r="C7" s="5"/>
      <c r="D7" s="9"/>
      <c r="E7" s="9"/>
      <c r="F7" s="9"/>
      <c r="G7" s="9"/>
      <c r="H7" s="9"/>
      <c r="I7" s="9"/>
      <c r="J7" s="9"/>
      <c r="K7" s="9"/>
      <c r="Q7" s="11"/>
    </row>
    <row r="8" spans="2:33" s="23" customFormat="1" ht="15" customHeight="1" x14ac:dyDescent="0.2">
      <c r="B8" s="149" t="s">
        <v>75</v>
      </c>
      <c r="C8" s="781" t="str">
        <f>IF('Basic data'!C6=0,"",'Basic data'!C6)</f>
        <v/>
      </c>
      <c r="D8" s="783"/>
      <c r="E8" s="782"/>
      <c r="F8" s="146"/>
      <c r="G8" s="54"/>
      <c r="H8" s="54"/>
      <c r="I8" s="859" t="s">
        <v>340</v>
      </c>
      <c r="J8" s="859"/>
      <c r="K8" s="847" t="str">
        <f>IF('Basic data'!O12=0,"",'Basic data'!O12)</f>
        <v/>
      </c>
      <c r="L8" s="848"/>
      <c r="M8" s="849"/>
      <c r="P8" s="11"/>
    </row>
    <row r="9" spans="2:33" s="23" customFormat="1" ht="3.75" customHeight="1" x14ac:dyDescent="0.2">
      <c r="C9" s="24"/>
      <c r="D9" s="25"/>
      <c r="E9" s="3"/>
      <c r="Q9" s="11"/>
    </row>
    <row r="10" spans="2:33" ht="3.75" customHeight="1" x14ac:dyDescent="0.2"/>
    <row r="11" spans="2:33" ht="10.5" customHeight="1" x14ac:dyDescent="0.2">
      <c r="B11" s="910"/>
      <c r="C11" s="910"/>
      <c r="D11" s="910"/>
      <c r="E11" s="910"/>
      <c r="F11" s="910"/>
      <c r="G11" s="910"/>
      <c r="H11" s="910"/>
      <c r="I11" s="910"/>
      <c r="J11" s="910"/>
      <c r="K11" s="910"/>
      <c r="L11" s="910"/>
      <c r="M11" s="910"/>
    </row>
    <row r="12" spans="2:33" ht="16.5" customHeight="1" x14ac:dyDescent="0.2">
      <c r="B12" s="151" t="s">
        <v>87</v>
      </c>
      <c r="C12" s="42"/>
      <c r="D12" s="10"/>
      <c r="E12" s="44"/>
      <c r="F12" s="10"/>
      <c r="G12" s="10"/>
      <c r="H12" s="43"/>
      <c r="I12" s="42"/>
      <c r="J12" s="42"/>
      <c r="K12" s="42"/>
      <c r="L12" s="42"/>
      <c r="M12" s="42"/>
      <c r="N12" s="42"/>
      <c r="O12" s="42"/>
      <c r="P12" s="10"/>
      <c r="Q12" s="10"/>
      <c r="R12" s="10"/>
      <c r="S12" s="42"/>
      <c r="T12" s="42"/>
      <c r="U12" s="10"/>
      <c r="V12" s="10"/>
      <c r="W12" s="10"/>
      <c r="X12" s="42"/>
      <c r="Y12" s="10"/>
      <c r="Z12" s="10"/>
      <c r="AA12" s="10"/>
      <c r="AB12" s="10"/>
      <c r="AC12" s="10"/>
    </row>
    <row r="13" spans="2:33" ht="13.5" customHeight="1" x14ac:dyDescent="0.2">
      <c r="B13" s="884" t="str">
        <f>IF(OR(B14="",B14="Matrix kann eingereicht werden"),"In Ordnung",IF(B14="die inkorrekten und unvollständigen Einträge beheben","Nicht in Ordnung"))</f>
        <v>In Ordnung</v>
      </c>
      <c r="C13" s="884"/>
      <c r="D13" s="864" t="s">
        <v>74</v>
      </c>
      <c r="E13" s="864"/>
      <c r="F13" s="865"/>
      <c r="G13" s="887" t="s">
        <v>6</v>
      </c>
      <c r="H13" s="888"/>
      <c r="I13" s="889"/>
      <c r="J13" s="874" t="s">
        <v>82</v>
      </c>
      <c r="K13" s="875"/>
      <c r="L13" s="874" t="s">
        <v>343</v>
      </c>
      <c r="M13" s="875"/>
      <c r="N13" s="23"/>
      <c r="O13" s="23"/>
      <c r="P13" s="23"/>
      <c r="Q13" s="42"/>
      <c r="R13" s="42"/>
      <c r="S13" s="42"/>
      <c r="T13" s="42"/>
      <c r="U13" s="42"/>
      <c r="V13" s="42"/>
      <c r="W13" s="42"/>
      <c r="X13" s="42"/>
      <c r="Y13" s="42"/>
      <c r="Z13" s="42"/>
      <c r="AA13" s="42"/>
      <c r="AB13" s="42"/>
      <c r="AC13" s="42"/>
      <c r="AD13" s="42"/>
      <c r="AE13" s="42"/>
      <c r="AF13" s="42"/>
      <c r="AG13" s="42"/>
    </row>
    <row r="14" spans="2:33" s="23" customFormat="1" ht="18.75" customHeight="1" x14ac:dyDescent="0.2">
      <c r="B14" s="890" t="str">
        <f>Berechnung2!B6</f>
        <v/>
      </c>
      <c r="C14" s="891"/>
      <c r="D14" s="866">
        <f>Berechnung2!C6</f>
        <v>0</v>
      </c>
      <c r="E14" s="866"/>
      <c r="F14" s="867"/>
      <c r="G14" s="853">
        <f>Berechnung2!D6</f>
        <v>0</v>
      </c>
      <c r="H14" s="854"/>
      <c r="I14" s="855"/>
      <c r="J14" s="876">
        <f>Berechnung2!E6</f>
        <v>0</v>
      </c>
      <c r="K14" s="877"/>
      <c r="L14" s="876">
        <f>Berechnung2!F6</f>
        <v>0</v>
      </c>
      <c r="M14" s="877"/>
      <c r="N14" s="3"/>
      <c r="O14" s="3"/>
      <c r="P14" s="3"/>
      <c r="AG14" s="11"/>
    </row>
    <row r="15" spans="2:33" s="23" customFormat="1" ht="8.25" customHeight="1" thickBot="1" x14ac:dyDescent="0.25">
      <c r="C15" s="5"/>
      <c r="D15" s="10"/>
      <c r="E15" s="10"/>
      <c r="F15" s="10"/>
      <c r="G15" s="10"/>
      <c r="H15" s="10"/>
      <c r="I15" s="10"/>
      <c r="J15" s="22"/>
      <c r="K15" s="27"/>
      <c r="L15" s="22"/>
      <c r="M15" s="22"/>
      <c r="O15" s="3"/>
      <c r="P15" s="3"/>
      <c r="Q15" s="3"/>
      <c r="R15" s="3"/>
      <c r="S15" s="3"/>
      <c r="T15" s="3"/>
      <c r="U15" s="3"/>
      <c r="AC15" s="11"/>
    </row>
    <row r="16" spans="2:33" ht="27.75" customHeight="1" thickTop="1" thickBot="1" x14ac:dyDescent="0.25">
      <c r="B16" s="317"/>
      <c r="C16" s="318"/>
      <c r="D16" s="319" t="s">
        <v>257</v>
      </c>
      <c r="E16" s="895">
        <v>1</v>
      </c>
      <c r="F16" s="868" t="s">
        <v>78</v>
      </c>
      <c r="G16" s="869"/>
      <c r="H16" s="892"/>
      <c r="I16" s="869" t="s">
        <v>86</v>
      </c>
      <c r="J16" s="879"/>
      <c r="K16" s="895"/>
      <c r="L16" s="869" t="s">
        <v>55</v>
      </c>
      <c r="M16" s="878"/>
      <c r="AC16" s="3"/>
    </row>
    <row r="17" spans="2:29" ht="15" customHeight="1" thickBot="1" x14ac:dyDescent="0.25">
      <c r="B17" s="320" t="s">
        <v>256</v>
      </c>
      <c r="C17" s="69" t="s">
        <v>189</v>
      </c>
      <c r="D17" s="68" t="s">
        <v>183</v>
      </c>
      <c r="E17" s="896"/>
      <c r="F17" s="69" t="s">
        <v>7</v>
      </c>
      <c r="G17" s="70" t="s">
        <v>184</v>
      </c>
      <c r="H17" s="893"/>
      <c r="I17" s="70" t="s">
        <v>8</v>
      </c>
      <c r="J17" s="68" t="s">
        <v>185</v>
      </c>
      <c r="K17" s="896"/>
      <c r="L17" s="71" t="s">
        <v>77</v>
      </c>
      <c r="M17" s="321" t="s">
        <v>186</v>
      </c>
      <c r="Q17" s="4"/>
      <c r="AC17" s="3"/>
    </row>
    <row r="18" spans="2:29" ht="123.75" customHeight="1" x14ac:dyDescent="0.2">
      <c r="B18" s="845" t="s">
        <v>53</v>
      </c>
      <c r="C18" s="860" t="s">
        <v>377</v>
      </c>
      <c r="D18" s="882" t="s">
        <v>383</v>
      </c>
      <c r="E18" s="896"/>
      <c r="F18" s="882" t="s">
        <v>398</v>
      </c>
      <c r="G18" s="862" t="s">
        <v>294</v>
      </c>
      <c r="H18" s="893"/>
      <c r="I18" s="860" t="s">
        <v>132</v>
      </c>
      <c r="J18" s="880" t="s">
        <v>133</v>
      </c>
      <c r="K18" s="896"/>
      <c r="L18" s="860" t="s">
        <v>134</v>
      </c>
      <c r="M18" s="885" t="s">
        <v>135</v>
      </c>
      <c r="AC18" s="3"/>
    </row>
    <row r="19" spans="2:29" ht="30.75" customHeight="1" thickBot="1" x14ac:dyDescent="0.25">
      <c r="B19" s="846"/>
      <c r="C19" s="861"/>
      <c r="D19" s="883"/>
      <c r="E19" s="896"/>
      <c r="F19" s="883"/>
      <c r="G19" s="863"/>
      <c r="H19" s="893"/>
      <c r="I19" s="861"/>
      <c r="J19" s="881"/>
      <c r="K19" s="896"/>
      <c r="L19" s="861"/>
      <c r="M19" s="886"/>
      <c r="AC19" s="3"/>
    </row>
    <row r="20" spans="2:29" s="10" customFormat="1" ht="20.25" customHeight="1" thickBot="1" x14ac:dyDescent="0.3">
      <c r="B20" s="322" t="str">
        <f>IF(Berechnung2!$B$31&gt;5,IF(Berechnung2!$B$31=6,"EZ",IF(Berechnung2!$B$31&gt;6,"relevant","?")),"nicht relevant")</f>
        <v>nicht relevant</v>
      </c>
      <c r="C20" s="304">
        <v>2013</v>
      </c>
      <c r="D20" s="283"/>
      <c r="E20" s="896"/>
      <c r="F20" s="285"/>
      <c r="G20" s="286" t="str">
        <f>IF(OR(D20="",D20=0),"",IF(AND(D20&gt;0,F20&gt;0,F20&lt;&gt;"",F20&lt;=D20),F20/D20,0))</f>
        <v/>
      </c>
      <c r="H20" s="893"/>
      <c r="I20" s="285"/>
      <c r="J20" s="286" t="str">
        <f>IF(F20="","",IF(I20="","",IF(AND(I20&gt;0,I20&lt;=F20),I20/F20,0)))</f>
        <v/>
      </c>
      <c r="K20" s="896"/>
      <c r="L20" s="285"/>
      <c r="M20" s="323" t="str">
        <f>IF(F20="","",IF(L20="","",IF(AND(L20&gt;0,L20&lt;=F20),L20/F20,0)))</f>
        <v/>
      </c>
      <c r="O20" s="40"/>
    </row>
    <row r="21" spans="2:29" s="10" customFormat="1" ht="20.25" customHeight="1" thickBot="1" x14ac:dyDescent="0.3">
      <c r="B21" s="322" t="str">
        <f>IF(Berechnung2!$B$31&gt;4,IF(Berechnung2!$B$31=5,"EZ",IF(Berechnung2!$B$31&gt;5,"relevant","?")),"nicht relevant")</f>
        <v>nicht relevant</v>
      </c>
      <c r="C21" s="304">
        <v>2014</v>
      </c>
      <c r="D21" s="284"/>
      <c r="E21" s="896"/>
      <c r="F21" s="285"/>
      <c r="G21" s="287" t="str">
        <f>IF(OR(D21="",D21=0),"",IF(AND(D21&gt;0,F21&gt;0,F21&lt;&gt;"",F21&lt;=D21),F21/D21,0))</f>
        <v/>
      </c>
      <c r="H21" s="893"/>
      <c r="I21" s="285"/>
      <c r="J21" s="287" t="str">
        <f>IF(F21="","",IF(I21="","",IF(AND(I21&gt;0,I21&lt;=F21),I21/F21,0)))</f>
        <v/>
      </c>
      <c r="K21" s="896"/>
      <c r="L21" s="285"/>
      <c r="M21" s="323" t="str">
        <f>IF(F21="","",IF(L21="","",IF(AND(L21&gt;0,L21&lt;=F21),L21/F21,0)))</f>
        <v/>
      </c>
    </row>
    <row r="22" spans="2:29" s="10" customFormat="1" ht="20.25" customHeight="1" thickBot="1" x14ac:dyDescent="0.3">
      <c r="B22" s="322" t="str">
        <f>IF(Berechnung2!$B$31&gt;3,IF(Berechnung2!$B$31=4,"EZ",IF(Berechnung2!$B$31&gt;4,"relevant","?")),"nicht relevant")</f>
        <v>nicht relevant</v>
      </c>
      <c r="C22" s="304">
        <v>2015</v>
      </c>
      <c r="D22" s="284"/>
      <c r="E22" s="896"/>
      <c r="F22" s="285"/>
      <c r="G22" s="287" t="str">
        <f>IF(OR(D22="",D22=0),"",IF(AND(D22&gt;0,F22&gt;0,F22&lt;&gt;"",F22&lt;=D22),F22/D22,0))</f>
        <v/>
      </c>
      <c r="H22" s="893"/>
      <c r="I22" s="285"/>
      <c r="J22" s="287" t="str">
        <f>IF(F22="","",IF(I22="","",IF(AND(I22&gt;0,I22&lt;=F22),I22/F22,0)))</f>
        <v/>
      </c>
      <c r="K22" s="896"/>
      <c r="L22" s="285"/>
      <c r="M22" s="323" t="str">
        <f>IF(F22="","",IF(L22="","",IF(AND(L22&gt;0,L22&lt;=F22),L22/F22,0)))</f>
        <v/>
      </c>
    </row>
    <row r="23" spans="2:29" s="10" customFormat="1" ht="20.25" customHeight="1" thickBot="1" x14ac:dyDescent="0.25">
      <c r="B23" s="324" t="str">
        <f>IF(Berechnung2!$B$31&gt;2,IF(Berechnung2!$B$31=3,"EZ",IF(Berechnung2!$B$31&gt;3,"relevant","?")),"nicht relevant")</f>
        <v>nicht relevant</v>
      </c>
      <c r="C23" s="254">
        <v>2016</v>
      </c>
      <c r="D23" s="341"/>
      <c r="E23" s="896"/>
      <c r="F23" s="315"/>
      <c r="G23" s="316" t="str">
        <f>IF(OR(D23="",D23=0),"",IF(AND(D23&gt;0,F23&gt;0,F23&lt;&gt;"",F23&lt;=D23),F23/D23,0))</f>
        <v/>
      </c>
      <c r="H23" s="893"/>
      <c r="I23" s="315"/>
      <c r="J23" s="316" t="str">
        <f>IF(F23="","",IF(I23="","",IF(AND(I23&gt;0,I23&lt;=F23),I23/F23,0)))</f>
        <v/>
      </c>
      <c r="K23" s="896"/>
      <c r="L23" s="315"/>
      <c r="M23" s="325" t="str">
        <f>IF(F23="","",IF(L23="","",IF(AND(L23&gt;0,L23&lt;=F23),L23/F23,0)))</f>
        <v/>
      </c>
      <c r="O23" s="3"/>
      <c r="P23" s="3"/>
      <c r="Q23" s="3"/>
      <c r="R23" s="3"/>
      <c r="S23" s="3"/>
      <c r="T23" s="3"/>
      <c r="U23" s="3"/>
    </row>
    <row r="24" spans="2:29" s="10" customFormat="1" ht="20.25" customHeight="1" thickBot="1" x14ac:dyDescent="0.25">
      <c r="B24" s="326" t="str">
        <f>IF(Berechnung2!$B$31&gt;1,IF(Berechnung2!$B$31=2,"EZ",IF(Berechnung2!$B$31&gt;2,"relevant","?")),"nicht relevant")</f>
        <v>nicht relevant</v>
      </c>
      <c r="C24" s="327">
        <v>2017</v>
      </c>
      <c r="D24" s="328"/>
      <c r="E24" s="897"/>
      <c r="F24" s="329"/>
      <c r="G24" s="330" t="str">
        <f>IF(OR(D24="",D24=0),"",IF(AND(D24&gt;0,F24&gt;0,F24&lt;&gt;"",F24&lt;=D24),F24/D24,0))</f>
        <v/>
      </c>
      <c r="H24" s="894"/>
      <c r="I24" s="329"/>
      <c r="J24" s="330" t="str">
        <f>IF(F24="","",IF(I24="","",IF(AND(I24&gt;0,I24&lt;=F24),I24/F24,0)))</f>
        <v/>
      </c>
      <c r="K24" s="897"/>
      <c r="L24" s="329"/>
      <c r="M24" s="331" t="str">
        <f>IF(F24="","",IF(L24="","",IF(AND(L24&gt;0,L24&lt;=F24),L24/F24,0)))</f>
        <v/>
      </c>
      <c r="O24" s="3"/>
      <c r="P24" s="3"/>
      <c r="Q24" s="3"/>
      <c r="R24" s="3"/>
      <c r="S24" s="3"/>
      <c r="T24" s="3"/>
      <c r="U24" s="3"/>
    </row>
    <row r="25" spans="2:29" ht="5.25" customHeight="1" thickTop="1" thickBot="1" x14ac:dyDescent="0.25"/>
    <row r="26" spans="2:29" ht="18.75" customHeight="1" thickBot="1" x14ac:dyDescent="0.25">
      <c r="C26" s="377" t="s">
        <v>412</v>
      </c>
      <c r="D26" s="164"/>
      <c r="E26" s="164"/>
      <c r="F26" s="165"/>
      <c r="G26" s="251" t="str">
        <f>IF(B24="EZ","-----",IF(B24= "nicht relevant","-----",IF(COUNTBLANK(G22:G24)=3,"",SUMIF(B22:B24,"relevant",G22:G24)/COUNTIF(B22:B24,"relevant"))))</f>
        <v>-----</v>
      </c>
      <c r="K26" s="7"/>
    </row>
    <row r="27" spans="2:29" ht="5.25" customHeight="1" x14ac:dyDescent="0.2">
      <c r="B27" s="8"/>
      <c r="F27" s="51"/>
      <c r="G27" s="51"/>
      <c r="K27" s="7"/>
    </row>
    <row r="28" spans="2:29" ht="34.5" customHeight="1" x14ac:dyDescent="0.2">
      <c r="B28" s="828" t="s">
        <v>407</v>
      </c>
      <c r="C28" s="828"/>
      <c r="D28" s="828"/>
      <c r="E28" s="828"/>
      <c r="F28" s="828"/>
      <c r="G28" s="828"/>
      <c r="H28" s="828"/>
      <c r="I28" s="828"/>
      <c r="J28" s="828"/>
      <c r="K28" s="828"/>
      <c r="L28" s="828"/>
      <c r="M28" s="828"/>
    </row>
    <row r="29" spans="2:29" ht="171" customHeight="1" x14ac:dyDescent="0.2">
      <c r="B29" s="593" t="s">
        <v>409</v>
      </c>
      <c r="C29" s="873"/>
      <c r="D29" s="873"/>
      <c r="E29" s="873"/>
      <c r="F29" s="873"/>
      <c r="G29" s="873"/>
      <c r="H29" s="873"/>
      <c r="I29" s="873"/>
      <c r="J29" s="873"/>
      <c r="K29" s="873"/>
      <c r="L29" s="873"/>
      <c r="M29" s="873"/>
      <c r="N29" s="873"/>
      <c r="O29" s="873"/>
      <c r="P29" s="873"/>
      <c r="Q29" s="873"/>
      <c r="R29" s="873"/>
      <c r="S29" s="873"/>
      <c r="T29" s="873"/>
      <c r="U29" s="873"/>
    </row>
    <row r="30" spans="2:29" ht="7.5" customHeight="1" x14ac:dyDescent="0.2">
      <c r="B30" s="48"/>
      <c r="C30" s="48"/>
      <c r="D30" s="48"/>
      <c r="E30" s="48"/>
      <c r="F30" s="48"/>
      <c r="G30" s="48"/>
      <c r="H30" s="48"/>
      <c r="I30" s="48"/>
      <c r="J30" s="48"/>
      <c r="K30" s="48"/>
      <c r="L30" s="48"/>
      <c r="M30" s="48"/>
      <c r="N30" s="48"/>
      <c r="O30" s="4"/>
      <c r="P30" s="4"/>
      <c r="Q30" s="4"/>
      <c r="R30" s="4"/>
      <c r="S30" s="4"/>
      <c r="T30" s="4"/>
      <c r="U30" s="4"/>
      <c r="V30" s="4"/>
      <c r="W30" s="4"/>
      <c r="X30" s="4"/>
      <c r="Y30" s="4"/>
      <c r="Z30" s="4"/>
      <c r="AA30" s="4"/>
      <c r="AB30" s="4"/>
      <c r="AC30" s="50"/>
    </row>
    <row r="31" spans="2:29" s="4" customFormat="1" ht="12" x14ac:dyDescent="0.2">
      <c r="B31" s="155" t="s">
        <v>187</v>
      </c>
      <c r="J31" s="49"/>
    </row>
    <row r="32" spans="2:29" s="4" customFormat="1" ht="2.25" customHeight="1" x14ac:dyDescent="0.2">
      <c r="B32" s="135"/>
      <c r="J32" s="49"/>
    </row>
    <row r="33" spans="2:29" ht="15" customHeight="1" x14ac:dyDescent="0.2">
      <c r="B33" s="97" t="s">
        <v>267</v>
      </c>
      <c r="C33" s="856" t="s">
        <v>115</v>
      </c>
      <c r="D33" s="857"/>
      <c r="E33" s="858"/>
      <c r="F33" s="856" t="s">
        <v>56</v>
      </c>
      <c r="G33" s="857"/>
      <c r="H33" s="858"/>
      <c r="I33" s="914" t="s">
        <v>116</v>
      </c>
      <c r="J33" s="915"/>
      <c r="K33" s="915"/>
      <c r="L33" s="915"/>
      <c r="M33" s="915"/>
      <c r="N33" s="915"/>
      <c r="O33" s="915"/>
      <c r="P33" s="915"/>
      <c r="Q33" s="915"/>
      <c r="R33" s="915"/>
      <c r="S33" s="915"/>
      <c r="T33" s="915"/>
      <c r="U33" s="916"/>
      <c r="AC33" s="3"/>
    </row>
    <row r="34" spans="2:29" s="46" customFormat="1" ht="15" customHeight="1" x14ac:dyDescent="0.25">
      <c r="B34" s="134" t="s">
        <v>95</v>
      </c>
      <c r="C34" s="839" t="s">
        <v>194</v>
      </c>
      <c r="D34" s="840"/>
      <c r="E34" s="841"/>
      <c r="F34" s="901"/>
      <c r="G34" s="902"/>
      <c r="H34" s="903"/>
      <c r="I34" s="904" t="s">
        <v>130</v>
      </c>
      <c r="J34" s="904"/>
      <c r="K34" s="904"/>
      <c r="L34" s="904"/>
      <c r="M34" s="904"/>
      <c r="N34" s="904"/>
      <c r="O34" s="904"/>
      <c r="P34" s="904"/>
      <c r="Q34" s="904"/>
      <c r="R34" s="904"/>
      <c r="S34" s="904"/>
      <c r="T34" s="904"/>
      <c r="U34" s="904"/>
    </row>
    <row r="35" spans="2:29" s="46" customFormat="1" ht="15" customHeight="1" x14ac:dyDescent="0.25">
      <c r="B35" s="134" t="s">
        <v>95</v>
      </c>
      <c r="C35" s="839" t="s">
        <v>117</v>
      </c>
      <c r="D35" s="840"/>
      <c r="E35" s="841"/>
      <c r="F35" s="898"/>
      <c r="G35" s="899"/>
      <c r="H35" s="900"/>
      <c r="I35" s="904" t="s">
        <v>293</v>
      </c>
      <c r="J35" s="905"/>
      <c r="K35" s="905"/>
      <c r="L35" s="905"/>
      <c r="M35" s="905"/>
      <c r="N35" s="905"/>
      <c r="O35" s="905"/>
      <c r="P35" s="905"/>
      <c r="Q35" s="905"/>
      <c r="R35" s="905"/>
      <c r="S35" s="905"/>
      <c r="T35" s="905"/>
      <c r="U35" s="905"/>
    </row>
    <row r="36" spans="2:29" s="46" customFormat="1" ht="15" customHeight="1" x14ac:dyDescent="0.25">
      <c r="B36" s="134" t="s">
        <v>256</v>
      </c>
      <c r="C36" s="839" t="s">
        <v>195</v>
      </c>
      <c r="D36" s="840"/>
      <c r="E36" s="841"/>
      <c r="F36" s="850" t="s">
        <v>343</v>
      </c>
      <c r="G36" s="851"/>
      <c r="H36" s="852"/>
      <c r="I36" s="904" t="s">
        <v>272</v>
      </c>
      <c r="J36" s="905"/>
      <c r="K36" s="905"/>
      <c r="L36" s="905"/>
      <c r="M36" s="905"/>
      <c r="N36" s="905"/>
      <c r="O36" s="905"/>
      <c r="P36" s="905"/>
      <c r="Q36" s="905"/>
      <c r="R36" s="905"/>
      <c r="S36" s="905"/>
      <c r="T36" s="905"/>
      <c r="U36" s="905"/>
    </row>
    <row r="37" spans="2:29" s="46" customFormat="1" ht="15" customHeight="1" x14ac:dyDescent="0.25">
      <c r="B37" s="134" t="s">
        <v>7</v>
      </c>
      <c r="C37" s="839" t="s">
        <v>262</v>
      </c>
      <c r="D37" s="840"/>
      <c r="E37" s="841"/>
      <c r="F37" s="850" t="s">
        <v>82</v>
      </c>
      <c r="G37" s="851"/>
      <c r="H37" s="852"/>
      <c r="I37" s="906" t="s">
        <v>270</v>
      </c>
      <c r="J37" s="905"/>
      <c r="K37" s="905"/>
      <c r="L37" s="905"/>
      <c r="M37" s="905"/>
      <c r="N37" s="905"/>
      <c r="O37" s="905"/>
      <c r="P37" s="905"/>
      <c r="Q37" s="905"/>
      <c r="R37" s="905"/>
      <c r="S37" s="905"/>
      <c r="T37" s="905"/>
      <c r="U37" s="905"/>
    </row>
    <row r="38" spans="2:29" s="46" customFormat="1" ht="15" customHeight="1" x14ac:dyDescent="0.25">
      <c r="B38" s="134" t="s">
        <v>8</v>
      </c>
      <c r="C38" s="839" t="s">
        <v>263</v>
      </c>
      <c r="D38" s="840"/>
      <c r="E38" s="841"/>
      <c r="F38" s="850" t="s">
        <v>82</v>
      </c>
      <c r="G38" s="851"/>
      <c r="H38" s="852"/>
      <c r="I38" s="906" t="s">
        <v>268</v>
      </c>
      <c r="J38" s="905"/>
      <c r="K38" s="905"/>
      <c r="L38" s="905"/>
      <c r="M38" s="905"/>
      <c r="N38" s="905"/>
      <c r="O38" s="905"/>
      <c r="P38" s="905"/>
      <c r="Q38" s="905"/>
      <c r="R38" s="905"/>
      <c r="S38" s="905"/>
      <c r="T38" s="905"/>
      <c r="U38" s="905"/>
    </row>
    <row r="39" spans="2:29" s="46" customFormat="1" ht="15" customHeight="1" x14ac:dyDescent="0.25">
      <c r="B39" s="134" t="s">
        <v>77</v>
      </c>
      <c r="C39" s="839" t="s">
        <v>263</v>
      </c>
      <c r="D39" s="840"/>
      <c r="E39" s="841"/>
      <c r="F39" s="850" t="s">
        <v>82</v>
      </c>
      <c r="G39" s="851"/>
      <c r="H39" s="852"/>
      <c r="I39" s="906" t="s">
        <v>269</v>
      </c>
      <c r="J39" s="905"/>
      <c r="K39" s="905"/>
      <c r="L39" s="905"/>
      <c r="M39" s="905"/>
      <c r="N39" s="905"/>
      <c r="O39" s="905"/>
      <c r="P39" s="905"/>
      <c r="Q39" s="905"/>
      <c r="R39" s="905"/>
      <c r="S39" s="905"/>
      <c r="T39" s="905"/>
      <c r="U39" s="905"/>
    </row>
    <row r="40" spans="2:29" s="46" customFormat="1" ht="15" customHeight="1" x14ac:dyDescent="0.25">
      <c r="B40" s="134" t="s">
        <v>391</v>
      </c>
      <c r="C40" s="839" t="s">
        <v>396</v>
      </c>
      <c r="D40" s="840"/>
      <c r="E40" s="841"/>
      <c r="F40" s="870" t="s">
        <v>6</v>
      </c>
      <c r="G40" s="871"/>
      <c r="H40" s="872"/>
      <c r="I40" s="907" t="s">
        <v>413</v>
      </c>
      <c r="J40" s="908"/>
      <c r="K40" s="908"/>
      <c r="L40" s="908"/>
      <c r="M40" s="908"/>
      <c r="N40" s="908"/>
      <c r="O40" s="908"/>
      <c r="P40" s="908"/>
      <c r="Q40" s="908"/>
      <c r="R40" s="908"/>
      <c r="S40" s="908"/>
      <c r="T40" s="908"/>
      <c r="U40" s="908"/>
    </row>
    <row r="41" spans="2:29" s="46" customFormat="1" ht="15" customHeight="1" x14ac:dyDescent="0.25">
      <c r="B41" s="134" t="s">
        <v>392</v>
      </c>
      <c r="C41" s="839" t="s">
        <v>299</v>
      </c>
      <c r="D41" s="840"/>
      <c r="E41" s="841"/>
      <c r="F41" s="842" t="s">
        <v>74</v>
      </c>
      <c r="G41" s="843"/>
      <c r="H41" s="844"/>
      <c r="I41" s="904" t="s">
        <v>273</v>
      </c>
      <c r="J41" s="905"/>
      <c r="K41" s="905"/>
      <c r="L41" s="905"/>
      <c r="M41" s="905"/>
      <c r="N41" s="905"/>
      <c r="O41" s="905"/>
      <c r="P41" s="905"/>
      <c r="Q41" s="905"/>
      <c r="R41" s="905"/>
      <c r="S41" s="905"/>
      <c r="T41" s="905"/>
      <c r="U41" s="905"/>
    </row>
    <row r="42" spans="2:29" s="46" customFormat="1" ht="15" customHeight="1" x14ac:dyDescent="0.25">
      <c r="B42" s="134" t="s">
        <v>391</v>
      </c>
      <c r="C42" s="839" t="s">
        <v>397</v>
      </c>
      <c r="D42" s="840"/>
      <c r="E42" s="841"/>
      <c r="F42" s="842" t="s">
        <v>74</v>
      </c>
      <c r="G42" s="843"/>
      <c r="H42" s="844"/>
      <c r="I42" s="907" t="s">
        <v>414</v>
      </c>
      <c r="J42" s="908"/>
      <c r="K42" s="908"/>
      <c r="L42" s="909"/>
      <c r="M42" s="909"/>
      <c r="N42" s="909"/>
      <c r="O42" s="909"/>
      <c r="P42" s="909"/>
      <c r="Q42" s="909"/>
      <c r="R42" s="909"/>
      <c r="S42" s="909"/>
      <c r="T42" s="909"/>
      <c r="U42" s="909"/>
    </row>
    <row r="43" spans="2:29" s="46" customFormat="1" ht="15" customHeight="1" x14ac:dyDescent="0.25">
      <c r="B43" s="134" t="s">
        <v>393</v>
      </c>
      <c r="C43" s="839" t="s">
        <v>275</v>
      </c>
      <c r="D43" s="840"/>
      <c r="E43" s="841"/>
      <c r="F43" s="842" t="s">
        <v>74</v>
      </c>
      <c r="G43" s="843"/>
      <c r="H43" s="844"/>
      <c r="I43" s="911" t="s">
        <v>138</v>
      </c>
      <c r="J43" s="912"/>
      <c r="K43" s="912"/>
      <c r="L43" s="912" t="str">
        <f>CONCATENATE("Jahre ",C20,"-",C21)</f>
        <v>Jahre 2013-2014</v>
      </c>
      <c r="M43" s="912"/>
      <c r="N43" s="912"/>
      <c r="O43" s="912"/>
      <c r="P43" s="912"/>
      <c r="Q43" s="912"/>
      <c r="R43" s="912"/>
      <c r="S43" s="912"/>
      <c r="T43" s="912"/>
      <c r="U43" s="913"/>
      <c r="V43" s="46" t="s">
        <v>70</v>
      </c>
    </row>
    <row r="44" spans="2:29" s="46" customFormat="1" ht="15" customHeight="1" x14ac:dyDescent="0.25">
      <c r="B44" s="134" t="s">
        <v>276</v>
      </c>
      <c r="C44" s="839" t="s">
        <v>278</v>
      </c>
      <c r="D44" s="840"/>
      <c r="E44" s="841"/>
      <c r="F44" s="842" t="s">
        <v>74</v>
      </c>
      <c r="G44" s="843"/>
      <c r="H44" s="844"/>
      <c r="I44" s="911" t="s">
        <v>138</v>
      </c>
      <c r="J44" s="912"/>
      <c r="K44" s="912"/>
      <c r="L44" s="912" t="str">
        <f>CONCATENATE("Jahr ",C22)</f>
        <v>Jahr 2015</v>
      </c>
      <c r="M44" s="912"/>
      <c r="N44" s="912"/>
      <c r="O44" s="912"/>
      <c r="P44" s="912"/>
      <c r="Q44" s="912"/>
      <c r="R44" s="912"/>
      <c r="S44" s="912"/>
      <c r="T44" s="912"/>
      <c r="U44" s="913"/>
    </row>
    <row r="45" spans="2:29" s="46" customFormat="1" ht="15" customHeight="1" x14ac:dyDescent="0.25">
      <c r="B45" s="134" t="s">
        <v>277</v>
      </c>
      <c r="C45" s="839" t="s">
        <v>279</v>
      </c>
      <c r="D45" s="840"/>
      <c r="E45" s="841"/>
      <c r="F45" s="842" t="s">
        <v>74</v>
      </c>
      <c r="G45" s="843"/>
      <c r="H45" s="844"/>
      <c r="I45" s="911" t="s">
        <v>138</v>
      </c>
      <c r="J45" s="912"/>
      <c r="K45" s="912"/>
      <c r="L45" s="912" t="str">
        <f>CONCATENATE("Jahr ",C23)</f>
        <v>Jahr 2016</v>
      </c>
      <c r="M45" s="912"/>
      <c r="N45" s="912"/>
      <c r="O45" s="912"/>
      <c r="P45" s="912"/>
      <c r="Q45" s="912"/>
      <c r="R45" s="912"/>
      <c r="S45" s="912"/>
      <c r="T45" s="912"/>
      <c r="U45" s="913"/>
    </row>
    <row r="46" spans="2:29" s="46" customFormat="1" ht="15" customHeight="1" x14ac:dyDescent="0.25">
      <c r="B46" s="134" t="s">
        <v>394</v>
      </c>
      <c r="C46" s="839" t="s">
        <v>280</v>
      </c>
      <c r="D46" s="840"/>
      <c r="E46" s="841"/>
      <c r="F46" s="842" t="s">
        <v>74</v>
      </c>
      <c r="G46" s="843"/>
      <c r="H46" s="844"/>
      <c r="I46" s="911" t="s">
        <v>138</v>
      </c>
      <c r="J46" s="912"/>
      <c r="K46" s="912"/>
      <c r="L46" s="912" t="str">
        <f>CONCATENATE("Jahr ",C24)</f>
        <v>Jahr 2017</v>
      </c>
      <c r="M46" s="912"/>
      <c r="N46" s="912"/>
      <c r="O46" s="912"/>
      <c r="P46" s="912"/>
      <c r="Q46" s="912"/>
      <c r="R46" s="912"/>
      <c r="S46" s="912"/>
      <c r="T46" s="912"/>
      <c r="U46" s="913"/>
    </row>
    <row r="47" spans="2:29" s="46" customFormat="1" ht="15" customHeight="1" x14ac:dyDescent="0.25">
      <c r="B47" s="134" t="s">
        <v>287</v>
      </c>
      <c r="C47" s="839" t="s">
        <v>283</v>
      </c>
      <c r="D47" s="840"/>
      <c r="E47" s="841"/>
      <c r="F47" s="842" t="s">
        <v>74</v>
      </c>
      <c r="G47" s="843"/>
      <c r="H47" s="844"/>
      <c r="I47" s="911" t="s">
        <v>290</v>
      </c>
      <c r="J47" s="912"/>
      <c r="K47" s="912"/>
      <c r="L47" s="912" t="str">
        <f>CONCATENATE("Jahr ",C20)</f>
        <v>Jahr 2013</v>
      </c>
      <c r="M47" s="912"/>
      <c r="N47" s="912"/>
      <c r="O47" s="912"/>
      <c r="P47" s="912"/>
      <c r="Q47" s="912"/>
      <c r="R47" s="912"/>
      <c r="S47" s="912"/>
      <c r="T47" s="912"/>
      <c r="U47" s="913"/>
    </row>
    <row r="48" spans="2:29" s="46" customFormat="1" ht="15" customHeight="1" x14ac:dyDescent="0.25">
      <c r="B48" s="134" t="s">
        <v>288</v>
      </c>
      <c r="C48" s="839" t="s">
        <v>284</v>
      </c>
      <c r="D48" s="840"/>
      <c r="E48" s="841"/>
      <c r="F48" s="842" t="s">
        <v>74</v>
      </c>
      <c r="G48" s="843"/>
      <c r="H48" s="844"/>
      <c r="I48" s="911" t="s">
        <v>290</v>
      </c>
      <c r="J48" s="912"/>
      <c r="K48" s="912"/>
      <c r="L48" s="912" t="str">
        <f>CONCATENATE("Jahr ",C21)</f>
        <v>Jahr 2014</v>
      </c>
      <c r="M48" s="912"/>
      <c r="N48" s="912"/>
      <c r="O48" s="912"/>
      <c r="P48" s="912"/>
      <c r="Q48" s="912"/>
      <c r="R48" s="912"/>
      <c r="S48" s="912"/>
      <c r="T48" s="912"/>
      <c r="U48" s="913"/>
    </row>
    <row r="49" spans="2:21" s="46" customFormat="1" ht="15" customHeight="1" x14ac:dyDescent="0.25">
      <c r="B49" s="134" t="s">
        <v>289</v>
      </c>
      <c r="C49" s="839" t="s">
        <v>285</v>
      </c>
      <c r="D49" s="840"/>
      <c r="E49" s="841"/>
      <c r="F49" s="842" t="s">
        <v>74</v>
      </c>
      <c r="G49" s="843"/>
      <c r="H49" s="844"/>
      <c r="I49" s="911" t="s">
        <v>290</v>
      </c>
      <c r="J49" s="912"/>
      <c r="K49" s="912"/>
      <c r="L49" s="912" t="str">
        <f>CONCATENATE("Jahr ",C22)</f>
        <v>Jahr 2015</v>
      </c>
      <c r="M49" s="912"/>
      <c r="N49" s="912"/>
      <c r="O49" s="912"/>
      <c r="P49" s="912"/>
      <c r="Q49" s="912"/>
      <c r="R49" s="912"/>
      <c r="S49" s="912"/>
      <c r="T49" s="912"/>
      <c r="U49" s="913"/>
    </row>
    <row r="50" spans="2:21" s="46" customFormat="1" ht="15" customHeight="1" x14ac:dyDescent="0.25">
      <c r="B50" s="134" t="s">
        <v>281</v>
      </c>
      <c r="C50" s="839" t="s">
        <v>286</v>
      </c>
      <c r="D50" s="840"/>
      <c r="E50" s="841"/>
      <c r="F50" s="842" t="s">
        <v>74</v>
      </c>
      <c r="G50" s="843"/>
      <c r="H50" s="844"/>
      <c r="I50" s="911" t="s">
        <v>290</v>
      </c>
      <c r="J50" s="912"/>
      <c r="K50" s="912"/>
      <c r="L50" s="912" t="str">
        <f>CONCATENATE("Jahr ",C23)</f>
        <v>Jahr 2016</v>
      </c>
      <c r="M50" s="912"/>
      <c r="N50" s="912"/>
      <c r="O50" s="912"/>
      <c r="P50" s="912"/>
      <c r="Q50" s="912"/>
      <c r="R50" s="912"/>
      <c r="S50" s="912"/>
      <c r="T50" s="912"/>
      <c r="U50" s="913"/>
    </row>
    <row r="51" spans="2:21" s="46" customFormat="1" ht="15" customHeight="1" x14ac:dyDescent="0.25">
      <c r="B51" s="134" t="s">
        <v>395</v>
      </c>
      <c r="C51" s="839" t="s">
        <v>282</v>
      </c>
      <c r="D51" s="840"/>
      <c r="E51" s="841"/>
      <c r="F51" s="842" t="s">
        <v>74</v>
      </c>
      <c r="G51" s="843"/>
      <c r="H51" s="844"/>
      <c r="I51" s="911" t="s">
        <v>376</v>
      </c>
      <c r="J51" s="912"/>
      <c r="K51" s="912"/>
      <c r="L51" s="917" t="str">
        <f>CONCATENATE("Jahr ",C24)</f>
        <v>Jahr 2017</v>
      </c>
      <c r="M51" s="917"/>
      <c r="N51" s="917"/>
      <c r="O51" s="917"/>
      <c r="P51" s="917"/>
      <c r="Q51" s="917"/>
      <c r="R51" s="917"/>
      <c r="S51" s="917"/>
      <c r="T51" s="917"/>
      <c r="U51" s="918"/>
    </row>
    <row r="54" spans="2:21" x14ac:dyDescent="0.2">
      <c r="N54" s="3" t="s">
        <v>140</v>
      </c>
    </row>
    <row r="55" spans="2:21" ht="15" x14ac:dyDescent="0.25">
      <c r="B55" s="29"/>
    </row>
    <row r="64" spans="2:21" x14ac:dyDescent="0.2">
      <c r="B64" s="63"/>
      <c r="D64" s="63"/>
      <c r="E64" s="63"/>
      <c r="F64" s="63"/>
      <c r="G64" s="63"/>
      <c r="H64" s="63"/>
      <c r="I64" s="63"/>
      <c r="J64" s="63"/>
      <c r="K64" s="63"/>
      <c r="L64" s="63"/>
      <c r="M64" s="63"/>
      <c r="N64" s="63"/>
      <c r="O64" s="63"/>
      <c r="P64" s="63"/>
      <c r="Q64" s="63"/>
      <c r="R64" s="63"/>
      <c r="S64" s="63"/>
    </row>
    <row r="65" spans="2:23" hidden="1" x14ac:dyDescent="0.2"/>
    <row r="66" spans="2:23" hidden="1" x14ac:dyDescent="0.2">
      <c r="B66" s="22" t="s">
        <v>182</v>
      </c>
    </row>
    <row r="67" spans="2:23" hidden="1" x14ac:dyDescent="0.2">
      <c r="B67" s="130" t="str">
        <f>Berechnung2!B36</f>
        <v>ART</v>
      </c>
      <c r="C67" s="128">
        <f>Berechnung2!C36</f>
        <v>0</v>
      </c>
      <c r="D67" s="128">
        <f>Berechnung2!D36</f>
        <v>0</v>
      </c>
      <c r="E67" s="128">
        <f>Berechnung2!E36</f>
        <v>0</v>
      </c>
      <c r="F67" s="128" t="str">
        <f>Berechnung2!F36</f>
        <v>Werte</v>
      </c>
      <c r="G67" s="128">
        <f>Berechnung2!G36</f>
        <v>0</v>
      </c>
      <c r="H67" s="128">
        <f>Berechnung2!H36</f>
        <v>0</v>
      </c>
      <c r="I67" s="128">
        <f>Berechnung2!I36</f>
        <v>0</v>
      </c>
      <c r="J67" s="128">
        <f>Berechnung2!J36</f>
        <v>0</v>
      </c>
      <c r="K67" s="128">
        <f>Berechnung2!K36</f>
        <v>0</v>
      </c>
      <c r="L67" s="128" t="str">
        <f>Berechnung2!L36</f>
        <v>Texte Matrix Datenquali</v>
      </c>
      <c r="M67" s="128">
        <f>Berechnung2!M36</f>
        <v>0</v>
      </c>
      <c r="N67" s="128">
        <f>Berechnung2!N36</f>
        <v>0</v>
      </c>
      <c r="O67" s="128">
        <f>Berechnung2!O36</f>
        <v>0</v>
      </c>
      <c r="P67" s="128" t="str">
        <f>Berechnung2!P36</f>
        <v>Fehlermeldungen Matrix</v>
      </c>
      <c r="Q67" s="7"/>
      <c r="R67" s="7"/>
      <c r="S67" s="7"/>
      <c r="T67" s="7"/>
      <c r="U67" s="7"/>
      <c r="V67" s="7"/>
      <c r="W67" s="7"/>
    </row>
    <row r="68" spans="2:23" hidden="1" x14ac:dyDescent="0.2">
      <c r="B68" s="129">
        <f>Berechnung2!B37</f>
        <v>0</v>
      </c>
      <c r="C68" s="128">
        <f>Berechnung2!C37</f>
        <v>0</v>
      </c>
      <c r="D68" s="128">
        <f>Berechnung2!D37</f>
        <v>0</v>
      </c>
      <c r="E68" s="128">
        <f>Berechnung2!E37</f>
        <v>0</v>
      </c>
      <c r="F68" s="128">
        <f>Berechnung2!F37</f>
        <v>0</v>
      </c>
      <c r="G68" s="128">
        <f>Berechnung2!G37</f>
        <v>0</v>
      </c>
      <c r="H68" s="128">
        <f>Berechnung2!H37</f>
        <v>0</v>
      </c>
      <c r="I68" s="128">
        <f>Berechnung2!I37</f>
        <v>0</v>
      </c>
      <c r="J68" s="128">
        <f>Berechnung2!J37</f>
        <v>0</v>
      </c>
      <c r="K68" s="128">
        <f>Berechnung2!K37</f>
        <v>0</v>
      </c>
      <c r="L68" s="128">
        <f>Berechnung2!L37</f>
        <v>0</v>
      </c>
      <c r="M68" s="128">
        <f>Berechnung2!M37</f>
        <v>0</v>
      </c>
      <c r="N68" s="128">
        <f>Berechnung2!N37</f>
        <v>0</v>
      </c>
      <c r="O68" s="128">
        <f>Berechnung2!O37</f>
        <v>0</v>
      </c>
      <c r="P68" s="128" t="str">
        <f>Berechnung2!P37</f>
        <v>Ganze Zahl zwischen 0 und 5000 eingeben.</v>
      </c>
      <c r="Q68" s="150"/>
      <c r="R68" s="7"/>
      <c r="S68" s="7"/>
      <c r="T68" s="7"/>
      <c r="U68" s="7"/>
      <c r="V68" s="7"/>
      <c r="W68" s="7"/>
    </row>
    <row r="69" spans="2:23" hidden="1" x14ac:dyDescent="0.2">
      <c r="B69" s="129">
        <f>Berechnung2!B38</f>
        <v>0</v>
      </c>
      <c r="C69" s="128">
        <f>Berechnung2!C38</f>
        <v>0</v>
      </c>
      <c r="D69" s="128" t="str">
        <f>Berechnung2!D38</f>
        <v>unvollständig</v>
      </c>
      <c r="E69" s="128">
        <f>Berechnung2!E38</f>
        <v>0</v>
      </c>
      <c r="F69" s="128">
        <f>Berechnung2!F38</f>
        <v>0</v>
      </c>
      <c r="G69" s="128">
        <f>Berechnung2!G38</f>
        <v>0</v>
      </c>
      <c r="H69" s="128">
        <f>Berechnung2!H38</f>
        <v>0</v>
      </c>
      <c r="I69" s="128">
        <f>Berechnung2!I38</f>
        <v>0</v>
      </c>
      <c r="J69" s="128">
        <f>Berechnung2!J38</f>
        <v>0</v>
      </c>
      <c r="K69" s="128">
        <f>Berechnung2!K38</f>
        <v>0</v>
      </c>
      <c r="L69" s="128" t="str">
        <f>Berechnung2!L38</f>
        <v>relevante Nachsorgejahre nicht / unvollständig bearbeitet</v>
      </c>
      <c r="M69" s="128">
        <f>Berechnung2!M38</f>
        <v>0</v>
      </c>
      <c r="N69" s="128">
        <f>Berechnung2!N38</f>
        <v>0</v>
      </c>
      <c r="O69" s="128">
        <f>Berechnung2!O38</f>
        <v>0</v>
      </c>
      <c r="P69" s="128">
        <f>Berechnung2!P38</f>
        <v>0</v>
      </c>
      <c r="Q69" s="7"/>
      <c r="R69" s="7"/>
      <c r="S69" s="7"/>
      <c r="T69" s="7"/>
      <c r="U69" s="7"/>
      <c r="V69" s="7"/>
      <c r="W69" s="7"/>
    </row>
    <row r="70" spans="2:23" hidden="1" x14ac:dyDescent="0.2">
      <c r="B70" s="129" t="str">
        <f>Berechnung2!B39</f>
        <v>zu geringe Anzahl der Primärfälle</v>
      </c>
      <c r="C70" s="128">
        <f>Berechnung2!C39</f>
        <v>0</v>
      </c>
      <c r="D70" s="128" t="str">
        <f>Berechnung2!D39</f>
        <v>plausi</v>
      </c>
      <c r="E70" s="128" t="str">
        <f>Berechnung2!E39</f>
        <v>&lt;</v>
      </c>
      <c r="F70" s="128">
        <f>Berechnung2!F39</f>
        <v>0</v>
      </c>
      <c r="G70" s="133">
        <f>Berechnung2!G39</f>
        <v>100</v>
      </c>
      <c r="H70" s="128">
        <f>Berechnung2!H39</f>
        <v>0</v>
      </c>
      <c r="I70" s="128">
        <f>Berechnung2!I39</f>
        <v>0</v>
      </c>
      <c r="J70" s="128">
        <f>Berechnung2!J39</f>
        <v>0</v>
      </c>
      <c r="K70" s="128">
        <f>Berechnung2!K39</f>
        <v>0</v>
      </c>
      <c r="L70" s="128" t="str">
        <f>Berechnung2!L39</f>
        <v>zu wenig Primärfälle angegeben</v>
      </c>
      <c r="M70" s="128">
        <f>Berechnung2!M39</f>
        <v>0</v>
      </c>
      <c r="N70" s="128">
        <f>Berechnung2!N39</f>
        <v>0</v>
      </c>
      <c r="O70" s="128">
        <f>Berechnung2!O39</f>
        <v>0</v>
      </c>
      <c r="P70" s="128">
        <f>Berechnung2!P39</f>
        <v>0</v>
      </c>
      <c r="Q70" s="7"/>
      <c r="R70" s="7"/>
      <c r="S70" s="7"/>
      <c r="T70" s="7"/>
      <c r="U70" s="7"/>
      <c r="V70" s="7"/>
      <c r="W70" s="7"/>
    </row>
    <row r="71" spans="2:23" hidden="1" x14ac:dyDescent="0.2">
      <c r="B71" s="129" t="str">
        <f>Berechnung2!B40</f>
        <v>geringe Follow-Up-Quote</v>
      </c>
      <c r="C71" s="128">
        <f>Berechnung2!C40</f>
        <v>0</v>
      </c>
      <c r="D71" s="128" t="str">
        <f>Berechnung2!D40</f>
        <v>plausi</v>
      </c>
      <c r="E71" s="128" t="str">
        <f>Berechnung2!E40</f>
        <v>&lt;</v>
      </c>
      <c r="F71" s="132">
        <f>Berechnung2!F40</f>
        <v>0</v>
      </c>
      <c r="G71" s="131">
        <f>Berechnung2!G40</f>
        <v>0</v>
      </c>
      <c r="H71" s="128">
        <f>Berechnung2!H40</f>
        <v>0</v>
      </c>
      <c r="I71" s="131">
        <f>Berechnung2!I40</f>
        <v>0.69999</v>
      </c>
      <c r="J71" s="131">
        <f>Berechnung2!J40</f>
        <v>0.69999</v>
      </c>
      <c r="K71" s="128">
        <f>Berechnung2!K40</f>
        <v>0</v>
      </c>
      <c r="L71" s="128" t="str">
        <f>Berechnung2!L40</f>
        <v>geringe Follow-Up Quote der Nachsorgejahre</v>
      </c>
      <c r="M71" s="128">
        <f>Berechnung2!M40</f>
        <v>0</v>
      </c>
      <c r="N71" s="128">
        <f>Berechnung2!N40</f>
        <v>0</v>
      </c>
      <c r="O71" s="128">
        <f>Berechnung2!O40</f>
        <v>0</v>
      </c>
      <c r="P71" s="128">
        <f>Berechnung2!P40</f>
        <v>0</v>
      </c>
      <c r="Q71" s="7"/>
      <c r="R71" s="7"/>
      <c r="S71" s="7"/>
      <c r="T71" s="7"/>
      <c r="U71" s="7"/>
      <c r="V71" s="7"/>
      <c r="W71" s="7"/>
    </row>
    <row r="72" spans="2:23" hidden="1" x14ac:dyDescent="0.2">
      <c r="B72" s="129" t="str">
        <f>Berechnung2!B41</f>
        <v>geringe Follow-Up-Quote der Jahre 2015-2017</v>
      </c>
      <c r="C72" s="128">
        <f>Berechnung2!C41</f>
        <v>0</v>
      </c>
      <c r="D72" s="128" t="str">
        <f>Berechnung2!D41</f>
        <v>sollvorgabe</v>
      </c>
      <c r="E72" s="128" t="str">
        <f>Berechnung2!E41</f>
        <v>&lt;</v>
      </c>
      <c r="F72" s="132">
        <f>Berechnung2!F41</f>
        <v>0</v>
      </c>
      <c r="G72" s="131">
        <f>Berechnung2!G41</f>
        <v>0</v>
      </c>
      <c r="H72" s="128">
        <f>Berechnung2!H41</f>
        <v>0</v>
      </c>
      <c r="I72" s="131">
        <f>Berechnung2!I41</f>
        <v>0.79998999999999998</v>
      </c>
      <c r="J72" s="131">
        <f>Berechnung2!J41</f>
        <v>0.79998999999999998</v>
      </c>
      <c r="K72" s="128">
        <f>Berechnung2!K41</f>
        <v>0</v>
      </c>
      <c r="L72" s="128" t="str">
        <f>Berechnung2!L41</f>
        <v>durchschnittliche Follow-Up-Quote &lt; 80%</v>
      </c>
      <c r="M72" s="128">
        <f>Berechnung2!M41</f>
        <v>0</v>
      </c>
      <c r="N72" s="128">
        <f>Berechnung2!N41</f>
        <v>0</v>
      </c>
      <c r="O72" s="128">
        <f>Berechnung2!O41</f>
        <v>0</v>
      </c>
      <c r="P72" s="128">
        <f>Berechnung2!P41</f>
        <v>0</v>
      </c>
      <c r="Q72" s="7"/>
      <c r="R72" s="7"/>
      <c r="S72" s="7"/>
      <c r="T72" s="7"/>
      <c r="U72" s="7"/>
      <c r="V72" s="7"/>
      <c r="W72" s="7"/>
    </row>
    <row r="73" spans="2:23" hidden="1" x14ac:dyDescent="0.2">
      <c r="B73" s="129" t="str">
        <f>Berechnung2!B42</f>
        <v>zu hohe Follow-Up-Quote der Jahre 2015-2017</v>
      </c>
      <c r="C73" s="128">
        <f>Berechnung2!C42</f>
        <v>0</v>
      </c>
      <c r="D73" s="128" t="str">
        <f>Berechnung2!D42</f>
        <v>plausi</v>
      </c>
      <c r="E73" s="128" t="str">
        <f>Berechnung2!E42</f>
        <v>&gt;</v>
      </c>
      <c r="F73" s="128">
        <f>Berechnung2!F42</f>
        <v>0</v>
      </c>
      <c r="G73" s="131">
        <f>Berechnung2!G42</f>
        <v>0</v>
      </c>
      <c r="H73" s="128">
        <f>Berechnung2!H42</f>
        <v>0.95001000000000002</v>
      </c>
      <c r="I73" s="131">
        <f>Berechnung2!I42</f>
        <v>1</v>
      </c>
      <c r="J73" s="131">
        <f>Berechnung2!J42</f>
        <v>0.95001000000000002</v>
      </c>
      <c r="K73" s="128">
        <f>Berechnung2!K42</f>
        <v>0</v>
      </c>
      <c r="L73" s="128" t="str">
        <f>Berechnung2!L42</f>
        <v>durchschnittliche Follow-Up-Quote &gt; 95%</v>
      </c>
      <c r="M73" s="128">
        <f>Berechnung2!M42</f>
        <v>0</v>
      </c>
      <c r="N73" s="128">
        <f>Berechnung2!N42</f>
        <v>0</v>
      </c>
      <c r="O73" s="128">
        <f>Berechnung2!O42</f>
        <v>0</v>
      </c>
      <c r="P73" s="128">
        <f>Berechnung2!P42</f>
        <v>0</v>
      </c>
      <c r="Q73" s="7"/>
      <c r="R73" s="7"/>
      <c r="S73" s="7"/>
      <c r="T73" s="7"/>
      <c r="U73" s="7"/>
      <c r="V73" s="7"/>
      <c r="W73" s="7"/>
    </row>
    <row r="74" spans="2:23" hidden="1" x14ac:dyDescent="0.2">
      <c r="B74" s="129" t="str">
        <f>Berechnung2!B43</f>
        <v>zu viele Patienten im Follow Up</v>
      </c>
      <c r="C74" s="128">
        <f>Berechnung2!C43</f>
        <v>0</v>
      </c>
      <c r="D74" s="128" t="str">
        <f>Berechnung2!D43</f>
        <v>inkorrekt</v>
      </c>
      <c r="E74" s="128">
        <f>Berechnung2!E43</f>
        <v>0</v>
      </c>
      <c r="F74" s="128">
        <f>Berechnung2!F43</f>
        <v>0</v>
      </c>
      <c r="G74" s="128">
        <f>Berechnung2!G43</f>
        <v>0</v>
      </c>
      <c r="H74" s="128">
        <f>Berechnung2!H43</f>
        <v>0</v>
      </c>
      <c r="I74" s="128">
        <f>Berechnung2!I43</f>
        <v>0</v>
      </c>
      <c r="J74" s="128">
        <f>Berechnung2!J43</f>
        <v>0</v>
      </c>
      <c r="K74" s="128">
        <f>Berechnung2!K43</f>
        <v>0</v>
      </c>
      <c r="L74" s="128" t="str">
        <f>Berechnung2!L43</f>
        <v>Werte Spalte F "Patienten mit Follow-Up" müssen kleiner gleich sein als Spalte D "Anzahl Primärfälle"</v>
      </c>
      <c r="M74" s="128">
        <f>Berechnung2!M43</f>
        <v>0</v>
      </c>
      <c r="N74" s="128">
        <f>Berechnung2!N43</f>
        <v>0</v>
      </c>
      <c r="O74" s="128">
        <f>Berechnung2!O43</f>
        <v>0</v>
      </c>
      <c r="P74" s="128">
        <f>Berechnung2!P43</f>
        <v>0</v>
      </c>
      <c r="Q74" s="7"/>
      <c r="R74" s="7"/>
      <c r="S74" s="7"/>
      <c r="T74" s="7"/>
      <c r="U74" s="7"/>
      <c r="V74" s="7"/>
      <c r="W74" s="7"/>
    </row>
    <row r="75" spans="2:23" hidden="1" x14ac:dyDescent="0.2">
      <c r="B75" s="129" t="str">
        <f>Berechnung2!B44</f>
        <v>zu viele Patienten bei DFS absolut</v>
      </c>
      <c r="C75" s="128">
        <f>Berechnung2!C44</f>
        <v>0</v>
      </c>
      <c r="D75" s="128" t="str">
        <f>Berechnung2!D44</f>
        <v>inkorrekt</v>
      </c>
      <c r="E75" s="128">
        <f>Berechnung2!E44</f>
        <v>0</v>
      </c>
      <c r="F75" s="128">
        <f>Berechnung2!F44</f>
        <v>0</v>
      </c>
      <c r="G75" s="128">
        <f>Berechnung2!G44</f>
        <v>0</v>
      </c>
      <c r="H75" s="128">
        <f>Berechnung2!H44</f>
        <v>0</v>
      </c>
      <c r="I75" s="128">
        <f>Berechnung2!I44</f>
        <v>0</v>
      </c>
      <c r="J75" s="128">
        <f>Berechnung2!J44</f>
        <v>0</v>
      </c>
      <c r="K75" s="128">
        <f>Berechnung2!K44</f>
        <v>0</v>
      </c>
      <c r="L75" s="128" t="str">
        <f>Berechnung2!L44</f>
        <v>Werte Spalte I "DFS absolut" müssen kleiner gleich sein als Spalte F "Patienten mit Follow-Up"</v>
      </c>
      <c r="M75" s="128">
        <f>Berechnung2!M44</f>
        <v>0</v>
      </c>
      <c r="N75" s="128">
        <f>Berechnung2!N44</f>
        <v>0</v>
      </c>
      <c r="O75" s="128">
        <f>Berechnung2!O44</f>
        <v>0</v>
      </c>
      <c r="P75" s="128">
        <f>Berechnung2!P44</f>
        <v>0</v>
      </c>
      <c r="Q75" s="7"/>
      <c r="R75" s="7"/>
      <c r="S75" s="7"/>
      <c r="T75" s="7"/>
      <c r="U75" s="7"/>
      <c r="V75" s="7"/>
      <c r="W75" s="7"/>
    </row>
    <row r="76" spans="2:23" hidden="1" x14ac:dyDescent="0.2">
      <c r="B76" s="129" t="str">
        <f>Berechnung2!B45</f>
        <v>zu viele Patienten bei OAS absolut</v>
      </c>
      <c r="C76" s="128">
        <f>Berechnung2!C45</f>
        <v>0</v>
      </c>
      <c r="D76" s="128" t="str">
        <f>Berechnung2!D45</f>
        <v>inkorrekt</v>
      </c>
      <c r="E76" s="128">
        <f>Berechnung2!E45</f>
        <v>0</v>
      </c>
      <c r="F76" s="128">
        <f>Berechnung2!F45</f>
        <v>0</v>
      </c>
      <c r="G76" s="128">
        <f>Berechnung2!G45</f>
        <v>0</v>
      </c>
      <c r="H76" s="128">
        <f>Berechnung2!H45</f>
        <v>0</v>
      </c>
      <c r="I76" s="128">
        <f>Berechnung2!I45</f>
        <v>0</v>
      </c>
      <c r="J76" s="128">
        <f>Berechnung2!J45</f>
        <v>0</v>
      </c>
      <c r="K76" s="128">
        <f>Berechnung2!K45</f>
        <v>0</v>
      </c>
      <c r="L76" s="128" t="str">
        <f>Berechnung2!L45</f>
        <v>Werte Spalte L "OAS absolut" müssen kleiner gleich sein als Spalte F "Patienten mit Follow-Up"</v>
      </c>
      <c r="M76" s="128">
        <f>Berechnung2!M45</f>
        <v>0</v>
      </c>
      <c r="N76" s="128">
        <f>Berechnung2!N45</f>
        <v>0</v>
      </c>
      <c r="O76" s="128">
        <f>Berechnung2!O45</f>
        <v>0</v>
      </c>
      <c r="P76" s="128">
        <f>Berechnung2!P45</f>
        <v>0</v>
      </c>
      <c r="Q76" s="7"/>
      <c r="R76" s="7"/>
      <c r="S76" s="7"/>
      <c r="T76" s="7"/>
      <c r="U76" s="7"/>
      <c r="V76" s="7"/>
      <c r="W76" s="7"/>
    </row>
    <row r="77" spans="2:23" hidden="1" x14ac:dyDescent="0.2">
      <c r="B77" s="129">
        <f>Berechnung2!B46</f>
        <v>0</v>
      </c>
      <c r="C77" s="128">
        <f>Berechnung2!C46</f>
        <v>0</v>
      </c>
      <c r="D77" s="128">
        <f>Berechnung2!D46</f>
        <v>0</v>
      </c>
      <c r="E77" s="128">
        <f>Berechnung2!E46</f>
        <v>0</v>
      </c>
      <c r="F77" s="128">
        <f>Berechnung2!F46</f>
        <v>0</v>
      </c>
      <c r="G77" s="128">
        <f>Berechnung2!G46</f>
        <v>0</v>
      </c>
      <c r="H77" s="128">
        <f>Berechnung2!H46</f>
        <v>0</v>
      </c>
      <c r="I77" s="128">
        <f>Berechnung2!I46</f>
        <v>0</v>
      </c>
      <c r="J77" s="128">
        <f>Berechnung2!J46</f>
        <v>0</v>
      </c>
      <c r="K77" s="128">
        <f>Berechnung2!K46</f>
        <v>0</v>
      </c>
      <c r="L77" s="128">
        <f>Berechnung2!L46</f>
        <v>0</v>
      </c>
      <c r="M77" s="128">
        <f>Berechnung2!M46</f>
        <v>0</v>
      </c>
      <c r="N77" s="128">
        <f>Berechnung2!N46</f>
        <v>0</v>
      </c>
      <c r="O77" s="128">
        <f>Berechnung2!O46</f>
        <v>0</v>
      </c>
      <c r="P77" s="128">
        <f>Berechnung2!P46</f>
        <v>0</v>
      </c>
      <c r="Q77" s="7"/>
      <c r="R77" s="7"/>
      <c r="S77" s="7"/>
      <c r="T77" s="7"/>
      <c r="U77" s="7"/>
      <c r="V77" s="7"/>
      <c r="W77" s="7"/>
    </row>
    <row r="78" spans="2:23" hidden="1" x14ac:dyDescent="0.2">
      <c r="B78" s="129" t="str">
        <f>Berechnung2!B47</f>
        <v>DFS</v>
      </c>
      <c r="C78" s="128">
        <f>Berechnung2!C47</f>
        <v>0</v>
      </c>
      <c r="D78" s="128">
        <f>Berechnung2!D47</f>
        <v>0</v>
      </c>
      <c r="E78" s="128" t="str">
        <f>Berechnung2!E47</f>
        <v>von</v>
      </c>
      <c r="F78" s="128" t="str">
        <f>Berechnung2!F47</f>
        <v>untere Grenze</v>
      </c>
      <c r="G78" s="128">
        <f>Berechnung2!G47</f>
        <v>0</v>
      </c>
      <c r="H78" s="128">
        <f>Berechnung2!H47</f>
        <v>0</v>
      </c>
      <c r="I78" s="128">
        <f>Berechnung2!I47</f>
        <v>0</v>
      </c>
      <c r="J78" s="128" t="str">
        <f>Berechnung2!J47</f>
        <v>obere Grenze</v>
      </c>
      <c r="K78" s="128">
        <f>Berechnung2!K47</f>
        <v>0</v>
      </c>
      <c r="L78" s="128" t="str">
        <f>Berechnung2!L47</f>
        <v>DFS auffällig niedrig</v>
      </c>
      <c r="M78" s="128">
        <f>Berechnung2!M47</f>
        <v>0</v>
      </c>
      <c r="N78" s="128" t="str">
        <f>Berechnung2!N47</f>
        <v>DFS auffällig hoch</v>
      </c>
      <c r="O78" s="128">
        <f>Berechnung2!O47</f>
        <v>0</v>
      </c>
      <c r="P78" s="128">
        <f>Berechnung2!P47</f>
        <v>0</v>
      </c>
      <c r="Q78" s="7"/>
      <c r="R78" s="7"/>
      <c r="S78" s="7"/>
      <c r="T78" s="7"/>
      <c r="U78" s="7"/>
      <c r="V78" s="7"/>
      <c r="W78" s="7"/>
    </row>
    <row r="79" spans="2:23" hidden="1" x14ac:dyDescent="0.2">
      <c r="B79" s="129">
        <f>Berechnung2!B48</f>
        <v>2013</v>
      </c>
      <c r="C79" s="128">
        <f>Berechnung2!C48</f>
        <v>0</v>
      </c>
      <c r="D79" s="131">
        <f>Berechnung2!D48</f>
        <v>0</v>
      </c>
      <c r="E79" s="131">
        <f>Berechnung2!E48</f>
        <v>0</v>
      </c>
      <c r="F79" s="131">
        <f>Berechnung2!F48</f>
        <v>0.49998999999999999</v>
      </c>
      <c r="G79" s="131">
        <f>Berechnung2!G48</f>
        <v>0.49998999999999999</v>
      </c>
      <c r="H79" s="128">
        <f>Berechnung2!H48</f>
        <v>0</v>
      </c>
      <c r="I79" s="131">
        <f>Berechnung2!I48</f>
        <v>0</v>
      </c>
      <c r="J79" s="131">
        <f>Berechnung2!J48</f>
        <v>0</v>
      </c>
      <c r="K79" s="128">
        <f>Berechnung2!K48</f>
        <v>0</v>
      </c>
      <c r="L79" s="128" t="str">
        <f>Berechnung2!L48</f>
        <v>DFS auffällig niedrig</v>
      </c>
      <c r="M79" s="128">
        <f>Berechnung2!M48</f>
        <v>0</v>
      </c>
      <c r="N79" s="128" t="str">
        <f>Berechnung2!N48</f>
        <v>DFS auffällig hoch</v>
      </c>
      <c r="O79" s="128">
        <f>Berechnung2!O48</f>
        <v>0</v>
      </c>
      <c r="P79" s="128">
        <f>Berechnung2!P48</f>
        <v>0</v>
      </c>
      <c r="Q79" s="7"/>
      <c r="R79" s="7"/>
      <c r="S79" s="7"/>
      <c r="T79" s="7"/>
      <c r="U79" s="7"/>
      <c r="V79" s="7"/>
      <c r="W79" s="7"/>
    </row>
    <row r="80" spans="2:23" hidden="1" x14ac:dyDescent="0.2">
      <c r="B80" s="129">
        <f>Berechnung2!B49</f>
        <v>2014</v>
      </c>
      <c r="C80" s="128">
        <f>Berechnung2!C49</f>
        <v>0</v>
      </c>
      <c r="D80" s="131">
        <f>Berechnung2!D49</f>
        <v>0</v>
      </c>
      <c r="E80" s="131">
        <f>Berechnung2!E49</f>
        <v>0</v>
      </c>
      <c r="F80" s="131">
        <f>Berechnung2!F49</f>
        <v>0.49990000000000001</v>
      </c>
      <c r="G80" s="131">
        <f>Berechnung2!G49</f>
        <v>0.49998999999999999</v>
      </c>
      <c r="H80" s="128">
        <f>Berechnung2!H49</f>
        <v>0</v>
      </c>
      <c r="I80" s="131">
        <f>Berechnung2!I49</f>
        <v>0</v>
      </c>
      <c r="J80" s="131">
        <f>Berechnung2!J49</f>
        <v>0</v>
      </c>
      <c r="K80" s="128">
        <f>Berechnung2!K49</f>
        <v>0</v>
      </c>
      <c r="L80" s="128" t="str">
        <f>Berechnung2!L49</f>
        <v>DFS auffällig niedrig</v>
      </c>
      <c r="M80" s="128">
        <f>Berechnung2!M49</f>
        <v>0</v>
      </c>
      <c r="N80" s="128" t="str">
        <f>Berechnung2!N49</f>
        <v>DFS auffällig hoch</v>
      </c>
      <c r="O80" s="128">
        <f>Berechnung2!O49</f>
        <v>0</v>
      </c>
      <c r="P80" s="128">
        <f>Berechnung2!P49</f>
        <v>0</v>
      </c>
      <c r="Q80" s="7"/>
      <c r="R80" s="7"/>
      <c r="S80" s="7"/>
      <c r="T80" s="7"/>
      <c r="U80" s="7"/>
      <c r="V80" s="7"/>
      <c r="W80" s="7"/>
    </row>
    <row r="81" spans="2:23" hidden="1" x14ac:dyDescent="0.2">
      <c r="B81" s="129">
        <f>Berechnung2!B50</f>
        <v>2015</v>
      </c>
      <c r="C81" s="128">
        <f>Berechnung2!C50</f>
        <v>0</v>
      </c>
      <c r="D81" s="131">
        <f>Berechnung2!D50</f>
        <v>0</v>
      </c>
      <c r="E81" s="131">
        <f>Berechnung2!E50</f>
        <v>0</v>
      </c>
      <c r="F81" s="131">
        <f>Berechnung2!F50</f>
        <v>0.59999000000000002</v>
      </c>
      <c r="G81" s="131">
        <f>Berechnung2!G50</f>
        <v>0.59999000000000002</v>
      </c>
      <c r="H81" s="128">
        <f>Berechnung2!H50</f>
        <v>0</v>
      </c>
      <c r="I81" s="131">
        <f>Berechnung2!I50</f>
        <v>0</v>
      </c>
      <c r="J81" s="131">
        <f>Berechnung2!J50</f>
        <v>0</v>
      </c>
      <c r="K81" s="128">
        <f>Berechnung2!K50</f>
        <v>0</v>
      </c>
      <c r="L81" s="128" t="str">
        <f>Berechnung2!L50</f>
        <v>DFS auffällig niedrig</v>
      </c>
      <c r="M81" s="128">
        <f>Berechnung2!M50</f>
        <v>0</v>
      </c>
      <c r="N81" s="128" t="str">
        <f>Berechnung2!N50</f>
        <v>DFS auffällig hoch</v>
      </c>
      <c r="O81" s="128">
        <f>Berechnung2!O50</f>
        <v>0</v>
      </c>
      <c r="P81" s="128">
        <f>Berechnung2!P50</f>
        <v>0</v>
      </c>
      <c r="Q81" s="7"/>
      <c r="R81" s="7"/>
      <c r="S81" s="7"/>
      <c r="T81" s="7"/>
      <c r="U81" s="7"/>
      <c r="V81" s="7"/>
      <c r="W81" s="7"/>
    </row>
    <row r="82" spans="2:23" hidden="1" x14ac:dyDescent="0.2">
      <c r="B82" s="129">
        <f>Berechnung2!B51</f>
        <v>2016</v>
      </c>
      <c r="C82" s="128">
        <f>Berechnung2!C51</f>
        <v>0</v>
      </c>
      <c r="D82" s="131">
        <f>Berechnung2!D51</f>
        <v>0</v>
      </c>
      <c r="E82" s="131">
        <f>Berechnung2!E51</f>
        <v>0</v>
      </c>
      <c r="F82" s="131">
        <f>Berechnung2!F51</f>
        <v>0.69999</v>
      </c>
      <c r="G82" s="131">
        <f>Berechnung2!G51</f>
        <v>0.69999</v>
      </c>
      <c r="H82" s="128">
        <f>Berechnung2!H51</f>
        <v>0</v>
      </c>
      <c r="I82" s="131">
        <f>Berechnung2!I51</f>
        <v>0</v>
      </c>
      <c r="J82" s="131">
        <f>Berechnung2!J51</f>
        <v>0</v>
      </c>
      <c r="K82" s="128">
        <f>Berechnung2!K51</f>
        <v>0</v>
      </c>
      <c r="L82" s="128" t="str">
        <f>Berechnung2!L51</f>
        <v>DFS auffällig niedrig</v>
      </c>
      <c r="M82" s="128">
        <f>Berechnung2!M51</f>
        <v>0</v>
      </c>
      <c r="N82" s="128" t="str">
        <f>Berechnung2!N51</f>
        <v>DFS auffällig hoch</v>
      </c>
      <c r="O82" s="128">
        <f>Berechnung2!O51</f>
        <v>0</v>
      </c>
      <c r="P82" s="128">
        <f>Berechnung2!P51</f>
        <v>0</v>
      </c>
      <c r="Q82" s="7"/>
      <c r="R82" s="7"/>
      <c r="S82" s="7"/>
      <c r="T82" s="7"/>
      <c r="U82" s="7"/>
      <c r="V82" s="7"/>
      <c r="W82" s="7"/>
    </row>
    <row r="83" spans="2:23" hidden="1" x14ac:dyDescent="0.2">
      <c r="B83" s="129">
        <f>Berechnung2!B52</f>
        <v>2017</v>
      </c>
      <c r="C83" s="128">
        <f>Berechnung2!C52</f>
        <v>0</v>
      </c>
      <c r="D83" s="131">
        <f>Berechnung2!D52</f>
        <v>0</v>
      </c>
      <c r="E83" s="131">
        <f>Berechnung2!E52</f>
        <v>0</v>
      </c>
      <c r="F83" s="131">
        <f>Berechnung2!F52</f>
        <v>0.79998999999999998</v>
      </c>
      <c r="G83" s="131">
        <f>Berechnung2!G52</f>
        <v>0.79998999999999998</v>
      </c>
      <c r="H83" s="128">
        <f>Berechnung2!H52</f>
        <v>0</v>
      </c>
      <c r="I83" s="131">
        <f>Berechnung2!I52</f>
        <v>0</v>
      </c>
      <c r="J83" s="131">
        <f>Berechnung2!J52</f>
        <v>0</v>
      </c>
      <c r="K83" s="128">
        <f>Berechnung2!K52</f>
        <v>0</v>
      </c>
      <c r="L83" s="128" t="str">
        <f>Berechnung2!L52</f>
        <v>DFS auffällig niedrig</v>
      </c>
      <c r="M83" s="128">
        <f>Berechnung2!M52</f>
        <v>0</v>
      </c>
      <c r="N83" s="128" t="str">
        <f>Berechnung2!N52</f>
        <v>DFS auffällig hoch</v>
      </c>
      <c r="O83" s="128">
        <f>Berechnung2!O52</f>
        <v>0</v>
      </c>
      <c r="P83" s="128">
        <f>Berechnung2!P52</f>
        <v>0</v>
      </c>
      <c r="Q83" s="7"/>
      <c r="R83" s="7"/>
      <c r="S83" s="7"/>
      <c r="T83" s="7"/>
      <c r="U83" s="7"/>
      <c r="V83" s="7"/>
      <c r="W83" s="7"/>
    </row>
    <row r="84" spans="2:23" hidden="1" x14ac:dyDescent="0.2">
      <c r="B84" s="129">
        <f>Berechnung2!B53</f>
        <v>0</v>
      </c>
      <c r="C84" s="128">
        <f>Berechnung2!C53</f>
        <v>0</v>
      </c>
      <c r="D84" s="128">
        <f>Berechnung2!D53</f>
        <v>0</v>
      </c>
      <c r="E84" s="128">
        <f>Berechnung2!E53</f>
        <v>0</v>
      </c>
      <c r="F84" s="128">
        <f>Berechnung2!F53</f>
        <v>0</v>
      </c>
      <c r="G84" s="128">
        <f>Berechnung2!G53</f>
        <v>0</v>
      </c>
      <c r="H84" s="128">
        <f>Berechnung2!H53</f>
        <v>0</v>
      </c>
      <c r="I84" s="128">
        <f>Berechnung2!I53</f>
        <v>0</v>
      </c>
      <c r="J84" s="128">
        <f>Berechnung2!J53</f>
        <v>0</v>
      </c>
      <c r="K84" s="128">
        <f>Berechnung2!K53</f>
        <v>0</v>
      </c>
      <c r="L84" s="128">
        <f>Berechnung2!L53</f>
        <v>0</v>
      </c>
      <c r="M84" s="128">
        <f>Berechnung2!M53</f>
        <v>0</v>
      </c>
      <c r="N84" s="128">
        <f>Berechnung2!N53</f>
        <v>0</v>
      </c>
      <c r="O84" s="128">
        <f>Berechnung2!O53</f>
        <v>0</v>
      </c>
      <c r="P84" s="128">
        <f>Berechnung2!P53</f>
        <v>0</v>
      </c>
      <c r="Q84" s="7"/>
      <c r="R84" s="7"/>
      <c r="S84" s="7"/>
      <c r="T84" s="7"/>
      <c r="U84" s="7"/>
      <c r="V84" s="7"/>
      <c r="W84" s="7"/>
    </row>
    <row r="85" spans="2:23" hidden="1" x14ac:dyDescent="0.2">
      <c r="B85" s="129" t="str">
        <f>Berechnung2!B54</f>
        <v>OAS</v>
      </c>
      <c r="C85" s="128">
        <f>Berechnung2!C54</f>
        <v>0</v>
      </c>
      <c r="D85" s="128">
        <f>Berechnung2!D54</f>
        <v>0</v>
      </c>
      <c r="E85" s="128">
        <f>Berechnung2!E54</f>
        <v>0</v>
      </c>
      <c r="F85" s="128" t="str">
        <f>Berechnung2!F54</f>
        <v>untere Grenze</v>
      </c>
      <c r="G85" s="128">
        <f>Berechnung2!G54</f>
        <v>0</v>
      </c>
      <c r="H85" s="128">
        <f>Berechnung2!H54</f>
        <v>0</v>
      </c>
      <c r="I85" s="128">
        <f>Berechnung2!I54</f>
        <v>0</v>
      </c>
      <c r="J85" s="128" t="str">
        <f>Berechnung2!J54</f>
        <v>obere Grenze</v>
      </c>
      <c r="K85" s="128">
        <f>Berechnung2!K54</f>
        <v>0</v>
      </c>
      <c r="L85" s="128" t="str">
        <f>Berechnung2!L54</f>
        <v>OAS auffällig niedrig oder hoch</v>
      </c>
      <c r="M85" s="128">
        <f>Berechnung2!M54</f>
        <v>0</v>
      </c>
      <c r="N85" s="128" t="str">
        <f>Berechnung2!N54</f>
        <v>OAS auffällig niedrig oder hoch</v>
      </c>
      <c r="O85" s="128">
        <f>Berechnung2!O54</f>
        <v>0</v>
      </c>
      <c r="P85" s="128">
        <f>Berechnung2!P54</f>
        <v>0</v>
      </c>
      <c r="Q85" s="7"/>
      <c r="R85" s="7"/>
      <c r="S85" s="7"/>
      <c r="T85" s="7"/>
      <c r="U85" s="7"/>
      <c r="V85" s="7"/>
      <c r="W85" s="7"/>
    </row>
    <row r="86" spans="2:23" hidden="1" x14ac:dyDescent="0.2">
      <c r="B86" s="129">
        <f>Berechnung2!B55</f>
        <v>2013</v>
      </c>
      <c r="C86" s="128">
        <f>Berechnung2!C55</f>
        <v>0</v>
      </c>
      <c r="D86" s="131">
        <f>Berechnung2!D55</f>
        <v>0</v>
      </c>
      <c r="E86" s="131">
        <f>Berechnung2!E55</f>
        <v>0</v>
      </c>
      <c r="F86" s="131">
        <f>Berechnung2!F55</f>
        <v>0.59999000000000002</v>
      </c>
      <c r="G86" s="131">
        <f>Berechnung2!G55</f>
        <v>0.59999000000000002</v>
      </c>
      <c r="H86" s="128">
        <f>Berechnung2!H55</f>
        <v>0</v>
      </c>
      <c r="I86" s="131">
        <f>Berechnung2!I55</f>
        <v>1</v>
      </c>
      <c r="J86" s="131">
        <f>Berechnung2!J55</f>
        <v>1</v>
      </c>
      <c r="K86" s="128">
        <f>Berechnung2!K55</f>
        <v>0</v>
      </c>
      <c r="L86" s="128" t="str">
        <f>Berechnung2!L55</f>
        <v>OAS auffällig niedrig oder hoch</v>
      </c>
      <c r="M86" s="128">
        <f>Berechnung2!M55</f>
        <v>0</v>
      </c>
      <c r="N86" s="128" t="str">
        <f>Berechnung2!N55</f>
        <v>OAS auffällig niedrig oder hoch</v>
      </c>
      <c r="O86" s="128">
        <f>Berechnung2!O55</f>
        <v>0</v>
      </c>
      <c r="P86" s="128">
        <f>Berechnung2!P55</f>
        <v>0</v>
      </c>
      <c r="Q86" s="7"/>
      <c r="R86" s="7"/>
      <c r="S86" s="7"/>
      <c r="T86" s="7"/>
      <c r="U86" s="7"/>
      <c r="V86" s="7"/>
      <c r="W86" s="7"/>
    </row>
    <row r="87" spans="2:23" hidden="1" x14ac:dyDescent="0.2">
      <c r="B87" s="129">
        <f>Berechnung2!B56</f>
        <v>2014</v>
      </c>
      <c r="C87" s="128">
        <f>Berechnung2!C56</f>
        <v>0</v>
      </c>
      <c r="D87" s="131">
        <f>Berechnung2!D56</f>
        <v>0</v>
      </c>
      <c r="E87" s="131">
        <f>Berechnung2!E56</f>
        <v>0</v>
      </c>
      <c r="F87" s="131">
        <f>Berechnung2!F56</f>
        <v>0.69999</v>
      </c>
      <c r="G87" s="131">
        <f>Berechnung2!G56</f>
        <v>0.69999</v>
      </c>
      <c r="H87" s="128">
        <f>Berechnung2!H56</f>
        <v>0</v>
      </c>
      <c r="I87" s="131">
        <f>Berechnung2!I56</f>
        <v>1</v>
      </c>
      <c r="J87" s="131">
        <f>Berechnung2!J56</f>
        <v>1</v>
      </c>
      <c r="K87" s="128">
        <f>Berechnung2!K56</f>
        <v>0</v>
      </c>
      <c r="L87" s="128" t="str">
        <f>Berechnung2!L56</f>
        <v>OAS auffällig niedrig oder hoch</v>
      </c>
      <c r="M87" s="128">
        <f>Berechnung2!M56</f>
        <v>0</v>
      </c>
      <c r="N87" s="128" t="str">
        <f>Berechnung2!N56</f>
        <v>OAS auffällig niedrig oder hoch</v>
      </c>
      <c r="O87" s="128">
        <f>Berechnung2!O56</f>
        <v>0</v>
      </c>
      <c r="P87" s="128">
        <f>Berechnung2!P56</f>
        <v>0</v>
      </c>
      <c r="Q87" s="7"/>
      <c r="R87" s="7"/>
      <c r="S87" s="7"/>
      <c r="T87" s="7"/>
      <c r="U87" s="7"/>
      <c r="V87" s="7"/>
      <c r="W87" s="7"/>
    </row>
    <row r="88" spans="2:23" hidden="1" x14ac:dyDescent="0.2">
      <c r="B88" s="129">
        <f>Berechnung2!B57</f>
        <v>2015</v>
      </c>
      <c r="C88" s="128">
        <f>Berechnung2!C57</f>
        <v>0</v>
      </c>
      <c r="D88" s="131">
        <f>Berechnung2!D57</f>
        <v>0</v>
      </c>
      <c r="E88" s="131">
        <f>Berechnung2!E57</f>
        <v>0</v>
      </c>
      <c r="F88" s="131">
        <f>Berechnung2!F57</f>
        <v>0.79998999999999998</v>
      </c>
      <c r="G88" s="131">
        <f>Berechnung2!G57</f>
        <v>0.79998999999999998</v>
      </c>
      <c r="H88" s="128">
        <f>Berechnung2!H57</f>
        <v>0</v>
      </c>
      <c r="I88" s="131">
        <f>Berechnung2!I57</f>
        <v>1</v>
      </c>
      <c r="J88" s="131">
        <f>Berechnung2!J57</f>
        <v>1</v>
      </c>
      <c r="K88" s="128">
        <f>Berechnung2!K57</f>
        <v>0</v>
      </c>
      <c r="L88" s="128" t="str">
        <f>Berechnung2!L57</f>
        <v>OAS auffällig niedrig oder hoch</v>
      </c>
      <c r="M88" s="128">
        <f>Berechnung2!M57</f>
        <v>0</v>
      </c>
      <c r="N88" s="128" t="str">
        <f>Berechnung2!N57</f>
        <v>OAS auffällig niedrig oder hoch</v>
      </c>
      <c r="O88" s="128">
        <f>Berechnung2!O57</f>
        <v>0</v>
      </c>
      <c r="P88" s="128">
        <f>Berechnung2!P57</f>
        <v>0</v>
      </c>
      <c r="Q88" s="7"/>
      <c r="R88" s="7"/>
      <c r="S88" s="7"/>
      <c r="T88" s="7"/>
      <c r="U88" s="7"/>
      <c r="V88" s="7"/>
      <c r="W88" s="7"/>
    </row>
    <row r="89" spans="2:23" hidden="1" x14ac:dyDescent="0.2">
      <c r="B89" s="129">
        <f>Berechnung2!B58</f>
        <v>2016</v>
      </c>
      <c r="C89" s="128">
        <f>Berechnung2!C58</f>
        <v>0</v>
      </c>
      <c r="D89" s="131">
        <f>Berechnung2!D58</f>
        <v>0</v>
      </c>
      <c r="E89" s="131">
        <f>Berechnung2!E58</f>
        <v>0</v>
      </c>
      <c r="F89" s="131">
        <f>Berechnung2!F58</f>
        <v>0.89998999999999996</v>
      </c>
      <c r="G89" s="131">
        <f>Berechnung2!G58</f>
        <v>0.89998999999999996</v>
      </c>
      <c r="H89" s="128">
        <f>Berechnung2!H58</f>
        <v>0</v>
      </c>
      <c r="I89" s="131">
        <f>Berechnung2!I58</f>
        <v>1</v>
      </c>
      <c r="J89" s="131">
        <f>Berechnung2!J58</f>
        <v>1</v>
      </c>
      <c r="K89" s="128">
        <f>Berechnung2!K58</f>
        <v>0</v>
      </c>
      <c r="L89" s="128" t="str">
        <f>Berechnung2!L58</f>
        <v>OAS auffällig niedrig oder hoch</v>
      </c>
      <c r="M89" s="128">
        <f>Berechnung2!M58</f>
        <v>0</v>
      </c>
      <c r="N89" s="128" t="str">
        <f>Berechnung2!N58</f>
        <v>OAS auffällig niedrig oder hoch</v>
      </c>
      <c r="O89" s="128">
        <f>Berechnung2!O58</f>
        <v>0</v>
      </c>
      <c r="P89" s="128">
        <f>Berechnung2!P58</f>
        <v>0</v>
      </c>
      <c r="Q89" s="7"/>
      <c r="R89" s="7"/>
      <c r="S89" s="7"/>
      <c r="T89" s="7"/>
      <c r="U89" s="7"/>
      <c r="V89" s="7"/>
      <c r="W89" s="7"/>
    </row>
    <row r="90" spans="2:23" hidden="1" x14ac:dyDescent="0.2">
      <c r="B90" s="129">
        <f>Berechnung2!B59</f>
        <v>2017</v>
      </c>
      <c r="C90" s="128">
        <f>Berechnung2!C59</f>
        <v>0</v>
      </c>
      <c r="D90" s="131">
        <f>Berechnung2!D59</f>
        <v>0</v>
      </c>
      <c r="E90" s="131">
        <f>Berechnung2!E59</f>
        <v>0</v>
      </c>
      <c r="F90" s="131">
        <f>Berechnung2!F59</f>
        <v>0.89998999999999996</v>
      </c>
      <c r="G90" s="131">
        <f>Berechnung2!G59</f>
        <v>0.89998999999999996</v>
      </c>
      <c r="H90" s="128">
        <f>Berechnung2!H59</f>
        <v>0</v>
      </c>
      <c r="I90" s="131">
        <f>Berechnung2!I59</f>
        <v>1</v>
      </c>
      <c r="J90" s="131">
        <f>Berechnung2!J59</f>
        <v>0</v>
      </c>
      <c r="K90" s="128">
        <f>Berechnung2!K59</f>
        <v>0</v>
      </c>
      <c r="L90" s="128" t="str">
        <f>Berechnung2!L59</f>
        <v xml:space="preserve">OAS auffällig niedrig </v>
      </c>
      <c r="M90" s="128">
        <f>Berechnung2!M59</f>
        <v>0</v>
      </c>
      <c r="N90" s="162" t="s">
        <v>180</v>
      </c>
      <c r="O90" s="128">
        <f>Berechnung2!O59</f>
        <v>0</v>
      </c>
      <c r="P90" s="128">
        <f>Berechnung2!P59</f>
        <v>0</v>
      </c>
      <c r="Q90" s="7"/>
      <c r="R90" s="7"/>
      <c r="S90" s="7"/>
      <c r="T90" s="7"/>
      <c r="U90" s="7"/>
      <c r="V90" s="7"/>
      <c r="W90" s="7"/>
    </row>
    <row r="91" spans="2:23" hidden="1" x14ac:dyDescent="0.2"/>
    <row r="92" spans="2:23" hidden="1" x14ac:dyDescent="0.2"/>
    <row r="97" spans="4:4" x14ac:dyDescent="0.2">
      <c r="D97" s="163"/>
    </row>
  </sheetData>
  <sheetProtection selectLockedCells="1"/>
  <dataConsolidate/>
  <customSheetViews>
    <customSheetView guid="{AD479C9E-06F7-4C03-8179-295428B49475}" scale="106" showGridLines="0">
      <selection activeCell="E24" sqref="E24"/>
      <pageMargins left="7.874015748031496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7.874015748031496E-2" right="3.937007874015748E-2" top="0.27559055118110237" bottom="0.27559055118110237" header="0.11811023622047245" footer="0.11811023622047245"/>
      <pageSetup paperSize="9" orientation="landscape" r:id="rId2"/>
      <headerFooter>
        <oddFooter>&amp;L&amp;"Arial,Standard"&amp;7&amp;F&amp;C&amp;"Arial,Standard"&amp;7 © DKG  Alle Rechte vorbehalten&amp;R&amp;"Arial,Standard"&amp;7&amp;P</oddFooter>
      </headerFooter>
    </customSheetView>
  </customSheetViews>
  <mergeCells count="98">
    <mergeCell ref="I43:K43"/>
    <mergeCell ref="L43:U43"/>
    <mergeCell ref="L50:U50"/>
    <mergeCell ref="I51:K51"/>
    <mergeCell ref="L51:U51"/>
    <mergeCell ref="I47:K47"/>
    <mergeCell ref="L47:U47"/>
    <mergeCell ref="I48:K48"/>
    <mergeCell ref="L48:U48"/>
    <mergeCell ref="I49:K49"/>
    <mergeCell ref="L49:U49"/>
    <mergeCell ref="I50:K50"/>
    <mergeCell ref="B11:M11"/>
    <mergeCell ref="I46:K46"/>
    <mergeCell ref="L46:U46"/>
    <mergeCell ref="I44:K44"/>
    <mergeCell ref="L44:U44"/>
    <mergeCell ref="I45:K45"/>
    <mergeCell ref="I33:U33"/>
    <mergeCell ref="L13:M13"/>
    <mergeCell ref="L14:M14"/>
    <mergeCell ref="L45:U45"/>
    <mergeCell ref="I18:I19"/>
    <mergeCell ref="I34:U34"/>
    <mergeCell ref="I39:U39"/>
    <mergeCell ref="I40:U40"/>
    <mergeCell ref="B28:M28"/>
    <mergeCell ref="C43:E43"/>
    <mergeCell ref="F42:H42"/>
    <mergeCell ref="I35:U35"/>
    <mergeCell ref="I36:U36"/>
    <mergeCell ref="I37:U37"/>
    <mergeCell ref="I38:U38"/>
    <mergeCell ref="I41:U41"/>
    <mergeCell ref="I42:U42"/>
    <mergeCell ref="C36:E36"/>
    <mergeCell ref="C40:E40"/>
    <mergeCell ref="F37:H37"/>
    <mergeCell ref="F35:H35"/>
    <mergeCell ref="F34:H34"/>
    <mergeCell ref="C37:E37"/>
    <mergeCell ref="F38:H38"/>
    <mergeCell ref="C38:E38"/>
    <mergeCell ref="C39:E39"/>
    <mergeCell ref="F39:H39"/>
    <mergeCell ref="B29:U29"/>
    <mergeCell ref="J13:K13"/>
    <mergeCell ref="J14:K14"/>
    <mergeCell ref="L16:M16"/>
    <mergeCell ref="I16:J16"/>
    <mergeCell ref="J18:J19"/>
    <mergeCell ref="F18:F19"/>
    <mergeCell ref="B13:C13"/>
    <mergeCell ref="L18:L19"/>
    <mergeCell ref="M18:M19"/>
    <mergeCell ref="G13:I13"/>
    <mergeCell ref="D18:D19"/>
    <mergeCell ref="B14:C14"/>
    <mergeCell ref="H16:H24"/>
    <mergeCell ref="E16:E24"/>
    <mergeCell ref="K16:K24"/>
    <mergeCell ref="C51:E51"/>
    <mergeCell ref="F51:H51"/>
    <mergeCell ref="F43:H43"/>
    <mergeCell ref="F40:H40"/>
    <mergeCell ref="F41:H41"/>
    <mergeCell ref="C41:E41"/>
    <mergeCell ref="C42:E42"/>
    <mergeCell ref="C47:E47"/>
    <mergeCell ref="F47:H47"/>
    <mergeCell ref="C44:E44"/>
    <mergeCell ref="F45:H45"/>
    <mergeCell ref="F46:H46"/>
    <mergeCell ref="C45:E45"/>
    <mergeCell ref="C46:E46"/>
    <mergeCell ref="F44:H44"/>
    <mergeCell ref="C48:E48"/>
    <mergeCell ref="C8:E8"/>
    <mergeCell ref="B18:B19"/>
    <mergeCell ref="C6:M6"/>
    <mergeCell ref="K8:M8"/>
    <mergeCell ref="F36:H36"/>
    <mergeCell ref="C35:E35"/>
    <mergeCell ref="C34:E34"/>
    <mergeCell ref="G14:I14"/>
    <mergeCell ref="C33:E33"/>
    <mergeCell ref="F33:H33"/>
    <mergeCell ref="I8:J8"/>
    <mergeCell ref="C18:C19"/>
    <mergeCell ref="G18:G19"/>
    <mergeCell ref="D13:F13"/>
    <mergeCell ref="D14:F14"/>
    <mergeCell ref="F16:G16"/>
    <mergeCell ref="C49:E49"/>
    <mergeCell ref="C50:E50"/>
    <mergeCell ref="F48:H48"/>
    <mergeCell ref="F49:H49"/>
    <mergeCell ref="F50:H50"/>
  </mergeCells>
  <phoneticPr fontId="39" type="noConversion"/>
  <conditionalFormatting sqref="B13:C13">
    <cfRule type="expression" dxfId="69" priority="9" stopIfTrue="1">
      <formula>$B$13="Nicht in Ordnung"</formula>
    </cfRule>
  </conditionalFormatting>
  <conditionalFormatting sqref="B14:C14">
    <cfRule type="expression" dxfId="68" priority="10" stopIfTrue="1">
      <formula>$B$14="die inkorrekten und unvollständigen Einträge beheben"</formula>
    </cfRule>
  </conditionalFormatting>
  <conditionalFormatting sqref="C20:D24">
    <cfRule type="expression" dxfId="67" priority="1" stopIfTrue="1">
      <formula>OR($B20="nicht relevant",$B20="EZ")</formula>
    </cfRule>
  </conditionalFormatting>
  <conditionalFormatting sqref="C25:G25 H25:M27 D26:F26 C27:F27">
    <cfRule type="cellIs" dxfId="66" priority="175" operator="lessThan">
      <formula>0</formula>
    </cfRule>
  </conditionalFormatting>
  <conditionalFormatting sqref="D20:D22">
    <cfRule type="expression" dxfId="65" priority="2871" stopIfTrue="1">
      <formula>LEN(TRIM(D20))=0</formula>
    </cfRule>
  </conditionalFormatting>
  <conditionalFormatting sqref="D23:D24">
    <cfRule type="expression" dxfId="64" priority="2" stopIfTrue="1">
      <formula>LEN(TRIM(D23))=0</formula>
    </cfRule>
  </conditionalFormatting>
  <conditionalFormatting sqref="F20:F24">
    <cfRule type="expression" dxfId="63" priority="120" stopIfTrue="1">
      <formula>LEN(TRIM(F20))=0</formula>
    </cfRule>
    <cfRule type="cellIs" dxfId="62" priority="125" stopIfTrue="1" operator="greaterThan">
      <formula>D20</formula>
    </cfRule>
  </conditionalFormatting>
  <conditionalFormatting sqref="F20:G24">
    <cfRule type="expression" dxfId="61" priority="115" stopIfTrue="1">
      <formula>OR($B20="nicht relevant",$B20="EZ")</formula>
    </cfRule>
  </conditionalFormatting>
  <conditionalFormatting sqref="G20:G24">
    <cfRule type="expression" dxfId="60" priority="2805" stopIfTrue="1">
      <formula>LEN(TRIM(G20))=0</formula>
    </cfRule>
  </conditionalFormatting>
  <conditionalFormatting sqref="G22:G24">
    <cfRule type="cellIs" dxfId="59" priority="2804" stopIfTrue="1" operator="between">
      <formula>$F$71</formula>
      <formula>$I$71</formula>
    </cfRule>
  </conditionalFormatting>
  <conditionalFormatting sqref="G26">
    <cfRule type="cellIs" dxfId="58" priority="15" stopIfTrue="1" operator="equal">
      <formula>"---"</formula>
    </cfRule>
    <cfRule type="cellIs" dxfId="57" priority="16" stopIfTrue="1" operator="between">
      <formula>$H$73</formula>
      <formula>$I$73</formula>
    </cfRule>
    <cfRule type="cellIs" dxfId="56" priority="2553" stopIfTrue="1" operator="between">
      <formula>$F$72</formula>
      <formula>$I$72</formula>
    </cfRule>
  </conditionalFormatting>
  <conditionalFormatting sqref="I20:I24">
    <cfRule type="cellIs" dxfId="55" priority="100" stopIfTrue="1" operator="greaterThan">
      <formula>F20</formula>
    </cfRule>
    <cfRule type="expression" dxfId="54" priority="95" stopIfTrue="1">
      <formula>LEN(TRIM(I20))=0</formula>
    </cfRule>
  </conditionalFormatting>
  <conditionalFormatting sqref="I20:J24">
    <cfRule type="expression" dxfId="53" priority="90" stopIfTrue="1">
      <formula>OR($B20="nicht relevant",$B20="EZ")</formula>
    </cfRule>
  </conditionalFormatting>
  <conditionalFormatting sqref="J20">
    <cfRule type="cellIs" dxfId="52" priority="2918" stopIfTrue="1" operator="between">
      <formula>$C$79</formula>
      <formula>$F$79</formula>
    </cfRule>
    <cfRule type="expression" dxfId="51" priority="2919" stopIfTrue="1">
      <formula>LEN(TRIM(J20))=0</formula>
    </cfRule>
  </conditionalFormatting>
  <conditionalFormatting sqref="J21">
    <cfRule type="cellIs" dxfId="50" priority="2880" stopIfTrue="1" operator="between">
      <formula>$C$80</formula>
      <formula>$F$80</formula>
    </cfRule>
    <cfRule type="expression" dxfId="49" priority="2881" stopIfTrue="1">
      <formula>LEN(TRIM(J21))=0</formula>
    </cfRule>
  </conditionalFormatting>
  <conditionalFormatting sqref="J22">
    <cfRule type="cellIs" dxfId="48" priority="2822" stopIfTrue="1" operator="between">
      <formula>$C$81</formula>
      <formula>$F$81</formula>
    </cfRule>
    <cfRule type="expression" dxfId="47" priority="2823" stopIfTrue="1">
      <formula>LEN(TRIM(J22))=0</formula>
    </cfRule>
  </conditionalFormatting>
  <conditionalFormatting sqref="J23">
    <cfRule type="cellIs" dxfId="46" priority="2825" stopIfTrue="1" operator="between">
      <formula>$C$82</formula>
      <formula>$F$82</formula>
    </cfRule>
    <cfRule type="expression" dxfId="45" priority="2826" stopIfTrue="1">
      <formula>LEN(TRIM(J23))=0</formula>
    </cfRule>
  </conditionalFormatting>
  <conditionalFormatting sqref="J24">
    <cfRule type="cellIs" dxfId="44" priority="2828" stopIfTrue="1" operator="between">
      <formula>$C$83</formula>
      <formula>$F$83</formula>
    </cfRule>
    <cfRule type="expression" dxfId="43" priority="2829" stopIfTrue="1">
      <formula>LEN(TRIM(J24))=0</formula>
    </cfRule>
  </conditionalFormatting>
  <conditionalFormatting sqref="L20:L24">
    <cfRule type="expression" dxfId="42" priority="58" stopIfTrue="1">
      <formula>LEN(TRIM(L20))=0</formula>
    </cfRule>
    <cfRule type="cellIs" dxfId="41" priority="63" stopIfTrue="1" operator="greaterThan">
      <formula>F20</formula>
    </cfRule>
  </conditionalFormatting>
  <conditionalFormatting sqref="L20:M24">
    <cfRule type="expression" dxfId="40" priority="53" stopIfTrue="1">
      <formula>OR($B20="nicht relevant",$B20="EZ")</formula>
    </cfRule>
  </conditionalFormatting>
  <conditionalFormatting sqref="M20:M23">
    <cfRule type="expression" dxfId="39" priority="2922" stopIfTrue="1">
      <formula>IF(M20="","",IF(M20&gt;=0,OR(M20&lt;G86,M20&gt;=I86),FALSE))</formula>
    </cfRule>
  </conditionalFormatting>
  <conditionalFormatting sqref="M20:M24">
    <cfRule type="expression" dxfId="38" priority="2915" stopIfTrue="1">
      <formula>LEN(TRIM(M20))=0</formula>
    </cfRule>
  </conditionalFormatting>
  <conditionalFormatting sqref="M24">
    <cfRule type="cellIs" dxfId="37" priority="2916" stopIfTrue="1" operator="between">
      <formula>$C$90</formula>
      <formula>$F$90</formula>
    </cfRule>
  </conditionalFormatting>
  <dataValidations count="4">
    <dataValidation type="whole" allowBlank="1" showInputMessage="1" showErrorMessage="1" errorTitle="Eingabefehler" error="Ganze Zahl zwischen 0 und 5000 eingeben." sqref="D20:D24" xr:uid="{00000000-0002-0000-0900-000000000000}">
      <formula1>0</formula1>
      <formula2>5000</formula2>
    </dataValidation>
    <dataValidation type="whole" showInputMessage="1" showErrorMessage="1" errorTitle="Eingabefehler" error="Werte Spalte I &quot;DFS absolut&quot; müssen kleiner sein als Spalte F &quot;Patienten mit Follow-Up&quot;." sqref="I20:I24" xr:uid="{00000000-0002-0000-0900-000001000000}">
      <formula1>0</formula1>
      <formula2>F20</formula2>
    </dataValidation>
    <dataValidation type="whole" showInputMessage="1" showErrorMessage="1" errorTitle="Eingabefehler" error="Werte Spalte L &quot;OAS absolut&quot; müssen kleiner sein als Spalte F &quot;Patienten mit Follow-Up&quot;." sqref="L20:L24" xr:uid="{00000000-0002-0000-0900-000002000000}">
      <formula1>0</formula1>
      <formula2>F20</formula2>
    </dataValidation>
    <dataValidation type="whole" showInputMessage="1" showErrorMessage="1" errorTitle="Eingabefehler" error="Werte Spalte F &quot;Patienten mit Follow-Up&quot; müssen kleiner sein als Spalte D &quot;Anzahl Primärfälle&quot;." sqref="F20:F24" xr:uid="{00000000-0002-0000-0900-000003000000}">
      <formula1>0</formula1>
      <formula2>D20</formula2>
    </dataValidation>
  </dataValidations>
  <pageMargins left="0.42" right="3.937007874015748E-2" top="0.59055118110236227" bottom="0.39370078740157483" header="0.31496062992125984" footer="0.11811023622047245"/>
  <pageSetup paperSize="9"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28" max="20" man="1"/>
  </rowBreaks>
  <drawing r:id="rId4"/>
  <legacy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dimension ref="A1:BK59"/>
  <sheetViews>
    <sheetView showGridLines="0" topLeftCell="A25" zoomScale="80" zoomScaleNormal="80" workbookViewId="0">
      <selection activeCell="D32" sqref="D32"/>
    </sheetView>
  </sheetViews>
  <sheetFormatPr defaultColWidth="9" defaultRowHeight="14.25" x14ac:dyDescent="0.2"/>
  <cols>
    <col min="1" max="1" width="20.7109375" style="3" customWidth="1"/>
    <col min="2" max="2" width="29.42578125" style="3" customWidth="1"/>
    <col min="3" max="3" width="34" style="3" customWidth="1"/>
    <col min="4" max="6" width="29.42578125" style="3" customWidth="1"/>
    <col min="7" max="7" width="29.42578125" style="12" customWidth="1"/>
    <col min="8" max="8" width="28.5703125" style="21" customWidth="1"/>
    <col min="9" max="9" width="29.7109375" style="21" customWidth="1"/>
    <col min="10" max="10" width="63.140625" style="3" customWidth="1"/>
    <col min="11" max="11" width="29.85546875" style="3" customWidth="1"/>
    <col min="12" max="12" width="32.85546875" style="3" customWidth="1"/>
    <col min="13" max="13" width="27.5703125" style="3" customWidth="1"/>
    <col min="14" max="14" width="41.42578125" style="3" customWidth="1"/>
    <col min="15" max="15" width="21.42578125" style="3" customWidth="1"/>
    <col min="16" max="16" width="42.85546875" style="3" customWidth="1"/>
    <col min="17" max="17" width="41.140625" style="3" customWidth="1"/>
    <col min="18" max="18" width="27.5703125" style="3" customWidth="1"/>
    <col min="19" max="19" width="21.7109375" style="3" customWidth="1"/>
    <col min="20" max="20" width="19.7109375" style="3" customWidth="1"/>
    <col min="21" max="21" width="18.7109375" style="3" customWidth="1"/>
    <col min="22" max="160" width="11.42578125" style="3" customWidth="1"/>
    <col min="161" max="16384" width="9" style="3"/>
  </cols>
  <sheetData>
    <row r="1" spans="1:62" x14ac:dyDescent="0.2">
      <c r="G1" s="3"/>
      <c r="H1" s="3"/>
      <c r="I1" s="3"/>
    </row>
    <row r="2" spans="1:62" s="23" customFormat="1" ht="20.25" customHeight="1" x14ac:dyDescent="0.25">
      <c r="A2" s="16" t="s">
        <v>87</v>
      </c>
      <c r="AI2" s="21"/>
      <c r="BI2" s="3"/>
      <c r="BJ2" s="12"/>
    </row>
    <row r="3" spans="1:62" ht="14.25" customHeight="1" x14ac:dyDescent="0.2">
      <c r="AI3" s="21"/>
      <c r="BJ3" s="12"/>
    </row>
    <row r="4" spans="1:62" x14ac:dyDescent="0.2">
      <c r="G4" s="3"/>
      <c r="H4" s="3"/>
      <c r="I4" s="3"/>
      <c r="AI4" s="21"/>
      <c r="BJ4" s="12"/>
    </row>
    <row r="5" spans="1:62" ht="15" customHeight="1" x14ac:dyDescent="0.2">
      <c r="B5" s="64" t="s">
        <v>81</v>
      </c>
      <c r="C5" s="34" t="s">
        <v>74</v>
      </c>
      <c r="D5" s="33" t="s">
        <v>6</v>
      </c>
      <c r="E5" s="65" t="s">
        <v>82</v>
      </c>
      <c r="F5" s="66" t="s">
        <v>83</v>
      </c>
      <c r="G5" s="3"/>
      <c r="H5" s="3"/>
      <c r="I5" s="3"/>
      <c r="AI5" s="30"/>
      <c r="BH5" s="23"/>
      <c r="BI5" s="10"/>
    </row>
    <row r="6" spans="1:62" ht="28.5" customHeight="1" x14ac:dyDescent="0.2">
      <c r="B6" s="117" t="str">
        <f>IF(AND(E6=0,F6=0,Berechnung3!A6="relevant"),B8,IF(OR(Berechnung3!A6="nicht relevant",Berechnung3!A6="EZ"),"",B9))</f>
        <v/>
      </c>
      <c r="C6" s="56">
        <f>Berechnung3!J47</f>
        <v>0</v>
      </c>
      <c r="D6" s="57">
        <f>Berechnung3!J48</f>
        <v>0</v>
      </c>
      <c r="E6" s="118">
        <f>Berechnung3!J46</f>
        <v>0</v>
      </c>
      <c r="F6" s="119">
        <f>Berechnung3!J45</f>
        <v>0</v>
      </c>
      <c r="G6" s="3"/>
      <c r="H6" s="3"/>
      <c r="I6" s="3"/>
      <c r="AI6" s="30"/>
    </row>
    <row r="7" spans="1:62" x14ac:dyDescent="0.2">
      <c r="G7" s="3"/>
      <c r="H7" s="3"/>
      <c r="I7" s="3"/>
      <c r="AI7" s="30"/>
    </row>
    <row r="8" spans="1:62" ht="15" x14ac:dyDescent="0.25">
      <c r="A8" s="29" t="s">
        <v>102</v>
      </c>
      <c r="B8" s="3" t="s">
        <v>119</v>
      </c>
      <c r="G8" s="3"/>
      <c r="H8" s="3"/>
      <c r="I8" s="3"/>
      <c r="AI8" s="21"/>
    </row>
    <row r="9" spans="1:62" x14ac:dyDescent="0.2">
      <c r="B9" s="3" t="s">
        <v>129</v>
      </c>
      <c r="G9" s="3"/>
      <c r="H9" s="3"/>
      <c r="I9" s="3"/>
      <c r="AI9" s="21"/>
    </row>
    <row r="10" spans="1:62" x14ac:dyDescent="0.2">
      <c r="G10" s="3"/>
      <c r="H10" s="3"/>
      <c r="I10" s="3"/>
      <c r="AI10" s="21"/>
    </row>
    <row r="11" spans="1:62" ht="15.75" x14ac:dyDescent="0.25">
      <c r="A11" s="21"/>
      <c r="B11" s="16" t="s">
        <v>108</v>
      </c>
      <c r="G11" s="3"/>
      <c r="H11" s="3"/>
      <c r="I11" s="3"/>
      <c r="AI11" s="21"/>
    </row>
    <row r="12" spans="1:62" x14ac:dyDescent="0.2">
      <c r="A12" s="21"/>
      <c r="G12" s="3"/>
      <c r="H12" s="3"/>
      <c r="I12" s="3"/>
      <c r="AI12" s="21"/>
    </row>
    <row r="13" spans="1:62" x14ac:dyDescent="0.2">
      <c r="A13" s="21"/>
      <c r="B13" s="926" t="s">
        <v>96</v>
      </c>
      <c r="C13" s="928" t="s">
        <v>110</v>
      </c>
      <c r="D13" s="924" t="s">
        <v>56</v>
      </c>
      <c r="E13" s="919" t="s">
        <v>321</v>
      </c>
      <c r="G13" s="3"/>
      <c r="H13" s="3"/>
      <c r="I13" s="3"/>
      <c r="AI13" s="21"/>
    </row>
    <row r="14" spans="1:62" ht="15" customHeight="1" x14ac:dyDescent="0.25">
      <c r="A14" s="30"/>
      <c r="B14" s="927"/>
      <c r="C14" s="929"/>
      <c r="D14" s="925"/>
      <c r="E14" s="920"/>
      <c r="F14" s="23"/>
      <c r="G14" s="23"/>
      <c r="H14" s="23"/>
      <c r="I14" s="127" t="s">
        <v>321</v>
      </c>
      <c r="J14" s="184" t="s">
        <v>333</v>
      </c>
      <c r="AI14" s="21"/>
    </row>
    <row r="15" spans="1:62" ht="38.1" customHeight="1" x14ac:dyDescent="0.2">
      <c r="A15" s="8" t="s">
        <v>107</v>
      </c>
      <c r="B15" s="32" t="str">
        <f>CONCATENATE(IF(Berechnung3!$H$2=Berechnung2!$L$38,Berechnung3!$B$2,""),IF(Berechnung3!$H$3=Berechnung2!$L$38,Berechnung3!$B$3,""),IF(Berechnung3!$H$4=Berechnung2!$L$38,Berechnung3!$B$4,""),IF(Berechnung3!$H$5=Berechnung2!$L$38,Berechnung3!$B$5,""),IF(Berechnung3!$H$6=Berechnung2!$L$38,Berechnung3!$B$6,""))</f>
        <v/>
      </c>
      <c r="C15" s="32">
        <f>IF(LEN(B15)&gt;0,"X",0)</f>
        <v>0</v>
      </c>
      <c r="D15" s="31" t="str">
        <f>IF(COUNTIF(Berechnung3!$H$2:$H$6,Berechnung2!$L$38)&gt;0,CONCATENATE(Berechnung1!$F$4,"                                             ",Berechnung2!$L$38),"")</f>
        <v/>
      </c>
      <c r="E15" s="31" t="str">
        <f>IF(COUNTIF(Berechnung3!$H$2:$H$6,Berechnung2!$L$38)&gt;0,"a","")</f>
        <v/>
      </c>
      <c r="G15" s="47" t="e">
        <f t="array" ref="G15">INDEX(B:B,SMALL(IF($C$15:$C$25="X",ROW($15:$25)),1))</f>
        <v>#NUM!</v>
      </c>
      <c r="H15" s="168" t="e">
        <f t="array" ref="H15">INDEX(D:D,SMALL(IF($C$15:$C$25="X",ROW($15:$25)),1))</f>
        <v>#NUM!</v>
      </c>
      <c r="I15" s="134" t="e">
        <f t="array" ref="I15">INDEX(E:E,SMALL(IF($C$15:$C$25="X",ROW($15:$25)),1))</f>
        <v>#NUM!</v>
      </c>
      <c r="J15" s="225" t="e">
        <f>IF(AND(Datendefizite_Matrix!D16="",I15&lt;&gt;""),"Anmerkung OnkoZert : Keine Erläuterung vorhanden",Datendefizite_Matrix!D16)</f>
        <v>#NUM!</v>
      </c>
      <c r="AJ15" s="21"/>
    </row>
    <row r="16" spans="1:62" ht="53.25" customHeight="1" x14ac:dyDescent="0.2">
      <c r="A16" s="120" t="s">
        <v>259</v>
      </c>
      <c r="B16" s="32" t="str">
        <f>CONCATENATE(IF(Berechnung3!$H$7=Berechnung2!$L$43,Berechnung3!$B$2,""),IF(Berechnung3!$H$8=Berechnung2!$L$43,Berechnung3!$B$3,""),IF(Berechnung3!$H$9=Berechnung2!$L$43,Berechnung3!$B$4,""),IF(Berechnung3!$H$10=Berechnung2!$L$43,Berechnung3!$B$5,""),IF(Berechnung3!$H$11=Berechnung2!$L$43,Berechnung3!$B$6,""))</f>
        <v/>
      </c>
      <c r="C16" s="32">
        <f>IF(LEN(B16)&gt;0,"X",0)</f>
        <v>0</v>
      </c>
      <c r="D16" s="31" t="str">
        <f>IF(COUNTIF(Berechnung3!$H$7:$H$11,Berechnung2!$L$43)&gt;0,CONCATENATE(Berechnung2!$E$5,"- ",Berechnung2!$L$43),"")</f>
        <v/>
      </c>
      <c r="E16" s="31" t="str">
        <f>IF(COUNTIF(Berechnung3!$H$7:$H$11,Berechnung2!$L$43)&gt;0,"b","")</f>
        <v/>
      </c>
      <c r="G16" s="47" t="e">
        <f t="array" ref="G16">INDEX(B:B,SMALL(IF($C$15:$C$25="X",ROW($15:$25)),2))</f>
        <v>#NUM!</v>
      </c>
      <c r="H16" s="168" t="e">
        <f t="array" ref="H16">INDEX(D:D,SMALL(IF($C$15:$C$25="X",ROW($15:$25)),2))</f>
        <v>#NUM!</v>
      </c>
      <c r="I16" s="134" t="e">
        <f t="array" ref="I16">INDEX(E:E,SMALL(IF($C$15:$C$25="X",ROW($15:$25)),2))</f>
        <v>#NUM!</v>
      </c>
      <c r="J16" s="225" t="e">
        <f>IF(AND(Datendefizite_Matrix!D17="",I16&lt;&gt;""),"Anmerkung OnkoZert : Keine Erläuterung vorhanden",Datendefizite_Matrix!D17)</f>
        <v>#NUM!</v>
      </c>
      <c r="AJ16" s="21"/>
    </row>
    <row r="17" spans="1:63" ht="38.1" customHeight="1" x14ac:dyDescent="0.2">
      <c r="A17" s="120" t="s">
        <v>260</v>
      </c>
      <c r="B17" s="32" t="str">
        <f>CONCATENATE(IF(Berechnung3!$H$12=Berechnung2!$L$44,Berechnung3!$B$2,""),IF(Berechnung3!$H$13=Berechnung2!$L$44,Berechnung3!$B$3,""),IF(Berechnung3!$H$14=Berechnung2!$L$44,Berechnung3!$B$4,""),IF(Berechnung3!$H$15=Berechnung2!$L$44,Berechnung3!$B$5,""),IF(Berechnung3!$H$16=Berechnung2!$L$44,Berechnung3!$B$6,""))</f>
        <v/>
      </c>
      <c r="C17" s="32">
        <f>IF(LEN(B17)&gt;0,"X",0)</f>
        <v>0</v>
      </c>
      <c r="D17" s="31" t="str">
        <f>IF(COUNTIF(Berechnung3!$H$12:$H$16,Berechnung2!$L$44)&gt;0,CONCATENATE(Berechnung2!$E$5,"- ",Berechnung2!$L$44),"")</f>
        <v/>
      </c>
      <c r="E17" s="31" t="str">
        <f>IF(COUNTIF(Berechnung3!$H$12:$H$16,Berechnung2!$L$44)&gt;0,"c","")</f>
        <v/>
      </c>
      <c r="G17" s="47" t="e">
        <f t="array" ref="G17">INDEX(B:B,SMALL(IF($C$15:$C$25="X",ROW($15:$25)),3))</f>
        <v>#NUM!</v>
      </c>
      <c r="H17" s="168" t="e">
        <f t="array" ref="H17">INDEX(D:D,SMALL(IF($C$15:$C$25="X",ROW($15:$25)),3))</f>
        <v>#NUM!</v>
      </c>
      <c r="I17" s="134" t="e">
        <f t="array" ref="I17">INDEX(E:E,SMALL(IF($C$15:$C$25="X",ROW($15:$25)),3))</f>
        <v>#NUM!</v>
      </c>
      <c r="J17" s="225" t="e">
        <f>IF(AND(Datendefizite_Matrix!D18="",I17&lt;&gt;""),"Anmerkung OnkoZert : Keine Erläuterung vorhanden",Datendefizite_Matrix!D18)</f>
        <v>#NUM!</v>
      </c>
      <c r="AJ17" s="21"/>
    </row>
    <row r="18" spans="1:63" ht="39.75" customHeight="1" x14ac:dyDescent="0.2">
      <c r="A18" s="120" t="s">
        <v>261</v>
      </c>
      <c r="B18" s="32" t="str">
        <f>CONCATENATE(IF(Berechnung3!$H$17=Berechnung2!$L$45,Berechnung3!$B$2,""),IF(Berechnung3!$H$18=Berechnung2!$L$45,Berechnung3!$B$3,""),IF(Berechnung3!$H$19=Berechnung2!$L$45,Berechnung3!$B$4,""),IF(Berechnung3!$H$20=Berechnung2!$L$45,Berechnung3!$B$5,""),IF(Berechnung3!$H$21=Berechnung2!$L$45,Berechnung3!$B$6,""))</f>
        <v/>
      </c>
      <c r="C18" s="32">
        <f>IF(LEN(B18)&gt;0,"X",0)</f>
        <v>0</v>
      </c>
      <c r="D18" s="31" t="str">
        <f>IF(COUNTIF(Berechnung3!$H$17:$H$21,Berechnung2!$L$45)&gt;0,CONCATENATE(Berechnung2!$E$5,"- ",Berechnung2!$L$45),"")</f>
        <v/>
      </c>
      <c r="E18" s="31" t="str">
        <f>IF(COUNTIF(Berechnung3!$H$17:$H$21,Berechnung2!$L$45)&gt;0,"d","")</f>
        <v/>
      </c>
      <c r="G18" s="47" t="e">
        <f t="array" ref="G18">INDEX(B:B,SMALL(IF($C$15:$C$25="X",ROW($15:$25)),4))</f>
        <v>#NUM!</v>
      </c>
      <c r="H18" s="168" t="e">
        <f t="array" ref="H18">INDEX(D:D,SMALL(IF($C$15:$C$25="X",ROW($15:$25)),4))</f>
        <v>#NUM!</v>
      </c>
      <c r="I18" s="134" t="e">
        <f t="array" ref="I18">INDEX(E:E,SMALL(IF($C$15:$C$25="X",ROW($15:$25)),4))</f>
        <v>#NUM!</v>
      </c>
      <c r="J18" s="225" t="e">
        <f>IF(AND(Datendefizite_Matrix!D19="",I18&lt;&gt;""),"Anmerkung OnkoZert : Keine Erläuterung vorhanden",Datendefizite_Matrix!D19)</f>
        <v>#NUM!</v>
      </c>
      <c r="AJ18" s="21"/>
    </row>
    <row r="19" spans="1:63" ht="49.5" customHeight="1" x14ac:dyDescent="0.2">
      <c r="A19" s="8" t="s">
        <v>2</v>
      </c>
      <c r="B19" s="32" t="s">
        <v>415</v>
      </c>
      <c r="C19" s="32">
        <f>IF(LEN(D19)&gt;0,"X",0)</f>
        <v>0</v>
      </c>
      <c r="D19" s="31" t="str">
        <f>IF(COUNTIF(Berechnung3!$H$22,Berechnung2!$L$41)&gt;0,CONCATENATE(Berechnung1!$E$4,"                                     ",Berechnung2!$L$41),"")</f>
        <v/>
      </c>
      <c r="E19" s="31" t="str">
        <f>IF(COUNTIF(Berechnung3!$H$22,Berechnung2!$L$41)&gt;0,"e","")</f>
        <v/>
      </c>
      <c r="G19" s="47" t="e">
        <f t="array" ref="G19">INDEX(B:B,SMALL(IF($C$15:$C$25="X",ROW($15:$25)),5))</f>
        <v>#NUM!</v>
      </c>
      <c r="H19" s="168" t="e">
        <f t="array" ref="H19">INDEX(D:D,SMALL(IF($C$15:$C$25="X",ROW($15:$25)),5))</f>
        <v>#NUM!</v>
      </c>
      <c r="I19" s="134" t="e">
        <f t="array" ref="I19">INDEX(E:E,SMALL(IF($C$15:$C$25="X",ROW($15:$25)),5))</f>
        <v>#NUM!</v>
      </c>
      <c r="J19" s="225" t="e">
        <f>IF(AND(Datendefizite_Matrix!D20="",I19&lt;&gt;""),"Anmerkung OnkoZert : Keine Erläuterung vorhanden",Datendefizite_Matrix!D20)</f>
        <v>#NUM!</v>
      </c>
      <c r="AJ19" s="21"/>
      <c r="BK19" s="1"/>
    </row>
    <row r="20" spans="1:63" ht="38.1" customHeight="1" x14ac:dyDescent="0.2">
      <c r="A20" s="120" t="s">
        <v>131</v>
      </c>
      <c r="B20" s="32" t="str">
        <f>CONCATENATE(IF(Berechnung3!$H$23=Berechnung2!$L$39,Berechnung3!$B$2,""),IF(Berechnung3!$H$24=Berechnung2!$L$39,Berechnung3!$B$3,""),IF(Berechnung3!$H$25=Berechnung2!$L$39,Berechnung3!$B$4,""),IF(Berechnung3!$H$26=Berechnung2!$L$39,Berechnung3!$B$5,""),IF(Berechnung3!$H$27=Berechnung2!$L$39,Berechnung3!$B$6,""))</f>
        <v/>
      </c>
      <c r="C20" s="32">
        <f>IF(LEN(B20)&gt;0,"X",0)</f>
        <v>0</v>
      </c>
      <c r="D20" s="31" t="str">
        <f>IF(COUNTIF(Berechnung3!$H$23:$H$27,Berechnung2!$L$39)&gt;0,CONCATENATE(Berechnung1!$D$3,"                                                     ",Berechnung2!$L$39),"")</f>
        <v/>
      </c>
      <c r="E20" s="31" t="str">
        <f>IF(COUNTIF(Berechnung3!$H$23:$H$27,Berechnung2!$L$39)&gt;0,"f","")</f>
        <v/>
      </c>
      <c r="G20" s="47" t="e">
        <f t="array" ref="G20">INDEX(B:B,SMALL(IF($C$15:$C$25="X",ROW($15:$25)),6))</f>
        <v>#NUM!</v>
      </c>
      <c r="H20" s="168" t="e">
        <f t="array" ref="H20">INDEX(D:D,SMALL(IF($C$15:$C$25="X",ROW($15:$25)),6))</f>
        <v>#NUM!</v>
      </c>
      <c r="I20" s="134" t="e">
        <f t="array" ref="I20">INDEX(E:E,SMALL(IF($C$15:$C$25="X",ROW($15:$25)),6))</f>
        <v>#NUM!</v>
      </c>
      <c r="J20" s="225" t="e">
        <f>IF(AND(Datendefizite_Matrix!D21="",I20&lt;&gt;""),"Anmerkung OnkoZert : Keine Erläuterung vorhanden",Datendefizite_Matrix!D21)</f>
        <v>#NUM!</v>
      </c>
      <c r="AJ20" s="21"/>
    </row>
    <row r="21" spans="1:63" ht="38.1" customHeight="1" x14ac:dyDescent="0.2">
      <c r="A21" s="8"/>
      <c r="B21" s="32" t="s">
        <v>415</v>
      </c>
      <c r="C21" s="32">
        <f>IF(LEN(D21)&gt;0,"X",0)</f>
        <v>0</v>
      </c>
      <c r="D21" s="31" t="str">
        <f>IF(COUNTIF(Berechnung3!$H$28,Berechnung2!$L$42),CONCATENATE(Berechnung2!$C$5,"                                     ",Berechnung2!$L$42),"")</f>
        <v/>
      </c>
      <c r="E21" s="31" t="str">
        <f>IF(COUNTIF(Berechnung3!$H$28,Berechnung2!$L$42)&gt;0,"g","")</f>
        <v/>
      </c>
      <c r="G21" s="47" t="e">
        <f t="array" ref="G21">INDEX(B:B,SMALL(IF($C$15:$C$25="X",ROW($15:$25)),7))</f>
        <v>#NUM!</v>
      </c>
      <c r="H21" s="168" t="e">
        <f t="array" ref="H21">INDEX(D:D,SMALL(IF($C$15:$C$25="X",ROW($15:$25)),7))</f>
        <v>#NUM!</v>
      </c>
      <c r="I21" s="134" t="e">
        <f t="array" ref="I21">INDEX(E:E,SMALL(IF($C$15:$C$25="X",ROW($15:$25)),7))</f>
        <v>#NUM!</v>
      </c>
      <c r="J21" s="225" t="e">
        <f>IF(AND(Datendefizite_Matrix!D22="",I21&lt;&gt;""),"Anmerkung OnkoZert : Keine Erläuterung vorhanden",Datendefizite_Matrix!D22)</f>
        <v>#NUM!</v>
      </c>
      <c r="AJ21" s="21"/>
    </row>
    <row r="22" spans="1:63" ht="38.1" customHeight="1" x14ac:dyDescent="0.2">
      <c r="A22" s="8" t="s">
        <v>137</v>
      </c>
      <c r="B22" s="32" t="str">
        <f>CONCATENATE(IF(Berechnung3!$H$29=Berechnung2!L40,Berechnung3!$B$2,""),IF(Berechnung3!$H$30=Berechnung2!L40,Berechnung3!$B$3,""),IF(Berechnung3!$H$31=Berechnung2!L40,Berechnung3!$B$4,""),IF(Berechnung3!$H$32=Berechnung2!L40,Berechnung3!$B$5,""),IF(Berechnung3!$H$33=Berechnung2!L40,Berechnung3!$B$6,""))</f>
        <v/>
      </c>
      <c r="C22" s="32">
        <f>IF(LEN(B22)&gt;0,"X",0)</f>
        <v>0</v>
      </c>
      <c r="D22" s="31" t="str">
        <f>IF(COUNTIF(Berechnung3!H29:H33,Berechnung2!$L$40)&gt;0,CONCATENATE(Berechnung1!$D$3,"                                                     ",Berechnung2!$L$40),"")</f>
        <v/>
      </c>
      <c r="E22" s="31" t="str">
        <f>IF(COUNTIF(Berechnung3!H29:H33,Berechnung2!$L$40)&gt;0,"h","")</f>
        <v/>
      </c>
      <c r="G22" s="47" t="e">
        <f t="array" ref="G22">INDEX(B:B,SMALL(IF($C$15:$C$25="X",ROW($15:$25)),8))</f>
        <v>#NUM!</v>
      </c>
      <c r="H22" s="168" t="e">
        <f t="array" ref="H22">INDEX(D:D,SMALL(IF($C$15:$C$25="X",ROW($15:$25)),8))</f>
        <v>#NUM!</v>
      </c>
      <c r="I22" s="134" t="e">
        <f t="array" ref="I22">INDEX(E:E,SMALL(IF($C$15:$C$25="X",ROW($15:$25)),8))</f>
        <v>#NUM!</v>
      </c>
      <c r="J22" s="225" t="e">
        <f>IF(AND(Datendefizite_Matrix!D23="",I22&lt;&gt;""),"Anmerkung OnkoZert : Keine Erläuterung vorhanden",Datendefizite_Matrix!D23)</f>
        <v>#NUM!</v>
      </c>
      <c r="AJ22" s="21"/>
      <c r="BK22" s="12"/>
    </row>
    <row r="23" spans="1:63" ht="38.1" customHeight="1" x14ac:dyDescent="0.2">
      <c r="A23" s="8" t="s">
        <v>181</v>
      </c>
      <c r="B23" s="32" t="str">
        <f>CONCATENATE(IF(Berechnung3!$H$34=Berechnung2!$L$47,Berechnung3!$B$2,""),IF(Berechnung3!$H$35=Berechnung2!$L$47,Berechnung3!$B$3,""),IF(Berechnung3!$H$36=Berechnung2!$L$47,Berechnung3!$B$4,""),IF(Berechnung3!$H$37=Berechnung2!$L$47,Berechnung3!$B$5,""),IF(Berechnung3!$H$38=Berechnung2!$L$47,Berechnung3!$B$6,""))</f>
        <v/>
      </c>
      <c r="C23" s="32">
        <f>IF(LEN(B23)&gt;0,"X",0)</f>
        <v>0</v>
      </c>
      <c r="D23" s="31" t="str">
        <f>IF(COUNTIF(Berechnung3!$H$34:$H$38,Berechnung2!$L$47)&gt;0,CONCATENATE(Berechnung1!$D$3,"                                     ",Berechnung2!$L$47),"")</f>
        <v/>
      </c>
      <c r="E23" s="31" t="str">
        <f>IF(COUNTIF(Berechnung3!$H$34:$H$38,Berechnung2!$L$47)&gt;0,"i","")</f>
        <v/>
      </c>
      <c r="G23" s="47" t="e">
        <f t="array" ref="G23">INDEX(B:B,SMALL(IF($C$15:$C$25="X",ROW($15:$25)),9))</f>
        <v>#NUM!</v>
      </c>
      <c r="H23" s="168" t="e">
        <f t="array" ref="H23">INDEX(D:D,SMALL(IF($C$15:$C$25="X",ROW($15:$25)),9))</f>
        <v>#NUM!</v>
      </c>
      <c r="I23" s="134" t="e">
        <f t="array" ref="I23">INDEX(E:E,SMALL(IF($C$15:$C$25="X",ROW($15:$25)),9))</f>
        <v>#NUM!</v>
      </c>
      <c r="J23" s="225" t="e">
        <f>IF(AND(Datendefizite_Matrix!D24="",I23&lt;&gt;""),"Anmerkung OnkoZert : Keine Erläuterung vorhanden",Datendefizite_Matrix!D24)</f>
        <v>#NUM!</v>
      </c>
    </row>
    <row r="24" spans="1:63" ht="38.1" customHeight="1" x14ac:dyDescent="0.2">
      <c r="A24" s="8" t="s">
        <v>291</v>
      </c>
      <c r="B24" s="32" t="str">
        <f>CONCATENATE(IF(Berechnung3!$H$39=Berechnung2!$L$54,Berechnung3!$B$2,""),IF(Berechnung3!$H$40=Berechnung2!$L$54,Berechnung3!$B$3,""),IF(Berechnung3!$H$41=Berechnung2!$L$54,Berechnung3!$B$4,""),IF(Berechnung3!$H$42=Berechnung2!$L$54,Berechnung3!$B$5,""))</f>
        <v/>
      </c>
      <c r="C24" s="32">
        <f>IF(LEN(B24)&gt;0,"X",0)</f>
        <v>0</v>
      </c>
      <c r="D24" s="31" t="str">
        <f>IF(COUNTIF(Berechnung3!$H$39:$H$43,Berechnung2!$L$54)&gt;0,CONCATENATE(Berechnung1!$D$3,"                                     ",Berechnung2!$L$54),"")</f>
        <v/>
      </c>
      <c r="E24" s="31" t="str">
        <f>IF(COUNTIF(Berechnung3!$H$39:$H$43,Berechnung2!$L$54)&gt;0,"j","")</f>
        <v/>
      </c>
      <c r="G24" s="47" t="e">
        <f t="array" ref="G24">INDEX(B:B,SMALL(IF($C$15:$C$25="X",ROW($15:$25)),10))</f>
        <v>#NUM!</v>
      </c>
      <c r="H24" s="168" t="e">
        <f t="array" ref="H24">INDEX(D:D,SMALL(IF($C$15:$C$25="X",ROW($15:$25)),10))</f>
        <v>#NUM!</v>
      </c>
      <c r="I24" s="134" t="e">
        <f t="array" ref="I24">INDEX(E:E,SMALL(IF($C$15:$C$25="X",ROW($15:$25)),10))</f>
        <v>#NUM!</v>
      </c>
      <c r="J24" s="225" t="e">
        <f>IF(AND(Datendefizite_Matrix!D25="",I24&lt;&gt;""),"Anmerkung OnkoZert : Keine Erläuterung vorhanden",Datendefizite_Matrix!D25)</f>
        <v>#NUM!</v>
      </c>
    </row>
    <row r="25" spans="1:63" ht="38.1" customHeight="1" x14ac:dyDescent="0.2">
      <c r="A25" s="8" t="s">
        <v>292</v>
      </c>
      <c r="B25" s="32" t="str">
        <f>IF(Berechnung3!$H$43=Berechnung2!$L$59,Berechnung3!$B$6,"")</f>
        <v/>
      </c>
      <c r="C25" s="32">
        <f>IF(LEN(B25)&gt;0,"X",0)</f>
        <v>0</v>
      </c>
      <c r="D25" s="31" t="str">
        <f>IF(COUNTIF(Berechnung3!H$43,Berechnung2!$L$59)&gt;0,CONCATENATE(Berechnung1!$D$3,"                                     ",Berechnung2!$L$59),"")</f>
        <v/>
      </c>
      <c r="E25" s="31" t="str">
        <f>IF(COUNTIF(Berechnung3!H$43,Berechnung2!$L$59)&gt;0,"k","")</f>
        <v/>
      </c>
      <c r="G25" s="47" t="e">
        <f t="array" ref="G25">INDEX(B:B,SMALL(IF($C$15:$C$25="X",ROW($15:$25)),11))</f>
        <v>#NUM!</v>
      </c>
      <c r="H25" s="168" t="e">
        <f t="array" ref="H25">INDEX(D:D,SMALL(IF($C$15:$C$25="X",ROW($15:$25)),11))</f>
        <v>#NUM!</v>
      </c>
      <c r="I25" s="134" t="e">
        <f t="array" ref="I25">INDEX(E:E,SMALL(IF($C$15:$C$25="X",ROW($15:$25)),11))</f>
        <v>#NUM!</v>
      </c>
      <c r="J25" s="225" t="e">
        <f>IF(AND(Datendefizite_Matrix!D26="",I25&lt;&gt;""),"Anmerkung OnkoZert : Keine Erläuterung vorhanden",Datendefizite_Matrix!D26)</f>
        <v>#NUM!</v>
      </c>
    </row>
    <row r="29" spans="1:63" x14ac:dyDescent="0.2">
      <c r="A29" s="77" t="s">
        <v>54</v>
      </c>
      <c r="B29" s="74"/>
    </row>
    <row r="30" spans="1:63" x14ac:dyDescent="0.2">
      <c r="A30" s="77" t="s">
        <v>335</v>
      </c>
      <c r="B30" s="74"/>
    </row>
    <row r="31" spans="1:63" x14ac:dyDescent="0.2">
      <c r="A31" s="75" t="str">
        <f>'Basic data'!O14</f>
        <v/>
      </c>
      <c r="B31" s="76">
        <f>IF(A31&gt;A32,0,DATEDIF(A31,A32,"y"))</f>
        <v>0</v>
      </c>
      <c r="C31" s="78"/>
    </row>
    <row r="32" spans="1:63" x14ac:dyDescent="0.2">
      <c r="A32" s="335">
        <v>43830</v>
      </c>
      <c r="B32" s="76"/>
    </row>
    <row r="34" spans="1:17" ht="20.25" x14ac:dyDescent="0.3">
      <c r="A34" s="249"/>
    </row>
    <row r="36" spans="1:17" s="248" customFormat="1" ht="20.25" x14ac:dyDescent="0.25">
      <c r="A36" s="247" t="s">
        <v>95</v>
      </c>
      <c r="B36" s="226" t="s">
        <v>104</v>
      </c>
      <c r="C36" s="227"/>
      <c r="D36" s="227"/>
      <c r="E36" s="228"/>
      <c r="F36" s="229" t="s">
        <v>101</v>
      </c>
      <c r="G36" s="230"/>
      <c r="H36" s="230"/>
      <c r="I36" s="230"/>
      <c r="J36" s="231"/>
      <c r="K36" s="228"/>
      <c r="L36" s="226" t="s">
        <v>175</v>
      </c>
      <c r="M36" s="227"/>
      <c r="N36" s="227"/>
      <c r="O36" s="227"/>
      <c r="P36" s="230" t="s">
        <v>176</v>
      </c>
      <c r="Q36" s="232"/>
    </row>
    <row r="37" spans="1:17" s="248" customFormat="1" x14ac:dyDescent="0.25">
      <c r="B37" s="233"/>
      <c r="C37" s="227"/>
      <c r="D37" s="227"/>
      <c r="E37" s="228"/>
      <c r="F37" s="229"/>
      <c r="G37" s="234"/>
      <c r="H37" s="234"/>
      <c r="I37" s="230"/>
      <c r="J37" s="231"/>
      <c r="K37" s="228"/>
      <c r="L37" s="232"/>
      <c r="M37" s="227"/>
      <c r="N37" s="227"/>
      <c r="O37" s="227"/>
      <c r="P37" s="235" t="s">
        <v>177</v>
      </c>
      <c r="Q37" s="232"/>
    </row>
    <row r="38" spans="1:17" s="248" customFormat="1" x14ac:dyDescent="0.25">
      <c r="B38" s="236"/>
      <c r="C38" s="237"/>
      <c r="D38" s="238" t="s">
        <v>107</v>
      </c>
      <c r="E38" s="121"/>
      <c r="F38" s="239"/>
      <c r="G38" s="122"/>
      <c r="H38" s="122"/>
      <c r="I38" s="122"/>
      <c r="J38" s="126"/>
      <c r="K38" s="121"/>
      <c r="L38" s="237" t="s">
        <v>308</v>
      </c>
      <c r="M38" s="237"/>
      <c r="N38" s="237"/>
      <c r="O38" s="237"/>
      <c r="P38" s="240"/>
      <c r="Q38" s="232"/>
    </row>
    <row r="39" spans="1:17" s="248" customFormat="1" x14ac:dyDescent="0.25">
      <c r="B39" s="921" t="s">
        <v>97</v>
      </c>
      <c r="C39" s="922"/>
      <c r="D39" s="240" t="s">
        <v>105</v>
      </c>
      <c r="E39" s="121" t="s">
        <v>92</v>
      </c>
      <c r="F39" s="122"/>
      <c r="G39" s="345">
        <v>100</v>
      </c>
      <c r="H39" s="241"/>
      <c r="I39" s="122"/>
      <c r="J39" s="126"/>
      <c r="K39" s="121"/>
      <c r="L39" s="237" t="s">
        <v>178</v>
      </c>
      <c r="M39" s="237"/>
      <c r="N39" s="237"/>
      <c r="O39" s="237"/>
      <c r="P39" s="240"/>
      <c r="Q39" s="232"/>
    </row>
    <row r="40" spans="1:17" s="248" customFormat="1" x14ac:dyDescent="0.25">
      <c r="B40" s="921" t="s">
        <v>98</v>
      </c>
      <c r="C40" s="922"/>
      <c r="D40" s="240" t="s">
        <v>105</v>
      </c>
      <c r="E40" s="121" t="s">
        <v>92</v>
      </c>
      <c r="F40" s="267">
        <v>0</v>
      </c>
      <c r="G40" s="242">
        <v>0</v>
      </c>
      <c r="H40" s="267"/>
      <c r="I40" s="126">
        <v>0.69999</v>
      </c>
      <c r="J40" s="126">
        <v>0.69999</v>
      </c>
      <c r="K40" s="121"/>
      <c r="L40" s="237" t="s">
        <v>271</v>
      </c>
      <c r="M40" s="237"/>
      <c r="N40" s="237"/>
      <c r="O40" s="237"/>
      <c r="P40" s="240"/>
      <c r="Q40" s="232"/>
    </row>
    <row r="41" spans="1:17" s="248" customFormat="1" ht="26.25" customHeight="1" x14ac:dyDescent="0.25">
      <c r="B41" s="923" t="s">
        <v>416</v>
      </c>
      <c r="C41" s="922"/>
      <c r="D41" s="240" t="s">
        <v>106</v>
      </c>
      <c r="E41" s="121" t="s">
        <v>92</v>
      </c>
      <c r="F41" s="125">
        <v>0</v>
      </c>
      <c r="G41" s="124">
        <v>0</v>
      </c>
      <c r="H41" s="125"/>
      <c r="I41" s="126">
        <v>0.79998999999999998</v>
      </c>
      <c r="J41" s="125">
        <v>0.79998999999999998</v>
      </c>
      <c r="K41" s="121"/>
      <c r="L41" s="237" t="s">
        <v>136</v>
      </c>
      <c r="M41" s="237"/>
      <c r="N41" s="237"/>
      <c r="O41" s="237"/>
      <c r="P41" s="240"/>
      <c r="Q41" s="232"/>
    </row>
    <row r="42" spans="1:17" s="248" customFormat="1" ht="26.25" customHeight="1" x14ac:dyDescent="0.25">
      <c r="B42" s="923" t="s">
        <v>417</v>
      </c>
      <c r="C42" s="922"/>
      <c r="D42" s="240" t="s">
        <v>105</v>
      </c>
      <c r="E42" s="121" t="s">
        <v>91</v>
      </c>
      <c r="F42" s="126"/>
      <c r="G42" s="124">
        <v>0</v>
      </c>
      <c r="H42" s="126">
        <v>0.95001000000000002</v>
      </c>
      <c r="I42" s="126">
        <v>1</v>
      </c>
      <c r="J42" s="126">
        <v>0.95001000000000002</v>
      </c>
      <c r="K42" s="121"/>
      <c r="L42" s="237" t="s">
        <v>114</v>
      </c>
      <c r="M42" s="237"/>
      <c r="N42" s="237"/>
      <c r="O42" s="237"/>
      <c r="P42" s="240"/>
      <c r="Q42" s="232"/>
    </row>
    <row r="43" spans="1:17" s="248" customFormat="1" ht="28.5" customHeight="1" x14ac:dyDescent="0.25">
      <c r="B43" s="921" t="s">
        <v>259</v>
      </c>
      <c r="C43" s="922"/>
      <c r="D43" s="240" t="s">
        <v>258</v>
      </c>
      <c r="E43" s="121"/>
      <c r="F43" s="122"/>
      <c r="G43" s="122"/>
      <c r="H43" s="122"/>
      <c r="I43" s="122"/>
      <c r="J43" s="126"/>
      <c r="K43" s="121"/>
      <c r="L43" s="921" t="s">
        <v>270</v>
      </c>
      <c r="M43" s="922"/>
      <c r="N43" s="237"/>
      <c r="O43" s="237"/>
      <c r="P43" s="240"/>
      <c r="Q43" s="232"/>
    </row>
    <row r="44" spans="1:17" s="248" customFormat="1" ht="30.75" customHeight="1" x14ac:dyDescent="0.25">
      <c r="B44" s="921" t="s">
        <v>260</v>
      </c>
      <c r="C44" s="922"/>
      <c r="D44" s="240" t="s">
        <v>258</v>
      </c>
      <c r="E44" s="121"/>
      <c r="F44" s="122"/>
      <c r="G44" s="122"/>
      <c r="H44" s="122"/>
      <c r="I44" s="122"/>
      <c r="J44" s="126"/>
      <c r="K44" s="121"/>
      <c r="L44" s="921" t="s">
        <v>268</v>
      </c>
      <c r="M44" s="922"/>
      <c r="N44" s="237"/>
      <c r="O44" s="237"/>
      <c r="P44" s="240"/>
      <c r="Q44" s="232"/>
    </row>
    <row r="45" spans="1:17" s="248" customFormat="1" ht="32.25" customHeight="1" x14ac:dyDescent="0.25">
      <c r="B45" s="921" t="s">
        <v>261</v>
      </c>
      <c r="C45" s="922"/>
      <c r="D45" s="240" t="s">
        <v>258</v>
      </c>
      <c r="E45" s="121"/>
      <c r="F45" s="122"/>
      <c r="G45" s="122"/>
      <c r="H45" s="122"/>
      <c r="I45" s="122"/>
      <c r="J45" s="126"/>
      <c r="K45" s="121"/>
      <c r="L45" s="921" t="s">
        <v>269</v>
      </c>
      <c r="M45" s="922"/>
      <c r="N45" s="237"/>
      <c r="O45" s="237"/>
      <c r="P45" s="240"/>
      <c r="Q45" s="232"/>
    </row>
    <row r="46" spans="1:17" s="248" customFormat="1" x14ac:dyDescent="0.25">
      <c r="B46" s="232"/>
      <c r="C46" s="232"/>
      <c r="D46" s="232"/>
      <c r="E46" s="232"/>
      <c r="F46" s="232"/>
      <c r="G46" s="232"/>
      <c r="H46" s="232"/>
      <c r="I46" s="232"/>
      <c r="J46" s="232"/>
      <c r="K46" s="232"/>
      <c r="L46" s="232"/>
      <c r="M46" s="232"/>
      <c r="N46" s="232"/>
      <c r="O46" s="232"/>
      <c r="P46" s="240"/>
      <c r="Q46" s="232"/>
    </row>
    <row r="47" spans="1:17" s="248" customFormat="1" x14ac:dyDescent="0.25">
      <c r="B47" s="243" t="s">
        <v>86</v>
      </c>
      <c r="C47" s="237"/>
      <c r="D47" s="121"/>
      <c r="E47" s="122" t="s">
        <v>103</v>
      </c>
      <c r="F47" s="122" t="s">
        <v>99</v>
      </c>
      <c r="G47" s="122"/>
      <c r="H47" s="122"/>
      <c r="I47" s="122"/>
      <c r="J47" s="122" t="s">
        <v>100</v>
      </c>
      <c r="K47" s="121"/>
      <c r="L47" s="244" t="s">
        <v>138</v>
      </c>
      <c r="M47" s="244"/>
      <c r="N47" s="245" t="s">
        <v>179</v>
      </c>
      <c r="O47" s="244"/>
      <c r="P47" s="240"/>
      <c r="Q47" s="232"/>
    </row>
    <row r="48" spans="1:17" s="248" customFormat="1" x14ac:dyDescent="0.25">
      <c r="B48" s="243">
        <v>2013</v>
      </c>
      <c r="C48" s="278">
        <v>0</v>
      </c>
      <c r="D48" s="124"/>
      <c r="E48" s="125">
        <v>0</v>
      </c>
      <c r="F48" s="126">
        <v>0.49998999999999999</v>
      </c>
      <c r="G48" s="268">
        <v>0.49998999999999999</v>
      </c>
      <c r="H48" s="126"/>
      <c r="I48" s="161"/>
      <c r="J48" s="270"/>
      <c r="K48" s="121"/>
      <c r="L48" s="244" t="s">
        <v>138</v>
      </c>
      <c r="M48" s="244"/>
      <c r="N48" s="245" t="s">
        <v>179</v>
      </c>
      <c r="O48" s="244"/>
      <c r="P48" s="240"/>
      <c r="Q48" s="232"/>
    </row>
    <row r="49" spans="2:17" s="248" customFormat="1" x14ac:dyDescent="0.25">
      <c r="B49" s="243">
        <v>2014</v>
      </c>
      <c r="C49" s="278">
        <v>0</v>
      </c>
      <c r="D49" s="124"/>
      <c r="E49" s="125">
        <v>0</v>
      </c>
      <c r="F49" s="126">
        <v>0.49990000000000001</v>
      </c>
      <c r="G49" s="268">
        <v>0.49998999999999999</v>
      </c>
      <c r="H49" s="126"/>
      <c r="I49" s="161"/>
      <c r="J49" s="270"/>
      <c r="K49" s="121"/>
      <c r="L49" s="244" t="s">
        <v>138</v>
      </c>
      <c r="M49" s="244"/>
      <c r="N49" s="245" t="s">
        <v>179</v>
      </c>
      <c r="O49" s="244"/>
      <c r="P49" s="240"/>
      <c r="Q49" s="232"/>
    </row>
    <row r="50" spans="2:17" s="248" customFormat="1" x14ac:dyDescent="0.25">
      <c r="B50" s="243">
        <v>2015</v>
      </c>
      <c r="C50" s="278">
        <v>0</v>
      </c>
      <c r="D50" s="124"/>
      <c r="E50" s="125">
        <v>0</v>
      </c>
      <c r="F50" s="126">
        <v>0.59999000000000002</v>
      </c>
      <c r="G50" s="268">
        <v>0.59999000000000002</v>
      </c>
      <c r="H50" s="126"/>
      <c r="I50" s="161"/>
      <c r="J50" s="270"/>
      <c r="K50" s="121"/>
      <c r="L50" s="244" t="s">
        <v>138</v>
      </c>
      <c r="M50" s="244"/>
      <c r="N50" s="245" t="s">
        <v>179</v>
      </c>
      <c r="O50" s="244"/>
      <c r="P50" s="240"/>
      <c r="Q50" s="232"/>
    </row>
    <row r="51" spans="2:17" s="248" customFormat="1" x14ac:dyDescent="0.25">
      <c r="B51" s="243">
        <v>2016</v>
      </c>
      <c r="C51" s="278">
        <v>0</v>
      </c>
      <c r="D51" s="124"/>
      <c r="E51" s="125">
        <v>0</v>
      </c>
      <c r="F51" s="126">
        <v>0.69999</v>
      </c>
      <c r="G51" s="268">
        <v>0.69999</v>
      </c>
      <c r="H51" s="126"/>
      <c r="I51" s="161"/>
      <c r="J51" s="270"/>
      <c r="K51" s="121"/>
      <c r="L51" s="244" t="s">
        <v>138</v>
      </c>
      <c r="M51" s="244"/>
      <c r="N51" s="245" t="s">
        <v>179</v>
      </c>
      <c r="O51" s="244"/>
      <c r="P51" s="240"/>
      <c r="Q51" s="232"/>
    </row>
    <row r="52" spans="2:17" s="248" customFormat="1" x14ac:dyDescent="0.25">
      <c r="B52" s="243">
        <v>2017</v>
      </c>
      <c r="C52" s="278">
        <v>0</v>
      </c>
      <c r="D52" s="124"/>
      <c r="E52" s="125">
        <v>0</v>
      </c>
      <c r="F52" s="126">
        <v>0.79998999999999998</v>
      </c>
      <c r="G52" s="268">
        <v>0.79998999999999998</v>
      </c>
      <c r="H52" s="126"/>
      <c r="I52" s="161"/>
      <c r="J52" s="270"/>
      <c r="K52" s="121"/>
      <c r="L52" s="244" t="s">
        <v>138</v>
      </c>
      <c r="M52" s="244"/>
      <c r="N52" s="245" t="s">
        <v>179</v>
      </c>
      <c r="O52" s="244"/>
      <c r="P52" s="240"/>
      <c r="Q52" s="232"/>
    </row>
    <row r="53" spans="2:17" s="248" customFormat="1" x14ac:dyDescent="0.25">
      <c r="B53" s="232"/>
      <c r="C53" s="232"/>
      <c r="D53" s="123"/>
      <c r="E53" s="123"/>
      <c r="F53" s="123"/>
      <c r="G53" s="269"/>
      <c r="H53" s="123"/>
      <c r="I53" s="269"/>
      <c r="J53" s="271"/>
      <c r="K53" s="123"/>
      <c r="L53" s="246"/>
      <c r="M53" s="246"/>
      <c r="N53" s="246"/>
      <c r="O53" s="246"/>
      <c r="P53" s="240"/>
      <c r="Q53" s="232"/>
    </row>
    <row r="54" spans="2:17" s="248" customFormat="1" x14ac:dyDescent="0.25">
      <c r="B54" s="243" t="s">
        <v>55</v>
      </c>
      <c r="C54" s="237"/>
      <c r="D54" s="121"/>
      <c r="E54" s="122"/>
      <c r="F54" s="122" t="s">
        <v>99</v>
      </c>
      <c r="G54" s="126"/>
      <c r="H54" s="122"/>
      <c r="I54" s="126"/>
      <c r="J54" s="126" t="s">
        <v>100</v>
      </c>
      <c r="K54" s="121"/>
      <c r="L54" s="244" t="s">
        <v>290</v>
      </c>
      <c r="M54" s="244"/>
      <c r="N54" s="244" t="s">
        <v>290</v>
      </c>
      <c r="O54" s="244"/>
      <c r="P54" s="240"/>
      <c r="Q54" s="232"/>
    </row>
    <row r="55" spans="2:17" s="248" customFormat="1" x14ac:dyDescent="0.25">
      <c r="B55" s="243">
        <v>2013</v>
      </c>
      <c r="C55" s="278">
        <v>0</v>
      </c>
      <c r="D55" s="124"/>
      <c r="E55" s="125">
        <v>0</v>
      </c>
      <c r="F55" s="126">
        <v>0.59999000000000002</v>
      </c>
      <c r="G55" s="268">
        <v>0.59999000000000002</v>
      </c>
      <c r="H55" s="126"/>
      <c r="I55" s="126">
        <v>1</v>
      </c>
      <c r="J55" s="268">
        <v>1</v>
      </c>
      <c r="K55" s="121"/>
      <c r="L55" s="244" t="s">
        <v>290</v>
      </c>
      <c r="M55" s="244"/>
      <c r="N55" s="244" t="s">
        <v>290</v>
      </c>
      <c r="O55" s="244"/>
      <c r="P55" s="240"/>
      <c r="Q55" s="232"/>
    </row>
    <row r="56" spans="2:17" s="248" customFormat="1" x14ac:dyDescent="0.25">
      <c r="B56" s="243">
        <v>2014</v>
      </c>
      <c r="C56" s="278">
        <v>0</v>
      </c>
      <c r="D56" s="124"/>
      <c r="E56" s="125">
        <v>0</v>
      </c>
      <c r="F56" s="126">
        <v>0.69999</v>
      </c>
      <c r="G56" s="268">
        <v>0.69999</v>
      </c>
      <c r="H56" s="126"/>
      <c r="I56" s="126">
        <v>1</v>
      </c>
      <c r="J56" s="268">
        <v>1</v>
      </c>
      <c r="K56" s="121"/>
      <c r="L56" s="244" t="s">
        <v>290</v>
      </c>
      <c r="M56" s="244"/>
      <c r="N56" s="244" t="s">
        <v>290</v>
      </c>
      <c r="O56" s="244"/>
      <c r="P56" s="240"/>
      <c r="Q56" s="232"/>
    </row>
    <row r="57" spans="2:17" s="248" customFormat="1" x14ac:dyDescent="0.25">
      <c r="B57" s="243">
        <v>2015</v>
      </c>
      <c r="C57" s="278">
        <v>0</v>
      </c>
      <c r="D57" s="124"/>
      <c r="E57" s="125">
        <v>0</v>
      </c>
      <c r="F57" s="126">
        <v>0.79998999999999998</v>
      </c>
      <c r="G57" s="268">
        <v>0.79998999999999998</v>
      </c>
      <c r="H57" s="126"/>
      <c r="I57" s="126">
        <v>1</v>
      </c>
      <c r="J57" s="268">
        <v>1</v>
      </c>
      <c r="K57" s="121"/>
      <c r="L57" s="244" t="s">
        <v>290</v>
      </c>
      <c r="M57" s="244"/>
      <c r="N57" s="244" t="s">
        <v>290</v>
      </c>
      <c r="O57" s="244"/>
      <c r="P57" s="240"/>
      <c r="Q57" s="232"/>
    </row>
    <row r="58" spans="2:17" s="248" customFormat="1" x14ac:dyDescent="0.25">
      <c r="B58" s="243">
        <v>2016</v>
      </c>
      <c r="C58" s="278">
        <v>0</v>
      </c>
      <c r="D58" s="124"/>
      <c r="E58" s="125">
        <v>0</v>
      </c>
      <c r="F58" s="126">
        <v>0.89998999999999996</v>
      </c>
      <c r="G58" s="268">
        <v>0.89998999999999996</v>
      </c>
      <c r="H58" s="126"/>
      <c r="I58" s="126">
        <v>1</v>
      </c>
      <c r="J58" s="268">
        <v>1</v>
      </c>
      <c r="K58" s="121"/>
      <c r="L58" s="244" t="s">
        <v>290</v>
      </c>
      <c r="M58" s="244"/>
      <c r="N58" s="244" t="s">
        <v>290</v>
      </c>
      <c r="O58" s="244"/>
      <c r="P58" s="240"/>
      <c r="Q58" s="232"/>
    </row>
    <row r="59" spans="2:17" s="248" customFormat="1" x14ac:dyDescent="0.25">
      <c r="B59" s="243">
        <v>2017</v>
      </c>
      <c r="C59" s="278">
        <v>0</v>
      </c>
      <c r="D59" s="124"/>
      <c r="E59" s="125">
        <v>0</v>
      </c>
      <c r="F59" s="126">
        <v>0.89998999999999996</v>
      </c>
      <c r="G59" s="268">
        <v>0.89998999999999996</v>
      </c>
      <c r="H59" s="126"/>
      <c r="I59" s="126">
        <v>1</v>
      </c>
      <c r="J59" s="270"/>
      <c r="K59" s="121"/>
      <c r="L59" s="244" t="s">
        <v>139</v>
      </c>
      <c r="M59" s="244"/>
      <c r="N59" s="245" t="s">
        <v>180</v>
      </c>
      <c r="O59" s="244"/>
      <c r="P59" s="240"/>
      <c r="Q59" s="232"/>
    </row>
  </sheetData>
  <customSheetViews>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1"/>
    </customSheetView>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2"/>
    </customSheetView>
  </customSheetViews>
  <mergeCells count="14">
    <mergeCell ref="E13:E14"/>
    <mergeCell ref="L44:M44"/>
    <mergeCell ref="L45:M45"/>
    <mergeCell ref="B44:C44"/>
    <mergeCell ref="B45:C45"/>
    <mergeCell ref="B42:C42"/>
    <mergeCell ref="B41:C41"/>
    <mergeCell ref="B43:C43"/>
    <mergeCell ref="L43:M43"/>
    <mergeCell ref="B40:C40"/>
    <mergeCell ref="B39:C39"/>
    <mergeCell ref="D13:D14"/>
    <mergeCell ref="B13:B14"/>
    <mergeCell ref="C13:C14"/>
  </mergeCells>
  <phoneticPr fontId="39" type="noConversion"/>
  <conditionalFormatting sqref="BH7">
    <cfRule type="expression" dxfId="36" priority="2160">
      <formula>$BH7="EZ"</formula>
    </cfRule>
    <cfRule type="expression" dxfId="35" priority="2161">
      <formula>$BH7="nicht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dimension ref="A1:I23"/>
  <sheetViews>
    <sheetView workbookViewId="0">
      <selection activeCell="C1" sqref="C1"/>
    </sheetView>
  </sheetViews>
  <sheetFormatPr defaultColWidth="11.42578125" defaultRowHeight="15" x14ac:dyDescent="0.25"/>
  <cols>
    <col min="1" max="1" width="14.7109375" customWidth="1"/>
    <col min="2" max="2" width="18.140625" customWidth="1"/>
    <col min="3" max="3" width="14.7109375" customWidth="1"/>
    <col min="4" max="4" width="13.28515625" customWidth="1"/>
    <col min="5" max="5" width="14.85546875" customWidth="1"/>
    <col min="6" max="6" width="17.140625" customWidth="1"/>
    <col min="7" max="7" width="16" customWidth="1"/>
    <col min="8" max="8" width="15.28515625" customWidth="1"/>
    <col min="9" max="9" width="13.140625" customWidth="1"/>
    <col min="10" max="10" width="9.7109375" customWidth="1"/>
    <col min="11" max="11" width="8.7109375" customWidth="1"/>
    <col min="12" max="12" width="10" customWidth="1"/>
  </cols>
  <sheetData>
    <row r="1" spans="1:9" ht="41.25" customHeight="1" x14ac:dyDescent="0.25">
      <c r="A1" s="167" t="str">
        <f>Matrix!B18</f>
        <v>Relevante Nachsorgejahre</v>
      </c>
      <c r="B1" s="167" t="str">
        <f>Matrix!C18</f>
        <v>Angabe Jahr Primärfälle</v>
      </c>
      <c r="C1" s="167" t="str">
        <f>Matrix!D18</f>
        <v>Anzahl Primärfälle
(posttherapeutisch tumorfrei)</v>
      </c>
      <c r="D1" s="167" t="str">
        <f>LEFT(Matrix!F18,23)</f>
        <v>Patienten mit Follow-Up</v>
      </c>
      <c r="E1" s="167" t="str">
        <f>Matrix!G18</f>
        <v>Follow-Up Quote in % (F / D)</v>
      </c>
      <c r="F1" s="167" t="str">
        <f>Matrix!I18</f>
        <v>DFS (Disease Free Survival) absolut</v>
      </c>
      <c r="G1" s="167" t="str">
        <f>Matrix!J18</f>
        <v>DFS (Disease Free Survival)  in %</v>
      </c>
      <c r="H1" s="167" t="str">
        <f>Matrix!L18</f>
        <v>OAS (Overall Survival) absolut</v>
      </c>
      <c r="I1" s="167" t="str">
        <f>Matrix!M18</f>
        <v>OAS (Overall Survival)  in %</v>
      </c>
    </row>
    <row r="2" spans="1:9" x14ac:dyDescent="0.25">
      <c r="A2" s="137" t="str">
        <f>Matrix!B20</f>
        <v>nicht relevant</v>
      </c>
      <c r="B2" s="137">
        <f>Matrix!C20</f>
        <v>2013</v>
      </c>
      <c r="C2" s="160" t="str">
        <f>IF(Matrix!D20="","",Matrix!D20)</f>
        <v/>
      </c>
      <c r="D2" s="160" t="str">
        <f>IF(Matrix!F20="","",Matrix!F20)</f>
        <v/>
      </c>
      <c r="E2" s="250" t="str">
        <f>IF(Matrix!G20="","",Matrix!G20*100)</f>
        <v/>
      </c>
      <c r="F2" s="160" t="str">
        <f>IF(Matrix!I20="","",Matrix!I20)</f>
        <v/>
      </c>
      <c r="G2" s="250" t="str">
        <f>IF(Matrix!J20="","",Matrix!J20*100)</f>
        <v/>
      </c>
      <c r="H2" s="160" t="str">
        <f>IF(Matrix!L20="","",Matrix!L20)</f>
        <v/>
      </c>
      <c r="I2" s="250" t="str">
        <f>IF(Matrix!M20="","",Matrix!M20*100)</f>
        <v/>
      </c>
    </row>
    <row r="3" spans="1:9" x14ac:dyDescent="0.25">
      <c r="A3" s="137" t="str">
        <f>Matrix!B21</f>
        <v>nicht relevant</v>
      </c>
      <c r="B3" s="137">
        <f>Matrix!C21</f>
        <v>2014</v>
      </c>
      <c r="C3" s="160" t="str">
        <f>IF(Matrix!D21="","",Matrix!D21)</f>
        <v/>
      </c>
      <c r="D3" s="160" t="str">
        <f>IF(Matrix!F21="","",Matrix!F21)</f>
        <v/>
      </c>
      <c r="E3" s="250" t="str">
        <f>IF(Matrix!G21="","",Matrix!G21*100)</f>
        <v/>
      </c>
      <c r="F3" s="160" t="str">
        <f>IF(Matrix!I21="","",Matrix!I21)</f>
        <v/>
      </c>
      <c r="G3" s="250" t="str">
        <f>IF(Matrix!J21="","",Matrix!J21*100)</f>
        <v/>
      </c>
      <c r="H3" s="160" t="str">
        <f>IF(Matrix!L21="","",Matrix!L21)</f>
        <v/>
      </c>
      <c r="I3" s="250" t="str">
        <f>IF(Matrix!M21="","",Matrix!M21*100)</f>
        <v/>
      </c>
    </row>
    <row r="4" spans="1:9" x14ac:dyDescent="0.25">
      <c r="A4" s="137" t="str">
        <f>Matrix!B22</f>
        <v>nicht relevant</v>
      </c>
      <c r="B4" s="137">
        <f>Matrix!C22</f>
        <v>2015</v>
      </c>
      <c r="C4" s="160" t="str">
        <f>IF(Matrix!D22="","",Matrix!D22)</f>
        <v/>
      </c>
      <c r="D4" s="160" t="str">
        <f>IF(Matrix!F22="","",Matrix!F22)</f>
        <v/>
      </c>
      <c r="E4" s="250" t="str">
        <f>IF(Matrix!G22="","",Matrix!G22*100)</f>
        <v/>
      </c>
      <c r="F4" s="160" t="str">
        <f>IF(Matrix!I22="","",Matrix!I22)</f>
        <v/>
      </c>
      <c r="G4" s="250" t="str">
        <f>IF(Matrix!J22="","",Matrix!J22*100)</f>
        <v/>
      </c>
      <c r="H4" s="160" t="str">
        <f>IF(Matrix!L22="","",Matrix!L22)</f>
        <v/>
      </c>
      <c r="I4" s="250" t="str">
        <f>IF(Matrix!M22="","",Matrix!M22*100)</f>
        <v/>
      </c>
    </row>
    <row r="5" spans="1:9" x14ac:dyDescent="0.25">
      <c r="A5" s="137" t="str">
        <f>Matrix!B23</f>
        <v>nicht relevant</v>
      </c>
      <c r="B5" s="137">
        <f>Matrix!C23</f>
        <v>2016</v>
      </c>
      <c r="C5" s="160" t="str">
        <f>IF(Matrix!D23="","",Matrix!D23)</f>
        <v/>
      </c>
      <c r="D5" s="160" t="str">
        <f>IF(Matrix!F23="","",Matrix!F23)</f>
        <v/>
      </c>
      <c r="E5" s="250" t="str">
        <f>IF(Matrix!G23="","",Matrix!G23*100)</f>
        <v/>
      </c>
      <c r="F5" s="160" t="str">
        <f>IF(Matrix!I23="","",Matrix!I23)</f>
        <v/>
      </c>
      <c r="G5" s="250" t="str">
        <f>IF(Matrix!J23="","",Matrix!J23*100)</f>
        <v/>
      </c>
      <c r="H5" s="160" t="str">
        <f>IF(Matrix!L23="","",Matrix!L23)</f>
        <v/>
      </c>
      <c r="I5" s="250" t="str">
        <f>IF(Matrix!M23="","",Matrix!M23*100)</f>
        <v/>
      </c>
    </row>
    <row r="6" spans="1:9" x14ac:dyDescent="0.25">
      <c r="A6" s="137" t="str">
        <f>Matrix!B24</f>
        <v>nicht relevant</v>
      </c>
      <c r="B6" s="137">
        <f>Matrix!C24</f>
        <v>2017</v>
      </c>
      <c r="C6" s="160" t="str">
        <f>IF(Matrix!D24="","",Matrix!D24)</f>
        <v/>
      </c>
      <c r="D6" s="160" t="str">
        <f>IF(Matrix!F24="","",Matrix!F24)</f>
        <v/>
      </c>
      <c r="E6" s="250" t="str">
        <f>IF(Matrix!G24="","",Matrix!G24*100)</f>
        <v/>
      </c>
      <c r="F6" s="160" t="str">
        <f>IF(Matrix!I24="","",Matrix!I24)</f>
        <v/>
      </c>
      <c r="G6" s="250" t="str">
        <f>IF(Matrix!J24="","",Matrix!J24*100)</f>
        <v/>
      </c>
      <c r="H6" s="160" t="str">
        <f>IF(Matrix!L24="","",Matrix!L24)</f>
        <v/>
      </c>
      <c r="I6" s="250" t="str">
        <f>IF(Matrix!M24="","",Matrix!M24*100)</f>
        <v/>
      </c>
    </row>
    <row r="9" spans="1:9" x14ac:dyDescent="0.25">
      <c r="A9" s="138"/>
    </row>
    <row r="10" spans="1:9" ht="45.75" customHeight="1" x14ac:dyDescent="0.25"/>
    <row r="12" spans="1:9" ht="35.1" customHeight="1" x14ac:dyDescent="0.25"/>
    <row r="13" spans="1:9" ht="35.1" customHeight="1" x14ac:dyDescent="0.25"/>
    <row r="14" spans="1:9" ht="35.1" customHeight="1" x14ac:dyDescent="0.25"/>
    <row r="15" spans="1:9" ht="35.1" customHeight="1" x14ac:dyDescent="0.25">
      <c r="I15" t="s">
        <v>70</v>
      </c>
    </row>
    <row r="16" spans="1:9" ht="35.1" customHeight="1" x14ac:dyDescent="0.25"/>
    <row r="17" ht="35.1" customHeight="1" x14ac:dyDescent="0.25"/>
    <row r="18" ht="35.1" customHeight="1" x14ac:dyDescent="0.25"/>
    <row r="19" ht="35.1" customHeight="1" x14ac:dyDescent="0.25"/>
    <row r="20" ht="35.1" customHeight="1" x14ac:dyDescent="0.25"/>
    <row r="21" ht="35.1" customHeight="1" x14ac:dyDescent="0.25"/>
    <row r="22" ht="35.1" customHeight="1" x14ac:dyDescent="0.25"/>
    <row r="23" ht="35.1" customHeight="1" x14ac:dyDescent="0.25"/>
  </sheetData>
  <customSheetViews>
    <customSheetView guid="{AD479C9E-06F7-4C03-8179-295428B49475}">
      <selection activeCell="H28" sqref="H28"/>
      <pageMargins left="0.7" right="0.7" top="0.78740157499999996" bottom="0.78740157499999996" header="0.3" footer="0.3"/>
    </customSheetView>
    <customSheetView guid="{DAA0C1F4-4D8F-4BD8-91F9-40281B589772}" state="hidden">
      <selection activeCell="D30" sqref="D30"/>
      <pageMargins left="0.7" right="0.7" top="0.78740157499999996" bottom="0.78740157499999996" header="0.3" footer="0.3"/>
    </customSheetView>
  </customSheetViews>
  <phoneticPr fontId="39" type="noConversion"/>
  <conditionalFormatting sqref="B2:B6">
    <cfRule type="expression" dxfId="34" priority="47" stopIfTrue="1">
      <formula>OR($B2="nicht relevant",$B2="EZ")</formula>
    </cfRule>
  </conditionalFormatting>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9"/>
  <dimension ref="A1:P48"/>
  <sheetViews>
    <sheetView showGridLines="0" zoomScaleNormal="100" workbookViewId="0">
      <selection activeCell="H16" sqref="H16"/>
    </sheetView>
  </sheetViews>
  <sheetFormatPr defaultColWidth="11.42578125" defaultRowHeight="12" x14ac:dyDescent="0.25"/>
  <cols>
    <col min="1" max="1" width="13.140625" style="194" customWidth="1"/>
    <col min="2" max="2" width="9.140625" style="194" customWidth="1"/>
    <col min="3" max="3" width="3" style="194" customWidth="1"/>
    <col min="4" max="4" width="28.85546875" style="194" customWidth="1"/>
    <col min="5" max="5" width="15.28515625" style="194" customWidth="1"/>
    <col min="6" max="6" width="7.85546875" style="194" customWidth="1"/>
    <col min="7" max="7" width="8.28515625" style="194" customWidth="1"/>
    <col min="8" max="8" width="37" style="194" customWidth="1"/>
    <col min="9" max="9" width="55.7109375" style="194" customWidth="1"/>
    <col min="10" max="10" width="5.5703125" style="194" customWidth="1"/>
    <col min="11" max="11" width="25.5703125" style="194" customWidth="1"/>
    <col min="12" max="12" width="34.7109375" style="194" customWidth="1"/>
    <col min="13" max="13" width="36.28515625" style="194" customWidth="1"/>
    <col min="14" max="14" width="41.42578125" style="194" customWidth="1"/>
    <col min="15" max="15" width="65" style="194" customWidth="1"/>
    <col min="16" max="16" width="41.7109375" style="194" customWidth="1"/>
    <col min="17" max="16384" width="11.42578125" style="194"/>
  </cols>
  <sheetData>
    <row r="1" spans="1:16" s="8" customFormat="1" ht="24.75" thickBot="1" x14ac:dyDescent="0.3">
      <c r="A1" s="194"/>
      <c r="B1" s="194"/>
      <c r="C1" s="194"/>
      <c r="D1" s="224"/>
      <c r="E1" s="194"/>
      <c r="F1" s="194"/>
      <c r="G1" s="194"/>
      <c r="L1" s="218" t="s">
        <v>109</v>
      </c>
      <c r="M1" s="217" t="s">
        <v>321</v>
      </c>
      <c r="N1" s="217" t="s">
        <v>320</v>
      </c>
      <c r="O1" s="218" t="s">
        <v>56</v>
      </c>
      <c r="P1" s="218" t="s">
        <v>298</v>
      </c>
    </row>
    <row r="2" spans="1:16" s="8" customFormat="1" ht="23.1" customHeight="1" x14ac:dyDescent="0.25">
      <c r="A2" s="206" t="str">
        <f>IF(Berechnung2!$B$31&gt;5,IF(Berechnung2!$B$31=6,"EZ",IF(Berechnung2!$B$31&gt;6,"relevant","?")),"nicht relevant")</f>
        <v>nicht relevant</v>
      </c>
      <c r="B2" s="52" t="str">
        <f>CONCATENATE("2013;"," ")</f>
        <v xml:space="preserve">2013; </v>
      </c>
      <c r="C2" s="42"/>
      <c r="D2" s="185" t="s">
        <v>83</v>
      </c>
      <c r="E2" s="274" t="str">
        <f>IF(H2="","","2013")</f>
        <v/>
      </c>
      <c r="F2" s="207" t="str">
        <f>IF(H2="","","a")</f>
        <v/>
      </c>
      <c r="G2" s="291" t="str">
        <f>IF(I2="","","1")</f>
        <v/>
      </c>
      <c r="H2" s="293" t="str">
        <f>IF(A2="relevant",IF(COUNTIF(Matrix!D20:M20,"")&gt;3,Berechnung2!$L$38,""),"")</f>
        <v/>
      </c>
      <c r="I2" s="200" t="str">
        <f>IF(H2="","",VLOOKUP(F2,Berechnung2!$I$15:$J$25,2,FALSE))</f>
        <v/>
      </c>
      <c r="J2" s="295" t="str">
        <f>IF(H2&lt;&gt;"",1,"")</f>
        <v/>
      </c>
      <c r="L2" s="206" t="str">
        <f t="array" aca="1" ref="L2" ca="1">IF(ROW()-ROW($F$2:$F$43)+1&gt;ROWS($E$2:$E$43)-COUNTBLANK($E$2:$E$43),"",INDIRECT(ADDRESS(SMALL((IF($E$2:$E$43&lt;&gt;"",ROW($E$2:$E$43),ROW()+ROWS($E$2:$E$43))),ROW()-ROW($F$2:$F$43)+1),COLUMN($E$2:$E$43),4)))</f>
        <v/>
      </c>
      <c r="M2" s="206" t="str">
        <f t="array" aca="1" ref="M2" ca="1">IF(ROW()-ROW($G$2:$G$43)+1&gt;ROWS($F$2:$F$43)-COUNTBLANK($F$2:$F$43),"",INDIRECT(ADDRESS(SMALL((IF($F$2:$F$43&lt;&gt;"",ROW($F$2:$F$43),ROW()+ROWS($F$2:$F$43))),ROW()-ROW($G$2:$G$43)+1),COLUMN($F$2:$F$43),4)))</f>
        <v/>
      </c>
      <c r="N2" s="206" t="str">
        <f t="array" aca="1" ref="N2" ca="1">IF(ROW()-ROW($H$2:$H$43)+1&gt;ROWS($G$2:$G$43)-COUNTBLANK($G$2:$G$43),"",INDIRECT(ADDRESS(SMALL((IF($G$2:$G$43&lt;&gt;"",ROW($G$2:$G$43),ROW()+ROWS($G$2:$G$43))),ROW()-ROW($H$2:$H$43)+1),COLUMN($G$2:$G$43),4)))</f>
        <v/>
      </c>
      <c r="O2" s="206" t="str">
        <f t="array" aca="1" ref="O2" ca="1">IF(ROW()-ROW($I$2:$I$43)+1&gt;ROWS($H$2:$H$43)-COUNTBLANK($H$2:$H$43),"",INDIRECT(ADDRESS(SMALL((IF($H$2:$H$43&lt;&gt;"",ROW($H$2:$H$43),ROW()+ROWS($H$2:$H$43))),ROW()-ROW($I$2:$I$43)+1),COLUMN($H$2:$H$43),4)))</f>
        <v/>
      </c>
      <c r="P2" s="206" t="str">
        <f t="array" aca="1" ref="P2" ca="1">IF(ROW()-ROW($J$2:$J$43)+1&gt;ROWS($I$2:$I$43)-COUNTBLANK($I$2:$I$43),"",INDIRECT(ADDRESS(SMALL((IF($I$2:$I$43&lt;&gt;"",ROW($I$2:$I$43),ROW()+ROWS($I$2:$I$43))),ROW()-ROW($J$2:$J$43)+1),COLUMN($I$2:$I$43),4)))</f>
        <v/>
      </c>
    </row>
    <row r="3" spans="1:16" s="8" customFormat="1" ht="23.1" customHeight="1" x14ac:dyDescent="0.25">
      <c r="A3" s="206" t="str">
        <f>IF(Berechnung2!$B$31&gt;4,IF(Berechnung2!$B$31=5,"EZ",IF(Berechnung2!$B$31&gt;5,"relevant","?")),"nicht relevant")</f>
        <v>nicht relevant</v>
      </c>
      <c r="B3" s="52" t="str">
        <f>CONCATENATE("2014;"," ")</f>
        <v xml:space="preserve">2014; </v>
      </c>
      <c r="C3" s="42"/>
      <c r="D3" s="931" t="s">
        <v>308</v>
      </c>
      <c r="E3" s="275" t="str">
        <f>IF(H3="","","2014")</f>
        <v/>
      </c>
      <c r="F3" s="52" t="str">
        <f>IF(H3="","","a")</f>
        <v/>
      </c>
      <c r="G3" s="292" t="str">
        <f t="shared" ref="G3:G21" si="0">IF(I3="","","1")</f>
        <v/>
      </c>
      <c r="H3" s="294" t="str">
        <f>IF(A3="relevant",IF(COUNTIF(Matrix!D21:M21,"")&gt;3,Berechnung2!$L$38,""),"")</f>
        <v/>
      </c>
      <c r="I3" s="201" t="str">
        <f>IF(H3="","",VLOOKUP(F3,Berechnung2!$I$15:$J$25,2,FALSE))</f>
        <v/>
      </c>
      <c r="J3" s="296" t="str">
        <f t="shared" ref="J3:J43" si="1">IF(H3&lt;&gt;"",1,"")</f>
        <v/>
      </c>
      <c r="L3" s="206" t="str">
        <f t="array" aca="1" ref="L3" ca="1">IF(ROW()-ROW($F$2:$F$43)+1&gt;ROWS($E$2:$E$43)-COUNTBLANK($E$2:$E$43),"",INDIRECT(ADDRESS(SMALL((IF($E$2:$E$43&lt;&gt;"",ROW($E$2:$E$43),ROW()+ROWS($E$2:$E$43))),ROW()-ROW($F$2:$F$43)+1),COLUMN($E$2:$E$43),4)))</f>
        <v/>
      </c>
      <c r="M3" s="206" t="str">
        <f t="array" aca="1" ref="M3" ca="1">IF(ROW()-ROW($G$2:$G$43)+1&gt;ROWS($F$2:$F$43)-COUNTBLANK($F$2:$F$43),"",INDIRECT(ADDRESS(SMALL((IF($F$2:$F$43&lt;&gt;"",ROW($F$2:$F$43),ROW()+ROWS($F$2:$F$43))),ROW()-ROW($G$2:$G$43)+1),COLUMN($F$2:$F$43),4)))</f>
        <v/>
      </c>
      <c r="N3" s="206" t="str">
        <f t="array" aca="1" ref="N3" ca="1">IF(ROW()-ROW($H$2:$H$43)+1&gt;ROWS($G$2:$G$43)-COUNTBLANK($G$2:$G$43),"",INDIRECT(ADDRESS(SMALL((IF($G$2:$G$43&lt;&gt;"",ROW($G$2:$G$43),ROW()+ROWS($G$2:$G$43))),ROW()-ROW($H$2:$H$43)+1),COLUMN($G$2:$G$43),4)))</f>
        <v/>
      </c>
      <c r="O3" s="206" t="str">
        <f t="array" aca="1" ref="O3" ca="1">IF(ROW()-ROW($I$2:$I$43)+1&gt;ROWS($H$2:$H$43)-COUNTBLANK($H$2:$H$43),"",INDIRECT(ADDRESS(SMALL((IF($H$2:$H$43&lt;&gt;"",ROW($H$2:$H$43),ROW()+ROWS($H$2:$H$43))),ROW()-ROW($I$2:$I$43)+1),COLUMN($H$2:$H$43),4)))</f>
        <v/>
      </c>
      <c r="P3" s="206" t="str">
        <f t="array" aca="1" ref="P3" ca="1">IF(ROW()-ROW($J$2:$J$43)+1&gt;ROWS($I$2:$I$43)-COUNTBLANK($I$2:$I$43),"",INDIRECT(ADDRESS(SMALL((IF($I$2:$I$43&lt;&gt;"",ROW($I$2:$I$43),ROW()+ROWS($I$2:$I$43))),ROW()-ROW($J$2:$J$43)+1),COLUMN($I$2:$I$43),4)))</f>
        <v/>
      </c>
    </row>
    <row r="4" spans="1:16" s="8" customFormat="1" ht="23.1" customHeight="1" x14ac:dyDescent="0.25">
      <c r="A4" s="206" t="str">
        <f>IF(Berechnung2!$B$31&gt;3,IF(Berechnung2!$B$31=4,"EZ",IF(Berechnung2!$B$31&gt;4,"relevant","?")),"nicht relevant")</f>
        <v>nicht relevant</v>
      </c>
      <c r="B4" s="52" t="str">
        <f>CONCATENATE("2015;"," ")</f>
        <v xml:space="preserve">2015; </v>
      </c>
      <c r="C4" s="42"/>
      <c r="D4" s="931"/>
      <c r="E4" s="275" t="str">
        <f>IF(H4="","","2015")</f>
        <v/>
      </c>
      <c r="F4" s="52" t="str">
        <f>IF(H4="","","a")</f>
        <v/>
      </c>
      <c r="G4" s="292" t="str">
        <f t="shared" si="0"/>
        <v/>
      </c>
      <c r="H4" s="294" t="str">
        <f>IF(A4="relevant",IF(COUNTIF(Matrix!D22:M22,"")&gt;3,Berechnung2!$L$38,""),"")</f>
        <v/>
      </c>
      <c r="I4" s="201" t="str">
        <f>IF(H4="","",VLOOKUP(F4,Berechnung2!$I$15:$J$25,2,FALSE))</f>
        <v/>
      </c>
      <c r="J4" s="296" t="str">
        <f t="shared" si="1"/>
        <v/>
      </c>
      <c r="L4" s="206" t="str">
        <f t="array" aca="1" ref="L4" ca="1">IF(ROW()-ROW($F$2:$F$43)+1&gt;ROWS($E$2:$E$43)-COUNTBLANK($E$2:$E$43),"",INDIRECT(ADDRESS(SMALL((IF($E$2:$E$43&lt;&gt;"",ROW($E$2:$E$43),ROW()+ROWS($E$2:$E$43))),ROW()-ROW($F$2:$F$43)+1),COLUMN($E$2:$E$43),4)))</f>
        <v/>
      </c>
      <c r="M4" s="206" t="str">
        <f t="array" aca="1" ref="M4" ca="1">IF(ROW()-ROW($G$2:$G$43)+1&gt;ROWS($F$2:$F$43)-COUNTBLANK($F$2:$F$43),"",INDIRECT(ADDRESS(SMALL((IF($F$2:$F$43&lt;&gt;"",ROW($F$2:$F$43),ROW()+ROWS($F$2:$F$43))),ROW()-ROW($G$2:$G$43)+1),COLUMN($F$2:$F$43),4)))</f>
        <v/>
      </c>
      <c r="N4" s="206" t="str">
        <f t="array" aca="1" ref="N4" ca="1">IF(ROW()-ROW($H$2:$H$43)+1&gt;ROWS($G$2:$G$43)-COUNTBLANK($G$2:$G$43),"",INDIRECT(ADDRESS(SMALL((IF($G$2:$G$43&lt;&gt;"",ROW($G$2:$G$43),ROW()+ROWS($G$2:$G$43))),ROW()-ROW($H$2:$H$43)+1),COLUMN($G$2:$G$43),4)))</f>
        <v/>
      </c>
      <c r="O4" s="206" t="str">
        <f t="array" aca="1" ref="O4" ca="1">IF(ROW()-ROW($I$2:$I$43)+1&gt;ROWS($H$2:$H$43)-COUNTBLANK($H$2:$H$43),"",INDIRECT(ADDRESS(SMALL((IF($H$2:$H$43&lt;&gt;"",ROW($H$2:$H$43),ROW()+ROWS($H$2:$H$43))),ROW()-ROW($I$2:$I$43)+1),COLUMN($H$2:$H$43),4)))</f>
        <v/>
      </c>
      <c r="P4" s="206" t="str">
        <f t="array" aca="1" ref="P4" ca="1">IF(ROW()-ROW($J$2:$J$43)+1&gt;ROWS($I$2:$I$43)-COUNTBLANK($I$2:$I$43),"",INDIRECT(ADDRESS(SMALL((IF($I$2:$I$43&lt;&gt;"",ROW($I$2:$I$43),ROW()+ROWS($I$2:$I$43))),ROW()-ROW($J$2:$J$43)+1),COLUMN($I$2:$I$43),4)))</f>
        <v/>
      </c>
    </row>
    <row r="5" spans="1:16" s="8" customFormat="1" ht="23.1" customHeight="1" x14ac:dyDescent="0.25">
      <c r="A5" s="206" t="str">
        <f>IF(Berechnung2!$B$31&gt;2,IF(Berechnung2!$B$31=3,"EZ",IF(Berechnung2!$B$31&gt;3,"relevant","?")),"nicht relevant")</f>
        <v>nicht relevant</v>
      </c>
      <c r="B5" s="52" t="str">
        <f>CONCATENATE("2016;"," ")</f>
        <v xml:space="preserve">2016; </v>
      </c>
      <c r="C5" s="42"/>
      <c r="D5" s="931"/>
      <c r="E5" s="275" t="str">
        <f>IF(H5="","","2016")</f>
        <v/>
      </c>
      <c r="F5" s="52" t="str">
        <f>IF(H5="","","a")</f>
        <v/>
      </c>
      <c r="G5" s="292" t="str">
        <f t="shared" si="0"/>
        <v/>
      </c>
      <c r="H5" s="294" t="str">
        <f>IF(A5="relevant",IF(COUNTIF(Matrix!D23:M23,"")&gt;3,Berechnung2!$L$38,""),"")</f>
        <v/>
      </c>
      <c r="I5" s="201" t="str">
        <f>IF(H5="","",VLOOKUP(F5,Berechnung2!$I$15:$J$25,2,FALSE))</f>
        <v/>
      </c>
      <c r="J5" s="296" t="str">
        <f t="shared" si="1"/>
        <v/>
      </c>
      <c r="L5" s="206" t="str">
        <f t="array" aca="1" ref="L5" ca="1">IF(ROW()-ROW($F$2:$F$43)+1&gt;ROWS($E$2:$E$43)-COUNTBLANK($E$2:$E$43),"",INDIRECT(ADDRESS(SMALL((IF($E$2:$E$43&lt;&gt;"",ROW($E$2:$E$43),ROW()+ROWS($E$2:$E$43))),ROW()-ROW($F$2:$F$43)+1),COLUMN($E$2:$E$43),4)))</f>
        <v/>
      </c>
      <c r="M5" s="206" t="str">
        <f t="array" aca="1" ref="M5" ca="1">IF(ROW()-ROW($G$2:$G$43)+1&gt;ROWS($F$2:$F$43)-COUNTBLANK($F$2:$F$43),"",INDIRECT(ADDRESS(SMALL((IF($F$2:$F$43&lt;&gt;"",ROW($F$2:$F$43),ROW()+ROWS($F$2:$F$43))),ROW()-ROW($G$2:$G$43)+1),COLUMN($F$2:$F$43),4)))</f>
        <v/>
      </c>
      <c r="N5" s="206" t="str">
        <f t="array" aca="1" ref="N5" ca="1">IF(ROW()-ROW($H$2:$H$43)+1&gt;ROWS($G$2:$G$43)-COUNTBLANK($G$2:$G$43),"",INDIRECT(ADDRESS(SMALL((IF($G$2:$G$43&lt;&gt;"",ROW($G$2:$G$43),ROW()+ROWS($G$2:$G$43))),ROW()-ROW($H$2:$H$43)+1),COLUMN($G$2:$G$43),4)))</f>
        <v/>
      </c>
      <c r="O5" s="206" t="str">
        <f t="array" aca="1" ref="O5" ca="1">IF(ROW()-ROW($I$2:$I$43)+1&gt;ROWS($H$2:$H$43)-COUNTBLANK($H$2:$H$43),"",INDIRECT(ADDRESS(SMALL((IF($H$2:$H$43&lt;&gt;"",ROW($H$2:$H$43),ROW()+ROWS($H$2:$H$43))),ROW()-ROW($I$2:$I$43)+1),COLUMN($H$2:$H$43),4)))</f>
        <v/>
      </c>
      <c r="P5" s="206" t="str">
        <f t="array" aca="1" ref="P5" ca="1">IF(ROW()-ROW($J$2:$J$43)+1&gt;ROWS($I$2:$I$43)-COUNTBLANK($I$2:$I$43),"",INDIRECT(ADDRESS(SMALL((IF($I$2:$I$43&lt;&gt;"",ROW($I$2:$I$43),ROW()+ROWS($I$2:$I$43))),ROW()-ROW($J$2:$J$43)+1),COLUMN($I$2:$I$43),4)))</f>
        <v/>
      </c>
    </row>
    <row r="6" spans="1:16" s="8" customFormat="1" ht="23.1" customHeight="1" thickBot="1" x14ac:dyDescent="0.3">
      <c r="A6" s="206" t="str">
        <f>IF(Berechnung2!$B$31&gt;1,IF(Berechnung2!$B$31=2,"EZ",IF(Berechnung2!$B$31&gt;2,"relevant","?")),"nicht relevant")</f>
        <v>nicht relevant</v>
      </c>
      <c r="B6" s="52" t="str">
        <f>CONCATENATE("2017;"," ")</f>
        <v xml:space="preserve">2017; </v>
      </c>
      <c r="C6" s="42"/>
      <c r="D6" s="188" t="s">
        <v>322</v>
      </c>
      <c r="E6" s="305" t="str">
        <f>IF(H6="","","2017")</f>
        <v/>
      </c>
      <c r="F6" s="306" t="str">
        <f>IF(H6="","","a")</f>
        <v/>
      </c>
      <c r="G6" s="307" t="str">
        <f t="shared" si="0"/>
        <v/>
      </c>
      <c r="H6" s="308" t="str">
        <f>IF(A6="relevant",IF(COUNTIF(Matrix!D24:M24,"")&gt;3,Berechnung2!$L$38,""),"")</f>
        <v/>
      </c>
      <c r="I6" s="309" t="str">
        <f>IF(H6="","",VLOOKUP(F6,Berechnung2!$I$15:$J$25,2,FALSE))</f>
        <v/>
      </c>
      <c r="J6" s="310" t="str">
        <f t="shared" si="1"/>
        <v/>
      </c>
      <c r="L6" s="206" t="str">
        <f t="array" aca="1" ref="L6" ca="1">IF(ROW()-ROW($F$2:$F$43)+1&gt;ROWS($E$2:$E$43)-COUNTBLANK($E$2:$E$43),"",INDIRECT(ADDRESS(SMALL((IF($E$2:$E$43&lt;&gt;"",ROW($E$2:$E$43),ROW()+ROWS($E$2:$E$43))),ROW()-ROW($F$2:$F$43)+1),COLUMN($E$2:$E$43),4)))</f>
        <v/>
      </c>
      <c r="M6" s="206" t="str">
        <f t="array" aca="1" ref="M6" ca="1">IF(ROW()-ROW($G$2:$G$43)+1&gt;ROWS($F$2:$F$43)-COUNTBLANK($F$2:$F$43),"",INDIRECT(ADDRESS(SMALL((IF($F$2:$F$43&lt;&gt;"",ROW($F$2:$F$43),ROW()+ROWS($F$2:$F$43))),ROW()-ROW($G$2:$G$43)+1),COLUMN($F$2:$F$43),4)))</f>
        <v/>
      </c>
      <c r="N6" s="206" t="str">
        <f t="array" aca="1" ref="N6" ca="1">IF(ROW()-ROW($H$2:$H$43)+1&gt;ROWS($G$2:$G$43)-COUNTBLANK($G$2:$G$43),"",INDIRECT(ADDRESS(SMALL((IF($G$2:$G$43&lt;&gt;"",ROW($G$2:$G$43),ROW()+ROWS($G$2:$G$43))),ROW()-ROW($H$2:$H$43)+1),COLUMN($G$2:$G$43),4)))</f>
        <v/>
      </c>
      <c r="O6" s="206" t="str">
        <f t="array" aca="1" ref="O6" ca="1">IF(ROW()-ROW($I$2:$I$43)+1&gt;ROWS($H$2:$H$43)-COUNTBLANK($H$2:$H$43),"",INDIRECT(ADDRESS(SMALL((IF($H$2:$H$43&lt;&gt;"",ROW($H$2:$H$43),ROW()+ROWS($H$2:$H$43))),ROW()-ROW($I$2:$I$43)+1),COLUMN($H$2:$H$43),4)))</f>
        <v/>
      </c>
      <c r="P6" s="206" t="str">
        <f t="array" aca="1" ref="P6" ca="1">IF(ROW()-ROW($J$2:$J$43)+1&gt;ROWS($I$2:$I$43)-COUNTBLANK($I$2:$I$43),"",INDIRECT(ADDRESS(SMALL((IF($I$2:$I$43&lt;&gt;"",ROW($I$2:$I$43),ROW()+ROWS($I$2:$I$43))),ROW()-ROW($J$2:$J$43)+1),COLUMN($I$2:$I$43),4)))</f>
        <v/>
      </c>
    </row>
    <row r="7" spans="1:16" s="8" customFormat="1" ht="30.75" customHeight="1" x14ac:dyDescent="0.25">
      <c r="D7" s="290" t="s">
        <v>82</v>
      </c>
      <c r="E7" s="274" t="str">
        <f>IF(H7="","","2013")</f>
        <v/>
      </c>
      <c r="F7" s="207" t="str">
        <f>IF(H7="","","b")</f>
        <v/>
      </c>
      <c r="G7" s="207" t="str">
        <f t="shared" si="0"/>
        <v/>
      </c>
      <c r="H7" s="196" t="str">
        <f>IF(A2="relevant",IF(Matrix!F20="","",IF(Matrix!F20&gt;Matrix!D20,Berechnung2!$L$43,"")),"")</f>
        <v/>
      </c>
      <c r="I7" s="200" t="str">
        <f>IF(H7="","",VLOOKUP(F7,Berechnung2!$I$15:$J$25,2,FALSE))</f>
        <v/>
      </c>
      <c r="J7" s="220" t="str">
        <f t="shared" si="1"/>
        <v/>
      </c>
      <c r="K7" s="193"/>
      <c r="L7" s="206" t="str">
        <f t="array" aca="1" ref="L7" ca="1">IF(ROW()-ROW($F$2:$F$43)+1&gt;ROWS($E$2:$E$43)-COUNTBLANK($E$2:$E$43),"",INDIRECT(ADDRESS(SMALL((IF($E$2:$E$43&lt;&gt;"",ROW($E$2:$E$43),ROW()+ROWS($E$2:$E$43))),ROW()-ROW($F$2:$F$43)+1),COLUMN($E$2:$E$43),4)))</f>
        <v/>
      </c>
      <c r="M7" s="206" t="str">
        <f t="array" aca="1" ref="M7" ca="1">IF(ROW()-ROW($G$2:$G$43)+1&gt;ROWS($F$2:$F$43)-COUNTBLANK($F$2:$F$43),"",INDIRECT(ADDRESS(SMALL((IF($F$2:$F$43&lt;&gt;"",ROW($F$2:$F$43),ROW()+ROWS($F$2:$F$43))),ROW()-ROW($G$2:$G$43)+1),COLUMN($F$2:$F$43),4)))</f>
        <v/>
      </c>
      <c r="N7" s="206" t="str">
        <f t="array" aca="1" ref="N7" ca="1">IF(ROW()-ROW($H$2:$H$43)+1&gt;ROWS($G$2:$G$43)-COUNTBLANK($G$2:$G$43),"",INDIRECT(ADDRESS(SMALL((IF($G$2:$G$43&lt;&gt;"",ROW($G$2:$G$43),ROW()+ROWS($G$2:$G$43))),ROW()-ROW($H$2:$H$43)+1),COLUMN($G$2:$G$43),4)))</f>
        <v/>
      </c>
      <c r="O7" s="206" t="str">
        <f t="array" aca="1" ref="O7" ca="1">IF(ROW()-ROW($I$2:$I$43)+1&gt;ROWS($H$2:$H$43)-COUNTBLANK($H$2:$H$43),"",INDIRECT(ADDRESS(SMALL((IF($H$2:$H$43&lt;&gt;"",ROW($H$2:$H$43),ROW()+ROWS($H$2:$H$43))),ROW()-ROW($I$2:$I$43)+1),COLUMN($H$2:$H$43),4)))</f>
        <v/>
      </c>
      <c r="P7" s="206" t="str">
        <f t="array" aca="1" ref="P7" ca="1">IF(ROW()-ROW($J$2:$J$43)+1&gt;ROWS($I$2:$I$43)-COUNTBLANK($I$2:$I$43),"",INDIRECT(ADDRESS(SMALL((IF($I$2:$I$43&lt;&gt;"",ROW($I$2:$I$43),ROW()+ROWS($I$2:$I$43))),ROW()-ROW($J$2:$J$43)+1),COLUMN($I$2:$I$43),4)))</f>
        <v/>
      </c>
    </row>
    <row r="8" spans="1:16" s="8" customFormat="1" ht="23.1" customHeight="1" x14ac:dyDescent="0.25">
      <c r="D8" s="931" t="s">
        <v>270</v>
      </c>
      <c r="E8" s="275" t="str">
        <f>IF(H8="","","2014")</f>
        <v/>
      </c>
      <c r="F8" s="52" t="str">
        <f>IF(H8="","","b")</f>
        <v/>
      </c>
      <c r="G8" s="52" t="str">
        <f t="shared" si="0"/>
        <v/>
      </c>
      <c r="H8" s="187" t="str">
        <f>IF(A3="relevant",IF(Matrix!F21="","",IF(Matrix!F21&gt;Matrix!D21,Berechnung2!$L$43,"")),"")</f>
        <v/>
      </c>
      <c r="I8" s="201" t="str">
        <f>IF(H8="","",VLOOKUP(F8,Berechnung2!$I$15:$J$25,2,FALSE))</f>
        <v/>
      </c>
      <c r="J8" s="221" t="str">
        <f t="shared" si="1"/>
        <v/>
      </c>
      <c r="K8" s="193"/>
      <c r="L8" s="206" t="str">
        <f t="array" aca="1" ref="L8" ca="1">IF(ROW()-ROW($F$2:$F$43)+1&gt;ROWS($E$2:$E$43)-COUNTBLANK($E$2:$E$43),"",INDIRECT(ADDRESS(SMALL((IF($E$2:$E$43&lt;&gt;"",ROW($E$2:$E$43),ROW()+ROWS($E$2:$E$43))),ROW()-ROW($F$2:$F$43)+1),COLUMN($E$2:$E$43),4)))</f>
        <v/>
      </c>
      <c r="M8" s="206" t="str">
        <f t="array" aca="1" ref="M8" ca="1">IF(ROW()-ROW($G$2:$G$43)+1&gt;ROWS($F$2:$F$43)-COUNTBLANK($F$2:$F$43),"",INDIRECT(ADDRESS(SMALL((IF($F$2:$F$43&lt;&gt;"",ROW($F$2:$F$43),ROW()+ROWS($F$2:$F$43))),ROW()-ROW($G$2:$G$43)+1),COLUMN($F$2:$F$43),4)))</f>
        <v/>
      </c>
      <c r="N8" s="206" t="str">
        <f t="array" aca="1" ref="N8" ca="1">IF(ROW()-ROW($H$2:$H$43)+1&gt;ROWS($G$2:$G$43)-COUNTBLANK($G$2:$G$43),"",INDIRECT(ADDRESS(SMALL((IF($G$2:$G$43&lt;&gt;"",ROW($G$2:$G$43),ROW()+ROWS($G$2:$G$43))),ROW()-ROW($H$2:$H$43)+1),COLUMN($G$2:$G$43),4)))</f>
        <v/>
      </c>
      <c r="O8" s="206" t="str">
        <f t="array" aca="1" ref="O8" ca="1">IF(ROW()-ROW($I$2:$I$43)+1&gt;ROWS($H$2:$H$43)-COUNTBLANK($H$2:$H$43),"",INDIRECT(ADDRESS(SMALL((IF($H$2:$H$43&lt;&gt;"",ROW($H$2:$H$43),ROW()+ROWS($H$2:$H$43))),ROW()-ROW($I$2:$I$43)+1),COLUMN($H$2:$H$43),4)))</f>
        <v/>
      </c>
      <c r="P8" s="206" t="str">
        <f t="array" aca="1" ref="P8" ca="1">IF(ROW()-ROW($J$2:$J$43)+1&gt;ROWS($I$2:$I$43)-COUNTBLANK($I$2:$I$43),"",INDIRECT(ADDRESS(SMALL((IF($I$2:$I$43&lt;&gt;"",ROW($I$2:$I$43),ROW()+ROWS($I$2:$I$43))),ROW()-ROW($J$2:$J$43)+1),COLUMN($I$2:$I$43),4)))</f>
        <v/>
      </c>
    </row>
    <row r="9" spans="1:16" s="8" customFormat="1" ht="23.1" customHeight="1" x14ac:dyDescent="0.25">
      <c r="D9" s="931"/>
      <c r="E9" s="275" t="str">
        <f>IF(H9="","","2015")</f>
        <v/>
      </c>
      <c r="F9" s="52" t="str">
        <f>IF(H9="","","b")</f>
        <v/>
      </c>
      <c r="G9" s="52" t="str">
        <f t="shared" si="0"/>
        <v/>
      </c>
      <c r="H9" s="187" t="str">
        <f>IF(A4="relevant",IF(Matrix!F22="","",IF(Matrix!F22&gt;Matrix!D22,Berechnung2!$L$43,"")),"")</f>
        <v/>
      </c>
      <c r="I9" s="201" t="str">
        <f>IF(H9="","",VLOOKUP(F9,Berechnung2!$I$15:$J$25,2,FALSE))</f>
        <v/>
      </c>
      <c r="J9" s="221" t="str">
        <f t="shared" si="1"/>
        <v/>
      </c>
      <c r="K9" s="193"/>
      <c r="L9" s="206" t="str">
        <f t="array" aca="1" ref="L9" ca="1">IF(ROW()-ROW($F$2:$F$43)+1&gt;ROWS($E$2:$E$43)-COUNTBLANK($E$2:$E$43),"",INDIRECT(ADDRESS(SMALL((IF($E$2:$E$43&lt;&gt;"",ROW($E$2:$E$43),ROW()+ROWS($E$2:$E$43))),ROW()-ROW($F$2:$F$43)+1),COLUMN($E$2:$E$43),4)))</f>
        <v/>
      </c>
      <c r="M9" s="206" t="str">
        <f t="array" aca="1" ref="M9" ca="1">IF(ROW()-ROW($G$2:$G$43)+1&gt;ROWS($F$2:$F$43)-COUNTBLANK($F$2:$F$43),"",INDIRECT(ADDRESS(SMALL((IF($F$2:$F$43&lt;&gt;"",ROW($F$2:$F$43),ROW()+ROWS($F$2:$F$43))),ROW()-ROW($G$2:$G$43)+1),COLUMN($F$2:$F$43),4)))</f>
        <v/>
      </c>
      <c r="N9" s="206" t="str">
        <f t="array" aca="1" ref="N9" ca="1">IF(ROW()-ROW($H$2:$H$43)+1&gt;ROWS($G$2:$G$43)-COUNTBLANK($G$2:$G$43),"",INDIRECT(ADDRESS(SMALL((IF($G$2:$G$43&lt;&gt;"",ROW($G$2:$G$43),ROW()+ROWS($G$2:$G$43))),ROW()-ROW($H$2:$H$43)+1),COLUMN($G$2:$G$43),4)))</f>
        <v/>
      </c>
      <c r="O9" s="206" t="str">
        <f t="array" aca="1" ref="O9" ca="1">IF(ROW()-ROW($I$2:$I$43)+1&gt;ROWS($H$2:$H$43)-COUNTBLANK($H$2:$H$43),"",INDIRECT(ADDRESS(SMALL((IF($H$2:$H$43&lt;&gt;"",ROW($H$2:$H$43),ROW()+ROWS($H$2:$H$43))),ROW()-ROW($I$2:$I$43)+1),COLUMN($H$2:$H$43),4)))</f>
        <v/>
      </c>
      <c r="P9" s="206" t="str">
        <f t="array" aca="1" ref="P9" ca="1">IF(ROW()-ROW($J$2:$J$43)+1&gt;ROWS($I$2:$I$43)-COUNTBLANK($I$2:$I$43),"",INDIRECT(ADDRESS(SMALL((IF($I$2:$I$43&lt;&gt;"",ROW($I$2:$I$43),ROW()+ROWS($I$2:$I$43))),ROW()-ROW($J$2:$J$43)+1),COLUMN($I$2:$I$43),4)))</f>
        <v/>
      </c>
    </row>
    <row r="10" spans="1:16" s="8" customFormat="1" ht="23.1" customHeight="1" x14ac:dyDescent="0.25">
      <c r="D10" s="931"/>
      <c r="E10" s="275" t="str">
        <f>IF(H10="","","2016")</f>
        <v/>
      </c>
      <c r="F10" s="52" t="str">
        <f>IF(H10="","","b")</f>
        <v/>
      </c>
      <c r="G10" s="52" t="str">
        <f t="shared" si="0"/>
        <v/>
      </c>
      <c r="H10" s="187" t="str">
        <f>IF(A5="relevant",IF(Matrix!F23="","",IF(Matrix!F23&gt;Matrix!D23,Berechnung2!$L$43,"")),"")</f>
        <v/>
      </c>
      <c r="I10" s="201" t="str">
        <f>IF(H10="","",VLOOKUP(F10,Berechnung2!$I$15:$J$25,2,FALSE))</f>
        <v/>
      </c>
      <c r="J10" s="221" t="str">
        <f t="shared" si="1"/>
        <v/>
      </c>
      <c r="K10" s="193"/>
      <c r="L10" s="206" t="str">
        <f t="array" aca="1" ref="L10" ca="1">IF(ROW()-ROW($F$2:$F$43)+1&gt;ROWS($E$2:$E$43)-COUNTBLANK($E$2:$E$43),"",INDIRECT(ADDRESS(SMALL((IF($E$2:$E$43&lt;&gt;"",ROW($E$2:$E$43),ROW()+ROWS($E$2:$E$43))),ROW()-ROW($F$2:$F$43)+1),COLUMN($E$2:$E$43),4)))</f>
        <v/>
      </c>
      <c r="M10" s="206" t="str">
        <f t="array" aca="1" ref="M10" ca="1">IF(ROW()-ROW($G$2:$G$43)+1&gt;ROWS($F$2:$F$43)-COUNTBLANK($F$2:$F$43),"",INDIRECT(ADDRESS(SMALL((IF($F$2:$F$43&lt;&gt;"",ROW($F$2:$F$43),ROW()+ROWS($F$2:$F$43))),ROW()-ROW($G$2:$G$43)+1),COLUMN($F$2:$F$43),4)))</f>
        <v/>
      </c>
      <c r="N10" s="206" t="str">
        <f t="array" aca="1" ref="N10" ca="1">IF(ROW()-ROW($H$2:$H$43)+1&gt;ROWS($G$2:$G$43)-COUNTBLANK($G$2:$G$43),"",INDIRECT(ADDRESS(SMALL((IF($G$2:$G$43&lt;&gt;"",ROW($G$2:$G$43),ROW()+ROWS($G$2:$G$43))),ROW()-ROW($H$2:$H$43)+1),COLUMN($G$2:$G$43),4)))</f>
        <v/>
      </c>
      <c r="O10" s="206" t="str">
        <f t="array" aca="1" ref="O10" ca="1">IF(ROW()-ROW($I$2:$I$43)+1&gt;ROWS($H$2:$H$43)-COUNTBLANK($H$2:$H$43),"",INDIRECT(ADDRESS(SMALL((IF($H$2:$H$43&lt;&gt;"",ROW($H$2:$H$43),ROW()+ROWS($H$2:$H$43))),ROW()-ROW($I$2:$I$43)+1),COLUMN($H$2:$H$43),4)))</f>
        <v/>
      </c>
      <c r="P10" s="206" t="str">
        <f t="array" aca="1" ref="P10" ca="1">IF(ROW()-ROW($J$2:$J$43)+1&gt;ROWS($I$2:$I$43)-COUNTBLANK($I$2:$I$43),"",INDIRECT(ADDRESS(SMALL((IF($I$2:$I$43&lt;&gt;"",ROW($I$2:$I$43),ROW()+ROWS($I$2:$I$43))),ROW()-ROW($J$2:$J$43)+1),COLUMN($I$2:$I$43),4)))</f>
        <v/>
      </c>
    </row>
    <row r="11" spans="1:16" s="8" customFormat="1" ht="23.1" customHeight="1" thickBot="1" x14ac:dyDescent="0.3">
      <c r="D11" s="188" t="s">
        <v>323</v>
      </c>
      <c r="E11" s="276" t="str">
        <f>IF(H11="","","2017")</f>
        <v/>
      </c>
      <c r="F11" s="208" t="str">
        <f>IF(H11="","","b")</f>
        <v/>
      </c>
      <c r="G11" s="208" t="str">
        <f t="shared" si="0"/>
        <v/>
      </c>
      <c r="H11" s="198" t="str">
        <f>IF(A6="relevant",IF(Matrix!F24="","",IF(Matrix!F24&gt;Matrix!D24,Berechnung2!$L$43,"")),"")</f>
        <v/>
      </c>
      <c r="I11" s="202" t="str">
        <f>IF(H11="","",VLOOKUP(F11,Berechnung2!$I$15:$J$25,2,FALSE))</f>
        <v/>
      </c>
      <c r="J11" s="222" t="str">
        <f t="shared" si="1"/>
        <v/>
      </c>
      <c r="K11" s="193"/>
      <c r="L11" s="206" t="str">
        <f t="array" aca="1" ref="L11" ca="1">IF(ROW()-ROW($F$2:$F$43)+1&gt;ROWS($E$2:$E$43)-COUNTBLANK($E$2:$E$43),"",INDIRECT(ADDRESS(SMALL((IF($E$2:$E$43&lt;&gt;"",ROW($E$2:$E$43),ROW()+ROWS($E$2:$E$43))),ROW()-ROW($F$2:$F$43)+1),COLUMN($E$2:$E$43),4)))</f>
        <v/>
      </c>
      <c r="M11" s="206" t="str">
        <f t="array" aca="1" ref="M11" ca="1">IF(ROW()-ROW($G$2:$G$43)+1&gt;ROWS($F$2:$F$43)-COUNTBLANK($F$2:$F$43),"",INDIRECT(ADDRESS(SMALL((IF($F$2:$F$43&lt;&gt;"",ROW($F$2:$F$43),ROW()+ROWS($F$2:$F$43))),ROW()-ROW($G$2:$G$43)+1),COLUMN($F$2:$F$43),4)))</f>
        <v/>
      </c>
      <c r="N11" s="206" t="str">
        <f t="array" aca="1" ref="N11" ca="1">IF(ROW()-ROW($H$2:$H$43)+1&gt;ROWS($G$2:$G$43)-COUNTBLANK($G$2:$G$43),"",INDIRECT(ADDRESS(SMALL((IF($G$2:$G$43&lt;&gt;"",ROW($G$2:$G$43),ROW()+ROWS($G$2:$G$43))),ROW()-ROW($H$2:$H$43)+1),COLUMN($G$2:$G$43),4)))</f>
        <v/>
      </c>
      <c r="O11" s="206" t="str">
        <f t="array" aca="1" ref="O11" ca="1">IF(ROW()-ROW($I$2:$I$43)+1&gt;ROWS($H$2:$H$43)-COUNTBLANK($H$2:$H$43),"",INDIRECT(ADDRESS(SMALL((IF($H$2:$H$43&lt;&gt;"",ROW($H$2:$H$43),ROW()+ROWS($H$2:$H$43))),ROW()-ROW($I$2:$I$43)+1),COLUMN($H$2:$H$43),4)))</f>
        <v/>
      </c>
      <c r="P11" s="206" t="str">
        <f t="array" aca="1" ref="P11" ca="1">IF(ROW()-ROW($J$2:$J$43)+1&gt;ROWS($I$2:$I$43)-COUNTBLANK($I$2:$I$43),"",INDIRECT(ADDRESS(SMALL((IF($I$2:$I$43&lt;&gt;"",ROW($I$2:$I$43),ROW()+ROWS($I$2:$I$43))),ROW()-ROW($J$2:$J$43)+1),COLUMN($I$2:$I$43),4)))</f>
        <v/>
      </c>
    </row>
    <row r="12" spans="1:16" s="8" customFormat="1" ht="23.1" customHeight="1" x14ac:dyDescent="0.25">
      <c r="D12" s="185" t="s">
        <v>82</v>
      </c>
      <c r="E12" s="195" t="str">
        <f>IF(H12="","","2013")</f>
        <v/>
      </c>
      <c r="F12" s="207" t="str">
        <f>IF(H12="","","c")</f>
        <v/>
      </c>
      <c r="G12" s="207" t="str">
        <f t="shared" si="0"/>
        <v/>
      </c>
      <c r="H12" s="196" t="str">
        <f>IF(A2="relevant",IF(Matrix!I20="","",IF(Matrix!I20&gt;Matrix!F20,Berechnung2!$L$44,"")),"")</f>
        <v/>
      </c>
      <c r="I12" s="200" t="str">
        <f>IF(H12="","",VLOOKUP(F12,Berechnung2!$I$15:$J$25,2,FALSE))</f>
        <v/>
      </c>
      <c r="J12" s="220" t="str">
        <f t="shared" si="1"/>
        <v/>
      </c>
      <c r="K12" s="193"/>
      <c r="L12" s="206" t="str">
        <f t="array" aca="1" ref="L12" ca="1">IF(ROW()-ROW($F$2:$F$43)+1&gt;ROWS($E$2:$E$43)-COUNTBLANK($E$2:$E$43),"",INDIRECT(ADDRESS(SMALL((IF($E$2:$E$43&lt;&gt;"",ROW($E$2:$E$43),ROW()+ROWS($E$2:$E$43))),ROW()-ROW($F$2:$F$43)+1),COLUMN($E$2:$E$43),4)))</f>
        <v/>
      </c>
      <c r="M12" s="206" t="str">
        <f t="array" aca="1" ref="M12" ca="1">IF(ROW()-ROW($G$2:$G$43)+1&gt;ROWS($F$2:$F$43)-COUNTBLANK($F$2:$F$43),"",INDIRECT(ADDRESS(SMALL((IF($F$2:$F$43&lt;&gt;"",ROW($F$2:$F$43),ROW()+ROWS($F$2:$F$43))),ROW()-ROW($G$2:$G$43)+1),COLUMN($F$2:$F$43),4)))</f>
        <v/>
      </c>
      <c r="N12" s="206" t="str">
        <f t="array" aca="1" ref="N12" ca="1">IF(ROW()-ROW($H$2:$H$43)+1&gt;ROWS($G$2:$G$43)-COUNTBLANK($G$2:$G$43),"",INDIRECT(ADDRESS(SMALL((IF($G$2:$G$43&lt;&gt;"",ROW($G$2:$G$43),ROW()+ROWS($G$2:$G$43))),ROW()-ROW($H$2:$H$43)+1),COLUMN($G$2:$G$43),4)))</f>
        <v/>
      </c>
      <c r="O12" s="206" t="str">
        <f t="array" aca="1" ref="O12" ca="1">IF(ROW()-ROW($I$2:$I$43)+1&gt;ROWS($H$2:$H$43)-COUNTBLANK($H$2:$H$43),"",INDIRECT(ADDRESS(SMALL((IF($H$2:$H$43&lt;&gt;"",ROW($H$2:$H$43),ROW()+ROWS($H$2:$H$43))),ROW()-ROW($I$2:$I$43)+1),COLUMN($H$2:$H$43),4)))</f>
        <v/>
      </c>
      <c r="P12" s="206" t="str">
        <f t="array" aca="1" ref="P12" ca="1">IF(ROW()-ROW($J$2:$J$43)+1&gt;ROWS($I$2:$I$43)-COUNTBLANK($I$2:$I$43),"",INDIRECT(ADDRESS(SMALL((IF($I$2:$I$43&lt;&gt;"",ROW($I$2:$I$43),ROW()+ROWS($I$2:$I$43))),ROW()-ROW($J$2:$J$43)+1),COLUMN($I$2:$I$43),4)))</f>
        <v/>
      </c>
    </row>
    <row r="13" spans="1:16" s="8" customFormat="1" ht="23.1" customHeight="1" x14ac:dyDescent="0.25">
      <c r="A13" s="194"/>
      <c r="B13" s="194"/>
      <c r="D13" s="931" t="s">
        <v>268</v>
      </c>
      <c r="E13" s="186" t="str">
        <f>IF(H13="","","2014")</f>
        <v/>
      </c>
      <c r="F13" s="52" t="str">
        <f>IF(H13="","","c")</f>
        <v/>
      </c>
      <c r="G13" s="52" t="str">
        <f t="shared" si="0"/>
        <v/>
      </c>
      <c r="H13" s="187" t="str">
        <f>IF(A3="relevant",IF(Matrix!I21="","",IF(Matrix!I21&gt;Matrix!F21,Berechnung2!$L$44,"")),"")</f>
        <v/>
      </c>
      <c r="I13" s="201" t="str">
        <f>IF(H13="","",VLOOKUP(F13,Berechnung2!$I$15:$J$25,2,FALSE))</f>
        <v/>
      </c>
      <c r="J13" s="221" t="str">
        <f t="shared" si="1"/>
        <v/>
      </c>
      <c r="K13" s="193"/>
      <c r="L13" s="206" t="str">
        <f t="array" aca="1" ref="L13" ca="1">IF(ROW()-ROW($F$2:$F$43)+1&gt;ROWS($E$2:$E$43)-COUNTBLANK($E$2:$E$43),"",INDIRECT(ADDRESS(SMALL((IF($E$2:$E$43&lt;&gt;"",ROW($E$2:$E$43),ROW()+ROWS($E$2:$E$43))),ROW()-ROW($F$2:$F$43)+1),COLUMN($E$2:$E$43),4)))</f>
        <v/>
      </c>
      <c r="M13" s="206" t="str">
        <f t="array" aca="1" ref="M13" ca="1">IF(ROW()-ROW($G$2:$G$43)+1&gt;ROWS($F$2:$F$43)-COUNTBLANK($F$2:$F$43),"",INDIRECT(ADDRESS(SMALL((IF($F$2:$F$43&lt;&gt;"",ROW($F$2:$F$43),ROW()+ROWS($F$2:$F$43))),ROW()-ROW($G$2:$G$43)+1),COLUMN($F$2:$F$43),4)))</f>
        <v/>
      </c>
      <c r="N13" s="206" t="str">
        <f t="array" aca="1" ref="N13" ca="1">IF(ROW()-ROW($H$2:$H$43)+1&gt;ROWS($G$2:$G$43)-COUNTBLANK($G$2:$G$43),"",INDIRECT(ADDRESS(SMALL((IF($G$2:$G$43&lt;&gt;"",ROW($G$2:$G$43),ROW()+ROWS($G$2:$G$43))),ROW()-ROW($H$2:$H$43)+1),COLUMN($G$2:$G$43),4)))</f>
        <v/>
      </c>
      <c r="O13" s="206" t="str">
        <f t="array" aca="1" ref="O13" ca="1">IF(ROW()-ROW($I$2:$I$43)+1&gt;ROWS($H$2:$H$43)-COUNTBLANK($H$2:$H$43),"",INDIRECT(ADDRESS(SMALL((IF($H$2:$H$43&lt;&gt;"",ROW($H$2:$H$43),ROW()+ROWS($H$2:$H$43))),ROW()-ROW($I$2:$I$43)+1),COLUMN($H$2:$H$43),4)))</f>
        <v/>
      </c>
      <c r="P13" s="206" t="str">
        <f t="array" aca="1" ref="P13" ca="1">IF(ROW()-ROW($J$2:$J$43)+1&gt;ROWS($I$2:$I$43)-COUNTBLANK($I$2:$I$43),"",INDIRECT(ADDRESS(SMALL((IF($I$2:$I$43&lt;&gt;"",ROW($I$2:$I$43),ROW()+ROWS($I$2:$I$43))),ROW()-ROW($J$2:$J$43)+1),COLUMN($I$2:$I$43),4)))</f>
        <v/>
      </c>
    </row>
    <row r="14" spans="1:16" ht="23.1" customHeight="1" x14ac:dyDescent="0.25">
      <c r="D14" s="931"/>
      <c r="E14" s="186" t="str">
        <f>IF(H14="","","2015")</f>
        <v/>
      </c>
      <c r="F14" s="52" t="str">
        <f>IF(H14="","","c")</f>
        <v/>
      </c>
      <c r="G14" s="52" t="str">
        <f t="shared" si="0"/>
        <v/>
      </c>
      <c r="H14" s="187" t="str">
        <f>IF(A4="relevant",IF(Matrix!I22="","",IF(Matrix!I22&gt;Matrix!F22,Berechnung2!$L$44,"")),"")</f>
        <v/>
      </c>
      <c r="I14" s="201" t="str">
        <f>IF(H14="","",VLOOKUP(F14,Berechnung2!$I$15:$J$25,2,FALSE))</f>
        <v/>
      </c>
      <c r="J14" s="221" t="str">
        <f t="shared" si="1"/>
        <v/>
      </c>
      <c r="L14" s="206" t="str">
        <f t="array" aca="1" ref="L14" ca="1">IF(ROW()-ROW($F$2:$F$43)+1&gt;ROWS($E$2:$E$43)-COUNTBLANK($E$2:$E$43),"",INDIRECT(ADDRESS(SMALL((IF($E$2:$E$43&lt;&gt;"",ROW($E$2:$E$43),ROW()+ROWS($E$2:$E$43))),ROW()-ROW($F$2:$F$43)+1),COLUMN($E$2:$E$43),4)))</f>
        <v/>
      </c>
      <c r="M14" s="206" t="str">
        <f t="array" aca="1" ref="M14" ca="1">IF(ROW()-ROW($G$2:$G$43)+1&gt;ROWS($F$2:$F$43)-COUNTBLANK($F$2:$F$43),"",INDIRECT(ADDRESS(SMALL((IF($F$2:$F$43&lt;&gt;"",ROW($F$2:$F$43),ROW()+ROWS($F$2:$F$43))),ROW()-ROW($G$2:$G$43)+1),COLUMN($F$2:$F$43),4)))</f>
        <v/>
      </c>
      <c r="N14" s="206" t="str">
        <f t="array" aca="1" ref="N14" ca="1">IF(ROW()-ROW($H$2:$H$43)+1&gt;ROWS($G$2:$G$43)-COUNTBLANK($G$2:$G$43),"",INDIRECT(ADDRESS(SMALL((IF($G$2:$G$43&lt;&gt;"",ROW($G$2:$G$43),ROW()+ROWS($G$2:$G$43))),ROW()-ROW($H$2:$H$43)+1),COLUMN($G$2:$G$43),4)))</f>
        <v/>
      </c>
      <c r="O14" s="206" t="str">
        <f t="array" aca="1" ref="O14" ca="1">IF(ROW()-ROW($I$2:$I$43)+1&gt;ROWS($H$2:$H$43)-COUNTBLANK($H$2:$H$43),"",INDIRECT(ADDRESS(SMALL((IF($H$2:$H$43&lt;&gt;"",ROW($H$2:$H$43),ROW()+ROWS($H$2:$H$43))),ROW()-ROW($I$2:$I$43)+1),COLUMN($H$2:$H$43),4)))</f>
        <v/>
      </c>
      <c r="P14" s="206" t="str">
        <f t="array" aca="1" ref="P14" ca="1">IF(ROW()-ROW($J$2:$J$43)+1&gt;ROWS($I$2:$I$43)-COUNTBLANK($I$2:$I$43),"",INDIRECT(ADDRESS(SMALL((IF($I$2:$I$43&lt;&gt;"",ROW($I$2:$I$43),ROW()+ROWS($I$2:$I$43))),ROW()-ROW($J$2:$J$43)+1),COLUMN($I$2:$I$43),4)))</f>
        <v/>
      </c>
    </row>
    <row r="15" spans="1:16" ht="23.1" customHeight="1" x14ac:dyDescent="0.25">
      <c r="D15" s="931"/>
      <c r="E15" s="186" t="str">
        <f>IF(H15="","","2016")</f>
        <v/>
      </c>
      <c r="F15" s="52" t="str">
        <f>IF(H15="","","c")</f>
        <v/>
      </c>
      <c r="G15" s="52" t="str">
        <f t="shared" si="0"/>
        <v/>
      </c>
      <c r="H15" s="187" t="str">
        <f>IF(A5="relevant",IF(Matrix!I23="","",IF(Matrix!I23&gt;Matrix!F23,Berechnung2!$L$44,"")),"")</f>
        <v/>
      </c>
      <c r="I15" s="201" t="str">
        <f>IF(H15="","",VLOOKUP(F15,Berechnung2!$I$15:$J$25,2,FALSE))</f>
        <v/>
      </c>
      <c r="J15" s="221" t="str">
        <f t="shared" si="1"/>
        <v/>
      </c>
      <c r="L15" s="206" t="str">
        <f t="array" aca="1" ref="L15" ca="1">IF(ROW()-ROW($F$2:$F$43)+1&gt;ROWS($E$2:$E$43)-COUNTBLANK($E$2:$E$43),"",INDIRECT(ADDRESS(SMALL((IF($E$2:$E$43&lt;&gt;"",ROW($E$2:$E$43),ROW()+ROWS($E$2:$E$43))),ROW()-ROW($F$2:$F$43)+1),COLUMN($E$2:$E$43),4)))</f>
        <v/>
      </c>
      <c r="M15" s="206" t="str">
        <f t="array" aca="1" ref="M15" ca="1">IF(ROW()-ROW($G$2:$G$43)+1&gt;ROWS($F$2:$F$43)-COUNTBLANK($F$2:$F$43),"",INDIRECT(ADDRESS(SMALL((IF($F$2:$F$43&lt;&gt;"",ROW($F$2:$F$43),ROW()+ROWS($F$2:$F$43))),ROW()-ROW($G$2:$G$43)+1),COLUMN($F$2:$F$43),4)))</f>
        <v/>
      </c>
      <c r="N15" s="206" t="str">
        <f t="array" aca="1" ref="N15" ca="1">IF(ROW()-ROW($H$2:$H$43)+1&gt;ROWS($G$2:$G$43)-COUNTBLANK($G$2:$G$43),"",INDIRECT(ADDRESS(SMALL((IF($G$2:$G$43&lt;&gt;"",ROW($G$2:$G$43),ROW()+ROWS($G$2:$G$43))),ROW()-ROW($H$2:$H$43)+1),COLUMN($G$2:$G$43),4)))</f>
        <v/>
      </c>
      <c r="O15" s="206" t="str">
        <f t="array" aca="1" ref="O15" ca="1">IF(ROW()-ROW($I$2:$I$43)+1&gt;ROWS($H$2:$H$43)-COUNTBLANK($H$2:$H$43),"",INDIRECT(ADDRESS(SMALL((IF($H$2:$H$43&lt;&gt;"",ROW($H$2:$H$43),ROW()+ROWS($H$2:$H$43))),ROW()-ROW($I$2:$I$43)+1),COLUMN($H$2:$H$43),4)))</f>
        <v/>
      </c>
      <c r="P15" s="206" t="str">
        <f t="array" aca="1" ref="P15" ca="1">IF(ROW()-ROW($J$2:$J$43)+1&gt;ROWS($I$2:$I$43)-COUNTBLANK($I$2:$I$43),"",INDIRECT(ADDRESS(SMALL((IF($I$2:$I$43&lt;&gt;"",ROW($I$2:$I$43),ROW()+ROWS($I$2:$I$43))),ROW()-ROW($J$2:$J$43)+1),COLUMN($I$2:$I$43),4)))</f>
        <v/>
      </c>
    </row>
    <row r="16" spans="1:16" ht="23.1" customHeight="1" thickBot="1" x14ac:dyDescent="0.3">
      <c r="D16" s="188" t="s">
        <v>324</v>
      </c>
      <c r="E16" s="197" t="str">
        <f>IF(H16="","","2017")</f>
        <v/>
      </c>
      <c r="F16" s="208" t="str">
        <f>IF(H16="","","c")</f>
        <v/>
      </c>
      <c r="G16" s="208" t="str">
        <f t="shared" si="0"/>
        <v/>
      </c>
      <c r="H16" s="198" t="str">
        <f>IF(A6="relevant",IF(Matrix!I24="","",IF(Matrix!I24&gt;Matrix!F24,Berechnung2!$L$44,"")),"")</f>
        <v/>
      </c>
      <c r="I16" s="202" t="str">
        <f>IF(H16="","",VLOOKUP(F16,Berechnung2!$I$15:$J$25,2,FALSE))</f>
        <v/>
      </c>
      <c r="J16" s="222" t="str">
        <f t="shared" si="1"/>
        <v/>
      </c>
      <c r="L16" s="206" t="str">
        <f t="array" aca="1" ref="L16" ca="1">IF(ROW()-ROW($F$2:$F$43)+1&gt;ROWS($E$2:$E$43)-COUNTBLANK($E$2:$E$43),"",INDIRECT(ADDRESS(SMALL((IF($E$2:$E$43&lt;&gt;"",ROW($E$2:$E$43),ROW()+ROWS($E$2:$E$43))),ROW()-ROW($F$2:$F$43)+1),COLUMN($E$2:$E$43),4)))</f>
        <v/>
      </c>
      <c r="M16" s="206" t="str">
        <f t="array" aca="1" ref="M16" ca="1">IF(ROW()-ROW($G$2:$G$43)+1&gt;ROWS($F$2:$F$43)-COUNTBLANK($F$2:$F$43),"",INDIRECT(ADDRESS(SMALL((IF($F$2:$F$43&lt;&gt;"",ROW($F$2:$F$43),ROW()+ROWS($F$2:$F$43))),ROW()-ROW($G$2:$G$43)+1),COLUMN($F$2:$F$43),4)))</f>
        <v/>
      </c>
      <c r="N16" s="206" t="str">
        <f t="array" aca="1" ref="N16" ca="1">IF(ROW()-ROW($H$2:$H$43)+1&gt;ROWS($G$2:$G$43)-COUNTBLANK($G$2:$G$43),"",INDIRECT(ADDRESS(SMALL((IF($G$2:$G$43&lt;&gt;"",ROW($G$2:$G$43),ROW()+ROWS($G$2:$G$43))),ROW()-ROW($H$2:$H$43)+1),COLUMN($G$2:$G$43),4)))</f>
        <v/>
      </c>
      <c r="O16" s="206" t="str">
        <f t="array" aca="1" ref="O16" ca="1">IF(ROW()-ROW($I$2:$I$43)+1&gt;ROWS($H$2:$H$43)-COUNTBLANK($H$2:$H$43),"",INDIRECT(ADDRESS(SMALL((IF($H$2:$H$43&lt;&gt;"",ROW($H$2:$H$43),ROW()+ROWS($H$2:$H$43))),ROW()-ROW($I$2:$I$43)+1),COLUMN($H$2:$H$43),4)))</f>
        <v/>
      </c>
      <c r="P16" s="206" t="str">
        <f t="array" aca="1" ref="P16" ca="1">IF(ROW()-ROW($J$2:$J$43)+1&gt;ROWS($I$2:$I$43)-COUNTBLANK($I$2:$I$43),"",INDIRECT(ADDRESS(SMALL((IF($I$2:$I$43&lt;&gt;"",ROW($I$2:$I$43),ROW()+ROWS($I$2:$I$43))),ROW()-ROW($J$2:$J$43)+1),COLUMN($I$2:$I$43),4)))</f>
        <v/>
      </c>
    </row>
    <row r="17" spans="1:16" ht="23.1" customHeight="1" x14ac:dyDescent="0.25">
      <c r="D17" s="185" t="s">
        <v>82</v>
      </c>
      <c r="E17" s="195" t="str">
        <f>IF(H17="","","2013")</f>
        <v/>
      </c>
      <c r="F17" s="207" t="str">
        <f>IF(H17="","","d")</f>
        <v/>
      </c>
      <c r="G17" s="207" t="str">
        <f t="shared" si="0"/>
        <v/>
      </c>
      <c r="H17" s="196" t="str">
        <f>IF(A2="relevant",IF(Matrix!L20="","",IF(Matrix!L20&gt;Matrix!F20,Berechnung2!$L$45,"")),"")</f>
        <v/>
      </c>
      <c r="I17" s="200" t="str">
        <f>IF(H17="","",VLOOKUP(F17,Berechnung2!$I$15:$J$25,2,FALSE))</f>
        <v/>
      </c>
      <c r="J17" s="220" t="str">
        <f t="shared" si="1"/>
        <v/>
      </c>
      <c r="L17" s="206" t="str">
        <f t="array" aca="1" ref="L17" ca="1">IF(ROW()-ROW($F$2:$F$43)+1&gt;ROWS($E$2:$E$43)-COUNTBLANK($E$2:$E$43),"",INDIRECT(ADDRESS(SMALL((IF($E$2:$E$43&lt;&gt;"",ROW($E$2:$E$43),ROW()+ROWS($E$2:$E$43))),ROW()-ROW($F$2:$F$43)+1),COLUMN($E$2:$E$43),4)))</f>
        <v/>
      </c>
      <c r="M17" s="206" t="str">
        <f t="array" aca="1" ref="M17" ca="1">IF(ROW()-ROW($G$2:$G$43)+1&gt;ROWS($F$2:$F$43)-COUNTBLANK($F$2:$F$43),"",INDIRECT(ADDRESS(SMALL((IF($F$2:$F$43&lt;&gt;"",ROW($F$2:$F$43),ROW()+ROWS($F$2:$F$43))),ROW()-ROW($G$2:$G$43)+1),COLUMN($F$2:$F$43),4)))</f>
        <v/>
      </c>
      <c r="N17" s="206" t="str">
        <f t="array" aca="1" ref="N17" ca="1">IF(ROW()-ROW($H$2:$H$43)+1&gt;ROWS($G$2:$G$43)-COUNTBLANK($G$2:$G$43),"",INDIRECT(ADDRESS(SMALL((IF($G$2:$G$43&lt;&gt;"",ROW($G$2:$G$43),ROW()+ROWS($G$2:$G$43))),ROW()-ROW($H$2:$H$43)+1),COLUMN($G$2:$G$43),4)))</f>
        <v/>
      </c>
      <c r="O17" s="206" t="str">
        <f t="array" aca="1" ref="O17" ca="1">IF(ROW()-ROW($I$2:$I$43)+1&gt;ROWS($H$2:$H$43)-COUNTBLANK($H$2:$H$43),"",INDIRECT(ADDRESS(SMALL((IF($H$2:$H$43&lt;&gt;"",ROW($H$2:$H$43),ROW()+ROWS($H$2:$H$43))),ROW()-ROW($I$2:$I$43)+1),COLUMN($H$2:$H$43),4)))</f>
        <v/>
      </c>
      <c r="P17" s="206" t="str">
        <f t="array" aca="1" ref="P17" ca="1">IF(ROW()-ROW($J$2:$J$43)+1&gt;ROWS($I$2:$I$43)-COUNTBLANK($I$2:$I$43),"",INDIRECT(ADDRESS(SMALL((IF($I$2:$I$43&lt;&gt;"",ROW($I$2:$I$43),ROW()+ROWS($I$2:$I$43))),ROW()-ROW($J$2:$J$43)+1),COLUMN($I$2:$I$43),4)))</f>
        <v/>
      </c>
    </row>
    <row r="18" spans="1:16" ht="23.1" customHeight="1" x14ac:dyDescent="0.25">
      <c r="D18" s="931" t="s">
        <v>269</v>
      </c>
      <c r="E18" s="186" t="str">
        <f>IF(H18="","","2014")</f>
        <v/>
      </c>
      <c r="F18" s="52" t="str">
        <f>IF(H18="","","d")</f>
        <v/>
      </c>
      <c r="G18" s="52" t="str">
        <f t="shared" si="0"/>
        <v/>
      </c>
      <c r="H18" s="187" t="str">
        <f>IF(A3="relevant",IF(Matrix!L21="","",IF(Matrix!L21&gt;Matrix!F21,Berechnung2!$L$45,"")),"")</f>
        <v/>
      </c>
      <c r="I18" s="201" t="str">
        <f>IF(H18="","",VLOOKUP(F18,Berechnung2!$I$15:$J$25,2,FALSE))</f>
        <v/>
      </c>
      <c r="J18" s="221" t="str">
        <f t="shared" si="1"/>
        <v/>
      </c>
      <c r="L18" s="206" t="str">
        <f t="array" aca="1" ref="L18" ca="1">IF(ROW()-ROW($F$2:$F$43)+1&gt;ROWS($E$2:$E$43)-COUNTBLANK($E$2:$E$43),"",INDIRECT(ADDRESS(SMALL((IF($E$2:$E$43&lt;&gt;"",ROW($E$2:$E$43),ROW()+ROWS($E$2:$E$43))),ROW()-ROW($F$2:$F$43)+1),COLUMN($E$2:$E$43),4)))</f>
        <v/>
      </c>
      <c r="M18" s="206" t="str">
        <f t="array" aca="1" ref="M18" ca="1">IF(ROW()-ROW($G$2:$G$43)+1&gt;ROWS($F$2:$F$43)-COUNTBLANK($F$2:$F$43),"",INDIRECT(ADDRESS(SMALL((IF($F$2:$F$43&lt;&gt;"",ROW($F$2:$F$43),ROW()+ROWS($F$2:$F$43))),ROW()-ROW($G$2:$G$43)+1),COLUMN($F$2:$F$43),4)))</f>
        <v/>
      </c>
      <c r="N18" s="206" t="str">
        <f t="array" aca="1" ref="N18" ca="1">IF(ROW()-ROW($H$2:$H$43)+1&gt;ROWS($G$2:$G$43)-COUNTBLANK($G$2:$G$43),"",INDIRECT(ADDRESS(SMALL((IF($G$2:$G$43&lt;&gt;"",ROW($G$2:$G$43),ROW()+ROWS($G$2:$G$43))),ROW()-ROW($H$2:$H$43)+1),COLUMN($G$2:$G$43),4)))</f>
        <v/>
      </c>
      <c r="O18" s="206" t="str">
        <f t="array" aca="1" ref="O18" ca="1">IF(ROW()-ROW($I$2:$I$43)+1&gt;ROWS($H$2:$H$43)-COUNTBLANK($H$2:$H$43),"",INDIRECT(ADDRESS(SMALL((IF($H$2:$H$43&lt;&gt;"",ROW($H$2:$H$43),ROW()+ROWS($H$2:$H$43))),ROW()-ROW($I$2:$I$43)+1),COLUMN($H$2:$H$43),4)))</f>
        <v/>
      </c>
      <c r="P18" s="206" t="str">
        <f t="array" aca="1" ref="P18" ca="1">IF(ROW()-ROW($J$2:$J$43)+1&gt;ROWS($I$2:$I$43)-COUNTBLANK($I$2:$I$43),"",INDIRECT(ADDRESS(SMALL((IF($I$2:$I$43&lt;&gt;"",ROW($I$2:$I$43),ROW()+ROWS($I$2:$I$43))),ROW()-ROW($J$2:$J$43)+1),COLUMN($I$2:$I$43),4)))</f>
        <v/>
      </c>
    </row>
    <row r="19" spans="1:16" ht="23.1" customHeight="1" x14ac:dyDescent="0.25">
      <c r="D19" s="931"/>
      <c r="E19" s="186" t="str">
        <f>IF(H19="","","2015")</f>
        <v/>
      </c>
      <c r="F19" s="52" t="str">
        <f>IF(H19="","","d")</f>
        <v/>
      </c>
      <c r="G19" s="52" t="str">
        <f t="shared" si="0"/>
        <v/>
      </c>
      <c r="H19" s="187" t="str">
        <f>IF(A4="relevant",IF(Matrix!L22="","",IF(Matrix!L22&gt;Matrix!F22,Berechnung2!$L$45,"")),"")</f>
        <v/>
      </c>
      <c r="I19" s="201" t="str">
        <f>IF(H19="","",VLOOKUP(F19,Berechnung2!$I$15:$J$25,2,FALSE))</f>
        <v/>
      </c>
      <c r="J19" s="221" t="str">
        <f t="shared" si="1"/>
        <v/>
      </c>
      <c r="L19" s="206" t="str">
        <f t="array" aca="1" ref="L19" ca="1">IF(ROW()-ROW($F$2:$F$43)+1&gt;ROWS($E$2:$E$43)-COUNTBLANK($E$2:$E$43),"",INDIRECT(ADDRESS(SMALL((IF($E$2:$E$43&lt;&gt;"",ROW($E$2:$E$43),ROW()+ROWS($E$2:$E$43))),ROW()-ROW($F$2:$F$43)+1),COLUMN($E$2:$E$43),4)))</f>
        <v/>
      </c>
      <c r="M19" s="206" t="str">
        <f t="array" aca="1" ref="M19" ca="1">IF(ROW()-ROW($G$2:$G$43)+1&gt;ROWS($F$2:$F$43)-COUNTBLANK($F$2:$F$43),"",INDIRECT(ADDRESS(SMALL((IF($F$2:$F$43&lt;&gt;"",ROW($F$2:$F$43),ROW()+ROWS($F$2:$F$43))),ROW()-ROW($G$2:$G$43)+1),COLUMN($F$2:$F$43),4)))</f>
        <v/>
      </c>
      <c r="N19" s="206" t="str">
        <f t="array" aca="1" ref="N19" ca="1">IF(ROW()-ROW($H$2:$H$43)+1&gt;ROWS($G$2:$G$43)-COUNTBLANK($G$2:$G$43),"",INDIRECT(ADDRESS(SMALL((IF($G$2:$G$43&lt;&gt;"",ROW($G$2:$G$43),ROW()+ROWS($G$2:$G$43))),ROW()-ROW($H$2:$H$43)+1),COLUMN($G$2:$G$43),4)))</f>
        <v/>
      </c>
      <c r="O19" s="206" t="str">
        <f t="array" aca="1" ref="O19" ca="1">IF(ROW()-ROW($I$2:$I$43)+1&gt;ROWS($H$2:$H$43)-COUNTBLANK($H$2:$H$43),"",INDIRECT(ADDRESS(SMALL((IF($H$2:$H$43&lt;&gt;"",ROW($H$2:$H$43),ROW()+ROWS($H$2:$H$43))),ROW()-ROW($I$2:$I$43)+1),COLUMN($H$2:$H$43),4)))</f>
        <v/>
      </c>
      <c r="P19" s="206" t="str">
        <f t="array" aca="1" ref="P19" ca="1">IF(ROW()-ROW($J$2:$J$43)+1&gt;ROWS($I$2:$I$43)-COUNTBLANK($I$2:$I$43),"",INDIRECT(ADDRESS(SMALL((IF($I$2:$I$43&lt;&gt;"",ROW($I$2:$I$43),ROW()+ROWS($I$2:$I$43))),ROW()-ROW($J$2:$J$43)+1),COLUMN($I$2:$I$43),4)))</f>
        <v/>
      </c>
    </row>
    <row r="20" spans="1:16" ht="23.1" customHeight="1" x14ac:dyDescent="0.25">
      <c r="D20" s="931"/>
      <c r="E20" s="186" t="str">
        <f>IF(H20="","","2016")</f>
        <v/>
      </c>
      <c r="F20" s="52" t="str">
        <f>IF(H20="","","d")</f>
        <v/>
      </c>
      <c r="G20" s="52" t="str">
        <f t="shared" si="0"/>
        <v/>
      </c>
      <c r="H20" s="187" t="str">
        <f>IF(A5="relevant",IF(Matrix!L23="","",IF(Matrix!L23&gt;Matrix!F23,Berechnung2!$L$45,"")),"")</f>
        <v/>
      </c>
      <c r="I20" s="201" t="str">
        <f>IF(H20="","",VLOOKUP(F20,Berechnung2!$I$15:$J$25,2,FALSE))</f>
        <v/>
      </c>
      <c r="J20" s="221" t="str">
        <f t="shared" si="1"/>
        <v/>
      </c>
      <c r="L20" s="206" t="str">
        <f t="array" aca="1" ref="L20" ca="1">IF(ROW()-ROW($F$2:$F$43)+1&gt;ROWS($E$2:$E$43)-COUNTBLANK($E$2:$E$43),"",INDIRECT(ADDRESS(SMALL((IF($E$2:$E$43&lt;&gt;"",ROW($E$2:$E$43),ROW()+ROWS($E$2:$E$43))),ROW()-ROW($F$2:$F$43)+1),COLUMN($E$2:$E$43),4)))</f>
        <v/>
      </c>
      <c r="M20" s="206" t="str">
        <f t="array" aca="1" ref="M20" ca="1">IF(ROW()-ROW($G$2:$G$43)+1&gt;ROWS($F$2:$F$43)-COUNTBLANK($F$2:$F$43),"",INDIRECT(ADDRESS(SMALL((IF($F$2:$F$43&lt;&gt;"",ROW($F$2:$F$43),ROW()+ROWS($F$2:$F$43))),ROW()-ROW($G$2:$G$43)+1),COLUMN($F$2:$F$43),4)))</f>
        <v/>
      </c>
      <c r="N20" s="206" t="str">
        <f t="array" aca="1" ref="N20" ca="1">IF(ROW()-ROW($H$2:$H$43)+1&gt;ROWS($G$2:$G$43)-COUNTBLANK($G$2:$G$43),"",INDIRECT(ADDRESS(SMALL((IF($G$2:$G$43&lt;&gt;"",ROW($G$2:$G$43),ROW()+ROWS($G$2:$G$43))),ROW()-ROW($H$2:$H$43)+1),COLUMN($G$2:$G$43),4)))</f>
        <v/>
      </c>
      <c r="O20" s="206" t="str">
        <f t="array" aca="1" ref="O20" ca="1">IF(ROW()-ROW($I$2:$I$43)+1&gt;ROWS($H$2:$H$43)-COUNTBLANK($H$2:$H$43),"",INDIRECT(ADDRESS(SMALL((IF($H$2:$H$43&lt;&gt;"",ROW($H$2:$H$43),ROW()+ROWS($H$2:$H$43))),ROW()-ROW($I$2:$I$43)+1),COLUMN($H$2:$H$43),4)))</f>
        <v/>
      </c>
      <c r="P20" s="206" t="str">
        <f t="array" aca="1" ref="P20" ca="1">IF(ROW()-ROW($J$2:$J$43)+1&gt;ROWS($I$2:$I$43)-COUNTBLANK($I$2:$I$43),"",INDIRECT(ADDRESS(SMALL((IF($I$2:$I$43&lt;&gt;"",ROW($I$2:$I$43),ROW()+ROWS($I$2:$I$43))),ROW()-ROW($J$2:$J$43)+1),COLUMN($I$2:$I$43),4)))</f>
        <v/>
      </c>
    </row>
    <row r="21" spans="1:16" ht="23.1" customHeight="1" thickBot="1" x14ac:dyDescent="0.3">
      <c r="D21" s="188" t="s">
        <v>325</v>
      </c>
      <c r="E21" s="197" t="str">
        <f>IF(H21="","","2017")</f>
        <v/>
      </c>
      <c r="F21" s="208" t="str">
        <f>IF(H21="","","d")</f>
        <v/>
      </c>
      <c r="G21" s="208" t="str">
        <f t="shared" si="0"/>
        <v/>
      </c>
      <c r="H21" s="198" t="str">
        <f>IF(A6="relevant",IF(Matrix!L24="","",IF(Matrix!L24&gt;Matrix!F24,Berechnung2!$L$45,"")),"")</f>
        <v/>
      </c>
      <c r="I21" s="202" t="str">
        <f>IF(H21="","",VLOOKUP(F21,Berechnung2!$I$15:$J$25,2,FALSE))</f>
        <v/>
      </c>
      <c r="J21" s="222" t="str">
        <f t="shared" si="1"/>
        <v/>
      </c>
      <c r="L21" s="206" t="str">
        <f t="array" aca="1" ref="L21" ca="1">IF(ROW()-ROW($F$2:$F$43)+1&gt;ROWS($E$2:$E$43)-COUNTBLANK($E$2:$E$43),"",INDIRECT(ADDRESS(SMALL((IF($E$2:$E$43&lt;&gt;"",ROW($E$2:$E$43),ROW()+ROWS($E$2:$E$43))),ROW()-ROW($F$2:$F$43)+1),COLUMN($E$2:$E$43),4)))</f>
        <v/>
      </c>
      <c r="M21" s="206" t="str">
        <f t="array" aca="1" ref="M21" ca="1">IF(ROW()-ROW($G$2:$G$43)+1&gt;ROWS($F$2:$F$43)-COUNTBLANK($F$2:$F$43),"",INDIRECT(ADDRESS(SMALL((IF($F$2:$F$43&lt;&gt;"",ROW($F$2:$F$43),ROW()+ROWS($F$2:$F$43))),ROW()-ROW($G$2:$G$43)+1),COLUMN($F$2:$F$43),4)))</f>
        <v/>
      </c>
      <c r="N21" s="206" t="str">
        <f t="array" aca="1" ref="N21" ca="1">IF(ROW()-ROW($H$2:$H$43)+1&gt;ROWS($G$2:$G$43)-COUNTBLANK($G$2:$G$43),"",INDIRECT(ADDRESS(SMALL((IF($G$2:$G$43&lt;&gt;"",ROW($G$2:$G$43),ROW()+ROWS($G$2:$G$43))),ROW()-ROW($H$2:$H$43)+1),COLUMN($G$2:$G$43),4)))</f>
        <v/>
      </c>
      <c r="O21" s="206" t="str">
        <f t="array" aca="1" ref="O21" ca="1">IF(ROW()-ROW($I$2:$I$43)+1&gt;ROWS($H$2:$H$43)-COUNTBLANK($H$2:$H$43),"",INDIRECT(ADDRESS(SMALL((IF($H$2:$H$43&lt;&gt;"",ROW($H$2:$H$43),ROW()+ROWS($H$2:$H$43))),ROW()-ROW($I$2:$I$43)+1),COLUMN($H$2:$H$43),4)))</f>
        <v/>
      </c>
      <c r="P21" s="206" t="str">
        <f t="array" aca="1" ref="P21" ca="1">IF(ROW()-ROW($J$2:$J$43)+1&gt;ROWS($I$2:$I$43)-COUNTBLANK($I$2:$I$43),"",INDIRECT(ADDRESS(SMALL((IF($I$2:$I$43&lt;&gt;"",ROW($I$2:$I$43),ROW()+ROWS($I$2:$I$43))),ROW()-ROW($J$2:$J$43)+1),COLUMN($I$2:$I$43),4)))</f>
        <v/>
      </c>
    </row>
    <row r="22" spans="1:16" ht="41.25" customHeight="1" thickBot="1" x14ac:dyDescent="0.3">
      <c r="D22" s="189" t="s">
        <v>326</v>
      </c>
      <c r="E22" s="299" t="str">
        <f>IF(H22="","","2015-2017")</f>
        <v/>
      </c>
      <c r="F22" s="300" t="str">
        <f>IF(H22="","","e")</f>
        <v/>
      </c>
      <c r="G22" s="300" t="str">
        <f>IF(I22="","","5")</f>
        <v/>
      </c>
      <c r="H22" s="301" t="str">
        <f>IF(OR(Matrix!$G$26="-----",Matrix!$G$26=""),"",IF(Matrix!G26="",0,IF(AND(ROUND(Matrix!G26,4)&gt;=Berechnung2!F41,ROUND(Matrix!G26,4)&lt;Berechnung2!J41),Berechnung2!L41,"")))</f>
        <v/>
      </c>
      <c r="I22" s="302" t="str">
        <f>IF(H22="","",VLOOKUP(F22,Berechnung2!$I$15:$J$25,2,FALSE))</f>
        <v/>
      </c>
      <c r="J22" s="303" t="str">
        <f t="shared" si="1"/>
        <v/>
      </c>
      <c r="L22" s="206" t="str">
        <f t="array" aca="1" ref="L22" ca="1">IF(ROW()-ROW($F$2:$F$43)+1&gt;ROWS($E$2:$E$43)-COUNTBLANK($E$2:$E$43),"",INDIRECT(ADDRESS(SMALL((IF($E$2:$E$43&lt;&gt;"",ROW($E$2:$E$43),ROW()+ROWS($E$2:$E$43))),ROW()-ROW($F$2:$F$43)+1),COLUMN($E$2:$E$43),4)))</f>
        <v/>
      </c>
      <c r="M22" s="206" t="str">
        <f t="array" aca="1" ref="M22" ca="1">IF(ROW()-ROW($G$2:$G$43)+1&gt;ROWS($F$2:$F$43)-COUNTBLANK($F$2:$F$43),"",INDIRECT(ADDRESS(SMALL((IF($F$2:$F$43&lt;&gt;"",ROW($F$2:$F$43),ROW()+ROWS($F$2:$F$43))),ROW()-ROW($G$2:$G$43)+1),COLUMN($F$2:$F$43),4)))</f>
        <v/>
      </c>
      <c r="N22" s="206" t="str">
        <f t="array" aca="1" ref="N22" ca="1">IF(ROW()-ROW($H$2:$H$43)+1&gt;ROWS($G$2:$G$43)-COUNTBLANK($G$2:$G$43),"",INDIRECT(ADDRESS(SMALL((IF($G$2:$G$43&lt;&gt;"",ROW($G$2:$G$43),ROW()+ROWS($G$2:$G$43))),ROW()-ROW($H$2:$H$43)+1),COLUMN($G$2:$G$43),4)))</f>
        <v/>
      </c>
      <c r="O22" s="206" t="str">
        <f t="array" aca="1" ref="O22" ca="1">IF(ROW()-ROW($I$2:$I$43)+1&gt;ROWS($H$2:$H$43)-COUNTBLANK($H$2:$H$43),"",INDIRECT(ADDRESS(SMALL((IF($H$2:$H$43&lt;&gt;"",ROW($H$2:$H$43),ROW()+ROWS($H$2:$H$43))),ROW()-ROW($I$2:$I$43)+1),COLUMN($H$2:$H$43),4)))</f>
        <v/>
      </c>
      <c r="P22" s="206" t="str">
        <f t="array" aca="1" ref="P22" ca="1">IF(ROW()-ROW($J$2:$J$43)+1&gt;ROWS($I$2:$I$43)-COUNTBLANK($I$2:$I$43),"",INDIRECT(ADDRESS(SMALL((IF($I$2:$I$43&lt;&gt;"",ROW($I$2:$I$43),ROW()+ROWS($I$2:$I$43))),ROW()-ROW($J$2:$J$43)+1),COLUMN($I$2:$I$43),4)))</f>
        <v/>
      </c>
    </row>
    <row r="23" spans="1:16" ht="42" customHeight="1" x14ac:dyDescent="0.25">
      <c r="A23" s="932" t="s">
        <v>378</v>
      </c>
      <c r="B23" s="346"/>
      <c r="C23" s="346"/>
      <c r="D23" s="347" t="s">
        <v>74</v>
      </c>
      <c r="E23" s="348"/>
      <c r="F23" s="349"/>
      <c r="G23" s="350"/>
      <c r="H23" s="351"/>
      <c r="I23" s="352"/>
      <c r="J23" s="353"/>
      <c r="K23" s="346"/>
      <c r="L23" s="206" t="str">
        <f t="array" aca="1" ref="L23" ca="1">IF(ROW()-ROW($F$2:$F$43)+1&gt;ROWS($E$2:$E$43)-COUNTBLANK($E$2:$E$43),"",INDIRECT(ADDRESS(SMALL((IF($E$2:$E$43&lt;&gt;"",ROW($E$2:$E$43),ROW()+ROWS($E$2:$E$43))),ROW()-ROW($F$2:$F$43)+1),COLUMN($E$2:$E$43),4)))</f>
        <v/>
      </c>
      <c r="M23" s="206" t="str">
        <f t="array" aca="1" ref="M23" ca="1">IF(ROW()-ROW($G$2:$G$43)+1&gt;ROWS($F$2:$F$43)-COUNTBLANK($F$2:$F$43),"",INDIRECT(ADDRESS(SMALL((IF($F$2:$F$43&lt;&gt;"",ROW($F$2:$F$43),ROW()+ROWS($F$2:$F$43))),ROW()-ROW($G$2:$G$43)+1),COLUMN($F$2:$F$43),4)))</f>
        <v/>
      </c>
      <c r="N23" s="206" t="str">
        <f t="array" aca="1" ref="N23" ca="1">IF(ROW()-ROW($H$2:$H$43)+1&gt;ROWS($G$2:$G$43)-COUNTBLANK($G$2:$G$43),"",INDIRECT(ADDRESS(SMALL((IF($G$2:$G$43&lt;&gt;"",ROW($G$2:$G$43),ROW()+ROWS($G$2:$G$43))),ROW()-ROW($H$2:$H$43)+1),COLUMN($G$2:$G$43),4)))</f>
        <v/>
      </c>
      <c r="O23" s="206" t="str">
        <f t="array" aca="1" ref="O23" ca="1">IF(ROW()-ROW($I$2:$I$43)+1&gt;ROWS($H$2:$H$43)-COUNTBLANK($H$2:$H$43),"",INDIRECT(ADDRESS(SMALL((IF($H$2:$H$43&lt;&gt;"",ROW($H$2:$H$43),ROW()+ROWS($H$2:$H$43))),ROW()-ROW($I$2:$I$43)+1),COLUMN($H$2:$H$43),4)))</f>
        <v/>
      </c>
      <c r="P23" s="206" t="str">
        <f t="array" aca="1" ref="P23" ca="1">IF(ROW()-ROW($J$2:$J$43)+1&gt;ROWS($I$2:$I$43)-COUNTBLANK($I$2:$I$43),"",INDIRECT(ADDRESS(SMALL((IF($I$2:$I$43&lt;&gt;"",ROW($I$2:$I$43),ROW()+ROWS($I$2:$I$43))),ROW()-ROW($J$2:$J$43)+1),COLUMN($I$2:$I$43),4)))</f>
        <v/>
      </c>
    </row>
    <row r="24" spans="1:16" ht="23.1" customHeight="1" x14ac:dyDescent="0.25">
      <c r="A24" s="932"/>
      <c r="B24" s="346"/>
      <c r="C24" s="346"/>
      <c r="D24" s="933" t="s">
        <v>178</v>
      </c>
      <c r="E24" s="354"/>
      <c r="F24" s="355"/>
      <c r="G24" s="356"/>
      <c r="H24" s="357"/>
      <c r="I24" s="358"/>
      <c r="J24" s="359"/>
      <c r="K24" s="346"/>
      <c r="L24" s="206" t="str">
        <f t="array" aca="1" ref="L24" ca="1">IF(ROW()-ROW($F$2:$F$43)+1&gt;ROWS($E$2:$E$43)-COUNTBLANK($E$2:$E$43),"",INDIRECT(ADDRESS(SMALL((IF($E$2:$E$43&lt;&gt;"",ROW($E$2:$E$43),ROW()+ROWS($E$2:$E$43))),ROW()-ROW($F$2:$F$43)+1),COLUMN($E$2:$E$43),4)))</f>
        <v/>
      </c>
      <c r="M24" s="206" t="str">
        <f t="array" aca="1" ref="M24" ca="1">IF(ROW()-ROW($G$2:$G$43)+1&gt;ROWS($F$2:$F$43)-COUNTBLANK($F$2:$F$43),"",INDIRECT(ADDRESS(SMALL((IF($F$2:$F$43&lt;&gt;"",ROW($F$2:$F$43),ROW()+ROWS($F$2:$F$43))),ROW()-ROW($G$2:$G$43)+1),COLUMN($F$2:$F$43),4)))</f>
        <v/>
      </c>
      <c r="N24" s="206" t="str">
        <f t="array" aca="1" ref="N24" ca="1">IF(ROW()-ROW($H$2:$H$43)+1&gt;ROWS($G$2:$G$43)-COUNTBLANK($G$2:$G$43),"",INDIRECT(ADDRESS(SMALL((IF($G$2:$G$43&lt;&gt;"",ROW($G$2:$G$43),ROW()+ROWS($G$2:$G$43))),ROW()-ROW($H$2:$H$43)+1),COLUMN($G$2:$G$43),4)))</f>
        <v/>
      </c>
      <c r="O24" s="206" t="str">
        <f t="array" aca="1" ref="O24" ca="1">IF(ROW()-ROW($I$2:$I$43)+1&gt;ROWS($H$2:$H$43)-COUNTBLANK($H$2:$H$43),"",INDIRECT(ADDRESS(SMALL((IF($H$2:$H$43&lt;&gt;"",ROW($H$2:$H$43),ROW()+ROWS($H$2:$H$43))),ROW()-ROW($I$2:$I$43)+1),COLUMN($H$2:$H$43),4)))</f>
        <v/>
      </c>
      <c r="P24" s="206" t="str">
        <f t="array" aca="1" ref="P24" ca="1">IF(ROW()-ROW($J$2:$J$43)+1&gt;ROWS($I$2:$I$43)-COUNTBLANK($I$2:$I$43),"",INDIRECT(ADDRESS(SMALL((IF($I$2:$I$43&lt;&gt;"",ROW($I$2:$I$43),ROW()+ROWS($I$2:$I$43))),ROW()-ROW($J$2:$J$43)+1),COLUMN($I$2:$I$43),4)))</f>
        <v/>
      </c>
    </row>
    <row r="25" spans="1:16" ht="23.1" customHeight="1" x14ac:dyDescent="0.25">
      <c r="A25" s="932"/>
      <c r="B25" s="346"/>
      <c r="C25" s="346"/>
      <c r="D25" s="933"/>
      <c r="E25" s="354"/>
      <c r="F25" s="355"/>
      <c r="G25" s="356"/>
      <c r="H25" s="357"/>
      <c r="I25" s="358"/>
      <c r="J25" s="359"/>
      <c r="K25" s="346"/>
      <c r="L25" s="206" t="str">
        <f t="array" aca="1" ref="L25" ca="1">IF(ROW()-ROW($F$2:$F$43)+1&gt;ROWS($E$2:$E$43)-COUNTBLANK($E$2:$E$43),"",INDIRECT(ADDRESS(SMALL((IF($E$2:$E$43&lt;&gt;"",ROW($E$2:$E$43),ROW()+ROWS($E$2:$E$43))),ROW()-ROW($F$2:$F$43)+1),COLUMN($E$2:$E$43),4)))</f>
        <v/>
      </c>
      <c r="M25" s="206" t="str">
        <f t="array" aca="1" ref="M25" ca="1">IF(ROW()-ROW($G$2:$G$43)+1&gt;ROWS($F$2:$F$43)-COUNTBLANK($F$2:$F$43),"",INDIRECT(ADDRESS(SMALL((IF($F$2:$F$43&lt;&gt;"",ROW($F$2:$F$43),ROW()+ROWS($F$2:$F$43))),ROW()-ROW($G$2:$G$43)+1),COLUMN($F$2:$F$43),4)))</f>
        <v/>
      </c>
      <c r="N25" s="206" t="str">
        <f t="array" aca="1" ref="N25" ca="1">IF(ROW()-ROW($H$2:$H$43)+1&gt;ROWS($G$2:$G$43)-COUNTBLANK($G$2:$G$43),"",INDIRECT(ADDRESS(SMALL((IF($G$2:$G$43&lt;&gt;"",ROW($G$2:$G$43),ROW()+ROWS($G$2:$G$43))),ROW()-ROW($H$2:$H$43)+1),COLUMN($G$2:$G$43),4)))</f>
        <v/>
      </c>
      <c r="O25" s="206" t="str">
        <f t="array" aca="1" ref="O25" ca="1">IF(ROW()-ROW($I$2:$I$43)+1&gt;ROWS($H$2:$H$43)-COUNTBLANK($H$2:$H$43),"",INDIRECT(ADDRESS(SMALL((IF($H$2:$H$43&lt;&gt;"",ROW($H$2:$H$43),ROW()+ROWS($H$2:$H$43))),ROW()-ROW($I$2:$I$43)+1),COLUMN($H$2:$H$43),4)))</f>
        <v/>
      </c>
      <c r="P25" s="206" t="str">
        <f t="array" aca="1" ref="P25" ca="1">IF(ROW()-ROW($J$2:$J$43)+1&gt;ROWS($I$2:$I$43)-COUNTBLANK($I$2:$I$43),"",INDIRECT(ADDRESS(SMALL((IF($I$2:$I$43&lt;&gt;"",ROW($I$2:$I$43),ROW()+ROWS($I$2:$I$43))),ROW()-ROW($J$2:$J$43)+1),COLUMN($I$2:$I$43),4)))</f>
        <v/>
      </c>
    </row>
    <row r="26" spans="1:16" ht="23.1" customHeight="1" x14ac:dyDescent="0.25">
      <c r="A26" s="932"/>
      <c r="B26" s="346"/>
      <c r="C26" s="346"/>
      <c r="D26" s="933"/>
      <c r="E26" s="354"/>
      <c r="F26" s="355"/>
      <c r="G26" s="356"/>
      <c r="H26" s="357"/>
      <c r="I26" s="358"/>
      <c r="J26" s="359"/>
      <c r="K26" s="346"/>
      <c r="L26" s="206" t="str">
        <f t="array" aca="1" ref="L26" ca="1">IF(ROW()-ROW($F$2:$F$43)+1&gt;ROWS($E$2:$E$43)-COUNTBLANK($E$2:$E$43),"",INDIRECT(ADDRESS(SMALL((IF($E$2:$E$43&lt;&gt;"",ROW($E$2:$E$43),ROW()+ROWS($E$2:$E$43))),ROW()-ROW($F$2:$F$43)+1),COLUMN($E$2:$E$43),4)))</f>
        <v/>
      </c>
      <c r="M26" s="206" t="str">
        <f t="array" aca="1" ref="M26" ca="1">IF(ROW()-ROW($G$2:$G$43)+1&gt;ROWS($F$2:$F$43)-COUNTBLANK($F$2:$F$43),"",INDIRECT(ADDRESS(SMALL((IF($F$2:$F$43&lt;&gt;"",ROW($F$2:$F$43),ROW()+ROWS($F$2:$F$43))),ROW()-ROW($G$2:$G$43)+1),COLUMN($F$2:$F$43),4)))</f>
        <v/>
      </c>
      <c r="N26" s="206" t="str">
        <f t="array" aca="1" ref="N26" ca="1">IF(ROW()-ROW($H$2:$H$43)+1&gt;ROWS($G$2:$G$43)-COUNTBLANK($G$2:$G$43),"",INDIRECT(ADDRESS(SMALL((IF($G$2:$G$43&lt;&gt;"",ROW($G$2:$G$43),ROW()+ROWS($G$2:$G$43))),ROW()-ROW($H$2:$H$43)+1),COLUMN($G$2:$G$43),4)))</f>
        <v/>
      </c>
      <c r="O26" s="206" t="str">
        <f t="array" aca="1" ref="O26" ca="1">IF(ROW()-ROW($I$2:$I$43)+1&gt;ROWS($H$2:$H$43)-COUNTBLANK($H$2:$H$43),"",INDIRECT(ADDRESS(SMALL((IF($H$2:$H$43&lt;&gt;"",ROW($H$2:$H$43),ROW()+ROWS($H$2:$H$43))),ROW()-ROW($I$2:$I$43)+1),COLUMN($H$2:$H$43),4)))</f>
        <v/>
      </c>
      <c r="P26" s="206" t="str">
        <f t="array" aca="1" ref="P26" ca="1">IF(ROW()-ROW($J$2:$J$43)+1&gt;ROWS($I$2:$I$43)-COUNTBLANK($I$2:$I$43),"",INDIRECT(ADDRESS(SMALL((IF($I$2:$I$43&lt;&gt;"",ROW($I$2:$I$43),ROW()+ROWS($I$2:$I$43))),ROW()-ROW($J$2:$J$43)+1),COLUMN($I$2:$I$43),4)))</f>
        <v/>
      </c>
    </row>
    <row r="27" spans="1:16" ht="23.1" customHeight="1" thickBot="1" x14ac:dyDescent="0.3">
      <c r="A27" s="932"/>
      <c r="B27" s="346"/>
      <c r="C27" s="346"/>
      <c r="D27" s="360" t="s">
        <v>327</v>
      </c>
      <c r="E27" s="361"/>
      <c r="F27" s="362"/>
      <c r="G27" s="363"/>
      <c r="H27" s="364"/>
      <c r="I27" s="365"/>
      <c r="J27" s="366"/>
      <c r="K27" s="346"/>
      <c r="L27" s="206" t="str">
        <f t="array" aca="1" ref="L27" ca="1">IF(ROW()-ROW($F$2:$F$43)+1&gt;ROWS($E$2:$E$43)-COUNTBLANK($E$2:$E$43),"",INDIRECT(ADDRESS(SMALL((IF($E$2:$E$43&lt;&gt;"",ROW($E$2:$E$43),ROW()+ROWS($E$2:$E$43))),ROW()-ROW($F$2:$F$43)+1),COLUMN($E$2:$E$43),4)))</f>
        <v/>
      </c>
      <c r="M27" s="206" t="str">
        <f t="array" aca="1" ref="M27" ca="1">IF(ROW()-ROW($G$2:$G$43)+1&gt;ROWS($F$2:$F$43)-COUNTBLANK($F$2:$F$43),"",INDIRECT(ADDRESS(SMALL((IF($F$2:$F$43&lt;&gt;"",ROW($F$2:$F$43),ROW()+ROWS($F$2:$F$43))),ROW()-ROW($G$2:$G$43)+1),COLUMN($F$2:$F$43),4)))</f>
        <v/>
      </c>
      <c r="N27" s="206" t="str">
        <f t="array" aca="1" ref="N27" ca="1">IF(ROW()-ROW($H$2:$H$43)+1&gt;ROWS($G$2:$G$43)-COUNTBLANK($G$2:$G$43),"",INDIRECT(ADDRESS(SMALL((IF($G$2:$G$43&lt;&gt;"",ROW($G$2:$G$43),ROW()+ROWS($G$2:$G$43))),ROW()-ROW($H$2:$H$43)+1),COLUMN($G$2:$G$43),4)))</f>
        <v/>
      </c>
      <c r="O27" s="206" t="str">
        <f t="array" aca="1" ref="O27" ca="1">IF(ROW()-ROW($I$2:$I$43)+1&gt;ROWS($H$2:$H$43)-COUNTBLANK($H$2:$H$43),"",INDIRECT(ADDRESS(SMALL((IF($H$2:$H$43&lt;&gt;"",ROW($H$2:$H$43),ROW()+ROWS($H$2:$H$43))),ROW()-ROW($I$2:$I$43)+1),COLUMN($H$2:$H$43),4)))</f>
        <v/>
      </c>
      <c r="P27" s="206" t="str">
        <f t="array" aca="1" ref="P27" ca="1">IF(ROW()-ROW($J$2:$J$43)+1&gt;ROWS($I$2:$I$43)-COUNTBLANK($I$2:$I$43),"",INDIRECT(ADDRESS(SMALL((IF($I$2:$I$43&lt;&gt;"",ROW($I$2:$I$43),ROW()+ROWS($I$2:$I$43))),ROW()-ROW($J$2:$J$43)+1),COLUMN($I$2:$I$43),4)))</f>
        <v/>
      </c>
    </row>
    <row r="28" spans="1:16" ht="39" customHeight="1" thickBot="1" x14ac:dyDescent="0.3">
      <c r="D28" s="191" t="s">
        <v>328</v>
      </c>
      <c r="E28" s="311" t="str">
        <f>IF(H28="","","2015-2017")</f>
        <v/>
      </c>
      <c r="F28" s="312" t="str">
        <f>IF(H28="","","g")</f>
        <v/>
      </c>
      <c r="G28" s="313" t="str">
        <f>IF(I28="","","6")</f>
        <v/>
      </c>
      <c r="H28" s="314" t="str">
        <f>IF(OR(Matrix!G26="-----",Matrix!G26=""),"",IF(Matrix!G26="",0,IF(ROUND(Matrix!G26,4)&gt;Berechnung2!J42,Berechnung2!L42,"")))</f>
        <v/>
      </c>
      <c r="I28" s="297" t="str">
        <f>IF(H28="","",VLOOKUP(F28,Berechnung2!$I$15:$J$25,2,FALSE))</f>
        <v/>
      </c>
      <c r="J28" s="298" t="str">
        <f t="shared" si="1"/>
        <v/>
      </c>
      <c r="L28" s="206" t="str">
        <f t="array" aca="1" ref="L28" ca="1">IF(ROW()-ROW($F$2:$F$43)+1&gt;ROWS($E$2:$E$43)-COUNTBLANK($E$2:$E$43),"",INDIRECT(ADDRESS(SMALL((IF($E$2:$E$43&lt;&gt;"",ROW($E$2:$E$43),ROW()+ROWS($E$2:$E$43))),ROW()-ROW($F$2:$F$43)+1),COLUMN($E$2:$E$43),4)))</f>
        <v/>
      </c>
      <c r="M28" s="206" t="str">
        <f t="array" aca="1" ref="M28" ca="1">IF(ROW()-ROW($G$2:$G$43)+1&gt;ROWS($F$2:$F$43)-COUNTBLANK($F$2:$F$43),"",INDIRECT(ADDRESS(SMALL((IF($F$2:$F$43&lt;&gt;"",ROW($F$2:$F$43),ROW()+ROWS($F$2:$F$43))),ROW()-ROW($G$2:$G$43)+1),COLUMN($F$2:$F$43),4)))</f>
        <v/>
      </c>
      <c r="N28" s="206" t="str">
        <f t="array" aca="1" ref="N28" ca="1">IF(ROW()-ROW($H$2:$H$43)+1&gt;ROWS($G$2:$G$43)-COUNTBLANK($G$2:$G$43),"",INDIRECT(ADDRESS(SMALL((IF($G$2:$G$43&lt;&gt;"",ROW($G$2:$G$43),ROW()+ROWS($G$2:$G$43))),ROW()-ROW($H$2:$H$43)+1),COLUMN($G$2:$G$43),4)))</f>
        <v/>
      </c>
      <c r="O28" s="206" t="str">
        <f t="array" aca="1" ref="O28" ca="1">IF(ROW()-ROW($I$2:$I$43)+1&gt;ROWS($H$2:$H$43)-COUNTBLANK($H$2:$H$43),"",INDIRECT(ADDRESS(SMALL((IF($H$2:$H$43&lt;&gt;"",ROW($H$2:$H$43),ROW()+ROWS($H$2:$H$43))),ROW()-ROW($I$2:$I$43)+1),COLUMN($H$2:$H$43),4)))</f>
        <v/>
      </c>
      <c r="P28" s="206" t="str">
        <f t="array" aca="1" ref="P28" ca="1">IF(ROW()-ROW($J$2:$J$43)+1&gt;ROWS($I$2:$I$43)-COUNTBLANK($I$2:$I$43),"",INDIRECT(ADDRESS(SMALL((IF($I$2:$I$43&lt;&gt;"",ROW($I$2:$I$43),ROW()+ROWS($I$2:$I$43))),ROW()-ROW($J$2:$J$43)+1),COLUMN($I$2:$I$43),4)))</f>
        <v/>
      </c>
    </row>
    <row r="29" spans="1:16" ht="33" customHeight="1" x14ac:dyDescent="0.25">
      <c r="D29" s="190" t="s">
        <v>74</v>
      </c>
      <c r="E29" s="275"/>
      <c r="F29" s="154"/>
      <c r="G29" s="154"/>
      <c r="H29" s="196"/>
      <c r="I29" s="200"/>
      <c r="J29" s="220"/>
      <c r="L29" s="206" t="str">
        <f t="array" aca="1" ref="L29" ca="1">IF(ROW()-ROW($F$2:$F$43)+1&gt;ROWS($E$2:$E$43)-COUNTBLANK($E$2:$E$43),"",INDIRECT(ADDRESS(SMALL((IF($E$2:$E$43&lt;&gt;"",ROW($E$2:$E$43),ROW()+ROWS($E$2:$E$43))),ROW()-ROW($F$2:$F$43)+1),COLUMN($E$2:$E$43),4)))</f>
        <v/>
      </c>
      <c r="M29" s="206" t="str">
        <f t="array" aca="1" ref="M29" ca="1">IF(ROW()-ROW($G$2:$G$43)+1&gt;ROWS($F$2:$F$43)-COUNTBLANK($F$2:$F$43),"",INDIRECT(ADDRESS(SMALL((IF($F$2:$F$43&lt;&gt;"",ROW($F$2:$F$43),ROW()+ROWS($F$2:$F$43))),ROW()-ROW($G$2:$G$43)+1),COLUMN($F$2:$F$43),4)))</f>
        <v/>
      </c>
      <c r="N29" s="206" t="str">
        <f t="array" aca="1" ref="N29" ca="1">IF(ROW()-ROW($H$2:$H$43)+1&gt;ROWS($G$2:$G$43)-COUNTBLANK($G$2:$G$43),"",INDIRECT(ADDRESS(SMALL((IF($G$2:$G$43&lt;&gt;"",ROW($G$2:$G$43),ROW()+ROWS($G$2:$G$43))),ROW()-ROW($H$2:$H$43)+1),COLUMN($G$2:$G$43),4)))</f>
        <v/>
      </c>
      <c r="O29" s="206" t="str">
        <f t="array" aca="1" ref="O29" ca="1">IF(ROW()-ROW($I$2:$I$43)+1&gt;ROWS($H$2:$H$43)-COUNTBLANK($H$2:$H$43),"",INDIRECT(ADDRESS(SMALL((IF($H$2:$H$43&lt;&gt;"",ROW($H$2:$H$43),ROW()+ROWS($H$2:$H$43))),ROW()-ROW($I$2:$I$43)+1),COLUMN($H$2:$H$43),4)))</f>
        <v/>
      </c>
      <c r="P29" s="206" t="str">
        <f t="array" aca="1" ref="P29" ca="1">IF(ROW()-ROW($J$2:$J$43)+1&gt;ROWS($I$2:$I$43)-COUNTBLANK($I$2:$I$43),"",INDIRECT(ADDRESS(SMALL((IF($I$2:$I$43&lt;&gt;"",ROW($I$2:$I$43),ROW()+ROWS($I$2:$I$43))),ROW()-ROW($J$2:$J$43)+1),COLUMN($I$2:$I$43),4)))</f>
        <v/>
      </c>
    </row>
    <row r="30" spans="1:16" ht="44.25" customHeight="1" x14ac:dyDescent="0.25">
      <c r="D30" s="930" t="s">
        <v>271</v>
      </c>
      <c r="E30" s="275"/>
      <c r="F30" s="52"/>
      <c r="G30" s="52"/>
      <c r="H30" s="187"/>
      <c r="I30" s="201"/>
      <c r="J30" s="221"/>
      <c r="L30" s="206" t="str">
        <f t="array" aca="1" ref="L30" ca="1">IF(ROW()-ROW($F$2:$F$43)+1&gt;ROWS($E$2:$E$43)-COUNTBLANK($E$2:$E$43),"",INDIRECT(ADDRESS(SMALL((IF($E$2:$E$43&lt;&gt;"",ROW($E$2:$E$43),ROW()+ROWS($E$2:$E$43))),ROW()-ROW($F$2:$F$43)+1),COLUMN($E$2:$E$43),4)))</f>
        <v/>
      </c>
      <c r="M30" s="206" t="str">
        <f t="array" aca="1" ref="M30" ca="1">IF(ROW()-ROW($G$2:$G$43)+1&gt;ROWS($F$2:$F$43)-COUNTBLANK($F$2:$F$43),"",INDIRECT(ADDRESS(SMALL((IF($F$2:$F$43&lt;&gt;"",ROW($F$2:$F$43),ROW()+ROWS($F$2:$F$43))),ROW()-ROW($G$2:$G$43)+1),COLUMN($F$2:$F$43),4)))</f>
        <v/>
      </c>
      <c r="N30" s="206" t="str">
        <f t="array" aca="1" ref="N30" ca="1">IF(ROW()-ROW($H$2:$H$43)+1&gt;ROWS($G$2:$G$43)-COUNTBLANK($G$2:$G$43),"",INDIRECT(ADDRESS(SMALL((IF($G$2:$G$43&lt;&gt;"",ROW($G$2:$G$43),ROW()+ROWS($G$2:$G$43))),ROW()-ROW($H$2:$H$43)+1),COLUMN($G$2:$G$43),4)))</f>
        <v/>
      </c>
      <c r="O30" s="206" t="str">
        <f t="array" aca="1" ref="O30" ca="1">IF(ROW()-ROW($I$2:$I$43)+1&gt;ROWS($H$2:$H$43)-COUNTBLANK($H$2:$H$43),"",INDIRECT(ADDRESS(SMALL((IF($H$2:$H$43&lt;&gt;"",ROW($H$2:$H$43),ROW()+ROWS($H$2:$H$43))),ROW()-ROW($I$2:$I$43)+1),COLUMN($H$2:$H$43),4)))</f>
        <v/>
      </c>
      <c r="P30" s="206" t="str">
        <f t="array" aca="1" ref="P30" ca="1">IF(ROW()-ROW($J$2:$J$43)+1&gt;ROWS($I$2:$I$43)-COUNTBLANK($I$2:$I$43),"",INDIRECT(ADDRESS(SMALL((IF($I$2:$I$43&lt;&gt;"",ROW($I$2:$I$43),ROW()+ROWS($I$2:$I$43))),ROW()-ROW($J$2:$J$43)+1),COLUMN($I$2:$I$43),4)))</f>
        <v/>
      </c>
    </row>
    <row r="31" spans="1:16" ht="23.1" customHeight="1" x14ac:dyDescent="0.25">
      <c r="D31" s="930"/>
      <c r="E31" s="275" t="str">
        <f>IF(H31="","","2015")</f>
        <v/>
      </c>
      <c r="F31" s="52" t="str">
        <f>IF(H31="","","h")</f>
        <v/>
      </c>
      <c r="G31" s="52" t="str">
        <f t="shared" ref="G31:G43" si="2">IF(I31="","","6")</f>
        <v/>
      </c>
      <c r="H31" s="187" t="str">
        <f>IF(A4="relevant",IF(Matrix!G22="","",IF(AND(ROUND(Matrix!G22,4)&gt;=Berechnung2!$F$40,ROUND(Matrix!G22,4)&lt;Berechnung2!$J$40),Berechnung2!$L$40,"")),"")</f>
        <v/>
      </c>
      <c r="I31" s="201" t="str">
        <f>IF(H31="","",VLOOKUP(F31,Berechnung2!$I$15:$J$25,2,FALSE))</f>
        <v/>
      </c>
      <c r="J31" s="221" t="str">
        <f t="shared" si="1"/>
        <v/>
      </c>
      <c r="L31" s="206" t="str">
        <f t="array" aca="1" ref="L31" ca="1">IF(ROW()-ROW($F$2:$F$43)+1&gt;ROWS($E$2:$E$43)-COUNTBLANK($E$2:$E$43),"",INDIRECT(ADDRESS(SMALL((IF($E$2:$E$43&lt;&gt;"",ROW($E$2:$E$43),ROW()+ROWS($E$2:$E$43))),ROW()-ROW($F$2:$F$43)+1),COLUMN($E$2:$E$43),4)))</f>
        <v/>
      </c>
      <c r="M31" s="206" t="str">
        <f t="array" aca="1" ref="M31" ca="1">IF(ROW()-ROW($G$2:$G$43)+1&gt;ROWS($F$2:$F$43)-COUNTBLANK($F$2:$F$43),"",INDIRECT(ADDRESS(SMALL((IF($F$2:$F$43&lt;&gt;"",ROW($F$2:$F$43),ROW()+ROWS($F$2:$F$43))),ROW()-ROW($G$2:$G$43)+1),COLUMN($F$2:$F$43),4)))</f>
        <v/>
      </c>
      <c r="N31" s="206" t="str">
        <f t="array" aca="1" ref="N31" ca="1">IF(ROW()-ROW($H$2:$H$43)+1&gt;ROWS($G$2:$G$43)-COUNTBLANK($G$2:$G$43),"",INDIRECT(ADDRESS(SMALL((IF($G$2:$G$43&lt;&gt;"",ROW($G$2:$G$43),ROW()+ROWS($G$2:$G$43))),ROW()-ROW($H$2:$H$43)+1),COLUMN($G$2:$G$43),4)))</f>
        <v/>
      </c>
      <c r="O31" s="206" t="str">
        <f t="array" aca="1" ref="O31" ca="1">IF(ROW()-ROW($I$2:$I$43)+1&gt;ROWS($H$2:$H$43)-COUNTBLANK($H$2:$H$43),"",INDIRECT(ADDRESS(SMALL((IF($H$2:$H$43&lt;&gt;"",ROW($H$2:$H$43),ROW()+ROWS($H$2:$H$43))),ROW()-ROW($I$2:$I$43)+1),COLUMN($H$2:$H$43),4)))</f>
        <v/>
      </c>
      <c r="P31" s="206" t="str">
        <f t="array" aca="1" ref="P31" ca="1">IF(ROW()-ROW($J$2:$J$43)+1&gt;ROWS($I$2:$I$43)-COUNTBLANK($I$2:$I$43),"",INDIRECT(ADDRESS(SMALL((IF($I$2:$I$43&lt;&gt;"",ROW($I$2:$I$43),ROW()+ROWS($I$2:$I$43))),ROW()-ROW($J$2:$J$43)+1),COLUMN($I$2:$I$43),4)))</f>
        <v/>
      </c>
    </row>
    <row r="32" spans="1:16" ht="23.1" customHeight="1" x14ac:dyDescent="0.25">
      <c r="D32" s="930"/>
      <c r="E32" s="275" t="str">
        <f>IF(H32="","","2016")</f>
        <v/>
      </c>
      <c r="F32" s="52" t="str">
        <f>IF(H32="","","h")</f>
        <v/>
      </c>
      <c r="G32" s="52" t="str">
        <f t="shared" si="2"/>
        <v/>
      </c>
      <c r="H32" s="187" t="str">
        <f>IF(A5="relevant",IF(Matrix!G23="","",IF(AND(ROUND(Matrix!G23,4)&gt;=Berechnung2!$F$40,ROUND(Matrix!G23,4)&lt;Berechnung2!$J$40),Berechnung2!$L$40,"")),"")</f>
        <v/>
      </c>
      <c r="I32" s="201" t="str">
        <f>IF(H32="","",VLOOKUP(F32,Berechnung2!$I$15:$J$25,2,FALSE))</f>
        <v/>
      </c>
      <c r="J32" s="221" t="str">
        <f t="shared" si="1"/>
        <v/>
      </c>
      <c r="L32" s="206" t="str">
        <f t="array" aca="1" ref="L32" ca="1">IF(ROW()-ROW($F$2:$F$43)+1&gt;ROWS($E$2:$E$43)-COUNTBLANK($E$2:$E$43),"",INDIRECT(ADDRESS(SMALL((IF($E$2:$E$43&lt;&gt;"",ROW($E$2:$E$43),ROW()+ROWS($E$2:$E$43))),ROW()-ROW($F$2:$F$43)+1),COLUMN($E$2:$E$43),4)))</f>
        <v/>
      </c>
      <c r="M32" s="206" t="str">
        <f t="array" aca="1" ref="M32" ca="1">IF(ROW()-ROW($G$2:$G$43)+1&gt;ROWS($F$2:$F$43)-COUNTBLANK($F$2:$F$43),"",INDIRECT(ADDRESS(SMALL((IF($F$2:$F$43&lt;&gt;"",ROW($F$2:$F$43),ROW()+ROWS($F$2:$F$43))),ROW()-ROW($G$2:$G$43)+1),COLUMN($F$2:$F$43),4)))</f>
        <v/>
      </c>
      <c r="N32" s="206" t="str">
        <f t="array" aca="1" ref="N32" ca="1">IF(ROW()-ROW($H$2:$H$43)+1&gt;ROWS($G$2:$G$43)-COUNTBLANK($G$2:$G$43),"",INDIRECT(ADDRESS(SMALL((IF($G$2:$G$43&lt;&gt;"",ROW($G$2:$G$43),ROW()+ROWS($G$2:$G$43))),ROW()-ROW($H$2:$H$43)+1),COLUMN($G$2:$G$43),4)))</f>
        <v/>
      </c>
      <c r="O32" s="206" t="str">
        <f t="array" aca="1" ref="O32" ca="1">IF(ROW()-ROW($I$2:$I$43)+1&gt;ROWS($H$2:$H$43)-COUNTBLANK($H$2:$H$43),"",INDIRECT(ADDRESS(SMALL((IF($H$2:$H$43&lt;&gt;"",ROW($H$2:$H$43),ROW()+ROWS($H$2:$H$43))),ROW()-ROW($I$2:$I$43)+1),COLUMN($H$2:$H$43),4)))</f>
        <v/>
      </c>
      <c r="P32" s="206" t="str">
        <f t="array" aca="1" ref="P32" ca="1">IF(ROW()-ROW($J$2:$J$43)+1&gt;ROWS($I$2:$I$43)-COUNTBLANK($I$2:$I$43),"",INDIRECT(ADDRESS(SMALL((IF($I$2:$I$43&lt;&gt;"",ROW($I$2:$I$43),ROW()+ROWS($I$2:$I$43))),ROW()-ROW($J$2:$J$43)+1),COLUMN($I$2:$I$43),4)))</f>
        <v/>
      </c>
    </row>
    <row r="33" spans="4:16" ht="23.1" customHeight="1" thickBot="1" x14ac:dyDescent="0.3">
      <c r="D33" s="192" t="s">
        <v>329</v>
      </c>
      <c r="E33" s="276" t="str">
        <f>IF(H33="","","2017")</f>
        <v/>
      </c>
      <c r="F33" s="208" t="str">
        <f>IF(H33="","","h")</f>
        <v/>
      </c>
      <c r="G33" s="208" t="str">
        <f t="shared" si="2"/>
        <v/>
      </c>
      <c r="H33" s="198" t="str">
        <f>IF(A6="relevant",IF(Matrix!G24="","",IF(AND(ROUND(Matrix!G24,4)&gt;=Berechnung2!$F$40,ROUND(Matrix!G24,4)&lt;Berechnung2!$J$40),Berechnung2!$L$40,"")),"")</f>
        <v/>
      </c>
      <c r="I33" s="202" t="str">
        <f>IF(H33="","",VLOOKUP(F33,Berechnung2!$I$15:$J$25,2,FALSE))</f>
        <v/>
      </c>
      <c r="J33" s="222" t="str">
        <f t="shared" si="1"/>
        <v/>
      </c>
      <c r="L33" s="206" t="str">
        <f t="array" aca="1" ref="L33" ca="1">IF(ROW()-ROW($F$2:$F$43)+1&gt;ROWS($E$2:$E$43)-COUNTBLANK($E$2:$E$43),"",INDIRECT(ADDRESS(SMALL((IF($E$2:$E$43&lt;&gt;"",ROW($E$2:$E$43),ROW()+ROWS($E$2:$E$43))),ROW()-ROW($F$2:$F$43)+1),COLUMN($E$2:$E$43),4)))</f>
        <v/>
      </c>
      <c r="M33" s="206" t="str">
        <f t="array" aca="1" ref="M33" ca="1">IF(ROW()-ROW($G$2:$G$43)+1&gt;ROWS($F$2:$F$43)-COUNTBLANK($F$2:$F$43),"",INDIRECT(ADDRESS(SMALL((IF($F$2:$F$43&lt;&gt;"",ROW($F$2:$F$43),ROW()+ROWS($F$2:$F$43))),ROW()-ROW($G$2:$G$43)+1),COLUMN($F$2:$F$43),4)))</f>
        <v/>
      </c>
      <c r="N33" s="206" t="str">
        <f t="array" aca="1" ref="N33" ca="1">IF(ROW()-ROW($H$2:$H$43)+1&gt;ROWS($G$2:$G$43)-COUNTBLANK($G$2:$G$43),"",INDIRECT(ADDRESS(SMALL((IF($G$2:$G$43&lt;&gt;"",ROW($G$2:$G$43),ROW()+ROWS($G$2:$G$43))),ROW()-ROW($H$2:$H$43)+1),COLUMN($G$2:$G$43),4)))</f>
        <v/>
      </c>
      <c r="O33" s="206" t="str">
        <f t="array" aca="1" ref="O33" ca="1">IF(ROW()-ROW($I$2:$I$43)+1&gt;ROWS($H$2:$H$43)-COUNTBLANK($H$2:$H$43),"",INDIRECT(ADDRESS(SMALL((IF($H$2:$H$43&lt;&gt;"",ROW($H$2:$H$43),ROW()+ROWS($H$2:$H$43))),ROW()-ROW($I$2:$I$43)+1),COLUMN($H$2:$H$43),4)))</f>
        <v/>
      </c>
      <c r="P33" s="206" t="str">
        <f t="array" aca="1" ref="P33" ca="1">IF(ROW()-ROW($J$2:$J$43)+1&gt;ROWS($I$2:$I$43)-COUNTBLANK($I$2:$I$43),"",INDIRECT(ADDRESS(SMALL((IF($I$2:$I$43&lt;&gt;"",ROW($I$2:$I$43),ROW()+ROWS($I$2:$I$43))),ROW()-ROW($J$2:$J$43)+1),COLUMN($I$2:$I$43),4)))</f>
        <v/>
      </c>
    </row>
    <row r="34" spans="4:16" ht="23.1" customHeight="1" x14ac:dyDescent="0.25">
      <c r="D34" s="190" t="s">
        <v>74</v>
      </c>
      <c r="E34" s="274" t="str">
        <f>IF(H34="","","2013")</f>
        <v/>
      </c>
      <c r="F34" s="207" t="str">
        <f>IF(H34="","","i")</f>
        <v/>
      </c>
      <c r="G34" s="207" t="str">
        <f t="shared" si="2"/>
        <v/>
      </c>
      <c r="H34" s="196" t="str">
        <f>IF(A2="relevant",IF(Matrix!J20="","",IF(AND(ROUND(Matrix!J20,4)&gt;=Berechnung2!C48,ROUND(Matrix!J20,4)&lt;Berechnung2!G48),Berechnung2!L48,"")),"")</f>
        <v/>
      </c>
      <c r="I34" s="200" t="str">
        <f>IF(H34="","",VLOOKUP(F34,Berechnung2!$I$15:$J$25,2,FALSE))</f>
        <v/>
      </c>
      <c r="J34" s="220" t="str">
        <f t="shared" si="1"/>
        <v/>
      </c>
      <c r="L34" s="206" t="str">
        <f t="array" aca="1" ref="L34" ca="1">IF(ROW()-ROW($F$2:$F$43)+1&gt;ROWS($E$2:$E$43)-COUNTBLANK($E$2:$E$43),"",INDIRECT(ADDRESS(SMALL((IF($E$2:$E$43&lt;&gt;"",ROW($E$2:$E$43),ROW()+ROWS($E$2:$E$43))),ROW()-ROW($F$2:$F$43)+1),COLUMN($E$2:$E$43),4)))</f>
        <v/>
      </c>
      <c r="M34" s="206" t="str">
        <f t="array" aca="1" ref="M34" ca="1">IF(ROW()-ROW($G$2:$G$43)+1&gt;ROWS($F$2:$F$43)-COUNTBLANK($F$2:$F$43),"",INDIRECT(ADDRESS(SMALL((IF($F$2:$F$43&lt;&gt;"",ROW($F$2:$F$43),ROW()+ROWS($F$2:$F$43))),ROW()-ROW($G$2:$G$43)+1),COLUMN($F$2:$F$43),4)))</f>
        <v/>
      </c>
      <c r="N34" s="206" t="str">
        <f t="array" aca="1" ref="N34" ca="1">IF(ROW()-ROW($H$2:$H$43)+1&gt;ROWS($G$2:$G$43)-COUNTBLANK($G$2:$G$43),"",INDIRECT(ADDRESS(SMALL((IF($G$2:$G$43&lt;&gt;"",ROW($G$2:$G$43),ROW()+ROWS($G$2:$G$43))),ROW()-ROW($H$2:$H$43)+1),COLUMN($G$2:$G$43),4)))</f>
        <v/>
      </c>
      <c r="O34" s="206" t="str">
        <f t="array" aca="1" ref="O34" ca="1">IF(ROW()-ROW($I$2:$I$43)+1&gt;ROWS($H$2:$H$43)-COUNTBLANK($H$2:$H$43),"",INDIRECT(ADDRESS(SMALL((IF($H$2:$H$43&lt;&gt;"",ROW($H$2:$H$43),ROW()+ROWS($H$2:$H$43))),ROW()-ROW($I$2:$I$43)+1),COLUMN($H$2:$H$43),4)))</f>
        <v/>
      </c>
      <c r="P34" s="206" t="str">
        <f t="array" aca="1" ref="P34" ca="1">IF(ROW()-ROW($J$2:$J$43)+1&gt;ROWS($I$2:$I$43)-COUNTBLANK($I$2:$I$43),"",INDIRECT(ADDRESS(SMALL((IF($I$2:$I$43&lt;&gt;"",ROW($I$2:$I$43),ROW()+ROWS($I$2:$I$43))),ROW()-ROW($J$2:$J$43)+1),COLUMN($I$2:$I$43),4)))</f>
        <v/>
      </c>
    </row>
    <row r="35" spans="4:16" ht="23.1" customHeight="1" x14ac:dyDescent="0.25">
      <c r="D35" s="930" t="s">
        <v>330</v>
      </c>
      <c r="E35" s="275" t="str">
        <f>IF(H35="","","2014")</f>
        <v/>
      </c>
      <c r="F35" s="52" t="str">
        <f>IF(H35="","","i")</f>
        <v/>
      </c>
      <c r="G35" s="52" t="str">
        <f t="shared" si="2"/>
        <v/>
      </c>
      <c r="H35" s="187" t="str">
        <f>IF(A3="relevant",IF(Matrix!J21="","",IF(AND(ROUND(Matrix!J21,4)&gt;=Berechnung2!C49,ROUND(Matrix!J21,4)&lt;Berechnung2!G49),Berechnung2!L49,"")),"")</f>
        <v/>
      </c>
      <c r="I35" s="201" t="str">
        <f>IF(H35="","",VLOOKUP(F35,Berechnung2!$I$15:$J$25,2,FALSE))</f>
        <v/>
      </c>
      <c r="J35" s="221" t="str">
        <f t="shared" si="1"/>
        <v/>
      </c>
      <c r="L35" s="206" t="str">
        <f t="array" aca="1" ref="L35" ca="1">IF(ROW()-ROW($F$2:$F$43)+1&gt;ROWS($E$2:$E$43)-COUNTBLANK($E$2:$E$43),"",INDIRECT(ADDRESS(SMALL((IF($E$2:$E$43&lt;&gt;"",ROW($E$2:$E$43),ROW()+ROWS($E$2:$E$43))),ROW()-ROW($F$2:$F$43)+1),COLUMN($E$2:$E$43),4)))</f>
        <v/>
      </c>
      <c r="M35" s="206" t="str">
        <f t="array" aca="1" ref="M35" ca="1">IF(ROW()-ROW($G$2:$G$43)+1&gt;ROWS($F$2:$F$43)-COUNTBLANK($F$2:$F$43),"",INDIRECT(ADDRESS(SMALL((IF($F$2:$F$43&lt;&gt;"",ROW($F$2:$F$43),ROW()+ROWS($F$2:$F$43))),ROW()-ROW($G$2:$G$43)+1),COLUMN($F$2:$F$43),4)))</f>
        <v/>
      </c>
      <c r="N35" s="206" t="str">
        <f t="array" aca="1" ref="N35" ca="1">IF(ROW()-ROW($H$2:$H$43)+1&gt;ROWS($G$2:$G$43)-COUNTBLANK($G$2:$G$43),"",INDIRECT(ADDRESS(SMALL((IF($G$2:$G$43&lt;&gt;"",ROW($G$2:$G$43),ROW()+ROWS($G$2:$G$43))),ROW()-ROW($H$2:$H$43)+1),COLUMN($G$2:$G$43),4)))</f>
        <v/>
      </c>
      <c r="O35" s="206" t="str">
        <f t="array" aca="1" ref="O35" ca="1">IF(ROW()-ROW($I$2:$I$43)+1&gt;ROWS($H$2:$H$43)-COUNTBLANK($H$2:$H$43),"",INDIRECT(ADDRESS(SMALL((IF($H$2:$H$43&lt;&gt;"",ROW($H$2:$H$43),ROW()+ROWS($H$2:$H$43))),ROW()-ROW($I$2:$I$43)+1),COLUMN($H$2:$H$43),4)))</f>
        <v/>
      </c>
      <c r="P35" s="206" t="str">
        <f t="array" aca="1" ref="P35" ca="1">IF(ROW()-ROW($J$2:$J$43)+1&gt;ROWS($I$2:$I$43)-COUNTBLANK($I$2:$I$43),"",INDIRECT(ADDRESS(SMALL((IF($I$2:$I$43&lt;&gt;"",ROW($I$2:$I$43),ROW()+ROWS($I$2:$I$43))),ROW()-ROW($J$2:$J$43)+1),COLUMN($I$2:$I$43),4)))</f>
        <v/>
      </c>
    </row>
    <row r="36" spans="4:16" ht="23.1" customHeight="1" x14ac:dyDescent="0.25">
      <c r="D36" s="930"/>
      <c r="E36" s="275" t="str">
        <f>IF(H36="","","2015")</f>
        <v/>
      </c>
      <c r="F36" s="52" t="str">
        <f>IF(H36="","","i")</f>
        <v/>
      </c>
      <c r="G36" s="52" t="str">
        <f t="shared" si="2"/>
        <v/>
      </c>
      <c r="H36" s="187" t="str">
        <f>IF(A4="relevant",IF(Matrix!J22="","",IF(AND(ROUND(Matrix!J22,4)&gt;=Berechnung2!C50,ROUND(Matrix!J22,4)&lt;Berechnung2!G50),Berechnung2!L50,"")),"")</f>
        <v/>
      </c>
      <c r="I36" s="201" t="str">
        <f>IF(H36="","",VLOOKUP(F36,Berechnung2!$I$15:$J$25,2,FALSE))</f>
        <v/>
      </c>
      <c r="J36" s="221" t="str">
        <f t="shared" si="1"/>
        <v/>
      </c>
      <c r="L36" s="206" t="str">
        <f t="array" aca="1" ref="L36" ca="1">IF(ROW()-ROW($F$2:$F$43)+1&gt;ROWS($E$2:$E$43)-COUNTBLANK($E$2:$E$43),"",INDIRECT(ADDRESS(SMALL((IF($E$2:$E$43&lt;&gt;"",ROW($E$2:$E$43),ROW()+ROWS($E$2:$E$43))),ROW()-ROW($F$2:$F$43)+1),COLUMN($E$2:$E$43),4)))</f>
        <v/>
      </c>
      <c r="M36" s="206" t="str">
        <f t="array" aca="1" ref="M36" ca="1">IF(ROW()-ROW($G$2:$G$43)+1&gt;ROWS($F$2:$F$43)-COUNTBLANK($F$2:$F$43),"",INDIRECT(ADDRESS(SMALL((IF($F$2:$F$43&lt;&gt;"",ROW($F$2:$F$43),ROW()+ROWS($F$2:$F$43))),ROW()-ROW($G$2:$G$43)+1),COLUMN($F$2:$F$43),4)))</f>
        <v/>
      </c>
      <c r="N36" s="206" t="str">
        <f t="array" aca="1" ref="N36" ca="1">IF(ROW()-ROW($H$2:$H$43)+1&gt;ROWS($G$2:$G$43)-COUNTBLANK($G$2:$G$43),"",INDIRECT(ADDRESS(SMALL((IF($G$2:$G$43&lt;&gt;"",ROW($G$2:$G$43),ROW()+ROWS($G$2:$G$43))),ROW()-ROW($H$2:$H$43)+1),COLUMN($G$2:$G$43),4)))</f>
        <v/>
      </c>
      <c r="O36" s="206" t="str">
        <f t="array" aca="1" ref="O36" ca="1">IF(ROW()-ROW($I$2:$I$43)+1&gt;ROWS($H$2:$H$43)-COUNTBLANK($H$2:$H$43),"",INDIRECT(ADDRESS(SMALL((IF($H$2:$H$43&lt;&gt;"",ROW($H$2:$H$43),ROW()+ROWS($H$2:$H$43))),ROW()-ROW($I$2:$I$43)+1),COLUMN($H$2:$H$43),4)))</f>
        <v/>
      </c>
      <c r="P36" s="206" t="str">
        <f t="array" aca="1" ref="P36" ca="1">IF(ROW()-ROW($J$2:$J$43)+1&gt;ROWS($I$2:$I$43)-COUNTBLANK($I$2:$I$43),"",INDIRECT(ADDRESS(SMALL((IF($I$2:$I$43&lt;&gt;"",ROW($I$2:$I$43),ROW()+ROWS($I$2:$I$43))),ROW()-ROW($J$2:$J$43)+1),COLUMN($I$2:$I$43),4)))</f>
        <v/>
      </c>
    </row>
    <row r="37" spans="4:16" ht="23.1" customHeight="1" x14ac:dyDescent="0.25">
      <c r="D37" s="930"/>
      <c r="E37" s="275" t="str">
        <f>IF(H37="","","2016")</f>
        <v/>
      </c>
      <c r="F37" s="52" t="str">
        <f>IF(H37="","","i")</f>
        <v/>
      </c>
      <c r="G37" s="52" t="str">
        <f t="shared" si="2"/>
        <v/>
      </c>
      <c r="H37" s="187" t="str">
        <f>IF(A5="relevant",IF(Matrix!J23="","",IF(AND(ROUND(Matrix!J23,4)&gt;=Berechnung2!C51,ROUND(Matrix!J23,4)&lt;Berechnung2!G51),Berechnung2!L51,"")),"")</f>
        <v/>
      </c>
      <c r="I37" s="201" t="str">
        <f>IF(H37="","",VLOOKUP(F37,Berechnung2!$I$15:$J$25,2,FALSE))</f>
        <v/>
      </c>
      <c r="J37" s="221" t="str">
        <f t="shared" si="1"/>
        <v/>
      </c>
      <c r="L37" s="206" t="str">
        <f t="array" aca="1" ref="L37" ca="1">IF(ROW()-ROW($F$2:$F$43)+1&gt;ROWS($E$2:$E$43)-COUNTBLANK($E$2:$E$43),"",INDIRECT(ADDRESS(SMALL((IF($E$2:$E$43&lt;&gt;"",ROW($E$2:$E$43),ROW()+ROWS($E$2:$E$43))),ROW()-ROW($F$2:$F$43)+1),COLUMN($E$2:$E$43),4)))</f>
        <v/>
      </c>
      <c r="M37" s="206" t="str">
        <f t="array" aca="1" ref="M37" ca="1">IF(ROW()-ROW($G$2:$G$43)+1&gt;ROWS($F$2:$F$43)-COUNTBLANK($F$2:$F$43),"",INDIRECT(ADDRESS(SMALL((IF($F$2:$F$43&lt;&gt;"",ROW($F$2:$F$43),ROW()+ROWS($F$2:$F$43))),ROW()-ROW($G$2:$G$43)+1),COLUMN($F$2:$F$43),4)))</f>
        <v/>
      </c>
      <c r="N37" s="206" t="str">
        <f t="array" aca="1" ref="N37" ca="1">IF(ROW()-ROW($H$2:$H$43)+1&gt;ROWS($G$2:$G$43)-COUNTBLANK($G$2:$G$43),"",INDIRECT(ADDRESS(SMALL((IF($G$2:$G$43&lt;&gt;"",ROW($G$2:$G$43),ROW()+ROWS($G$2:$G$43))),ROW()-ROW($H$2:$H$43)+1),COLUMN($G$2:$G$43),4)))</f>
        <v/>
      </c>
      <c r="O37" s="206" t="str">
        <f t="array" aca="1" ref="O37" ca="1">IF(ROW()-ROW($I$2:$I$43)+1&gt;ROWS($H$2:$H$43)-COUNTBLANK($H$2:$H$43),"",INDIRECT(ADDRESS(SMALL((IF($H$2:$H$43&lt;&gt;"",ROW($H$2:$H$43),ROW()+ROWS($H$2:$H$43))),ROW()-ROW($I$2:$I$43)+1),COLUMN($H$2:$H$43),4)))</f>
        <v/>
      </c>
      <c r="P37" s="206" t="str">
        <f t="array" aca="1" ref="P37" ca="1">IF(ROW()-ROW($J$2:$J$43)+1&gt;ROWS($I$2:$I$43)-COUNTBLANK($I$2:$I$43),"",INDIRECT(ADDRESS(SMALL((IF($I$2:$I$43&lt;&gt;"",ROW($I$2:$I$43),ROW()+ROWS($I$2:$I$43))),ROW()-ROW($J$2:$J$43)+1),COLUMN($I$2:$I$43),4)))</f>
        <v/>
      </c>
    </row>
    <row r="38" spans="4:16" ht="23.1" customHeight="1" thickBot="1" x14ac:dyDescent="0.3">
      <c r="D38" s="192" t="s">
        <v>332</v>
      </c>
      <c r="E38" s="276" t="str">
        <f>IF(H38="","","2017")</f>
        <v/>
      </c>
      <c r="F38" s="208" t="str">
        <f>IF(H38="","","i")</f>
        <v/>
      </c>
      <c r="G38" s="208" t="str">
        <f t="shared" si="2"/>
        <v/>
      </c>
      <c r="H38" s="198" t="str">
        <f>IF(A6="relevant",IF(Matrix!J24="","",IF(AND(ROUND(Matrix!J24,4)&gt;=Berechnung2!C52,ROUND(Matrix!J24,4)&lt;Berechnung2!G52),Berechnung2!L52,"")),"")</f>
        <v/>
      </c>
      <c r="I38" s="202" t="str">
        <f>IF(H38="","",VLOOKUP(F38,Berechnung2!$I$15:$J$25,2,FALSE))</f>
        <v/>
      </c>
      <c r="J38" s="222" t="str">
        <f t="shared" si="1"/>
        <v/>
      </c>
      <c r="L38" s="206" t="str">
        <f t="array" aca="1" ref="L38" ca="1">IF(ROW()-ROW($F$2:$F$43)+1&gt;ROWS($E$2:$E$43)-COUNTBLANK($E$2:$E$43),"",INDIRECT(ADDRESS(SMALL((IF($E$2:$E$43&lt;&gt;"",ROW($E$2:$E$43),ROW()+ROWS($E$2:$E$43))),ROW()-ROW($F$2:$F$43)+1),COLUMN($E$2:$E$43),4)))</f>
        <v/>
      </c>
      <c r="M38" s="206" t="str">
        <f t="array" aca="1" ref="M38" ca="1">IF(ROW()-ROW($G$2:$G$43)+1&gt;ROWS($F$2:$F$43)-COUNTBLANK($F$2:$F$43),"",INDIRECT(ADDRESS(SMALL((IF($F$2:$F$43&lt;&gt;"",ROW($F$2:$F$43),ROW()+ROWS($F$2:$F$43))),ROW()-ROW($G$2:$G$43)+1),COLUMN($F$2:$F$43),4)))</f>
        <v/>
      </c>
      <c r="N38" s="206" t="str">
        <f t="array" aca="1" ref="N38" ca="1">IF(ROW()-ROW($H$2:$H$43)+1&gt;ROWS($G$2:$G$43)-COUNTBLANK($G$2:$G$43),"",INDIRECT(ADDRESS(SMALL((IF($G$2:$G$43&lt;&gt;"",ROW($G$2:$G$43),ROW()+ROWS($G$2:$G$43))),ROW()-ROW($H$2:$H$43)+1),COLUMN($G$2:$G$43),4)))</f>
        <v/>
      </c>
      <c r="O38" s="206" t="str">
        <f t="array" aca="1" ref="O38" ca="1">IF(ROW()-ROW($I$2:$I$43)+1&gt;ROWS($H$2:$H$43)-COUNTBLANK($H$2:$H$43),"",INDIRECT(ADDRESS(SMALL((IF($H$2:$H$43&lt;&gt;"",ROW($H$2:$H$43),ROW()+ROWS($H$2:$H$43))),ROW()-ROW($I$2:$I$43)+1),COLUMN($H$2:$H$43),4)))</f>
        <v/>
      </c>
      <c r="P38" s="206" t="str">
        <f t="array" aca="1" ref="P38" ca="1">IF(ROW()-ROW($J$2:$J$43)+1&gt;ROWS($I$2:$I$43)-COUNTBLANK($I$2:$I$43),"",INDIRECT(ADDRESS(SMALL((IF($I$2:$I$43&lt;&gt;"",ROW($I$2:$I$43),ROW()+ROWS($I$2:$I$43))),ROW()-ROW($J$2:$J$43)+1),COLUMN($I$2:$I$43),4)))</f>
        <v/>
      </c>
    </row>
    <row r="39" spans="4:16" ht="23.1" customHeight="1" x14ac:dyDescent="0.25">
      <c r="D39" s="190" t="s">
        <v>74</v>
      </c>
      <c r="E39" s="274" t="str">
        <f>IF(H39="","","2013")</f>
        <v/>
      </c>
      <c r="F39" s="207" t="str">
        <f>IF(H39="","","j")</f>
        <v/>
      </c>
      <c r="G39" s="207" t="str">
        <f t="shared" si="2"/>
        <v/>
      </c>
      <c r="H39" s="196" t="str">
        <f>IF(A2="relevant",IF(Matrix!M20="","",IF(AND(ROUND(Matrix!M20,4)&gt;=Berechnung2!C55,ROUND(Matrix!M20,4)&lt;Berechnung2!G55),Berechnung2!L55,IF(ROUND(Matrix!M20,4)&gt;=Berechnung2!I55,Berechnung2!N55,""))),"")</f>
        <v/>
      </c>
      <c r="I39" s="200" t="str">
        <f>IF(H39="","",VLOOKUP(F39,Berechnung2!$I$15:$J$25,2,FALSE))</f>
        <v/>
      </c>
      <c r="J39" s="220" t="str">
        <f t="shared" si="1"/>
        <v/>
      </c>
      <c r="L39" s="206" t="str">
        <f t="array" aca="1" ref="L39" ca="1">IF(ROW()-ROW($F$2:$F$43)+1&gt;ROWS($E$2:$E$43)-COUNTBLANK($E$2:$E$43),"",INDIRECT(ADDRESS(SMALL((IF($E$2:$E$43&lt;&gt;"",ROW($E$2:$E$43),ROW()+ROWS($E$2:$E$43))),ROW()-ROW($F$2:$F$43)+1),COLUMN($E$2:$E$43),4)))</f>
        <v/>
      </c>
      <c r="M39" s="206" t="str">
        <f t="array" aca="1" ref="M39" ca="1">IF(ROW()-ROW($G$2:$G$43)+1&gt;ROWS($F$2:$F$43)-COUNTBLANK($F$2:$F$43),"",INDIRECT(ADDRESS(SMALL((IF($F$2:$F$43&lt;&gt;"",ROW($F$2:$F$43),ROW()+ROWS($F$2:$F$43))),ROW()-ROW($G$2:$G$43)+1),COLUMN($F$2:$F$43),4)))</f>
        <v/>
      </c>
      <c r="N39" s="206" t="str">
        <f t="array" aca="1" ref="N39" ca="1">IF(ROW()-ROW($H$2:$H$43)+1&gt;ROWS($G$2:$G$43)-COUNTBLANK($G$2:$G$43),"",INDIRECT(ADDRESS(SMALL((IF($G$2:$G$43&lt;&gt;"",ROW($G$2:$G$43),ROW()+ROWS($G$2:$G$43))),ROW()-ROW($H$2:$H$43)+1),COLUMN($G$2:$G$43),4)))</f>
        <v/>
      </c>
      <c r="O39" s="206" t="str">
        <f t="array" aca="1" ref="O39" ca="1">IF(ROW()-ROW($I$2:$I$43)+1&gt;ROWS($H$2:$H$43)-COUNTBLANK($H$2:$H$43),"",INDIRECT(ADDRESS(SMALL((IF($H$2:$H$43&lt;&gt;"",ROW($H$2:$H$43),ROW()+ROWS($H$2:$H$43))),ROW()-ROW($I$2:$I$43)+1),COLUMN($H$2:$H$43),4)))</f>
        <v/>
      </c>
      <c r="P39" s="206" t="str">
        <f t="array" aca="1" ref="P39" ca="1">IF(ROW()-ROW($J$2:$J$43)+1&gt;ROWS($I$2:$I$43)-COUNTBLANK($I$2:$I$43),"",INDIRECT(ADDRESS(SMALL((IF($I$2:$I$43&lt;&gt;"",ROW($I$2:$I$43),ROW()+ROWS($I$2:$I$43))),ROW()-ROW($J$2:$J$43)+1),COLUMN($I$2:$I$43),4)))</f>
        <v/>
      </c>
    </row>
    <row r="40" spans="4:16" ht="23.1" customHeight="1" x14ac:dyDescent="0.25">
      <c r="D40" s="930" t="s">
        <v>290</v>
      </c>
      <c r="E40" s="275" t="str">
        <f>IF(H40="","","2014")</f>
        <v/>
      </c>
      <c r="F40" s="52" t="str">
        <f>IF(H40="","","j")</f>
        <v/>
      </c>
      <c r="G40" s="52" t="str">
        <f t="shared" si="2"/>
        <v/>
      </c>
      <c r="H40" s="187" t="str">
        <f>IF(A3="relevant",IF(Matrix!M21="","",IF(AND(ROUND(Matrix!M21,4)&gt;=Berechnung2!C56,ROUND(Matrix!M21,4)&lt;Berechnung2!G56),Berechnung2!L56,IF(ROUND(Matrix!M21,4)&gt;=Berechnung2!I56,Berechnung2!N56,""))),"")</f>
        <v/>
      </c>
      <c r="I40" s="201" t="str">
        <f>IF(H40="","",VLOOKUP(F40,Berechnung2!$I$15:$J$25,2,FALSE))</f>
        <v/>
      </c>
      <c r="J40" s="221" t="str">
        <f t="shared" si="1"/>
        <v/>
      </c>
      <c r="L40" s="206" t="str">
        <f t="array" aca="1" ref="L40" ca="1">IF(ROW()-ROW($F$2:$F$43)+1&gt;ROWS($E$2:$E$43)-COUNTBLANK($E$2:$E$43),"",INDIRECT(ADDRESS(SMALL((IF($E$2:$E$43&lt;&gt;"",ROW($E$2:$E$43),ROW()+ROWS($E$2:$E$43))),ROW()-ROW($F$2:$F$43)+1),COLUMN($E$2:$E$43),4)))</f>
        <v/>
      </c>
      <c r="M40" s="206" t="str">
        <f t="array" aca="1" ref="M40" ca="1">IF(ROW()-ROW($G$2:$G$43)+1&gt;ROWS($F$2:$F$43)-COUNTBLANK($F$2:$F$43),"",INDIRECT(ADDRESS(SMALL((IF($F$2:$F$43&lt;&gt;"",ROW($F$2:$F$43),ROW()+ROWS($F$2:$F$43))),ROW()-ROW($G$2:$G$43)+1),COLUMN($F$2:$F$43),4)))</f>
        <v/>
      </c>
      <c r="N40" s="206" t="str">
        <f t="array" aca="1" ref="N40" ca="1">IF(ROW()-ROW($H$2:$H$43)+1&gt;ROWS($G$2:$G$43)-COUNTBLANK($G$2:$G$43),"",INDIRECT(ADDRESS(SMALL((IF($G$2:$G$43&lt;&gt;"",ROW($G$2:$G$43),ROW()+ROWS($G$2:$G$43))),ROW()-ROW($H$2:$H$43)+1),COLUMN($G$2:$G$43),4)))</f>
        <v/>
      </c>
      <c r="O40" s="206" t="str">
        <f t="array" aca="1" ref="O40" ca="1">IF(ROW()-ROW($I$2:$I$43)+1&gt;ROWS($H$2:$H$43)-COUNTBLANK($H$2:$H$43),"",INDIRECT(ADDRESS(SMALL((IF($H$2:$H$43&lt;&gt;"",ROW($H$2:$H$43),ROW()+ROWS($H$2:$H$43))),ROW()-ROW($I$2:$I$43)+1),COLUMN($H$2:$H$43),4)))</f>
        <v/>
      </c>
      <c r="P40" s="206" t="str">
        <f t="array" aca="1" ref="P40" ca="1">IF(ROW()-ROW($J$2:$J$43)+1&gt;ROWS($I$2:$I$43)-COUNTBLANK($I$2:$I$43),"",INDIRECT(ADDRESS(SMALL((IF($I$2:$I$43&lt;&gt;"",ROW($I$2:$I$43),ROW()+ROWS($I$2:$I$43))),ROW()-ROW($J$2:$J$43)+1),COLUMN($I$2:$I$43),4)))</f>
        <v/>
      </c>
    </row>
    <row r="41" spans="4:16" ht="23.1" customHeight="1" x14ac:dyDescent="0.25">
      <c r="D41" s="930"/>
      <c r="E41" s="275" t="str">
        <f>IF(H41="","","2015")</f>
        <v/>
      </c>
      <c r="F41" s="52" t="str">
        <f>IF(H41="","","j")</f>
        <v/>
      </c>
      <c r="G41" s="52" t="str">
        <f t="shared" si="2"/>
        <v/>
      </c>
      <c r="H41" s="187" t="str">
        <f>IF(A4="relevant",IF(Matrix!M22="","",IF(AND(ROUND(Matrix!M22,4)&gt;=Berechnung2!C57,ROUND(Matrix!M22,4)&lt;Berechnung2!G57),Berechnung2!L57,IF(ROUND(Matrix!M22,4)&gt;=Berechnung2!I57,Berechnung2!N57,""))),"")</f>
        <v/>
      </c>
      <c r="I41" s="201" t="str">
        <f>IF(H41="","",VLOOKUP(F41,Berechnung2!$I$15:$J$25,2,FALSE))</f>
        <v/>
      </c>
      <c r="J41" s="221" t="str">
        <f t="shared" si="1"/>
        <v/>
      </c>
      <c r="L41" s="206" t="str">
        <f t="array" aca="1" ref="L41" ca="1">IF(ROW()-ROW($F$2:$F$43)+1&gt;ROWS($E$2:$E$43)-COUNTBLANK($E$2:$E$43),"",INDIRECT(ADDRESS(SMALL((IF($E$2:$E$43&lt;&gt;"",ROW($E$2:$E$43),ROW()+ROWS($E$2:$E$43))),ROW()-ROW($F$2:$F$43)+1),COLUMN($E$2:$E$43),4)))</f>
        <v/>
      </c>
      <c r="M41" s="206" t="str">
        <f t="array" aca="1" ref="M41" ca="1">IF(ROW()-ROW($G$2:$G$43)+1&gt;ROWS($F$2:$F$43)-COUNTBLANK($F$2:$F$43),"",INDIRECT(ADDRESS(SMALL((IF($F$2:$F$43&lt;&gt;"",ROW($F$2:$F$43),ROW()+ROWS($F$2:$F$43))),ROW()-ROW($G$2:$G$43)+1),COLUMN($F$2:$F$43),4)))</f>
        <v/>
      </c>
      <c r="N41" s="206" t="str">
        <f t="array" aca="1" ref="N41" ca="1">IF(ROW()-ROW($H$2:$H$43)+1&gt;ROWS($G$2:$G$43)-COUNTBLANK($G$2:$G$43),"",INDIRECT(ADDRESS(SMALL((IF($G$2:$G$43&lt;&gt;"",ROW($G$2:$G$43),ROW()+ROWS($G$2:$G$43))),ROW()-ROW($H$2:$H$43)+1),COLUMN($G$2:$G$43),4)))</f>
        <v/>
      </c>
      <c r="O41" s="206" t="str">
        <f t="array" aca="1" ref="O41" ca="1">IF(ROW()-ROW($I$2:$I$43)+1&gt;ROWS($H$2:$H$43)-COUNTBLANK($H$2:$H$43),"",INDIRECT(ADDRESS(SMALL((IF($H$2:$H$43&lt;&gt;"",ROW($H$2:$H$43),ROW()+ROWS($H$2:$H$43))),ROW()-ROW($I$2:$I$43)+1),COLUMN($H$2:$H$43),4)))</f>
        <v/>
      </c>
      <c r="P41" s="206" t="str">
        <f t="array" aca="1" ref="P41" ca="1">IF(ROW()-ROW($J$2:$J$43)+1&gt;ROWS($I$2:$I$43)-COUNTBLANK($I$2:$I$43),"",INDIRECT(ADDRESS(SMALL((IF($I$2:$I$43&lt;&gt;"",ROW($I$2:$I$43),ROW()+ROWS($I$2:$I$43))),ROW()-ROW($J$2:$J$43)+1),COLUMN($I$2:$I$43),4)))</f>
        <v/>
      </c>
    </row>
    <row r="42" spans="4:16" ht="23.1" customHeight="1" thickBot="1" x14ac:dyDescent="0.3">
      <c r="D42" s="192" t="s">
        <v>331</v>
      </c>
      <c r="E42" s="276" t="str">
        <f>IF(H42="","","2016")</f>
        <v/>
      </c>
      <c r="F42" s="208" t="str">
        <f>IF(H42="","","j")</f>
        <v/>
      </c>
      <c r="G42" s="208" t="str">
        <f t="shared" si="2"/>
        <v/>
      </c>
      <c r="H42" s="198" t="str">
        <f>IF(A5="relevant",IF(Matrix!M23="","",IF(AND(ROUND(Matrix!M23,4)&gt;=Berechnung2!C58,ROUND(Matrix!M23,4)&lt;Berechnung2!G58),Berechnung2!L58,IF(ROUND(Matrix!M23,4)&gt;=Berechnung2!I58,Berechnung2!N58,""))),"")</f>
        <v/>
      </c>
      <c r="I42" s="202" t="str">
        <f>IF(H42="","",VLOOKUP(F42,Berechnung2!$I$15:$J$25,2,FALSE))</f>
        <v/>
      </c>
      <c r="J42" s="222" t="str">
        <f t="shared" si="1"/>
        <v/>
      </c>
      <c r="L42" s="206" t="str">
        <f t="array" aca="1" ref="L42" ca="1">IF(ROW()-ROW($F$2:$F$43)+1&gt;ROWS($E$2:$E$43)-COUNTBLANK($E$2:$E$43),"",INDIRECT(ADDRESS(SMALL((IF($E$2:$E$43&lt;&gt;"",ROW($E$2:$E$43),ROW()+ROWS($E$2:$E$43))),ROW()-ROW($F$2:$F$43)+1),COLUMN($E$2:$E$43),4)))</f>
        <v/>
      </c>
      <c r="M42" s="206" t="str">
        <f t="array" aca="1" ref="M42" ca="1">IF(ROW()-ROW($G$2:$G$43)+1&gt;ROWS($F$2:$F$43)-COUNTBLANK($F$2:$F$43),"",INDIRECT(ADDRESS(SMALL((IF($F$2:$F$43&lt;&gt;"",ROW($F$2:$F$43),ROW()+ROWS($F$2:$F$43))),ROW()-ROW($G$2:$G$43)+1),COLUMN($F$2:$F$43),4)))</f>
        <v/>
      </c>
      <c r="N42" s="206" t="str">
        <f t="array" aca="1" ref="N42" ca="1">IF(ROW()-ROW($H$2:$H$43)+1&gt;ROWS($G$2:$G$43)-COUNTBLANK($G$2:$G$43),"",INDIRECT(ADDRESS(SMALL((IF($G$2:$G$43&lt;&gt;"",ROW($G$2:$G$43),ROW()+ROWS($G$2:$G$43))),ROW()-ROW($H$2:$H$43)+1),COLUMN($G$2:$G$43),4)))</f>
        <v/>
      </c>
      <c r="O42" s="206" t="str">
        <f t="array" aca="1" ref="O42" ca="1">IF(ROW()-ROW($I$2:$I$43)+1&gt;ROWS($H$2:$H$43)-COUNTBLANK($H$2:$H$43),"",INDIRECT(ADDRESS(SMALL((IF($H$2:$H$43&lt;&gt;"",ROW($H$2:$H$43),ROW()+ROWS($H$2:$H$43))),ROW()-ROW($I$2:$I$43)+1),COLUMN($H$2:$H$43),4)))</f>
        <v/>
      </c>
      <c r="P42" s="206" t="str">
        <f t="array" aca="1" ref="P42" ca="1">IF(ROW()-ROW($J$2:$J$43)+1&gt;ROWS($I$2:$I$43)-COUNTBLANK($I$2:$I$43),"",INDIRECT(ADDRESS(SMALL((IF($I$2:$I$43&lt;&gt;"",ROW($I$2:$I$43),ROW()+ROWS($I$2:$I$43))),ROW()-ROW($J$2:$J$43)+1),COLUMN($I$2:$I$43),4)))</f>
        <v/>
      </c>
    </row>
    <row r="43" spans="4:16" ht="37.5" customHeight="1" thickBot="1" x14ac:dyDescent="0.3">
      <c r="D43" s="191" t="s">
        <v>341</v>
      </c>
      <c r="E43" s="277" t="str">
        <f>IF(H43="","","2017")</f>
        <v/>
      </c>
      <c r="F43" s="209" t="str">
        <f>IF(H43="","","k")</f>
        <v/>
      </c>
      <c r="G43" s="209" t="str">
        <f t="shared" si="2"/>
        <v/>
      </c>
      <c r="H43" s="199" t="str">
        <f>IF(A6="relevant",IF(Matrix!M24="","",IF(AND(ROUND(Matrix!M24,4)&gt;=Berechnung2!C59,ROUND(Matrix!M24,4)&lt;Berechnung2!G59),Berechnung2!L59,IF(ROUND(Matrix!M24,4)&gt;Berechnung2!I59,Berechnung2!N59,""))),"")</f>
        <v/>
      </c>
      <c r="I43" s="203" t="str">
        <f>IF(H43="","",VLOOKUP(F43,Berechnung2!$I$15:$J$25,2,FALSE))</f>
        <v/>
      </c>
      <c r="J43" s="223" t="str">
        <f t="shared" si="1"/>
        <v/>
      </c>
      <c r="L43" s="206" t="str">
        <f t="array" aca="1" ref="L43" ca="1">IF(ROW()-ROW($F$2:$F$43)+1&gt;ROWS($E$2:$E$43)-COUNTBLANK($E$2:$E$43),"",INDIRECT(ADDRESS(SMALL((IF($E$2:$E$43&lt;&gt;"",ROW($E$2:$E$43),ROW()+ROWS($E$2:$E$43))),ROW()-ROW($F$2:$F$43)+1),COLUMN($E$2:$E$43),4)))</f>
        <v/>
      </c>
      <c r="M43" s="206" t="str">
        <f t="array" aca="1" ref="M43" ca="1">IF(ROW()-ROW($G$2:$G$43)+1&gt;ROWS($F$2:$F$43)-COUNTBLANK($F$2:$F$43),"",INDIRECT(ADDRESS(SMALL((IF($F$2:$F$43&lt;&gt;"",ROW($F$2:$F$43),ROW()+ROWS($F$2:$F$43))),ROW()-ROW($G$2:$G$43)+1),COLUMN($F$2:$F$43),4)))</f>
        <v/>
      </c>
      <c r="N43" s="206" t="str">
        <f t="array" aca="1" ref="N43" ca="1">IF(ROW()-ROW($H$2:$H$43)+1&gt;ROWS($G$2:$G$43)-COUNTBLANK($G$2:$G$43),"",INDIRECT(ADDRESS(SMALL((IF($G$2:$G$43&lt;&gt;"",ROW($G$2:$G$43),ROW()+ROWS($G$2:$G$43))),ROW()-ROW($H$2:$H$43)+1),COLUMN($G$2:$G$43),4)))</f>
        <v/>
      </c>
      <c r="O43" s="206" t="str">
        <f t="array" aca="1" ref="O43" ca="1">IF(ROW()-ROW($I$2:$I$43)+1&gt;ROWS($H$2:$H$43)-COUNTBLANK($H$2:$H$43),"",INDIRECT(ADDRESS(SMALL((IF($H$2:$H$43&lt;&gt;"",ROW($H$2:$H$43),ROW()+ROWS($H$2:$H$43))),ROW()-ROW($I$2:$I$43)+1),COLUMN($H$2:$H$43),4)))</f>
        <v/>
      </c>
      <c r="P43" s="206" t="str">
        <f t="array" aca="1" ref="P43" ca="1">IF(ROW()-ROW($J$2:$J$43)+1&gt;ROWS($I$2:$I$43)-COUNTBLANK($I$2:$I$43),"",INDIRECT(ADDRESS(SMALL((IF($I$2:$I$43&lt;&gt;"",ROW($I$2:$I$43),ROW()+ROWS($I$2:$I$43))),ROW()-ROW($J$2:$J$43)+1),COLUMN($I$2:$I$43),4)))</f>
        <v/>
      </c>
    </row>
    <row r="45" spans="4:16" x14ac:dyDescent="0.25">
      <c r="I45" s="213" t="s">
        <v>83</v>
      </c>
      <c r="J45" s="216">
        <f>IF(SUM(J2:J6)=0,0,SUM(J2:J6))</f>
        <v>0</v>
      </c>
    </row>
    <row r="46" spans="4:16" x14ac:dyDescent="0.25">
      <c r="I46" s="212" t="s">
        <v>82</v>
      </c>
      <c r="J46" s="216">
        <f>IF(SUM(J7:J21)=0,0,SUM(J7:J21))</f>
        <v>0</v>
      </c>
    </row>
    <row r="47" spans="4:16" x14ac:dyDescent="0.25">
      <c r="I47" s="211" t="s">
        <v>74</v>
      </c>
      <c r="J47" s="215">
        <f>IF(SUM(J23:J43)=0,0,SUM(J23:J43))</f>
        <v>0</v>
      </c>
    </row>
    <row r="48" spans="4:16" x14ac:dyDescent="0.25">
      <c r="I48" s="210" t="s">
        <v>6</v>
      </c>
      <c r="J48" s="214">
        <f>IF(J22="",0,J22)</f>
        <v>0</v>
      </c>
    </row>
  </sheetData>
  <mergeCells count="9">
    <mergeCell ref="D3:D5"/>
    <mergeCell ref="D24:D26"/>
    <mergeCell ref="D30:D32"/>
    <mergeCell ref="D35:D37"/>
    <mergeCell ref="D40:D41"/>
    <mergeCell ref="D8:D10"/>
    <mergeCell ref="D13:D15"/>
    <mergeCell ref="D18:D20"/>
    <mergeCell ref="A23:A27"/>
  </mergeCells>
  <conditionalFormatting sqref="B2:B6">
    <cfRule type="expression" dxfId="33" priority="17" stopIfTrue="1">
      <formula>OR($A2="EZ",$A2="nicht relevant")</formula>
    </cfRule>
  </conditionalFormatting>
  <conditionalFormatting sqref="D22">
    <cfRule type="expression" dxfId="32" priority="2847">
      <formula>$D22="EZ"</formula>
    </cfRule>
    <cfRule type="expression" dxfId="31" priority="2848">
      <formula>$D22="nicht relevant"</formula>
    </cfRule>
  </conditionalFormatting>
  <conditionalFormatting sqref="D28">
    <cfRule type="expression" dxfId="30" priority="20">
      <formula>#REF!="EZ"</formula>
    </cfRule>
    <cfRule type="expression" dxfId="29" priority="21">
      <formula>#REF!="nicht relevant"</formula>
    </cfRule>
  </conditionalFormatting>
  <conditionalFormatting sqref="D43">
    <cfRule type="expression" dxfId="28" priority="18">
      <formula>#REF!="EZ"</formula>
    </cfRule>
    <cfRule type="expression" dxfId="27" priority="19">
      <formula>#REF!="nicht relevant"</formula>
    </cfRule>
  </conditionalFormatting>
  <conditionalFormatting sqref="E7">
    <cfRule type="expression" dxfId="26" priority="2898" stopIfTrue="1">
      <formula>OR(#REF!="EZ",#REF!="nicht relevant")</formula>
    </cfRule>
  </conditionalFormatting>
  <conditionalFormatting sqref="E8:E21">
    <cfRule type="expression" dxfId="25" priority="5" stopIfTrue="1">
      <formula>OR($A7="EZ",$A7="nicht relevant")</formula>
    </cfRule>
  </conditionalFormatting>
  <conditionalFormatting sqref="E23:E27">
    <cfRule type="expression" dxfId="24" priority="4" stopIfTrue="1">
      <formula>OR($A22="EZ",$A22="nicht relevant")</formula>
    </cfRule>
  </conditionalFormatting>
  <conditionalFormatting sqref="E29:E42">
    <cfRule type="expression" dxfId="23" priority="1" stopIfTrue="1">
      <formula>OR($A28="EZ",$A28="nicht relevant")</formula>
    </cfRule>
  </conditionalFormatting>
  <conditionalFormatting sqref="E2:J6">
    <cfRule type="expression" dxfId="22" priority="16" stopIfTrue="1">
      <formula>OR($A2="EZ",$A2="nicht relevant")</formula>
    </cfRule>
  </conditionalFormatting>
  <conditionalFormatting sqref="E7:J11">
    <cfRule type="expression" dxfId="21" priority="15" stopIfTrue="1">
      <formula>OR($A2="EZ",$A2="nicht relevant")</formula>
    </cfRule>
  </conditionalFormatting>
  <conditionalFormatting sqref="E12:J16">
    <cfRule type="expression" dxfId="20" priority="14" stopIfTrue="1">
      <formula>OR($A2="EZ",$A2="nicht relevant")</formula>
    </cfRule>
  </conditionalFormatting>
  <conditionalFormatting sqref="E17:J21">
    <cfRule type="expression" dxfId="19" priority="13" stopIfTrue="1">
      <formula>OR($A2="EZ",$A2="nicht relevant")</formula>
    </cfRule>
  </conditionalFormatting>
  <conditionalFormatting sqref="E23:J27">
    <cfRule type="expression" dxfId="18" priority="11" stopIfTrue="1">
      <formula>OR($A2="EZ",$A2="nicht relevant")</formula>
    </cfRule>
  </conditionalFormatting>
  <conditionalFormatting sqref="E29:J33">
    <cfRule type="expression" dxfId="17" priority="10" stopIfTrue="1">
      <formula>OR($A2="EZ",$A2="nicht relevant")</formula>
    </cfRule>
  </conditionalFormatting>
  <conditionalFormatting sqref="E34:J38">
    <cfRule type="expression" dxfId="16" priority="9" stopIfTrue="1">
      <formula>OR($A2="EZ",$A2="nicht relevant")</formula>
    </cfRule>
  </conditionalFormatting>
  <conditionalFormatting sqref="E39:J42">
    <cfRule type="expression" dxfId="15" priority="8" stopIfTrue="1">
      <formula>OR($A2="EZ",$A2="nicht relevant")</formula>
    </cfRule>
  </conditionalFormatting>
  <conditionalFormatting sqref="H28">
    <cfRule type="expression" dxfId="14" priority="2857">
      <formula>#REF!="EZ"</formula>
    </cfRule>
    <cfRule type="expression" dxfId="13" priority="2858">
      <formula>#REF!="nicht relevant"</formula>
    </cfRule>
  </conditionalFormatting>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0"/>
  <dimension ref="A1:D43"/>
  <sheetViews>
    <sheetView topLeftCell="A3" workbookViewId="0">
      <selection activeCell="A43" sqref="A43"/>
    </sheetView>
  </sheetViews>
  <sheetFormatPr defaultColWidth="11.42578125" defaultRowHeight="12" x14ac:dyDescent="0.2"/>
  <cols>
    <col min="1" max="1" width="27.140625" style="205" customWidth="1"/>
    <col min="2" max="2" width="20.42578125" style="205" customWidth="1"/>
    <col min="3" max="3" width="56" style="204" customWidth="1"/>
    <col min="4" max="4" width="78.7109375" style="204" customWidth="1"/>
    <col min="5" max="16384" width="11.42578125" style="140"/>
  </cols>
  <sheetData>
    <row r="1" spans="1:4" ht="24" x14ac:dyDescent="0.2">
      <c r="A1" s="218" t="s">
        <v>109</v>
      </c>
      <c r="B1" s="219" t="s">
        <v>320</v>
      </c>
      <c r="C1" s="219" t="s">
        <v>56</v>
      </c>
      <c r="D1" s="218" t="s">
        <v>298</v>
      </c>
    </row>
    <row r="2" spans="1:4" x14ac:dyDescent="0.2">
      <c r="A2" s="205" t="str">
        <f ca="1">Berechnung3!L2</f>
        <v/>
      </c>
      <c r="B2" s="205" t="str">
        <f ca="1">Berechnung3!N2</f>
        <v/>
      </c>
      <c r="C2" s="204" t="str">
        <f ca="1">Berechnung3!O2</f>
        <v/>
      </c>
      <c r="D2" s="204" t="str">
        <f ca="1">Berechnung3!P2</f>
        <v/>
      </c>
    </row>
    <row r="3" spans="1:4" x14ac:dyDescent="0.2">
      <c r="A3" s="205" t="str">
        <f ca="1">Berechnung3!L3</f>
        <v/>
      </c>
      <c r="B3" s="205" t="str">
        <f ca="1">Berechnung3!N3</f>
        <v/>
      </c>
      <c r="C3" s="204" t="str">
        <f ca="1">Berechnung3!O3</f>
        <v/>
      </c>
      <c r="D3" s="204" t="str">
        <f ca="1">Berechnung3!P3</f>
        <v/>
      </c>
    </row>
    <row r="4" spans="1:4" x14ac:dyDescent="0.2">
      <c r="A4" s="205" t="str">
        <f ca="1">Berechnung3!L4</f>
        <v/>
      </c>
      <c r="B4" s="205" t="str">
        <f ca="1">Berechnung3!N4</f>
        <v/>
      </c>
      <c r="C4" s="204" t="str">
        <f ca="1">Berechnung3!O4</f>
        <v/>
      </c>
      <c r="D4" s="204" t="str">
        <f ca="1">Berechnung3!P4</f>
        <v/>
      </c>
    </row>
    <row r="5" spans="1:4" x14ac:dyDescent="0.2">
      <c r="A5" s="205" t="str">
        <f ca="1">Berechnung3!L5</f>
        <v/>
      </c>
      <c r="B5" s="205" t="str">
        <f ca="1">Berechnung3!N5</f>
        <v/>
      </c>
      <c r="C5" s="204" t="str">
        <f ca="1">Berechnung3!O5</f>
        <v/>
      </c>
      <c r="D5" s="204" t="str">
        <f ca="1">Berechnung3!P5</f>
        <v/>
      </c>
    </row>
    <row r="6" spans="1:4" x14ac:dyDescent="0.2">
      <c r="A6" s="205" t="str">
        <f ca="1">Berechnung3!L6</f>
        <v/>
      </c>
      <c r="B6" s="205" t="str">
        <f ca="1">Berechnung3!N6</f>
        <v/>
      </c>
      <c r="C6" s="204" t="str">
        <f ca="1">Berechnung3!O6</f>
        <v/>
      </c>
      <c r="D6" s="204" t="str">
        <f ca="1">Berechnung3!P6</f>
        <v/>
      </c>
    </row>
    <row r="7" spans="1:4" x14ac:dyDescent="0.2">
      <c r="A7" s="205" t="str">
        <f ca="1">Berechnung3!L7</f>
        <v/>
      </c>
      <c r="B7" s="205" t="str">
        <f ca="1">Berechnung3!N7</f>
        <v/>
      </c>
      <c r="C7" s="204" t="str">
        <f ca="1">Berechnung3!O7</f>
        <v/>
      </c>
      <c r="D7" s="204" t="str">
        <f ca="1">Berechnung3!P7</f>
        <v/>
      </c>
    </row>
    <row r="8" spans="1:4" x14ac:dyDescent="0.2">
      <c r="A8" s="205" t="str">
        <f ca="1">Berechnung3!L8</f>
        <v/>
      </c>
      <c r="B8" s="205" t="str">
        <f ca="1">Berechnung3!N8</f>
        <v/>
      </c>
      <c r="C8" s="204" t="str">
        <f ca="1">Berechnung3!O8</f>
        <v/>
      </c>
      <c r="D8" s="204" t="str">
        <f ca="1">Berechnung3!P8</f>
        <v/>
      </c>
    </row>
    <row r="9" spans="1:4" x14ac:dyDescent="0.2">
      <c r="A9" s="205" t="str">
        <f ca="1">Berechnung3!L9</f>
        <v/>
      </c>
      <c r="B9" s="205" t="str">
        <f ca="1">Berechnung3!N9</f>
        <v/>
      </c>
      <c r="C9" s="204" t="str">
        <f ca="1">Berechnung3!O9</f>
        <v/>
      </c>
      <c r="D9" s="204" t="str">
        <f ca="1">Berechnung3!P9</f>
        <v/>
      </c>
    </row>
    <row r="10" spans="1:4" x14ac:dyDescent="0.2">
      <c r="A10" s="205" t="str">
        <f ca="1">Berechnung3!L10</f>
        <v/>
      </c>
      <c r="B10" s="205" t="str">
        <f ca="1">Berechnung3!N10</f>
        <v/>
      </c>
      <c r="C10" s="204" t="str">
        <f ca="1">Berechnung3!O10</f>
        <v/>
      </c>
      <c r="D10" s="204" t="str">
        <f ca="1">Berechnung3!P10</f>
        <v/>
      </c>
    </row>
    <row r="11" spans="1:4" x14ac:dyDescent="0.2">
      <c r="A11" s="205" t="str">
        <f ca="1">Berechnung3!L11</f>
        <v/>
      </c>
      <c r="B11" s="205" t="str">
        <f ca="1">Berechnung3!N11</f>
        <v/>
      </c>
      <c r="C11" s="204" t="str">
        <f ca="1">Berechnung3!O11</f>
        <v/>
      </c>
      <c r="D11" s="204" t="str">
        <f ca="1">Berechnung3!P11</f>
        <v/>
      </c>
    </row>
    <row r="12" spans="1:4" x14ac:dyDescent="0.2">
      <c r="A12" s="205" t="str">
        <f ca="1">Berechnung3!L12</f>
        <v/>
      </c>
      <c r="B12" s="205" t="str">
        <f ca="1">Berechnung3!N12</f>
        <v/>
      </c>
      <c r="C12" s="204" t="str">
        <f ca="1">Berechnung3!O12</f>
        <v/>
      </c>
      <c r="D12" s="204" t="str">
        <f ca="1">Berechnung3!P12</f>
        <v/>
      </c>
    </row>
    <row r="13" spans="1:4" x14ac:dyDescent="0.2">
      <c r="A13" s="205" t="str">
        <f ca="1">Berechnung3!L13</f>
        <v/>
      </c>
      <c r="B13" s="205" t="str">
        <f ca="1">Berechnung3!N13</f>
        <v/>
      </c>
      <c r="C13" s="204" t="str">
        <f ca="1">Berechnung3!O13</f>
        <v/>
      </c>
      <c r="D13" s="204" t="str">
        <f ca="1">Berechnung3!P13</f>
        <v/>
      </c>
    </row>
    <row r="14" spans="1:4" x14ac:dyDescent="0.2">
      <c r="A14" s="205" t="str">
        <f ca="1">Berechnung3!L14</f>
        <v/>
      </c>
      <c r="B14" s="205" t="str">
        <f ca="1">Berechnung3!N14</f>
        <v/>
      </c>
      <c r="C14" s="204" t="str">
        <f ca="1">Berechnung3!O14</f>
        <v/>
      </c>
      <c r="D14" s="204" t="str">
        <f ca="1">Berechnung3!P14</f>
        <v/>
      </c>
    </row>
    <row r="15" spans="1:4" x14ac:dyDescent="0.2">
      <c r="A15" s="205" t="str">
        <f ca="1">Berechnung3!L15</f>
        <v/>
      </c>
      <c r="B15" s="205" t="str">
        <f ca="1">Berechnung3!N15</f>
        <v/>
      </c>
      <c r="C15" s="204" t="str">
        <f ca="1">Berechnung3!O15</f>
        <v/>
      </c>
      <c r="D15" s="204" t="str">
        <f ca="1">Berechnung3!P15</f>
        <v/>
      </c>
    </row>
    <row r="16" spans="1:4" x14ac:dyDescent="0.2">
      <c r="A16" s="205" t="str">
        <f ca="1">Berechnung3!L16</f>
        <v/>
      </c>
      <c r="B16" s="205" t="str">
        <f ca="1">Berechnung3!N16</f>
        <v/>
      </c>
      <c r="C16" s="204" t="str">
        <f ca="1">Berechnung3!O16</f>
        <v/>
      </c>
      <c r="D16" s="204" t="str">
        <f ca="1">Berechnung3!P16</f>
        <v/>
      </c>
    </row>
    <row r="17" spans="1:4" x14ac:dyDescent="0.2">
      <c r="A17" s="205" t="str">
        <f ca="1">Berechnung3!L17</f>
        <v/>
      </c>
      <c r="B17" s="205" t="str">
        <f ca="1">Berechnung3!N17</f>
        <v/>
      </c>
      <c r="C17" s="204" t="str">
        <f ca="1">Berechnung3!O17</f>
        <v/>
      </c>
      <c r="D17" s="204" t="str">
        <f ca="1">Berechnung3!P17</f>
        <v/>
      </c>
    </row>
    <row r="18" spans="1:4" x14ac:dyDescent="0.2">
      <c r="A18" s="205" t="str">
        <f ca="1">Berechnung3!L18</f>
        <v/>
      </c>
      <c r="B18" s="205" t="str">
        <f ca="1">Berechnung3!N18</f>
        <v/>
      </c>
      <c r="C18" s="204" t="str">
        <f ca="1">Berechnung3!O18</f>
        <v/>
      </c>
      <c r="D18" s="204" t="str">
        <f ca="1">Berechnung3!P18</f>
        <v/>
      </c>
    </row>
    <row r="19" spans="1:4" x14ac:dyDescent="0.2">
      <c r="A19" s="205" t="str">
        <f ca="1">Berechnung3!L19</f>
        <v/>
      </c>
      <c r="B19" s="205" t="str">
        <f ca="1">Berechnung3!N19</f>
        <v/>
      </c>
      <c r="C19" s="204" t="str">
        <f ca="1">Berechnung3!O19</f>
        <v/>
      </c>
      <c r="D19" s="204" t="str">
        <f ca="1">Berechnung3!P19</f>
        <v/>
      </c>
    </row>
    <row r="20" spans="1:4" x14ac:dyDescent="0.2">
      <c r="A20" s="205" t="str">
        <f ca="1">Berechnung3!L20</f>
        <v/>
      </c>
      <c r="B20" s="205" t="str">
        <f ca="1">Berechnung3!N20</f>
        <v/>
      </c>
      <c r="C20" s="204" t="str">
        <f ca="1">Berechnung3!O20</f>
        <v/>
      </c>
      <c r="D20" s="204" t="str">
        <f ca="1">Berechnung3!P20</f>
        <v/>
      </c>
    </row>
    <row r="21" spans="1:4" x14ac:dyDescent="0.2">
      <c r="A21" s="205" t="str">
        <f ca="1">Berechnung3!L21</f>
        <v/>
      </c>
      <c r="B21" s="205" t="str">
        <f ca="1">Berechnung3!N21</f>
        <v/>
      </c>
      <c r="C21" s="204" t="str">
        <f ca="1">Berechnung3!O21</f>
        <v/>
      </c>
      <c r="D21" s="204" t="str">
        <f ca="1">Berechnung3!P21</f>
        <v/>
      </c>
    </row>
    <row r="22" spans="1:4" x14ac:dyDescent="0.2">
      <c r="A22" s="205" t="str">
        <f ca="1">Berechnung3!L22</f>
        <v/>
      </c>
      <c r="B22" s="205" t="str">
        <f ca="1">Berechnung3!N22</f>
        <v/>
      </c>
      <c r="C22" s="204" t="str">
        <f ca="1">Berechnung3!O22</f>
        <v/>
      </c>
      <c r="D22" s="204" t="str">
        <f ca="1">Berechnung3!P22</f>
        <v/>
      </c>
    </row>
    <row r="23" spans="1:4" x14ac:dyDescent="0.2">
      <c r="A23" s="205" t="str">
        <f ca="1">Berechnung3!L23</f>
        <v/>
      </c>
      <c r="B23" s="205" t="str">
        <f ca="1">Berechnung3!N23</f>
        <v/>
      </c>
      <c r="C23" s="204" t="str">
        <f ca="1">Berechnung3!O23</f>
        <v/>
      </c>
      <c r="D23" s="204" t="str">
        <f ca="1">Berechnung3!P23</f>
        <v/>
      </c>
    </row>
    <row r="24" spans="1:4" x14ac:dyDescent="0.2">
      <c r="A24" s="205" t="str">
        <f ca="1">Berechnung3!L24</f>
        <v/>
      </c>
      <c r="B24" s="205" t="str">
        <f ca="1">Berechnung3!N24</f>
        <v/>
      </c>
      <c r="C24" s="204" t="str">
        <f ca="1">Berechnung3!O24</f>
        <v/>
      </c>
      <c r="D24" s="204" t="str">
        <f ca="1">Berechnung3!P24</f>
        <v/>
      </c>
    </row>
    <row r="25" spans="1:4" x14ac:dyDescent="0.2">
      <c r="A25" s="205" t="str">
        <f ca="1">Berechnung3!L25</f>
        <v/>
      </c>
      <c r="B25" s="205" t="str">
        <f ca="1">Berechnung3!N25</f>
        <v/>
      </c>
      <c r="C25" s="204" t="str">
        <f ca="1">Berechnung3!O25</f>
        <v/>
      </c>
      <c r="D25" s="204" t="str">
        <f ca="1">Berechnung3!P25</f>
        <v/>
      </c>
    </row>
    <row r="26" spans="1:4" x14ac:dyDescent="0.2">
      <c r="A26" s="205" t="str">
        <f ca="1">Berechnung3!L26</f>
        <v/>
      </c>
      <c r="B26" s="205" t="str">
        <f ca="1">Berechnung3!N26</f>
        <v/>
      </c>
      <c r="C26" s="204" t="str">
        <f ca="1">Berechnung3!O26</f>
        <v/>
      </c>
      <c r="D26" s="204" t="str">
        <f ca="1">Berechnung3!P26</f>
        <v/>
      </c>
    </row>
    <row r="27" spans="1:4" x14ac:dyDescent="0.2">
      <c r="A27" s="205" t="str">
        <f ca="1">Berechnung3!L27</f>
        <v/>
      </c>
      <c r="B27" s="205" t="str">
        <f ca="1">Berechnung3!N27</f>
        <v/>
      </c>
      <c r="C27" s="204" t="str">
        <f ca="1">Berechnung3!O27</f>
        <v/>
      </c>
      <c r="D27" s="204" t="str">
        <f ca="1">Berechnung3!P27</f>
        <v/>
      </c>
    </row>
    <row r="28" spans="1:4" x14ac:dyDescent="0.2">
      <c r="A28" s="205" t="str">
        <f ca="1">Berechnung3!L28</f>
        <v/>
      </c>
      <c r="B28" s="205" t="str">
        <f ca="1">Berechnung3!N28</f>
        <v/>
      </c>
      <c r="C28" s="204" t="str">
        <f ca="1">Berechnung3!O28</f>
        <v/>
      </c>
      <c r="D28" s="204" t="str">
        <f ca="1">Berechnung3!P28</f>
        <v/>
      </c>
    </row>
    <row r="29" spans="1:4" x14ac:dyDescent="0.2">
      <c r="A29" s="205" t="str">
        <f ca="1">Berechnung3!L29</f>
        <v/>
      </c>
      <c r="B29" s="205" t="str">
        <f ca="1">Berechnung3!N29</f>
        <v/>
      </c>
      <c r="C29" s="204" t="str">
        <f ca="1">Berechnung3!O29</f>
        <v/>
      </c>
      <c r="D29" s="204" t="str">
        <f ca="1">Berechnung3!P29</f>
        <v/>
      </c>
    </row>
    <row r="30" spans="1:4" x14ac:dyDescent="0.2">
      <c r="A30" s="205" t="str">
        <f ca="1">Berechnung3!L30</f>
        <v/>
      </c>
      <c r="B30" s="205" t="str">
        <f ca="1">Berechnung3!N30</f>
        <v/>
      </c>
      <c r="C30" s="204" t="str">
        <f ca="1">Berechnung3!O30</f>
        <v/>
      </c>
      <c r="D30" s="204" t="str">
        <f ca="1">Berechnung3!P30</f>
        <v/>
      </c>
    </row>
    <row r="31" spans="1:4" x14ac:dyDescent="0.2">
      <c r="A31" s="205" t="str">
        <f ca="1">Berechnung3!L31</f>
        <v/>
      </c>
      <c r="B31" s="205" t="str">
        <f ca="1">Berechnung3!N31</f>
        <v/>
      </c>
      <c r="C31" s="204" t="str">
        <f ca="1">Berechnung3!O31</f>
        <v/>
      </c>
      <c r="D31" s="204" t="str">
        <f ca="1">Berechnung3!P31</f>
        <v/>
      </c>
    </row>
    <row r="32" spans="1:4" x14ac:dyDescent="0.2">
      <c r="A32" s="205" t="str">
        <f ca="1">Berechnung3!L32</f>
        <v/>
      </c>
      <c r="B32" s="205" t="str">
        <f ca="1">Berechnung3!N32</f>
        <v/>
      </c>
      <c r="C32" s="204" t="str">
        <f ca="1">Berechnung3!O32</f>
        <v/>
      </c>
      <c r="D32" s="204" t="str">
        <f ca="1">Berechnung3!P32</f>
        <v/>
      </c>
    </row>
    <row r="33" spans="1:4" x14ac:dyDescent="0.2">
      <c r="A33" s="205" t="str">
        <f ca="1">Berechnung3!L33</f>
        <v/>
      </c>
      <c r="B33" s="205" t="str">
        <f ca="1">Berechnung3!N33</f>
        <v/>
      </c>
      <c r="C33" s="204" t="str">
        <f ca="1">Berechnung3!O33</f>
        <v/>
      </c>
      <c r="D33" s="204" t="str">
        <f ca="1">Berechnung3!P33</f>
        <v/>
      </c>
    </row>
    <row r="34" spans="1:4" x14ac:dyDescent="0.2">
      <c r="A34" s="205" t="str">
        <f ca="1">Berechnung3!L34</f>
        <v/>
      </c>
      <c r="B34" s="205" t="str">
        <f ca="1">Berechnung3!N34</f>
        <v/>
      </c>
      <c r="C34" s="204" t="str">
        <f ca="1">Berechnung3!O34</f>
        <v/>
      </c>
      <c r="D34" s="204" t="str">
        <f ca="1">Berechnung3!P34</f>
        <v/>
      </c>
    </row>
    <row r="35" spans="1:4" x14ac:dyDescent="0.2">
      <c r="A35" s="205" t="str">
        <f ca="1">Berechnung3!L35</f>
        <v/>
      </c>
      <c r="B35" s="205" t="str">
        <f ca="1">Berechnung3!N35</f>
        <v/>
      </c>
      <c r="C35" s="204" t="str">
        <f ca="1">Berechnung3!O35</f>
        <v/>
      </c>
      <c r="D35" s="204" t="str">
        <f ca="1">Berechnung3!P35</f>
        <v/>
      </c>
    </row>
    <row r="36" spans="1:4" x14ac:dyDescent="0.2">
      <c r="A36" s="205" t="str">
        <f ca="1">Berechnung3!L36</f>
        <v/>
      </c>
      <c r="B36" s="205" t="str">
        <f ca="1">Berechnung3!N36</f>
        <v/>
      </c>
      <c r="C36" s="204" t="str">
        <f ca="1">Berechnung3!O36</f>
        <v/>
      </c>
      <c r="D36" s="204" t="str">
        <f ca="1">Berechnung3!P36</f>
        <v/>
      </c>
    </row>
    <row r="37" spans="1:4" x14ac:dyDescent="0.2">
      <c r="A37" s="205" t="str">
        <f ca="1">Berechnung3!L37</f>
        <v/>
      </c>
      <c r="B37" s="205" t="str">
        <f ca="1">Berechnung3!N37</f>
        <v/>
      </c>
      <c r="C37" s="204" t="str">
        <f ca="1">Berechnung3!O37</f>
        <v/>
      </c>
      <c r="D37" s="204" t="str">
        <f ca="1">Berechnung3!P37</f>
        <v/>
      </c>
    </row>
    <row r="38" spans="1:4" x14ac:dyDescent="0.2">
      <c r="A38" s="205" t="str">
        <f ca="1">Berechnung3!L38</f>
        <v/>
      </c>
      <c r="B38" s="205" t="str">
        <f ca="1">Berechnung3!N38</f>
        <v/>
      </c>
      <c r="C38" s="204" t="str">
        <f ca="1">Berechnung3!O38</f>
        <v/>
      </c>
      <c r="D38" s="204" t="str">
        <f ca="1">Berechnung3!P38</f>
        <v/>
      </c>
    </row>
    <row r="39" spans="1:4" x14ac:dyDescent="0.2">
      <c r="A39" s="205" t="str">
        <f ca="1">Berechnung3!L39</f>
        <v/>
      </c>
      <c r="B39" s="205" t="str">
        <f ca="1">Berechnung3!N39</f>
        <v/>
      </c>
      <c r="C39" s="204" t="str">
        <f ca="1">Berechnung3!O39</f>
        <v/>
      </c>
      <c r="D39" s="204" t="str">
        <f ca="1">Berechnung3!P39</f>
        <v/>
      </c>
    </row>
    <row r="40" spans="1:4" x14ac:dyDescent="0.2">
      <c r="A40" s="205" t="str">
        <f ca="1">Berechnung3!L40</f>
        <v/>
      </c>
      <c r="B40" s="205" t="str">
        <f ca="1">Berechnung3!N40</f>
        <v/>
      </c>
      <c r="C40" s="204" t="str">
        <f ca="1">Berechnung3!O40</f>
        <v/>
      </c>
      <c r="D40" s="204" t="str">
        <f ca="1">Berechnung3!P40</f>
        <v/>
      </c>
    </row>
    <row r="41" spans="1:4" x14ac:dyDescent="0.2">
      <c r="A41" s="205" t="str">
        <f ca="1">Berechnung3!L41</f>
        <v/>
      </c>
      <c r="B41" s="205" t="str">
        <f ca="1">Berechnung3!N41</f>
        <v/>
      </c>
      <c r="C41" s="204" t="str">
        <f ca="1">Berechnung3!O41</f>
        <v/>
      </c>
      <c r="D41" s="204" t="str">
        <f ca="1">Berechnung3!P41</f>
        <v/>
      </c>
    </row>
    <row r="42" spans="1:4" x14ac:dyDescent="0.2">
      <c r="A42" s="205" t="str">
        <f ca="1">Berechnung3!L42</f>
        <v/>
      </c>
      <c r="B42" s="205" t="str">
        <f ca="1">Berechnung3!N42</f>
        <v/>
      </c>
      <c r="C42" s="204" t="str">
        <f ca="1">Berechnung3!O42</f>
        <v/>
      </c>
      <c r="D42" s="204" t="str">
        <f ca="1">Berechnung3!P42</f>
        <v/>
      </c>
    </row>
    <row r="43" spans="1:4" x14ac:dyDescent="0.2">
      <c r="A43" s="205" t="str">
        <f ca="1">Berechnung3!L43</f>
        <v/>
      </c>
      <c r="B43" s="205" t="str">
        <f ca="1">Berechnung3!N43</f>
        <v/>
      </c>
      <c r="C43" s="204" t="str">
        <f ca="1">Berechnung3!O43</f>
        <v/>
      </c>
      <c r="D43" s="204" t="str">
        <f ca="1">Berechnung3!P43</f>
        <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dimension ref="B1:O24"/>
  <sheetViews>
    <sheetView showGridLines="0" zoomScaleNormal="100" zoomScaleSheetLayoutView="88" workbookViewId="0">
      <selection activeCell="D16" sqref="D16:H16"/>
    </sheetView>
  </sheetViews>
  <sheetFormatPr defaultColWidth="9" defaultRowHeight="14.25" x14ac:dyDescent="0.2"/>
  <cols>
    <col min="1" max="1" width="0.85546875" style="3" customWidth="1"/>
    <col min="2" max="2" width="14.140625" style="3" customWidth="1"/>
    <col min="3" max="3" width="29.5703125" style="3" customWidth="1"/>
    <col min="4" max="4" width="22.140625" style="3" customWidth="1"/>
    <col min="5" max="5" width="21.7109375" style="3" customWidth="1"/>
    <col min="6" max="6" width="22.140625" style="3" customWidth="1"/>
    <col min="7" max="7" width="21" style="3" customWidth="1"/>
    <col min="8" max="8" width="8" style="3" customWidth="1"/>
    <col min="9" max="183" width="11.42578125" style="3" customWidth="1"/>
    <col min="184" max="16384" width="9" style="3"/>
  </cols>
  <sheetData>
    <row r="1" spans="2:15" ht="9.9499999999999993" customHeight="1" x14ac:dyDescent="0.2">
      <c r="C1" s="28"/>
      <c r="F1" s="17"/>
    </row>
    <row r="2" spans="2:15" ht="12.95" customHeight="1" x14ac:dyDescent="0.2">
      <c r="B2" s="144" t="s">
        <v>408</v>
      </c>
      <c r="C2" s="23"/>
      <c r="D2" s="23"/>
      <c r="E2" s="23"/>
      <c r="F2" s="17"/>
      <c r="G2" s="23"/>
      <c r="H2" s="23"/>
    </row>
    <row r="3" spans="2:15" ht="15.75" x14ac:dyDescent="0.25">
      <c r="B3" s="16" t="s">
        <v>265</v>
      </c>
      <c r="F3" s="17"/>
      <c r="G3" s="18"/>
    </row>
    <row r="4" spans="2:15" x14ac:dyDescent="0.2">
      <c r="B4" s="22" t="s">
        <v>297</v>
      </c>
      <c r="K4" s="22"/>
    </row>
    <row r="5" spans="2:15" ht="6.75" customHeight="1" x14ac:dyDescent="0.2">
      <c r="E5" s="9"/>
      <c r="F5" s="9"/>
      <c r="G5" s="9"/>
      <c r="H5" s="9"/>
      <c r="I5" s="9"/>
      <c r="J5" s="9"/>
      <c r="K5" s="22"/>
    </row>
    <row r="6" spans="2:15" s="23" customFormat="1" ht="12.75" customHeight="1" x14ac:dyDescent="0.2">
      <c r="B6" s="26" t="s">
        <v>118</v>
      </c>
      <c r="C6" s="781" t="str">
        <f>IF('Basic data'!C8=0,"",'Basic data'!C8)</f>
        <v/>
      </c>
      <c r="D6" s="783"/>
      <c r="E6" s="783"/>
      <c r="F6" s="783"/>
      <c r="G6" s="782"/>
      <c r="I6" s="22"/>
      <c r="J6" s="22"/>
      <c r="K6" s="20"/>
      <c r="L6" s="22"/>
      <c r="M6" s="22"/>
    </row>
    <row r="7" spans="2:15" s="23" customFormat="1" ht="6.95" customHeight="1" x14ac:dyDescent="0.2">
      <c r="B7" s="5"/>
      <c r="C7" s="5"/>
      <c r="D7" s="9"/>
      <c r="E7" s="9"/>
      <c r="F7" s="9"/>
      <c r="G7" s="9"/>
      <c r="H7" s="9"/>
      <c r="I7" s="9"/>
      <c r="K7" s="22"/>
      <c r="L7" s="22"/>
      <c r="M7" s="20"/>
      <c r="N7" s="22"/>
      <c r="O7" s="22"/>
    </row>
    <row r="8" spans="2:15" s="23" customFormat="1" ht="12.75" customHeight="1" x14ac:dyDescent="0.2">
      <c r="B8" s="26" t="s">
        <v>75</v>
      </c>
      <c r="C8" s="37" t="str">
        <f>IF('Basic data'!C6=0,"",'Basic data'!C6)</f>
        <v/>
      </c>
      <c r="D8" s="139"/>
      <c r="F8" s="55" t="s">
        <v>301</v>
      </c>
      <c r="G8" s="36" t="str">
        <f>IF('Basic data'!O12=0,"",'Basic data'!O12)</f>
        <v/>
      </c>
      <c r="I8" s="22"/>
      <c r="J8" s="22"/>
      <c r="K8" s="20"/>
      <c r="L8" s="22"/>
      <c r="M8" s="22"/>
    </row>
    <row r="9" spans="2:15" s="23" customFormat="1" ht="6" customHeight="1" x14ac:dyDescent="0.2">
      <c r="C9" s="25"/>
      <c r="D9" s="3"/>
      <c r="F9" s="3"/>
      <c r="J9" s="11"/>
      <c r="K9" s="30"/>
      <c r="L9" s="30"/>
      <c r="M9" s="30"/>
      <c r="N9" s="30"/>
      <c r="O9" s="30"/>
    </row>
    <row r="10" spans="2:15" s="46" customFormat="1" ht="18" customHeight="1" x14ac:dyDescent="0.25">
      <c r="B10" s="84" t="s">
        <v>87</v>
      </c>
    </row>
    <row r="11" spans="2:15" ht="13.5" customHeight="1" x14ac:dyDescent="0.2">
      <c r="C11" s="145" t="str">
        <f>IF(OR(C12="",C12="Matrix kann eingereicht werden"),"In Ordnung",IF(C12="die inkorrekten und unvollständigen Einträge beheben","Nicht in Ordnung"))</f>
        <v>In Ordnung</v>
      </c>
      <c r="D11" s="38" t="s">
        <v>74</v>
      </c>
      <c r="E11" s="39" t="s">
        <v>6</v>
      </c>
      <c r="F11" s="62" t="s">
        <v>82</v>
      </c>
      <c r="G11" s="62" t="s">
        <v>343</v>
      </c>
    </row>
    <row r="12" spans="2:15" ht="16.5" customHeight="1" x14ac:dyDescent="0.2">
      <c r="C12" s="61" t="str">
        <f>Berechnung2!B6</f>
        <v/>
      </c>
      <c r="D12" s="56">
        <f>Berechnung2!C6</f>
        <v>0</v>
      </c>
      <c r="E12" s="57">
        <f>Berechnung2!D6</f>
        <v>0</v>
      </c>
      <c r="F12" s="166">
        <f>Berechnung2!E6</f>
        <v>0</v>
      </c>
      <c r="G12" s="166">
        <f>Berechnung2!F6</f>
        <v>0</v>
      </c>
    </row>
    <row r="13" spans="2:15" s="23" customFormat="1" ht="10.5" customHeight="1" x14ac:dyDescent="0.2">
      <c r="C13" s="10"/>
      <c r="D13" s="10"/>
    </row>
    <row r="14" spans="2:15" ht="17.25" customHeight="1" x14ac:dyDescent="0.2">
      <c r="B14" s="622" t="s">
        <v>109</v>
      </c>
      <c r="C14" s="924" t="s">
        <v>56</v>
      </c>
      <c r="D14" s="941" t="s">
        <v>298</v>
      </c>
      <c r="E14" s="942"/>
      <c r="F14" s="942"/>
      <c r="G14" s="942"/>
      <c r="H14" s="943"/>
    </row>
    <row r="15" spans="2:15" ht="9" customHeight="1" x14ac:dyDescent="0.2">
      <c r="B15" s="940"/>
      <c r="C15" s="940"/>
      <c r="D15" s="942"/>
      <c r="E15" s="942"/>
      <c r="F15" s="942"/>
      <c r="G15" s="942"/>
      <c r="H15" s="943"/>
    </row>
    <row r="16" spans="2:15" ht="66" customHeight="1" x14ac:dyDescent="0.25">
      <c r="B16" s="31" t="str">
        <f>IF(ISERROR(Berechnung2!G15),"",Berechnung2!G15)</f>
        <v/>
      </c>
      <c r="C16" s="31" t="str">
        <f>IF(ISERROR(Berechnung2!H15),"",Berechnung2!H15)</f>
        <v/>
      </c>
      <c r="D16" s="937"/>
      <c r="E16" s="938"/>
      <c r="F16" s="938"/>
      <c r="G16" s="938"/>
      <c r="H16" s="939"/>
    </row>
    <row r="17" spans="2:8" ht="66" customHeight="1" x14ac:dyDescent="0.25">
      <c r="B17" s="31" t="str">
        <f>IF(ISERROR(Berechnung2!G16),"",Berechnung2!G16)</f>
        <v/>
      </c>
      <c r="C17" s="31" t="str">
        <f>IF(ISERROR(Berechnung2!H16),"",Berechnung2!H16)</f>
        <v/>
      </c>
      <c r="D17" s="937"/>
      <c r="E17" s="938"/>
      <c r="F17" s="938"/>
      <c r="G17" s="938"/>
      <c r="H17" s="939"/>
    </row>
    <row r="18" spans="2:8" ht="66" customHeight="1" x14ac:dyDescent="0.25">
      <c r="B18" s="31" t="str">
        <f>IF(ISERROR(Berechnung2!G17),"",Berechnung2!G17)</f>
        <v/>
      </c>
      <c r="C18" s="31" t="str">
        <f>IF(ISERROR(Berechnung2!H17),"",Berechnung2!H17)</f>
        <v/>
      </c>
      <c r="D18" s="937"/>
      <c r="E18" s="938"/>
      <c r="F18" s="938"/>
      <c r="G18" s="938"/>
      <c r="H18" s="939"/>
    </row>
    <row r="19" spans="2:8" ht="66" customHeight="1" x14ac:dyDescent="0.25">
      <c r="B19" s="31" t="str">
        <f>IF(ISERROR(Berechnung2!G18),"",Berechnung2!G18)</f>
        <v/>
      </c>
      <c r="C19" s="31" t="str">
        <f>IF(ISERROR(Berechnung2!H18),"",Berechnung2!H18)</f>
        <v/>
      </c>
      <c r="D19" s="937"/>
      <c r="E19" s="938"/>
      <c r="F19" s="938"/>
      <c r="G19" s="938"/>
      <c r="H19" s="939"/>
    </row>
    <row r="20" spans="2:8" ht="66" customHeight="1" x14ac:dyDescent="0.25">
      <c r="B20" s="31" t="str">
        <f>IF(ISERROR(Berechnung2!G19),"",Berechnung2!G19)</f>
        <v/>
      </c>
      <c r="C20" s="31" t="str">
        <f>IF(ISERROR(Berechnung2!H19),"",Berechnung2!H19)</f>
        <v/>
      </c>
      <c r="D20" s="937"/>
      <c r="E20" s="938"/>
      <c r="F20" s="938"/>
      <c r="G20" s="938"/>
      <c r="H20" s="939"/>
    </row>
    <row r="21" spans="2:8" ht="66" customHeight="1" x14ac:dyDescent="0.25">
      <c r="B21" s="31" t="str">
        <f>IF(ISERROR(Berechnung2!G20),"",Berechnung2!G20)</f>
        <v/>
      </c>
      <c r="C21" s="31" t="str">
        <f>IF(ISERROR(Berechnung2!H20),"",Berechnung2!H20)</f>
        <v/>
      </c>
      <c r="D21" s="937"/>
      <c r="E21" s="938"/>
      <c r="F21" s="938"/>
      <c r="G21" s="938"/>
      <c r="H21" s="939"/>
    </row>
    <row r="22" spans="2:8" ht="66" customHeight="1" x14ac:dyDescent="0.25">
      <c r="B22" s="31" t="str">
        <f>IF(ISERROR(Berechnung2!G21),"",Berechnung2!G21)</f>
        <v/>
      </c>
      <c r="C22" s="31" t="str">
        <f>IF(ISERROR(Berechnung2!H21),"",Berechnung2!H21)</f>
        <v/>
      </c>
      <c r="D22" s="937"/>
      <c r="E22" s="938"/>
      <c r="F22" s="938"/>
      <c r="G22" s="938"/>
      <c r="H22" s="939"/>
    </row>
    <row r="23" spans="2:8" ht="66" customHeight="1" x14ac:dyDescent="0.25">
      <c r="B23" s="31" t="str">
        <f>IF(ISERROR(Berechnung2!G22),"",Berechnung2!G22)</f>
        <v/>
      </c>
      <c r="C23" s="31" t="str">
        <f>IF(ISERROR(Berechnung2!H22),"",Berechnung2!H22)</f>
        <v/>
      </c>
      <c r="D23" s="937"/>
      <c r="E23" s="938"/>
      <c r="F23" s="938"/>
      <c r="G23" s="938"/>
      <c r="H23" s="939"/>
    </row>
    <row r="24" spans="2:8" ht="66" customHeight="1" x14ac:dyDescent="0.2">
      <c r="B24" s="31" t="str">
        <f>IF(ISERROR(Berechnung2!G23),"",Berechnung2!G23)</f>
        <v/>
      </c>
      <c r="C24" s="31" t="str">
        <f>IF(ISERROR(Berechnung2!H23),"",Berechnung2!H23)</f>
        <v/>
      </c>
      <c r="D24" s="934"/>
      <c r="E24" s="935"/>
      <c r="F24" s="935"/>
      <c r="G24" s="935"/>
      <c r="H24" s="936"/>
    </row>
  </sheetData>
  <sheetProtection selectLockedCells="1"/>
  <customSheetViews>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13">
    <mergeCell ref="D18:H18"/>
    <mergeCell ref="B14:B15"/>
    <mergeCell ref="C14:C15"/>
    <mergeCell ref="C6:G6"/>
    <mergeCell ref="D14:H15"/>
    <mergeCell ref="D16:H16"/>
    <mergeCell ref="D17:H17"/>
    <mergeCell ref="D24:H24"/>
    <mergeCell ref="D19:H19"/>
    <mergeCell ref="D20:H20"/>
    <mergeCell ref="D21:H21"/>
    <mergeCell ref="D22:H22"/>
    <mergeCell ref="D23:H23"/>
  </mergeCells>
  <phoneticPr fontId="39" type="noConversion"/>
  <conditionalFormatting sqref="A9:XFD10 F11:G11 B11:B12 D11:E12 H11:IV12">
    <cfRule type="cellIs" dxfId="12" priority="203" operator="lessThan">
      <formula>0</formula>
    </cfRule>
  </conditionalFormatting>
  <conditionalFormatting sqref="C11">
    <cfRule type="expression" dxfId="11" priority="2" stopIfTrue="1">
      <formula>$C$11="Nicht in Ordnung"</formula>
    </cfRule>
  </conditionalFormatting>
  <conditionalFormatting sqref="C12">
    <cfRule type="expression" dxfId="10" priority="1" stopIfTrue="1">
      <formula>$C$12="die inkorrekten und unvollständigen Einträge beheben"</formula>
    </cfRule>
  </conditionalFormatting>
  <conditionalFormatting sqref="C16:C24">
    <cfRule type="expression" dxfId="9" priority="29" stopIfTrue="1">
      <formula>SEARCH("Unvollständig",$C16,1)</formula>
    </cfRule>
    <cfRule type="expression" dxfId="8" priority="49">
      <formula>SEARCH($D$11,$C16,1)</formula>
    </cfRule>
    <cfRule type="expression" dxfId="7" priority="50">
      <formula>SEARCH($E$11,$C16,1)</formula>
    </cfRule>
    <cfRule type="expression" dxfId="6" priority="51">
      <formula>SEARCH($F$11,$C16,1)</formula>
    </cfRule>
  </conditionalFormatting>
  <conditionalFormatting sqref="D16">
    <cfRule type="notContainsBlanks" dxfId="5" priority="30" stopIfTrue="1">
      <formula>LEN(TRIM(D16))&gt;0</formula>
    </cfRule>
    <cfRule type="expression" dxfId="4" priority="2451" stopIfTrue="1">
      <formula>B16&lt;&gt;""</formula>
    </cfRule>
  </conditionalFormatting>
  <conditionalFormatting sqref="D23:D24">
    <cfRule type="notContainsBlanks" dxfId="3" priority="27" stopIfTrue="1">
      <formula>LEN(TRIM(D23))&gt;0</formula>
    </cfRule>
    <cfRule type="expression" dxfId="2" priority="28" stopIfTrue="1">
      <formula>B23&lt;&gt;""</formula>
    </cfRule>
  </conditionalFormatting>
  <conditionalFormatting sqref="D17:G22">
    <cfRule type="notContainsBlanks" dxfId="1" priority="34" stopIfTrue="1">
      <formula>LEN(TRIM(D17))&gt;0</formula>
    </cfRule>
    <cfRule type="expression" dxfId="0" priority="2452" stopIfTrue="1">
      <formula>B17&lt;&gt;""</formula>
    </cfRule>
  </conditionalFormatting>
  <dataValidations count="1">
    <dataValidation type="textLength" allowBlank="1" showErrorMessage="1" errorTitle="Zeichenlänge" error="Minimal 30 Zeichen und max. 450 Zeichen." sqref="D16:H24" xr:uid="{00000000-0002-0000-0E00-000000000000}">
      <formula1>30</formula1>
      <formula2>450</formula2>
    </dataValidation>
  </dataValidations>
  <pageMargins left="0.39370078740157483" right="3.937007874015748E-2" top="0.59055118110236227" bottom="0.39370078740157483" header="0.31496062992125984" footer="0.11811023622047245"/>
  <pageSetup paperSize="9"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3"/>
  <dimension ref="A1:M19"/>
  <sheetViews>
    <sheetView topLeftCell="A11" workbookViewId="0">
      <selection activeCell="C18" sqref="C18"/>
    </sheetView>
  </sheetViews>
  <sheetFormatPr defaultColWidth="11.42578125" defaultRowHeight="12" x14ac:dyDescent="0.2"/>
  <cols>
    <col min="1" max="1" width="21.42578125" style="140" customWidth="1"/>
    <col min="2" max="13" width="17.140625" style="140" customWidth="1"/>
    <col min="14" max="14" width="15.140625" style="140" customWidth="1"/>
    <col min="15" max="17" width="9.140625" style="140" customWidth="1"/>
    <col min="18" max="18" width="1.7109375" style="140" customWidth="1"/>
    <col min="19" max="21" width="8.7109375" style="140" customWidth="1"/>
    <col min="22" max="22" width="16.28515625" style="140" customWidth="1"/>
    <col min="23" max="16384" width="11.42578125" style="140"/>
  </cols>
  <sheetData>
    <row r="1" spans="1:13" s="370" customFormat="1" ht="61.5" customHeight="1" x14ac:dyDescent="0.25">
      <c r="A1" s="371" t="s">
        <v>755</v>
      </c>
      <c r="B1" s="371" t="s">
        <v>756</v>
      </c>
      <c r="C1" s="371" t="s">
        <v>757</v>
      </c>
      <c r="D1" s="371" t="s">
        <v>758</v>
      </c>
      <c r="E1" s="371" t="s">
        <v>759</v>
      </c>
      <c r="F1" s="371" t="s">
        <v>760</v>
      </c>
      <c r="G1" s="371" t="s">
        <v>761</v>
      </c>
      <c r="H1" s="371" t="s">
        <v>762</v>
      </c>
      <c r="I1" s="371" t="s">
        <v>763</v>
      </c>
      <c r="J1" s="371" t="s">
        <v>764</v>
      </c>
      <c r="K1" s="371" t="s">
        <v>765</v>
      </c>
      <c r="L1" s="371" t="s">
        <v>766</v>
      </c>
      <c r="M1" s="371" t="s">
        <v>767</v>
      </c>
    </row>
    <row r="2" spans="1:13" ht="36" x14ac:dyDescent="0.2">
      <c r="A2" s="372" t="s">
        <v>768</v>
      </c>
      <c r="B2" s="373" t="str">
        <f>IF('Basic data'!D33="","",'Basic data'!D33)</f>
        <v/>
      </c>
      <c r="C2" s="373" t="str">
        <f>IF('Basic data'!E33="","",'Basic data'!E33)</f>
        <v/>
      </c>
      <c r="D2" s="373" t="str">
        <f>IF('Basic data'!F33="","",'Basic data'!F33)</f>
        <v/>
      </c>
      <c r="E2" s="373" t="str">
        <f>IF('Basic data'!H33="","",'Basic data'!H33)</f>
        <v/>
      </c>
      <c r="F2" s="373" t="str">
        <f>IF('Basic data'!I33="","",'Basic data'!I33)</f>
        <v/>
      </c>
      <c r="G2" s="373" t="str">
        <f>IF('Basic data'!J33="","",'Basic data'!J33)</f>
        <v/>
      </c>
      <c r="H2" s="373" t="str">
        <f>IF('Basic data'!L33="","",'Basic data'!L33)</f>
        <v/>
      </c>
      <c r="I2" s="373" t="str">
        <f>IF('Basic data'!M33="","",'Basic data'!M33)</f>
        <v/>
      </c>
      <c r="J2" s="373" t="str">
        <f>IF('Basic data'!N33="","",'Basic data'!N33)</f>
        <v/>
      </c>
      <c r="K2" s="373" t="str">
        <f>IF('Basic data'!O33="","",'Basic data'!O33)</f>
        <v/>
      </c>
      <c r="L2" s="373" t="str">
        <f>IF('Basic data'!P33="","",'Basic data'!P33)</f>
        <v/>
      </c>
      <c r="M2" s="373" t="str">
        <f>IF('Basic data'!Q33="","",'Basic data'!Q33)</f>
        <v/>
      </c>
    </row>
    <row r="3" spans="1:13" ht="36" x14ac:dyDescent="0.2">
      <c r="A3" s="372" t="s">
        <v>769</v>
      </c>
      <c r="B3" s="373" t="str">
        <f>IF('Basic data'!D34="","",'Basic data'!D34)</f>
        <v/>
      </c>
      <c r="C3" s="373" t="str">
        <f>IF('Basic data'!E34="","",'Basic data'!E34)</f>
        <v/>
      </c>
      <c r="D3" s="373" t="str">
        <f>IF('Basic data'!F34="","",'Basic data'!F34)</f>
        <v/>
      </c>
      <c r="E3" s="373" t="str">
        <f>IF('Basic data'!H34="","",'Basic data'!H34)</f>
        <v/>
      </c>
      <c r="F3" s="373" t="str">
        <f>IF('Basic data'!I34="","",'Basic data'!I34)</f>
        <v/>
      </c>
      <c r="G3" s="373" t="str">
        <f>IF('Basic data'!J34="","",'Basic data'!J34)</f>
        <v/>
      </c>
      <c r="H3" s="373" t="str">
        <f>IF('Basic data'!L34="","",'Basic data'!L34)</f>
        <v/>
      </c>
      <c r="I3" s="373" t="str">
        <f>IF('Basic data'!M34="","",'Basic data'!M34)</f>
        <v/>
      </c>
      <c r="J3" s="373" t="str">
        <f>IF('Basic data'!N34="","",'Basic data'!N34)</f>
        <v/>
      </c>
      <c r="K3" s="373" t="str">
        <f>IF('Basic data'!O34="","",'Basic data'!O34)</f>
        <v/>
      </c>
      <c r="L3" s="373" t="str">
        <f>IF('Basic data'!P34="","",'Basic data'!P34)</f>
        <v/>
      </c>
      <c r="M3" s="373" t="str">
        <f>IF('Basic data'!Q34="","",'Basic data'!Q34)</f>
        <v/>
      </c>
    </row>
    <row r="4" spans="1:13" ht="36" x14ac:dyDescent="0.2">
      <c r="A4" s="372" t="s">
        <v>770</v>
      </c>
      <c r="B4" s="373" t="str">
        <f>IF('Basic data'!D35="","",'Basic data'!D35)</f>
        <v/>
      </c>
      <c r="C4" s="373" t="str">
        <f>IF('Basic data'!E35="","",'Basic data'!E35)</f>
        <v/>
      </c>
      <c r="D4" s="373" t="str">
        <f>IF('Basic data'!F35="","",'Basic data'!F35)</f>
        <v/>
      </c>
      <c r="E4" s="373" t="str">
        <f>IF('Basic data'!H35="","",'Basic data'!H35)</f>
        <v/>
      </c>
      <c r="F4" s="373" t="str">
        <f>IF('Basic data'!I35="","",'Basic data'!I35)</f>
        <v/>
      </c>
      <c r="G4" s="373" t="str">
        <f>IF('Basic data'!J35="","",'Basic data'!J35)</f>
        <v/>
      </c>
      <c r="H4" s="373" t="str">
        <f>IF('Basic data'!L35="","",'Basic data'!L35)</f>
        <v/>
      </c>
      <c r="I4" s="373" t="str">
        <f>IF('Basic data'!M35="","",'Basic data'!M35)</f>
        <v/>
      </c>
      <c r="J4" s="373" t="str">
        <f>IF('Basic data'!N35="","",'Basic data'!N35)</f>
        <v/>
      </c>
      <c r="K4" s="373" t="str">
        <f>IF('Basic data'!O35="","",'Basic data'!O35)</f>
        <v/>
      </c>
      <c r="L4" s="373" t="str">
        <f>IF('Basic data'!P35="","",'Basic data'!P35)</f>
        <v/>
      </c>
      <c r="M4" s="373" t="str">
        <f>IF('Basic data'!Q35="","",'Basic data'!Q35)</f>
        <v/>
      </c>
    </row>
    <row r="5" spans="1:13" ht="36" x14ac:dyDescent="0.2">
      <c r="A5" s="372" t="s">
        <v>771</v>
      </c>
      <c r="B5" s="373" t="str">
        <f>IF('Basic data'!D36="","",'Basic data'!D36)</f>
        <v/>
      </c>
      <c r="C5" s="373" t="str">
        <f>IF('Basic data'!E36="","",'Basic data'!E36)</f>
        <v/>
      </c>
      <c r="D5" s="373" t="str">
        <f>IF('Basic data'!F36="","",'Basic data'!F36)</f>
        <v/>
      </c>
      <c r="E5" s="373" t="str">
        <f>IF('Basic data'!H36="","",'Basic data'!H36)</f>
        <v/>
      </c>
      <c r="F5" s="373" t="str">
        <f>IF('Basic data'!I36="","",'Basic data'!I36)</f>
        <v/>
      </c>
      <c r="G5" s="373" t="str">
        <f>IF('Basic data'!J36="","",'Basic data'!J36)</f>
        <v/>
      </c>
      <c r="H5" s="373" t="str">
        <f>IF('Basic data'!L36="","",'Basic data'!L36)</f>
        <v/>
      </c>
      <c r="I5" s="373" t="str">
        <f>IF('Basic data'!M36="","",'Basic data'!M36)</f>
        <v/>
      </c>
      <c r="J5" s="373" t="str">
        <f>IF('Basic data'!N36="","",'Basic data'!N36)</f>
        <v/>
      </c>
      <c r="K5" s="373" t="str">
        <f>IF('Basic data'!O36="","",'Basic data'!O36)</f>
        <v/>
      </c>
      <c r="L5" s="373" t="str">
        <f>IF('Basic data'!P36="","",'Basic data'!P36)</f>
        <v/>
      </c>
      <c r="M5" s="373" t="str">
        <f>IF('Basic data'!Q36="","",'Basic data'!Q36)</f>
        <v/>
      </c>
    </row>
    <row r="6" spans="1:13" ht="24" x14ac:dyDescent="0.2">
      <c r="A6" s="372" t="s">
        <v>772</v>
      </c>
      <c r="B6" s="373" t="str">
        <f>IF('Basic data'!D37="","",'Basic data'!D37)</f>
        <v/>
      </c>
      <c r="C6" s="373" t="str">
        <f>IF('Basic data'!E37="","",'Basic data'!E37)</f>
        <v/>
      </c>
      <c r="D6" s="373" t="str">
        <f>IF('Basic data'!F37="","",'Basic data'!F37)</f>
        <v/>
      </c>
      <c r="E6" s="373" t="str">
        <f>IF('Basic data'!H37="","",'Basic data'!H37)</f>
        <v/>
      </c>
      <c r="F6" s="373" t="str">
        <f>IF('Basic data'!I37="","",'Basic data'!I37)</f>
        <v/>
      </c>
      <c r="G6" s="373" t="str">
        <f>IF('Basic data'!J37="","",'Basic data'!J37)</f>
        <v/>
      </c>
      <c r="H6" s="373" t="str">
        <f>IF('Basic data'!L37="","",'Basic data'!L37)</f>
        <v/>
      </c>
      <c r="I6" s="373" t="str">
        <f>IF('Basic data'!M37="","",'Basic data'!M37)</f>
        <v/>
      </c>
      <c r="J6" s="373" t="str">
        <f>IF('Basic data'!N37="","",'Basic data'!N37)</f>
        <v/>
      </c>
      <c r="K6" s="373" t="str">
        <f>IF('Basic data'!O37="","",'Basic data'!O37)</f>
        <v/>
      </c>
      <c r="L6" s="373" t="str">
        <f>IF('Basic data'!P37="","",'Basic data'!P37)</f>
        <v/>
      </c>
      <c r="M6" s="373" t="str">
        <f>IF('Basic data'!Q37="","",'Basic data'!Q37)</f>
        <v/>
      </c>
    </row>
    <row r="7" spans="1:13" ht="24" x14ac:dyDescent="0.2">
      <c r="A7" s="372" t="s">
        <v>773</v>
      </c>
      <c r="B7" s="373" t="str">
        <f>IF('Basic data'!D38="","",'Basic data'!D38)</f>
        <v/>
      </c>
      <c r="C7" s="373" t="str">
        <f>IF('Basic data'!E38="","",'Basic data'!E38)</f>
        <v/>
      </c>
      <c r="D7" s="373" t="str">
        <f>IF('Basic data'!F38="","",'Basic data'!F38)</f>
        <v/>
      </c>
      <c r="E7" s="373" t="str">
        <f>IF('Basic data'!H38="","",'Basic data'!H38)</f>
        <v/>
      </c>
      <c r="F7" s="373" t="str">
        <f>IF('Basic data'!I38="","",'Basic data'!I38)</f>
        <v/>
      </c>
      <c r="G7" s="373" t="str">
        <f>IF('Basic data'!J38="","",'Basic data'!J38)</f>
        <v/>
      </c>
      <c r="H7" s="373" t="str">
        <f>IF('Basic data'!L38="","",'Basic data'!L38)</f>
        <v/>
      </c>
      <c r="I7" s="373" t="str">
        <f>IF('Basic data'!M38="","",'Basic data'!M38)</f>
        <v/>
      </c>
      <c r="J7" s="373" t="str">
        <f>IF('Basic data'!N38="","",'Basic data'!N38)</f>
        <v/>
      </c>
      <c r="K7" s="373" t="str">
        <f>IF('Basic data'!O38="","",'Basic data'!O38)</f>
        <v/>
      </c>
      <c r="L7" s="373" t="str">
        <f>IF('Basic data'!P38="","",'Basic data'!P38)</f>
        <v/>
      </c>
      <c r="M7" s="373" t="str">
        <f>IF('Basic data'!Q38="","",'Basic data'!Q38)</f>
        <v/>
      </c>
    </row>
    <row r="8" spans="1:13" ht="24" x14ac:dyDescent="0.2">
      <c r="A8" s="372" t="s">
        <v>774</v>
      </c>
      <c r="B8" s="373" t="str">
        <f>IF('Basic data'!D39="","",'Basic data'!D39)</f>
        <v/>
      </c>
      <c r="C8" s="373" t="str">
        <f>IF('Basic data'!E39="","",'Basic data'!E39)</f>
        <v/>
      </c>
      <c r="D8" s="373" t="str">
        <f>IF('Basic data'!F39="","",'Basic data'!F39)</f>
        <v/>
      </c>
      <c r="E8" s="373" t="str">
        <f>IF('Basic data'!H39="","",'Basic data'!H39)</f>
        <v/>
      </c>
      <c r="F8" s="373" t="str">
        <f>IF('Basic data'!I39="","",'Basic data'!I39)</f>
        <v/>
      </c>
      <c r="G8" s="373" t="str">
        <f>IF('Basic data'!J39="","",'Basic data'!J39)</f>
        <v/>
      </c>
      <c r="H8" s="373" t="str">
        <f>IF('Basic data'!L39="","",'Basic data'!L39)</f>
        <v/>
      </c>
      <c r="I8" s="373" t="str">
        <f>IF('Basic data'!M39="","",'Basic data'!M39)</f>
        <v/>
      </c>
      <c r="J8" s="373" t="str">
        <f>IF('Basic data'!N39="","",'Basic data'!N39)</f>
        <v/>
      </c>
      <c r="K8" s="373" t="str">
        <f>IF('Basic data'!O39="","",'Basic data'!O39)</f>
        <v/>
      </c>
      <c r="L8" s="373" t="str">
        <f>IF('Basic data'!P39="","",'Basic data'!P39)</f>
        <v/>
      </c>
      <c r="M8" s="373" t="str">
        <f>IF('Basic data'!Q39="","",'Basic data'!Q39)</f>
        <v/>
      </c>
    </row>
    <row r="9" spans="1:13" ht="24" x14ac:dyDescent="0.2">
      <c r="A9" s="372" t="s">
        <v>775</v>
      </c>
      <c r="B9" s="373" t="str">
        <f>IF('Basic data'!D40="","",'Basic data'!D40)</f>
        <v/>
      </c>
      <c r="C9" s="373" t="str">
        <f>IF('Basic data'!E40="","",'Basic data'!E40)</f>
        <v/>
      </c>
      <c r="D9" s="373" t="str">
        <f>IF('Basic data'!F40="","",'Basic data'!F40)</f>
        <v/>
      </c>
      <c r="E9" s="373" t="str">
        <f>IF('Basic data'!H40="","",'Basic data'!H40)</f>
        <v/>
      </c>
      <c r="F9" s="373" t="str">
        <f>IF('Basic data'!I40="","",'Basic data'!I40)</f>
        <v/>
      </c>
      <c r="G9" s="373" t="str">
        <f>IF('Basic data'!J40="","",'Basic data'!J40)</f>
        <v/>
      </c>
      <c r="H9" s="373" t="str">
        <f>IF('Basic data'!L40="","",'Basic data'!L40)</f>
        <v/>
      </c>
      <c r="I9" s="373" t="str">
        <f>IF('Basic data'!M40="","",'Basic data'!M40)</f>
        <v/>
      </c>
      <c r="J9" s="373" t="str">
        <f>IF('Basic data'!N40="","",'Basic data'!N40)</f>
        <v/>
      </c>
      <c r="K9" s="373" t="str">
        <f>IF('Basic data'!O40="","",'Basic data'!O40)</f>
        <v/>
      </c>
      <c r="L9" s="373" t="str">
        <f>IF('Basic data'!P40="","",'Basic data'!P40)</f>
        <v/>
      </c>
      <c r="M9" s="373" t="str">
        <f>IF('Basic data'!Q40="","",'Basic data'!Q40)</f>
        <v/>
      </c>
    </row>
    <row r="10" spans="1:13" ht="24" x14ac:dyDescent="0.2">
      <c r="A10" s="372" t="s">
        <v>776</v>
      </c>
      <c r="B10" s="374"/>
      <c r="C10" s="374"/>
      <c r="D10" s="373" t="str">
        <f>IF('Basic data'!F42="","",'Basic data'!F42)</f>
        <v/>
      </c>
      <c r="E10" s="373" t="str">
        <f>IF('Basic data'!H42="","",'Basic data'!H42)</f>
        <v/>
      </c>
      <c r="F10" s="373" t="str">
        <f>IF('Basic data'!I42="","",'Basic data'!I42)</f>
        <v/>
      </c>
      <c r="G10" s="373" t="str">
        <f>IF('Basic data'!J42="","",'Basic data'!J42)</f>
        <v/>
      </c>
      <c r="H10" s="373" t="str">
        <f>IF('Basic data'!L42="","",'Basic data'!L42)</f>
        <v/>
      </c>
      <c r="I10" s="373" t="str">
        <f>IF('Basic data'!M42="","",'Basic data'!M42)</f>
        <v/>
      </c>
      <c r="J10" s="373" t="str">
        <f>IF('Basic data'!N42="","",'Basic data'!N42)</f>
        <v/>
      </c>
      <c r="K10" s="373" t="str">
        <f>IF('Basic data'!O42="","",'Basic data'!O42)</f>
        <v/>
      </c>
      <c r="L10" s="373" t="str">
        <f>IF('Basic data'!P42="","",'Basic data'!P42)</f>
        <v/>
      </c>
      <c r="M10" s="373" t="str">
        <f>IF('Basic data'!Q42="","",'Basic data'!Q42)</f>
        <v/>
      </c>
    </row>
    <row r="11" spans="1:13" ht="84" x14ac:dyDescent="0.2">
      <c r="A11" s="372" t="s">
        <v>782</v>
      </c>
      <c r="B11" s="373" t="str">
        <f>IF('Basic data'!D45="","",'Basic data'!D45)</f>
        <v/>
      </c>
      <c r="C11" s="373" t="str">
        <f>IF('Basic data'!E45="","",'Basic data'!E45)</f>
        <v/>
      </c>
      <c r="D11" s="373" t="str">
        <f>IF('Basic data'!F45="","",'Basic data'!F45)</f>
        <v/>
      </c>
      <c r="E11" s="373" t="str">
        <f>IF('Basic data'!H45="","",'Basic data'!H45)</f>
        <v/>
      </c>
      <c r="F11" s="373" t="str">
        <f>IF('Basic data'!I45="","",'Basic data'!I45)</f>
        <v/>
      </c>
      <c r="G11" s="373" t="str">
        <f>IF('Basic data'!J45="","",'Basic data'!J45)</f>
        <v/>
      </c>
      <c r="H11" s="373" t="str">
        <f>IF('Basic data'!L45="","",'Basic data'!L45)</f>
        <v/>
      </c>
      <c r="I11" s="373" t="str">
        <f>IF('Basic data'!M45="","",'Basic data'!M45)</f>
        <v/>
      </c>
      <c r="J11" s="373" t="str">
        <f>IF('Basic data'!N45="","",'Basic data'!N45)</f>
        <v/>
      </c>
      <c r="K11" s="373" t="str">
        <f>IF('Basic data'!O45="","",'Basic data'!O45)</f>
        <v/>
      </c>
      <c r="L11" s="373" t="str">
        <f>IF('Basic data'!P45="","",'Basic data'!P45)</f>
        <v/>
      </c>
      <c r="M11" s="373" t="str">
        <f>IF('Basic data'!Q45="","",'Basic data'!Q45)</f>
        <v/>
      </c>
    </row>
    <row r="12" spans="1:13" ht="84" x14ac:dyDescent="0.2">
      <c r="A12" s="372" t="s">
        <v>783</v>
      </c>
      <c r="B12" s="373" t="str">
        <f>IF('Basic data'!D46="","",'Basic data'!D46)</f>
        <v/>
      </c>
      <c r="C12" s="373" t="str">
        <f>IF('Basic data'!E46="","",'Basic data'!E46)</f>
        <v/>
      </c>
      <c r="D12" s="373" t="str">
        <f>IF('Basic data'!F46="","",'Basic data'!F46)</f>
        <v/>
      </c>
      <c r="E12" s="373" t="str">
        <f>IF('Basic data'!H46="","",'Basic data'!H46)</f>
        <v/>
      </c>
      <c r="F12" s="373" t="str">
        <f>IF('Basic data'!I46="","",'Basic data'!I46)</f>
        <v/>
      </c>
      <c r="G12" s="373" t="str">
        <f>IF('Basic data'!J46="","",'Basic data'!J46)</f>
        <v/>
      </c>
      <c r="H12" s="373" t="str">
        <f>IF('Basic data'!L46="","",'Basic data'!L46)</f>
        <v/>
      </c>
      <c r="I12" s="373" t="str">
        <f>IF('Basic data'!M46="","",'Basic data'!M46)</f>
        <v/>
      </c>
      <c r="J12" s="373" t="str">
        <f>IF('Basic data'!N46="","",'Basic data'!N46)</f>
        <v/>
      </c>
      <c r="K12" s="373" t="str">
        <f>IF('Basic data'!O46="","",'Basic data'!O46)</f>
        <v/>
      </c>
      <c r="L12" s="373" t="str">
        <f>IF('Basic data'!P46="","",'Basic data'!P46)</f>
        <v/>
      </c>
      <c r="M12" s="373" t="str">
        <f>IF('Basic data'!Q46="","",'Basic data'!Q46)</f>
        <v/>
      </c>
    </row>
    <row r="13" spans="1:13" ht="84" x14ac:dyDescent="0.2">
      <c r="A13" s="372" t="s">
        <v>784</v>
      </c>
      <c r="B13" s="373" t="str">
        <f>IF('Basic data'!D47="","",'Basic data'!D47)</f>
        <v/>
      </c>
      <c r="C13" s="373" t="str">
        <f>IF('Basic data'!E47="","",'Basic data'!E47)</f>
        <v/>
      </c>
      <c r="D13" s="373" t="str">
        <f>IF('Basic data'!F47="","",'Basic data'!F47)</f>
        <v/>
      </c>
      <c r="E13" s="373" t="str">
        <f>IF('Basic data'!H47="","",'Basic data'!H47)</f>
        <v/>
      </c>
      <c r="F13" s="373" t="str">
        <f>IF('Basic data'!I47="","",'Basic data'!I47)</f>
        <v/>
      </c>
      <c r="G13" s="373" t="str">
        <f>IF('Basic data'!J47="","",'Basic data'!J47)</f>
        <v/>
      </c>
      <c r="H13" s="373" t="str">
        <f>IF('Basic data'!L47="","",'Basic data'!L47)</f>
        <v/>
      </c>
      <c r="I13" s="373" t="str">
        <f>IF('Basic data'!M47="","",'Basic data'!M47)</f>
        <v/>
      </c>
      <c r="J13" s="373" t="str">
        <f>IF('Basic data'!N47="","",'Basic data'!N47)</f>
        <v/>
      </c>
      <c r="K13" s="373" t="str">
        <f>IF('Basic data'!O47="","",'Basic data'!O47)</f>
        <v/>
      </c>
      <c r="L13" s="373" t="str">
        <f>IF('Basic data'!P47="","",'Basic data'!P47)</f>
        <v/>
      </c>
      <c r="M13" s="373" t="str">
        <f>IF('Basic data'!Q47="","",'Basic data'!Q47)</f>
        <v/>
      </c>
    </row>
    <row r="14" spans="1:13" ht="84" x14ac:dyDescent="0.2">
      <c r="A14" s="372" t="s">
        <v>785</v>
      </c>
      <c r="B14" s="373" t="str">
        <f>IF('Basic data'!D49="","",'Basic data'!D49)</f>
        <v/>
      </c>
      <c r="C14" s="373" t="str">
        <f>IF('Basic data'!E49="","",'Basic data'!E49)</f>
        <v/>
      </c>
      <c r="D14" s="373" t="str">
        <f>IF('Basic data'!F49="","",'Basic data'!F49)</f>
        <v/>
      </c>
      <c r="E14" s="373" t="str">
        <f>IF('Basic data'!H49="","",'Basic data'!H49)</f>
        <v/>
      </c>
      <c r="F14" s="373" t="str">
        <f>IF('Basic data'!I49="","",'Basic data'!I49)</f>
        <v/>
      </c>
      <c r="G14" s="373" t="str">
        <f>IF('Basic data'!J49="","",'Basic data'!J49)</f>
        <v/>
      </c>
      <c r="H14" s="373" t="str">
        <f>IF('Basic data'!L49="","",'Basic data'!L49)</f>
        <v/>
      </c>
      <c r="I14" s="373" t="str">
        <f>IF('Basic data'!M49="","",'Basic data'!M49)</f>
        <v/>
      </c>
      <c r="J14" s="373" t="str">
        <f>IF('Basic data'!N49="","",'Basic data'!N49)</f>
        <v/>
      </c>
      <c r="K14" s="373" t="str">
        <f>IF('Basic data'!O49="","",'Basic data'!O49)</f>
        <v/>
      </c>
      <c r="L14" s="373" t="str">
        <f>IF('Basic data'!P49="","",'Basic data'!P49)</f>
        <v/>
      </c>
      <c r="M14" s="373" t="str">
        <f>IF('Basic data'!Q49="","",'Basic data'!Q49)</f>
        <v/>
      </c>
    </row>
    <row r="15" spans="1:13" x14ac:dyDescent="0.2">
      <c r="A15" s="372" t="s">
        <v>777</v>
      </c>
      <c r="B15" s="373" t="str">
        <f>IF('Basic data'!D51="","",'Basic data'!D51)</f>
        <v/>
      </c>
      <c r="C15" s="373" t="str">
        <f>IF('Basic data'!E51="","",'Basic data'!E51)</f>
        <v/>
      </c>
      <c r="D15" s="373" t="str">
        <f>IF('Basic data'!F51="","",'Basic data'!F51)</f>
        <v/>
      </c>
      <c r="E15" s="373" t="str">
        <f>IF('Basic data'!H51="","",'Basic data'!H51)</f>
        <v/>
      </c>
      <c r="F15" s="373" t="str">
        <f>IF('Basic data'!I51="","",'Basic data'!I51)</f>
        <v/>
      </c>
      <c r="G15" s="373" t="str">
        <f>IF('Basic data'!J51="","",'Basic data'!J51)</f>
        <v/>
      </c>
      <c r="H15" s="373" t="str">
        <f>IF('Basic data'!L51="","",'Basic data'!L51)</f>
        <v/>
      </c>
      <c r="I15" s="373" t="str">
        <f>IF('Basic data'!M51="","",'Basic data'!M51)</f>
        <v/>
      </c>
      <c r="J15" s="373" t="str">
        <f>IF('Basic data'!N51="","",'Basic data'!N51)</f>
        <v/>
      </c>
      <c r="K15" s="373" t="str">
        <f>IF('Basic data'!O51="","",'Basic data'!O51)</f>
        <v/>
      </c>
      <c r="L15" s="373" t="str">
        <f>IF('Basic data'!P51="","",'Basic data'!P51)</f>
        <v/>
      </c>
      <c r="M15" s="373" t="str">
        <f>IF('Basic data'!Q51="","",'Basic data'!Q51)</f>
        <v/>
      </c>
    </row>
    <row r="16" spans="1:13" ht="24" x14ac:dyDescent="0.2">
      <c r="A16" s="372" t="s">
        <v>778</v>
      </c>
      <c r="B16" s="374"/>
      <c r="C16" s="374"/>
      <c r="D16" s="374"/>
      <c r="E16" s="374"/>
      <c r="F16" s="374"/>
      <c r="G16" s="374"/>
      <c r="H16" s="374"/>
      <c r="I16" s="374"/>
      <c r="J16" s="374"/>
      <c r="K16" s="374"/>
      <c r="L16" s="373" t="str">
        <f>IF('Basic data'!P53="","",'Basic data'!P53)</f>
        <v/>
      </c>
      <c r="M16" s="374"/>
    </row>
    <row r="17" spans="1:13" s="369" customFormat="1" ht="24" x14ac:dyDescent="0.2">
      <c r="A17" s="372" t="s">
        <v>779</v>
      </c>
      <c r="B17" s="375"/>
      <c r="C17" s="375"/>
      <c r="D17" s="375"/>
      <c r="E17" s="375"/>
      <c r="F17" s="375"/>
      <c r="G17" s="375"/>
      <c r="H17" s="375"/>
      <c r="I17" s="375"/>
      <c r="J17" s="375"/>
      <c r="K17" s="375"/>
      <c r="L17" s="373" t="str">
        <f>IF('Basic data'!P54="","",'Basic data'!P54)</f>
        <v/>
      </c>
      <c r="M17" s="375"/>
    </row>
    <row r="18" spans="1:13" s="369" customFormat="1" ht="24" x14ac:dyDescent="0.2">
      <c r="A18" s="372" t="s">
        <v>780</v>
      </c>
      <c r="B18" s="375"/>
      <c r="C18" s="375"/>
      <c r="D18" s="375"/>
      <c r="E18" s="375"/>
      <c r="F18" s="375"/>
      <c r="G18" s="375"/>
      <c r="H18" s="375"/>
      <c r="I18" s="375"/>
      <c r="J18" s="375"/>
      <c r="K18" s="375"/>
      <c r="L18" s="373" t="str">
        <f>IF('Basic data'!P55="","",'Basic data'!P55)</f>
        <v/>
      </c>
      <c r="M18" s="375"/>
    </row>
    <row r="19" spans="1:13" x14ac:dyDescent="0.2">
      <c r="A19" s="372" t="s">
        <v>781</v>
      </c>
      <c r="B19" s="374"/>
      <c r="C19" s="374"/>
      <c r="D19" s="374"/>
      <c r="E19" s="374"/>
      <c r="F19" s="374"/>
      <c r="G19" s="374"/>
      <c r="H19" s="374"/>
      <c r="I19" s="374"/>
      <c r="J19" s="374"/>
      <c r="K19" s="374"/>
      <c r="L19" s="374"/>
      <c r="M19" s="373" t="str">
        <f>IF('Basic data'!Q53="","",'Basic data'!Q53)</f>
        <v/>
      </c>
    </row>
  </sheetData>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F6"/>
  <sheetViews>
    <sheetView workbookViewId="0">
      <selection activeCell="A11" sqref="A11"/>
    </sheetView>
  </sheetViews>
  <sheetFormatPr defaultColWidth="11.42578125" defaultRowHeight="15" x14ac:dyDescent="0.25"/>
  <cols>
    <col min="1" max="1" width="32.28515625" customWidth="1"/>
    <col min="2" max="2" width="38.42578125" customWidth="1"/>
    <col min="3" max="3" width="39.140625" customWidth="1"/>
    <col min="4" max="4" width="26.42578125" customWidth="1"/>
    <col min="5" max="5" width="46.7109375" customWidth="1"/>
    <col min="6" max="6" width="38.28515625" customWidth="1"/>
    <col min="7" max="7" width="42.85546875" customWidth="1"/>
    <col min="8" max="8" width="43.7109375" customWidth="1"/>
    <col min="9" max="9" width="36" customWidth="1"/>
    <col min="10" max="10" width="16.5703125" customWidth="1"/>
    <col min="11" max="11" width="24.140625" customWidth="1"/>
    <col min="12" max="12" width="35" customWidth="1"/>
    <col min="13" max="13" width="28.140625" customWidth="1"/>
    <col min="14" max="14" width="27.7109375" customWidth="1"/>
    <col min="15" max="15" width="30.140625" customWidth="1"/>
    <col min="16" max="16" width="28.140625" customWidth="1"/>
    <col min="17" max="17" width="29.7109375" customWidth="1"/>
    <col min="18" max="18" width="15.28515625" customWidth="1"/>
    <col min="19" max="19" width="17.28515625" customWidth="1"/>
  </cols>
  <sheetData>
    <row r="1" spans="1:6" x14ac:dyDescent="0.25">
      <c r="A1" s="143" t="s">
        <v>300</v>
      </c>
      <c r="B1" s="141" t="str">
        <f>IF('Basic data'!C16=0,"",'Basic data'!C16)</f>
        <v/>
      </c>
    </row>
    <row r="2" spans="1:6" x14ac:dyDescent="0.25">
      <c r="A2" s="143" t="s">
        <v>73</v>
      </c>
      <c r="B2" s="142" t="str">
        <f>IF('Basic data'!O12=0,"",'Basic data'!O12)</f>
        <v/>
      </c>
    </row>
    <row r="3" spans="1:6" x14ac:dyDescent="0.25">
      <c r="A3" s="143" t="s">
        <v>349</v>
      </c>
      <c r="B3" s="142" t="str">
        <f>IF('Basic data'!O14=0,"",'Basic data'!O14)</f>
        <v/>
      </c>
    </row>
    <row r="5" spans="1:6" x14ac:dyDescent="0.25">
      <c r="A5" s="152" t="s">
        <v>11</v>
      </c>
      <c r="B5" s="152" t="s">
        <v>16</v>
      </c>
      <c r="C5" s="152" t="s">
        <v>389</v>
      </c>
      <c r="D5" s="152" t="s">
        <v>388</v>
      </c>
      <c r="E5" s="152" t="s">
        <v>820</v>
      </c>
      <c r="F5" s="152" t="s">
        <v>821</v>
      </c>
    </row>
    <row r="6" spans="1:6" ht="38.25" customHeight="1" x14ac:dyDescent="0.25">
      <c r="A6" s="153" t="str">
        <f>IF('Basic data'!B22=0,"",'Basic data'!B22)</f>
        <v/>
      </c>
      <c r="B6" s="153" t="str">
        <f>IF('Basic data'!B25=0,"",'Basic data'!B25)</f>
        <v/>
      </c>
      <c r="C6" s="561" t="str">
        <f>IF('Basic data'!I22=0,"",'Basic data'!I22)</f>
        <v/>
      </c>
      <c r="D6" s="153" t="str">
        <f>IF('Basic data'!F25=0,"",'Basic data'!F25)</f>
        <v>No</v>
      </c>
      <c r="E6" s="153" t="str">
        <f>IF('Basic data'!C12=0,"",'Basic data'!C12)</f>
        <v/>
      </c>
      <c r="F6" s="153" t="str">
        <f>IF('Basic data'!C14=0,"",'Basic data'!C14)</f>
        <v/>
      </c>
    </row>
  </sheetData>
  <customSheetViews>
    <customSheetView guid="{AD479C9E-06F7-4C03-8179-295428B49475}">
      <selection activeCell="E8" sqref="E8"/>
      <pageMargins left="0.7" right="0.7" top="0.78740157499999996" bottom="0.78740157499999996" header="0.3" footer="0.3"/>
    </customSheetView>
    <customSheetView guid="{DAA0C1F4-4D8F-4BD8-91F9-40281B589772}" state="hidden">
      <selection activeCell="C26" sqref="C26"/>
      <pageMargins left="0.7" right="0.7" top="0.78740157499999996" bottom="0.78740157499999996" header="0.3" footer="0.3"/>
    </customSheetView>
  </customSheetViews>
  <phoneticPr fontId="39"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AA267"/>
  <sheetViews>
    <sheetView zoomScale="90" zoomScaleNormal="90" workbookViewId="0">
      <selection activeCell="A3" sqref="A3"/>
    </sheetView>
  </sheetViews>
  <sheetFormatPr defaultColWidth="11.42578125" defaultRowHeight="15" x14ac:dyDescent="0.25"/>
  <cols>
    <col min="1" max="1" width="32" customWidth="1"/>
    <col min="2" max="2" width="70.85546875" customWidth="1"/>
    <col min="3" max="3" width="71.85546875" bestFit="1" customWidth="1"/>
    <col min="4" max="4" width="15.85546875" style="85" customWidth="1"/>
    <col min="5" max="5" width="37.42578125" style="85" customWidth="1"/>
    <col min="6" max="6" width="37" customWidth="1"/>
    <col min="7" max="7" width="36.28515625" customWidth="1"/>
    <col min="8" max="8" width="36.7109375" customWidth="1"/>
    <col min="9" max="9" width="37.85546875" customWidth="1"/>
    <col min="10" max="10" width="36.85546875" customWidth="1"/>
    <col min="11" max="11" width="36.7109375" customWidth="1"/>
    <col min="12" max="12" width="32.140625" customWidth="1"/>
    <col min="13" max="13" width="37.5703125" customWidth="1"/>
    <col min="14" max="15" width="36.85546875" customWidth="1"/>
    <col min="16" max="16" width="11.28515625" customWidth="1"/>
    <col min="17" max="17" width="37.28515625" customWidth="1"/>
    <col min="18" max="18" width="36.5703125" customWidth="1"/>
    <col min="19" max="19" width="18.7109375" customWidth="1"/>
    <col min="20" max="20" width="38.140625" customWidth="1"/>
    <col min="21" max="21" width="36" customWidth="1"/>
    <col min="22" max="22" width="17.85546875" customWidth="1"/>
    <col min="23" max="23" width="18.5703125" customWidth="1"/>
    <col min="24" max="24" width="17.28515625" customWidth="1"/>
    <col min="25" max="26" width="9.140625" customWidth="1"/>
    <col min="27" max="27" width="11.42578125" customWidth="1"/>
    <col min="28" max="31" width="9.140625" customWidth="1"/>
    <col min="32" max="32" width="13.5703125" customWidth="1"/>
    <col min="33" max="44" width="9.140625" customWidth="1"/>
    <col min="45" max="45" width="16.140625" customWidth="1"/>
    <col min="46" max="46" width="13.85546875" customWidth="1"/>
    <col min="47" max="47" width="9.140625" customWidth="1"/>
    <col min="48" max="48" width="15" customWidth="1"/>
    <col min="49" max="49" width="19.7109375" customWidth="1"/>
    <col min="50" max="50" width="15.7109375" customWidth="1"/>
    <col min="51" max="104" width="9.140625" customWidth="1"/>
    <col min="105" max="106" width="16.5703125" customWidth="1"/>
    <col min="107" max="107" width="15.5703125" customWidth="1"/>
    <col min="108" max="108" width="19" customWidth="1"/>
  </cols>
  <sheetData>
    <row r="1" spans="1:7" x14ac:dyDescent="0.25">
      <c r="B1" s="1"/>
      <c r="G1" s="2"/>
    </row>
    <row r="2" spans="1:7" x14ac:dyDescent="0.25">
      <c r="A2" s="73" t="s">
        <v>16</v>
      </c>
      <c r="B2" s="102" t="s">
        <v>730</v>
      </c>
      <c r="D2" s="443"/>
      <c r="E2" s="86"/>
    </row>
    <row r="3" spans="1:7" x14ac:dyDescent="0.25">
      <c r="A3" s="562" t="s">
        <v>865</v>
      </c>
      <c r="B3" s="102" t="s">
        <v>302</v>
      </c>
      <c r="D3" s="444"/>
      <c r="E3" s="86"/>
    </row>
    <row r="4" spans="1:7" x14ac:dyDescent="0.25">
      <c r="A4" s="58"/>
      <c r="B4" s="102" t="s">
        <v>863</v>
      </c>
      <c r="D4" s="444"/>
      <c r="E4" s="86"/>
    </row>
    <row r="5" spans="1:7" x14ac:dyDescent="0.25">
      <c r="A5" s="58"/>
      <c r="B5" s="102" t="s">
        <v>410</v>
      </c>
      <c r="D5" s="444"/>
      <c r="E5" s="86"/>
    </row>
    <row r="6" spans="1:7" x14ac:dyDescent="0.25">
      <c r="A6" s="58"/>
      <c r="B6" s="102" t="s">
        <v>303</v>
      </c>
      <c r="D6" s="444"/>
      <c r="E6" s="86"/>
    </row>
    <row r="7" spans="1:7" x14ac:dyDescent="0.25">
      <c r="A7" s="58"/>
      <c r="B7" s="102" t="s">
        <v>864</v>
      </c>
      <c r="D7" s="444"/>
      <c r="E7" s="86"/>
    </row>
    <row r="8" spans="1:7" x14ac:dyDescent="0.25">
      <c r="A8" s="58"/>
      <c r="B8" s="102" t="s">
        <v>14</v>
      </c>
      <c r="D8" s="444"/>
      <c r="E8" s="86"/>
    </row>
    <row r="9" spans="1:7" x14ac:dyDescent="0.25">
      <c r="A9" s="58"/>
      <c r="B9" s="102" t="s">
        <v>17</v>
      </c>
      <c r="D9" s="444"/>
      <c r="E9" s="86"/>
    </row>
    <row r="10" spans="1:7" x14ac:dyDescent="0.25">
      <c r="A10" s="58"/>
      <c r="B10" s="102" t="s">
        <v>71</v>
      </c>
      <c r="D10" s="444"/>
      <c r="E10" s="86"/>
    </row>
    <row r="11" spans="1:7" x14ac:dyDescent="0.25">
      <c r="A11" s="58"/>
      <c r="B11" s="102" t="s">
        <v>402</v>
      </c>
      <c r="D11" s="444"/>
      <c r="E11" s="86"/>
    </row>
    <row r="12" spans="1:7" x14ac:dyDescent="0.25">
      <c r="A12" s="58"/>
      <c r="B12" s="102" t="s">
        <v>403</v>
      </c>
      <c r="D12" s="444"/>
      <c r="E12" s="86"/>
    </row>
    <row r="13" spans="1:7" x14ac:dyDescent="0.25">
      <c r="A13" s="58"/>
      <c r="B13" s="102" t="s">
        <v>404</v>
      </c>
      <c r="D13" s="444"/>
      <c r="E13" s="86"/>
    </row>
    <row r="14" spans="1:7" x14ac:dyDescent="0.25">
      <c r="A14" s="58"/>
      <c r="B14" s="102" t="s">
        <v>347</v>
      </c>
      <c r="D14" s="444"/>
      <c r="E14" s="86"/>
    </row>
    <row r="15" spans="1:7" x14ac:dyDescent="0.25">
      <c r="A15" s="58"/>
      <c r="B15" s="102" t="s">
        <v>346</v>
      </c>
      <c r="D15" s="444"/>
      <c r="E15" s="86"/>
    </row>
    <row r="16" spans="1:7" x14ac:dyDescent="0.25">
      <c r="A16" s="58"/>
      <c r="B16" s="102" t="s">
        <v>345</v>
      </c>
      <c r="D16" s="444"/>
      <c r="E16" s="86"/>
    </row>
    <row r="17" spans="1:23" x14ac:dyDescent="0.25">
      <c r="A17" s="58"/>
      <c r="B17" s="102" t="s">
        <v>375</v>
      </c>
      <c r="D17" s="444"/>
      <c r="E17" s="86"/>
    </row>
    <row r="18" spans="1:23" x14ac:dyDescent="0.25">
      <c r="A18" s="58"/>
      <c r="B18" s="102" t="s">
        <v>411</v>
      </c>
      <c r="D18" s="444"/>
      <c r="E18" s="86"/>
    </row>
    <row r="19" spans="1:23" x14ac:dyDescent="0.25">
      <c r="A19" s="58"/>
      <c r="B19" s="102" t="s">
        <v>304</v>
      </c>
      <c r="D19" s="444"/>
      <c r="E19" s="86"/>
    </row>
    <row r="20" spans="1:23" x14ac:dyDescent="0.25">
      <c r="A20" s="58"/>
      <c r="B20" s="102" t="s">
        <v>348</v>
      </c>
      <c r="D20" s="444"/>
      <c r="E20" s="86"/>
    </row>
    <row r="21" spans="1:23" x14ac:dyDescent="0.25">
      <c r="A21" s="58"/>
      <c r="B21" s="102" t="s">
        <v>379</v>
      </c>
      <c r="D21" s="444"/>
      <c r="E21" s="86"/>
    </row>
    <row r="22" spans="1:23" x14ac:dyDescent="0.25">
      <c r="A22" s="58"/>
      <c r="B22" s="102" t="s">
        <v>342</v>
      </c>
      <c r="D22" s="445"/>
      <c r="E22" s="86"/>
    </row>
    <row r="23" spans="1:23" x14ac:dyDescent="0.25">
      <c r="A23" s="58"/>
      <c r="B23" s="102" t="s">
        <v>458</v>
      </c>
      <c r="D23" s="444"/>
      <c r="E23" s="86"/>
    </row>
    <row r="24" spans="1:23" x14ac:dyDescent="0.25">
      <c r="A24" s="58"/>
      <c r="B24" s="102" t="s">
        <v>459</v>
      </c>
      <c r="D24" s="444"/>
      <c r="E24" s="86"/>
    </row>
    <row r="25" spans="1:23" x14ac:dyDescent="0.25">
      <c r="A25" s="58"/>
      <c r="D25" s="444"/>
      <c r="E25" s="86"/>
    </row>
    <row r="26" spans="1:23" x14ac:dyDescent="0.25">
      <c r="A26" s="58"/>
      <c r="D26" s="444"/>
      <c r="E26" s="86"/>
    </row>
    <row r="27" spans="1:23" x14ac:dyDescent="0.25">
      <c r="A27" s="58"/>
      <c r="B27" s="442"/>
      <c r="C27" s="442"/>
      <c r="D27"/>
      <c r="E27" s="87"/>
    </row>
    <row r="28" spans="1:23" x14ac:dyDescent="0.25">
      <c r="A28" s="58"/>
      <c r="B28" s="58"/>
      <c r="E28" s="87"/>
    </row>
    <row r="29" spans="1:23" x14ac:dyDescent="0.25">
      <c r="A29" s="253" t="s">
        <v>37</v>
      </c>
      <c r="B29" s="50" t="s">
        <v>38</v>
      </c>
      <c r="C29" s="50" t="s">
        <v>39</v>
      </c>
      <c r="D29" s="254" t="s">
        <v>40</v>
      </c>
      <c r="E29" s="19" t="s">
        <v>41</v>
      </c>
      <c r="F29" s="7" t="s">
        <v>42</v>
      </c>
      <c r="G29" s="7" t="s">
        <v>43</v>
      </c>
      <c r="H29" s="19" t="s">
        <v>44</v>
      </c>
      <c r="I29" s="19" t="s">
        <v>45</v>
      </c>
      <c r="J29" s="19" t="s">
        <v>46</v>
      </c>
      <c r="K29" s="19" t="s">
        <v>47</v>
      </c>
      <c r="L29" s="19" t="s">
        <v>48</v>
      </c>
      <c r="M29" s="19" t="s">
        <v>49</v>
      </c>
      <c r="N29" s="19" t="s">
        <v>50</v>
      </c>
      <c r="O29" s="19" t="s">
        <v>51</v>
      </c>
      <c r="P29" s="19" t="s">
        <v>13</v>
      </c>
      <c r="Q29" s="19" t="s">
        <v>52</v>
      </c>
      <c r="R29" s="19" t="s">
        <v>334</v>
      </c>
      <c r="S29" s="19" t="s">
        <v>69</v>
      </c>
      <c r="T29" s="19"/>
      <c r="U29" s="19"/>
      <c r="V29" s="7"/>
      <c r="W29" s="19"/>
    </row>
    <row r="30" spans="1:23" x14ac:dyDescent="0.25">
      <c r="A30" s="255" t="s">
        <v>198</v>
      </c>
      <c r="B30" s="256" t="s">
        <v>199</v>
      </c>
      <c r="C30" s="256" t="s">
        <v>200</v>
      </c>
      <c r="D30" s="257" t="s">
        <v>201</v>
      </c>
      <c r="E30" s="256" t="s">
        <v>202</v>
      </c>
      <c r="F30" s="258" t="s">
        <v>203</v>
      </c>
      <c r="G30" s="258" t="s">
        <v>204</v>
      </c>
      <c r="H30" s="256" t="s">
        <v>205</v>
      </c>
      <c r="I30" s="256" t="s">
        <v>206</v>
      </c>
      <c r="J30" s="256" t="s">
        <v>207</v>
      </c>
      <c r="K30" s="256" t="s">
        <v>208</v>
      </c>
      <c r="L30" s="256" t="s">
        <v>209</v>
      </c>
      <c r="M30" s="256" t="s">
        <v>210</v>
      </c>
      <c r="N30" s="256" t="s">
        <v>211</v>
      </c>
      <c r="O30" s="256" t="s">
        <v>212</v>
      </c>
      <c r="P30" s="256" t="s">
        <v>213</v>
      </c>
      <c r="Q30" s="260" t="s">
        <v>357</v>
      </c>
      <c r="R30" s="256" t="s">
        <v>358</v>
      </c>
      <c r="S30" s="260" t="s">
        <v>374</v>
      </c>
      <c r="T30" s="19"/>
      <c r="U30" s="7"/>
      <c r="V30" s="19"/>
      <c r="W30" s="7"/>
    </row>
    <row r="31" spans="1:23" x14ac:dyDescent="0.25">
      <c r="A31" s="255" t="s">
        <v>18</v>
      </c>
      <c r="B31" s="256" t="s">
        <v>25</v>
      </c>
      <c r="C31" s="256" t="s">
        <v>201</v>
      </c>
      <c r="D31" s="257" t="s">
        <v>214</v>
      </c>
      <c r="E31" s="256" t="s">
        <v>215</v>
      </c>
      <c r="F31" s="258" t="s">
        <v>215</v>
      </c>
      <c r="G31" s="258" t="s">
        <v>216</v>
      </c>
      <c r="H31" s="256" t="s">
        <v>217</v>
      </c>
      <c r="I31" s="256" t="s">
        <v>20</v>
      </c>
      <c r="J31" s="256" t="s">
        <v>218</v>
      </c>
      <c r="K31" s="256" t="s">
        <v>219</v>
      </c>
      <c r="L31" s="256" t="s">
        <v>220</v>
      </c>
      <c r="M31" s="256" t="s">
        <v>221</v>
      </c>
      <c r="N31" s="256" t="s">
        <v>28</v>
      </c>
      <c r="O31" s="256" t="s">
        <v>222</v>
      </c>
      <c r="P31" s="256" t="s">
        <v>15</v>
      </c>
      <c r="Q31" s="256" t="s">
        <v>196</v>
      </c>
      <c r="R31" s="256" t="s">
        <v>196</v>
      </c>
      <c r="S31" s="256" t="s">
        <v>196</v>
      </c>
      <c r="T31" s="19"/>
      <c r="U31" s="83"/>
      <c r="V31" s="19"/>
      <c r="W31" s="83"/>
    </row>
    <row r="32" spans="1:23" x14ac:dyDescent="0.25">
      <c r="A32" s="255" t="s">
        <v>19</v>
      </c>
      <c r="B32" s="256" t="s">
        <v>26</v>
      </c>
      <c r="C32" s="256" t="s">
        <v>223</v>
      </c>
      <c r="D32" s="259" t="s">
        <v>224</v>
      </c>
      <c r="E32" s="256" t="s">
        <v>196</v>
      </c>
      <c r="F32" s="258" t="s">
        <v>196</v>
      </c>
      <c r="G32" s="258" t="s">
        <v>225</v>
      </c>
      <c r="H32" s="256" t="s">
        <v>226</v>
      </c>
      <c r="I32" s="256" t="s">
        <v>227</v>
      </c>
      <c r="J32" s="256" t="s">
        <v>228</v>
      </c>
      <c r="K32" s="256" t="s">
        <v>35</v>
      </c>
      <c r="L32" s="256" t="s">
        <v>215</v>
      </c>
      <c r="M32" s="256" t="s">
        <v>30</v>
      </c>
      <c r="N32" s="256" t="s">
        <v>31</v>
      </c>
      <c r="O32" s="256" t="s">
        <v>229</v>
      </c>
      <c r="P32" s="256" t="s">
        <v>27</v>
      </c>
      <c r="Q32" s="256"/>
      <c r="R32" s="256"/>
      <c r="S32" s="256"/>
      <c r="T32" s="19"/>
      <c r="U32" s="83"/>
      <c r="V32" s="83"/>
      <c r="W32" s="83"/>
    </row>
    <row r="33" spans="1:23" x14ac:dyDescent="0.25">
      <c r="A33" s="255" t="s">
        <v>230</v>
      </c>
      <c r="B33" s="256" t="s">
        <v>33</v>
      </c>
      <c r="C33" s="256" t="s">
        <v>231</v>
      </c>
      <c r="D33" s="259" t="s">
        <v>215</v>
      </c>
      <c r="E33" s="256" t="s">
        <v>197</v>
      </c>
      <c r="F33" s="258" t="s">
        <v>197</v>
      </c>
      <c r="G33" s="258" t="s">
        <v>232</v>
      </c>
      <c r="H33" s="256" t="s">
        <v>233</v>
      </c>
      <c r="I33" s="258" t="s">
        <v>234</v>
      </c>
      <c r="J33" s="258" t="s">
        <v>235</v>
      </c>
      <c r="K33" s="256" t="s">
        <v>215</v>
      </c>
      <c r="L33" s="256" t="s">
        <v>196</v>
      </c>
      <c r="M33" s="256" t="s">
        <v>306</v>
      </c>
      <c r="N33" s="256" t="s">
        <v>224</v>
      </c>
      <c r="O33" s="256" t="s">
        <v>215</v>
      </c>
      <c r="P33" s="256" t="s">
        <v>29</v>
      </c>
      <c r="Q33" s="256"/>
      <c r="R33" s="256"/>
      <c r="S33" s="256"/>
      <c r="T33" s="19"/>
      <c r="U33" s="83"/>
      <c r="V33" s="83"/>
      <c r="W33" s="83"/>
    </row>
    <row r="34" spans="1:23" x14ac:dyDescent="0.25">
      <c r="A34" s="255" t="s">
        <v>237</v>
      </c>
      <c r="B34" s="256" t="s">
        <v>238</v>
      </c>
      <c r="C34" s="256" t="s">
        <v>239</v>
      </c>
      <c r="D34" s="259" t="s">
        <v>196</v>
      </c>
      <c r="E34" s="256"/>
      <c r="F34" s="258"/>
      <c r="G34" s="258" t="s">
        <v>32</v>
      </c>
      <c r="H34" s="256" t="s">
        <v>224</v>
      </c>
      <c r="I34" s="258" t="s">
        <v>240</v>
      </c>
      <c r="J34" s="258" t="s">
        <v>241</v>
      </c>
      <c r="K34" s="256" t="s">
        <v>196</v>
      </c>
      <c r="L34" s="256" t="s">
        <v>197</v>
      </c>
      <c r="M34" s="256" t="s">
        <v>68</v>
      </c>
      <c r="N34" s="256" t="s">
        <v>215</v>
      </c>
      <c r="O34" s="256" t="s">
        <v>196</v>
      </c>
      <c r="P34" s="258" t="s">
        <v>242</v>
      </c>
      <c r="Q34" s="256"/>
      <c r="R34" s="256"/>
      <c r="S34" s="256"/>
      <c r="T34" s="19"/>
      <c r="U34" s="83"/>
      <c r="V34" s="83"/>
      <c r="W34" s="83"/>
    </row>
    <row r="35" spans="1:23" x14ac:dyDescent="0.25">
      <c r="A35" s="255" t="s">
        <v>243</v>
      </c>
      <c r="B35" s="256" t="s">
        <v>34</v>
      </c>
      <c r="C35" s="256" t="s">
        <v>244</v>
      </c>
      <c r="D35" s="259" t="s">
        <v>197</v>
      </c>
      <c r="E35" s="256"/>
      <c r="F35" s="258"/>
      <c r="G35" s="256" t="s">
        <v>215</v>
      </c>
      <c r="H35" s="258" t="s">
        <v>215</v>
      </c>
      <c r="I35" s="258" t="s">
        <v>307</v>
      </c>
      <c r="J35" s="258" t="s">
        <v>245</v>
      </c>
      <c r="K35" s="256" t="s">
        <v>197</v>
      </c>
      <c r="L35" s="256"/>
      <c r="M35" s="256" t="s">
        <v>224</v>
      </c>
      <c r="N35" s="256" t="s">
        <v>196</v>
      </c>
      <c r="O35" s="258" t="s">
        <v>197</v>
      </c>
      <c r="P35" s="260" t="s">
        <v>236</v>
      </c>
      <c r="Q35" s="256"/>
      <c r="R35" s="256"/>
      <c r="S35" s="258"/>
      <c r="T35" s="19"/>
      <c r="U35" s="83"/>
      <c r="V35" s="83"/>
      <c r="W35" s="83"/>
    </row>
    <row r="36" spans="1:23" x14ac:dyDescent="0.25">
      <c r="A36" s="255" t="s">
        <v>246</v>
      </c>
      <c r="B36" s="256" t="s">
        <v>247</v>
      </c>
      <c r="C36" s="256" t="s">
        <v>224</v>
      </c>
      <c r="D36" s="259"/>
      <c r="E36" s="256"/>
      <c r="F36" s="256"/>
      <c r="G36" s="256" t="s">
        <v>196</v>
      </c>
      <c r="H36" s="258" t="s">
        <v>196</v>
      </c>
      <c r="I36" s="258" t="s">
        <v>215</v>
      </c>
      <c r="J36" s="258" t="s">
        <v>215</v>
      </c>
      <c r="K36" s="256"/>
      <c r="L36" s="256"/>
      <c r="M36" s="256" t="s">
        <v>215</v>
      </c>
      <c r="N36" s="256" t="s">
        <v>197</v>
      </c>
      <c r="O36" s="260"/>
      <c r="P36" s="260" t="s">
        <v>224</v>
      </c>
      <c r="Q36" s="256"/>
      <c r="R36" s="256"/>
      <c r="S36" s="260"/>
      <c r="T36" s="19"/>
      <c r="U36" s="83"/>
      <c r="V36" s="83"/>
      <c r="W36" s="83"/>
    </row>
    <row r="37" spans="1:23" x14ac:dyDescent="0.25">
      <c r="A37" s="255" t="s">
        <v>21</v>
      </c>
      <c r="B37" s="256" t="s">
        <v>215</v>
      </c>
      <c r="C37" s="256" t="s">
        <v>215</v>
      </c>
      <c r="D37" s="259"/>
      <c r="E37" s="256"/>
      <c r="F37" s="256"/>
      <c r="G37" s="256" t="s">
        <v>197</v>
      </c>
      <c r="H37" s="258" t="s">
        <v>197</v>
      </c>
      <c r="I37" s="258" t="s">
        <v>196</v>
      </c>
      <c r="J37" s="258" t="s">
        <v>196</v>
      </c>
      <c r="K37" s="258"/>
      <c r="L37" s="258"/>
      <c r="M37" s="256" t="s">
        <v>196</v>
      </c>
      <c r="N37" s="256"/>
      <c r="O37" s="260"/>
      <c r="P37" s="260" t="s">
        <v>215</v>
      </c>
      <c r="Q37" s="256"/>
      <c r="R37" s="258"/>
      <c r="S37" s="256"/>
      <c r="T37" s="19"/>
      <c r="U37" s="83"/>
      <c r="V37" s="83"/>
      <c r="W37" s="83"/>
    </row>
    <row r="38" spans="1:23" x14ac:dyDescent="0.25">
      <c r="A38" s="255" t="s">
        <v>248</v>
      </c>
      <c r="B38" s="256" t="s">
        <v>196</v>
      </c>
      <c r="C38" s="256" t="s">
        <v>196</v>
      </c>
      <c r="D38" s="259"/>
      <c r="E38" s="256"/>
      <c r="F38" s="256"/>
      <c r="G38" s="256"/>
      <c r="H38" s="258"/>
      <c r="I38" s="258" t="s">
        <v>197</v>
      </c>
      <c r="J38" s="258" t="s">
        <v>197</v>
      </c>
      <c r="K38" s="258"/>
      <c r="L38" s="258"/>
      <c r="M38" s="258" t="s">
        <v>197</v>
      </c>
      <c r="N38" s="258"/>
      <c r="O38" s="260"/>
      <c r="P38" s="260" t="s">
        <v>196</v>
      </c>
      <c r="Q38" s="260"/>
      <c r="R38" s="260"/>
      <c r="S38" s="260"/>
      <c r="T38" s="7"/>
      <c r="U38" s="83"/>
      <c r="V38" s="83"/>
      <c r="W38" s="83"/>
    </row>
    <row r="39" spans="1:23" x14ac:dyDescent="0.25">
      <c r="A39" s="255" t="s">
        <v>249</v>
      </c>
      <c r="B39" s="256" t="s">
        <v>197</v>
      </c>
      <c r="C39" s="256" t="s">
        <v>197</v>
      </c>
      <c r="D39" s="259"/>
      <c r="E39" s="256"/>
      <c r="F39" s="258"/>
      <c r="G39" s="258"/>
      <c r="H39" s="258"/>
      <c r="I39" s="258"/>
      <c r="J39" s="258"/>
      <c r="K39" s="258"/>
      <c r="L39" s="258"/>
      <c r="M39" s="258"/>
      <c r="N39" s="260"/>
      <c r="O39" s="260"/>
      <c r="P39" s="260" t="s">
        <v>197</v>
      </c>
      <c r="Q39" s="260"/>
      <c r="R39" s="260"/>
      <c r="S39" s="260"/>
      <c r="T39" s="83"/>
      <c r="U39" s="83"/>
      <c r="V39" s="83"/>
      <c r="W39" s="83"/>
    </row>
    <row r="40" spans="1:23" x14ac:dyDescent="0.25">
      <c r="A40" s="255" t="s">
        <v>250</v>
      </c>
      <c r="B40" s="256"/>
      <c r="C40" s="256"/>
      <c r="D40" s="259"/>
      <c r="E40" s="256"/>
      <c r="F40" s="258"/>
      <c r="G40" s="258"/>
      <c r="H40" s="258"/>
      <c r="I40" s="258"/>
      <c r="J40" s="258"/>
      <c r="K40" s="258"/>
      <c r="L40" s="258"/>
      <c r="M40" s="258"/>
      <c r="N40" s="260"/>
      <c r="O40" s="260"/>
      <c r="P40" s="260"/>
      <c r="Q40" s="260"/>
      <c r="R40" s="260"/>
      <c r="S40" s="260"/>
      <c r="T40" s="83"/>
      <c r="U40" s="83"/>
      <c r="V40" s="83"/>
      <c r="W40" s="83"/>
    </row>
    <row r="41" spans="1:23" x14ac:dyDescent="0.25">
      <c r="A41" s="255" t="s">
        <v>251</v>
      </c>
      <c r="B41" s="256"/>
      <c r="C41" s="256"/>
      <c r="D41" s="259"/>
      <c r="E41" s="256"/>
      <c r="F41" s="258"/>
      <c r="G41" s="258"/>
      <c r="H41" s="258"/>
      <c r="I41" s="258"/>
      <c r="J41" s="258"/>
      <c r="K41" s="258"/>
      <c r="L41" s="258"/>
      <c r="M41" s="258"/>
      <c r="N41" s="260"/>
      <c r="O41" s="260"/>
      <c r="P41" s="260"/>
      <c r="Q41" s="260"/>
      <c r="R41" s="260"/>
      <c r="S41" s="260"/>
      <c r="T41" s="83"/>
      <c r="U41" s="83"/>
      <c r="V41" s="83"/>
      <c r="W41" s="83"/>
    </row>
    <row r="42" spans="1:23" x14ac:dyDescent="0.25">
      <c r="A42" s="255" t="s">
        <v>22</v>
      </c>
      <c r="B42" s="256"/>
      <c r="C42" s="256"/>
      <c r="D42" s="259"/>
      <c r="E42" s="256"/>
      <c r="F42" s="258"/>
      <c r="G42" s="258"/>
      <c r="H42" s="258"/>
      <c r="I42" s="258"/>
      <c r="J42" s="258"/>
      <c r="K42" s="258"/>
      <c r="L42" s="258"/>
      <c r="M42" s="258"/>
      <c r="N42" s="260"/>
      <c r="O42" s="260"/>
      <c r="P42" s="260"/>
      <c r="Q42" s="260"/>
      <c r="R42" s="260"/>
      <c r="S42" s="260"/>
      <c r="T42" s="83"/>
      <c r="U42" s="83"/>
      <c r="V42" s="83"/>
      <c r="W42" s="83"/>
    </row>
    <row r="43" spans="1:23" x14ac:dyDescent="0.25">
      <c r="A43" s="255" t="s">
        <v>252</v>
      </c>
      <c r="B43" s="256"/>
      <c r="C43" s="256"/>
      <c r="D43" s="259"/>
      <c r="E43" s="256"/>
      <c r="F43" s="258"/>
      <c r="G43" s="258"/>
      <c r="H43" s="258"/>
      <c r="I43" s="258"/>
      <c r="J43" s="258"/>
      <c r="K43" s="258"/>
      <c r="L43" s="258"/>
      <c r="M43" s="258"/>
      <c r="N43" s="260"/>
      <c r="O43" s="260"/>
      <c r="P43" s="260"/>
      <c r="Q43" s="260"/>
      <c r="R43" s="260"/>
      <c r="S43" s="260"/>
      <c r="T43" s="83"/>
      <c r="U43" s="83"/>
      <c r="V43" s="83"/>
      <c r="W43" s="83"/>
    </row>
    <row r="44" spans="1:23" x14ac:dyDescent="0.25">
      <c r="A44" s="255" t="s">
        <v>23</v>
      </c>
      <c r="B44" s="256"/>
      <c r="C44" s="256"/>
      <c r="D44" s="259"/>
      <c r="E44" s="256"/>
      <c r="F44" s="258"/>
      <c r="G44" s="258"/>
      <c r="H44" s="258"/>
      <c r="I44" s="258"/>
      <c r="J44" s="258"/>
      <c r="K44" s="258"/>
      <c r="L44" s="258"/>
      <c r="M44" s="258"/>
      <c r="N44" s="260"/>
      <c r="O44" s="260"/>
      <c r="P44" s="260"/>
      <c r="Q44" s="260"/>
      <c r="R44" s="260"/>
      <c r="S44" s="260"/>
      <c r="T44" s="83"/>
      <c r="U44" s="83"/>
      <c r="V44" s="83"/>
      <c r="W44" s="83"/>
    </row>
    <row r="45" spans="1:23" x14ac:dyDescent="0.25">
      <c r="A45" s="255" t="s">
        <v>253</v>
      </c>
      <c r="B45" s="256"/>
      <c r="C45" s="256"/>
      <c r="D45" s="259"/>
      <c r="E45" s="256"/>
      <c r="F45" s="258"/>
      <c r="G45" s="258"/>
      <c r="H45" s="258"/>
      <c r="I45" s="258"/>
      <c r="J45" s="258"/>
      <c r="K45" s="258"/>
      <c r="L45" s="258"/>
      <c r="M45" s="258"/>
      <c r="N45" s="260"/>
      <c r="O45" s="260"/>
      <c r="P45" s="260"/>
      <c r="Q45" s="260"/>
      <c r="R45" s="260"/>
      <c r="S45" s="260"/>
      <c r="T45" s="83"/>
      <c r="U45" s="83"/>
      <c r="V45" s="83"/>
      <c r="W45" s="83"/>
    </row>
    <row r="46" spans="1:23" x14ac:dyDescent="0.25">
      <c r="A46" s="255" t="s">
        <v>254</v>
      </c>
      <c r="B46" s="256"/>
      <c r="C46" s="256"/>
      <c r="D46" s="259"/>
      <c r="E46" s="256"/>
      <c r="F46" s="258"/>
      <c r="G46" s="258"/>
      <c r="H46" s="258"/>
      <c r="I46" s="258"/>
      <c r="J46" s="258"/>
      <c r="K46" s="258"/>
      <c r="L46" s="258"/>
      <c r="M46" s="258"/>
      <c r="N46" s="260"/>
      <c r="O46" s="260"/>
      <c r="P46" s="260"/>
      <c r="Q46" s="260"/>
      <c r="R46" s="260"/>
      <c r="S46" s="260"/>
      <c r="T46" s="83"/>
      <c r="U46" s="83"/>
      <c r="V46" s="83"/>
      <c r="W46" s="83"/>
    </row>
    <row r="47" spans="1:23" x14ac:dyDescent="0.25">
      <c r="A47" s="255" t="s">
        <v>24</v>
      </c>
      <c r="B47" s="256"/>
      <c r="C47" s="256"/>
      <c r="D47" s="259"/>
      <c r="E47" s="256"/>
      <c r="F47" s="258"/>
      <c r="G47" s="258"/>
      <c r="H47" s="258"/>
      <c r="I47" s="258"/>
      <c r="J47" s="258"/>
      <c r="K47" s="258"/>
      <c r="L47" s="258"/>
      <c r="M47" s="258"/>
      <c r="N47" s="260"/>
      <c r="O47" s="260"/>
      <c r="P47" s="260"/>
      <c r="Q47" s="260"/>
      <c r="R47" s="260"/>
      <c r="S47" s="260"/>
      <c r="T47" s="83"/>
      <c r="U47" s="83"/>
      <c r="V47" s="83"/>
      <c r="W47" s="83"/>
    </row>
    <row r="48" spans="1:23" x14ac:dyDescent="0.25">
      <c r="A48" s="255" t="s">
        <v>215</v>
      </c>
      <c r="B48" s="256"/>
      <c r="C48" s="256"/>
      <c r="D48" s="259"/>
      <c r="E48" s="256"/>
      <c r="F48" s="258"/>
      <c r="G48" s="258"/>
      <c r="H48" s="258"/>
      <c r="I48" s="258"/>
      <c r="J48" s="258"/>
      <c r="K48" s="258"/>
      <c r="L48" s="258"/>
      <c r="M48" s="258"/>
      <c r="N48" s="260"/>
      <c r="O48" s="260"/>
      <c r="P48" s="260"/>
      <c r="Q48" s="260"/>
      <c r="R48" s="260"/>
      <c r="S48" s="260"/>
      <c r="T48" s="83"/>
      <c r="U48" s="83"/>
      <c r="V48" s="83"/>
      <c r="W48" s="83"/>
    </row>
    <row r="49" spans="1:27" x14ac:dyDescent="0.25">
      <c r="A49" s="255" t="s">
        <v>458</v>
      </c>
      <c r="B49" s="256"/>
      <c r="C49" s="256"/>
      <c r="D49" s="259"/>
      <c r="E49" s="256"/>
      <c r="F49" s="258"/>
      <c r="G49" s="258"/>
      <c r="H49" s="258"/>
      <c r="I49" s="258"/>
      <c r="J49" s="258"/>
      <c r="K49" s="258"/>
      <c r="L49" s="258"/>
      <c r="M49" s="258"/>
      <c r="N49" s="258"/>
      <c r="O49" s="258"/>
      <c r="P49" s="258"/>
      <c r="Q49" s="258"/>
      <c r="R49" s="258"/>
      <c r="S49" s="258"/>
      <c r="T49" s="7"/>
      <c r="U49" s="7"/>
      <c r="V49" s="7"/>
      <c r="W49" s="7"/>
    </row>
    <row r="50" spans="1:27" x14ac:dyDescent="0.25">
      <c r="A50" s="255" t="s">
        <v>459</v>
      </c>
      <c r="B50" s="256"/>
      <c r="C50" s="256"/>
      <c r="D50" s="257"/>
      <c r="E50" s="257"/>
      <c r="F50" s="256"/>
      <c r="G50" s="260"/>
      <c r="H50" s="258"/>
      <c r="I50" s="256"/>
      <c r="J50" s="256"/>
      <c r="K50" s="256"/>
      <c r="L50" s="258"/>
      <c r="M50" s="258"/>
      <c r="N50" s="258"/>
      <c r="O50" s="258"/>
      <c r="P50" s="258"/>
      <c r="Q50" s="258"/>
      <c r="R50" s="256"/>
      <c r="S50" s="258"/>
      <c r="T50" s="59"/>
      <c r="U50" s="59"/>
      <c r="V50" s="59"/>
      <c r="W50" s="59"/>
      <c r="X50" s="59"/>
      <c r="Y50" s="59"/>
      <c r="Z50" s="59"/>
      <c r="AA50" s="59"/>
    </row>
    <row r="51" spans="1:27" x14ac:dyDescent="0.25">
      <c r="A51" s="58"/>
      <c r="B51" s="50"/>
      <c r="C51" s="19"/>
      <c r="D51" s="87"/>
      <c r="E51" s="87"/>
      <c r="F51" s="19"/>
      <c r="H51" s="59"/>
      <c r="I51" s="50"/>
      <c r="J51" s="50"/>
      <c r="K51" s="50"/>
      <c r="L51" s="59"/>
      <c r="M51" s="59"/>
      <c r="N51" s="59"/>
      <c r="O51" s="59"/>
      <c r="P51" s="59"/>
      <c r="Q51" s="59"/>
      <c r="R51" s="50"/>
      <c r="S51" s="59"/>
      <c r="T51" s="59"/>
      <c r="U51" s="59"/>
      <c r="V51" s="59"/>
      <c r="W51" s="59"/>
      <c r="X51" s="59"/>
      <c r="Y51" s="59"/>
      <c r="Z51" s="59"/>
      <c r="AA51" s="59"/>
    </row>
    <row r="52" spans="1:27" x14ac:dyDescent="0.25">
      <c r="A52" s="58"/>
      <c r="B52" s="58"/>
    </row>
    <row r="53" spans="1:27" x14ac:dyDescent="0.25">
      <c r="A53" s="73" t="s">
        <v>12</v>
      </c>
      <c r="B53" s="72" t="s">
        <v>36</v>
      </c>
    </row>
    <row r="54" spans="1:27" x14ac:dyDescent="0.25">
      <c r="A54" s="58"/>
      <c r="B54" s="72" t="s">
        <v>150</v>
      </c>
    </row>
    <row r="55" spans="1:27" x14ac:dyDescent="0.25">
      <c r="A55" s="58"/>
      <c r="B55" s="59"/>
    </row>
    <row r="56" spans="1:27" x14ac:dyDescent="0.25">
      <c r="A56" s="59"/>
      <c r="B56" s="60"/>
    </row>
    <row r="57" spans="1:27" x14ac:dyDescent="0.25">
      <c r="A57" s="80" t="s">
        <v>67</v>
      </c>
      <c r="B57" s="79" t="s">
        <v>384</v>
      </c>
    </row>
    <row r="58" spans="1:27" ht="14.25" customHeight="1" x14ac:dyDescent="0.25">
      <c r="A58" s="59"/>
      <c r="B58" s="79" t="s">
        <v>190</v>
      </c>
    </row>
    <row r="59" spans="1:27" x14ac:dyDescent="0.25">
      <c r="A59" s="59"/>
      <c r="B59" s="79" t="s">
        <v>191</v>
      </c>
    </row>
    <row r="60" spans="1:27" ht="15" customHeight="1" x14ac:dyDescent="0.25">
      <c r="A60" s="59"/>
      <c r="B60" s="79" t="s">
        <v>192</v>
      </c>
    </row>
    <row r="61" spans="1:27" x14ac:dyDescent="0.25">
      <c r="B61" s="79" t="s">
        <v>188</v>
      </c>
    </row>
    <row r="62" spans="1:27" ht="9.9499999999999993" customHeight="1" x14ac:dyDescent="0.25"/>
    <row r="63" spans="1:27" ht="15.75" customHeight="1" x14ac:dyDescent="0.25">
      <c r="A63" s="446" t="s">
        <v>862</v>
      </c>
    </row>
    <row r="64" spans="1:27" ht="9.9499999999999993" customHeight="1" thickBot="1" x14ac:dyDescent="0.3"/>
    <row r="65" spans="1:12" s="14" customFormat="1" ht="15" customHeight="1" thickBot="1" x14ac:dyDescent="0.3">
      <c r="A65" s="90" t="s">
        <v>10</v>
      </c>
      <c r="B65" s="90" t="s">
        <v>118</v>
      </c>
      <c r="C65" s="90" t="s">
        <v>120</v>
      </c>
      <c r="D65" s="91" t="s">
        <v>121</v>
      </c>
      <c r="E65" s="91" t="s">
        <v>122</v>
      </c>
      <c r="F65" s="90" t="s">
        <v>11</v>
      </c>
      <c r="G65" s="90" t="s">
        <v>76</v>
      </c>
      <c r="H65" s="90" t="s">
        <v>123</v>
      </c>
      <c r="I65" s="90" t="s">
        <v>124</v>
      </c>
      <c r="J65" s="90" t="s">
        <v>125</v>
      </c>
      <c r="K65" s="92" t="s">
        <v>126</v>
      </c>
      <c r="L65" s="92" t="s">
        <v>128</v>
      </c>
    </row>
    <row r="66" spans="1:12" s="14" customFormat="1" ht="15" customHeight="1" thickBot="1" x14ac:dyDescent="0.3">
      <c r="A66" s="93" t="str">
        <f>IF('Basic data'!C6="","",'Basic data'!C6)</f>
        <v/>
      </c>
      <c r="B66" s="94" t="str">
        <f>IF($A$66="","",VLOOKUP($A$66,$A$69:$J$70,2,FALSE))</f>
        <v/>
      </c>
      <c r="C66" s="94" t="str">
        <f>IF($A$66="","",VLOOKUP($A$66,$A$69:$J$70,3,FALSE))</f>
        <v/>
      </c>
      <c r="D66" s="95"/>
      <c r="E66" s="95" t="str">
        <f>IF($A$66="","",VLOOKUP($A$66,$A$69:$J$70,5,FALSE))</f>
        <v/>
      </c>
      <c r="F66" s="94" t="str">
        <f>IF($A$66="","",VLOOKUP($A$66,$A$69:$J$70,6,FALSE))</f>
        <v/>
      </c>
      <c r="G66" s="96" t="str">
        <f>IF($A$66="","",VLOOKUP($A$66,$A$69:$J$70,7,FALSE))</f>
        <v/>
      </c>
      <c r="H66" s="94"/>
      <c r="I66" s="94"/>
      <c r="J66" s="96"/>
      <c r="K66" s="96"/>
      <c r="L66" s="94"/>
    </row>
    <row r="68" spans="1:12" s="14" customFormat="1" x14ac:dyDescent="0.25">
      <c r="A68" s="156" t="s">
        <v>10</v>
      </c>
      <c r="B68" s="156" t="s">
        <v>118</v>
      </c>
      <c r="C68" s="156" t="s">
        <v>120</v>
      </c>
      <c r="D68" s="97" t="s">
        <v>121</v>
      </c>
      <c r="E68" s="97" t="s">
        <v>122</v>
      </c>
      <c r="F68" s="156" t="s">
        <v>11</v>
      </c>
      <c r="G68" s="156" t="s">
        <v>76</v>
      </c>
      <c r="H68" s="89" t="s">
        <v>123</v>
      </c>
      <c r="I68" s="89" t="s">
        <v>127</v>
      </c>
      <c r="J68" s="89" t="s">
        <v>125</v>
      </c>
      <c r="K68" s="89"/>
      <c r="L68" s="89"/>
    </row>
    <row r="69" spans="1:12" s="14" customFormat="1" x14ac:dyDescent="0.25">
      <c r="A69" s="523" t="s">
        <v>824</v>
      </c>
      <c r="B69" s="523" t="s">
        <v>825</v>
      </c>
      <c r="C69" s="523" t="s">
        <v>826</v>
      </c>
      <c r="D69" s="524"/>
      <c r="E69" s="524" t="s">
        <v>827</v>
      </c>
      <c r="F69" s="524" t="s">
        <v>827</v>
      </c>
      <c r="G69" s="525">
        <v>43070</v>
      </c>
      <c r="H69" s="89"/>
      <c r="I69" s="89"/>
      <c r="J69" s="89"/>
      <c r="K69" s="89"/>
      <c r="L69" s="89"/>
    </row>
    <row r="70" spans="1:12" ht="15" customHeight="1" x14ac:dyDescent="0.25">
      <c r="A70" s="74" t="s">
        <v>458</v>
      </c>
      <c r="B70" s="158" t="s">
        <v>255</v>
      </c>
      <c r="C70" s="158" t="s">
        <v>255</v>
      </c>
      <c r="D70" s="159"/>
      <c r="E70" s="159" t="s">
        <v>255</v>
      </c>
      <c r="F70" s="159" t="s">
        <v>255</v>
      </c>
      <c r="G70" s="157" t="s">
        <v>255</v>
      </c>
      <c r="H70" s="41"/>
      <c r="I70" s="7"/>
      <c r="J70" s="41"/>
      <c r="K70" s="41"/>
      <c r="L70" s="7"/>
    </row>
    <row r="71" spans="1:12" ht="15" customHeight="1" x14ac:dyDescent="0.25">
      <c r="A71" s="7"/>
      <c r="B71" s="7"/>
      <c r="C71" s="7"/>
      <c r="D71" s="88"/>
      <c r="E71" s="88"/>
      <c r="F71" s="7"/>
      <c r="G71" s="41"/>
      <c r="H71" s="41"/>
      <c r="I71" s="7"/>
      <c r="J71" s="41"/>
      <c r="K71" s="41"/>
      <c r="L71" s="7"/>
    </row>
    <row r="72" spans="1:12" ht="15" customHeight="1" x14ac:dyDescent="0.25">
      <c r="A72" s="465" t="s">
        <v>460</v>
      </c>
      <c r="B72" s="7"/>
      <c r="C72" s="7"/>
      <c r="D72" s="88"/>
      <c r="E72" s="88"/>
      <c r="F72" s="7"/>
      <c r="G72" s="41"/>
      <c r="H72" s="41"/>
      <c r="I72" s="7"/>
      <c r="J72" s="41"/>
      <c r="K72" s="41"/>
      <c r="L72" s="7"/>
    </row>
    <row r="73" spans="1:12" ht="15" customHeight="1" x14ac:dyDescent="0.25">
      <c r="A73" s="465" t="s">
        <v>461</v>
      </c>
      <c r="B73" s="7"/>
      <c r="C73" s="7"/>
      <c r="D73" s="88"/>
      <c r="E73" s="88"/>
      <c r="F73" s="7"/>
      <c r="G73" s="41"/>
      <c r="H73" s="41"/>
      <c r="I73" s="7"/>
      <c r="J73" s="41"/>
      <c r="K73" s="41"/>
      <c r="L73" s="7"/>
    </row>
    <row r="74" spans="1:12" ht="15" customHeight="1" x14ac:dyDescent="0.25">
      <c r="A74" s="465" t="s">
        <v>462</v>
      </c>
      <c r="B74" s="7"/>
      <c r="C74" s="7"/>
      <c r="D74" s="88"/>
      <c r="E74" s="88"/>
      <c r="F74" s="7"/>
      <c r="G74" s="41"/>
      <c r="H74" s="41"/>
      <c r="I74" s="7"/>
      <c r="J74" s="41"/>
      <c r="K74" s="41"/>
      <c r="L74" s="7"/>
    </row>
    <row r="75" spans="1:12" ht="15" customHeight="1" x14ac:dyDescent="0.25">
      <c r="A75" s="465" t="s">
        <v>463</v>
      </c>
      <c r="B75" s="7"/>
      <c r="C75" s="7"/>
      <c r="D75" s="88"/>
      <c r="E75" s="88"/>
      <c r="F75" s="7"/>
      <c r="G75" s="41"/>
      <c r="H75" s="41"/>
      <c r="I75" s="7"/>
      <c r="J75" s="41"/>
      <c r="K75" s="41"/>
      <c r="L75" s="7"/>
    </row>
    <row r="76" spans="1:12" ht="15" customHeight="1" x14ac:dyDescent="0.25">
      <c r="A76" s="465" t="s">
        <v>464</v>
      </c>
      <c r="B76" s="7"/>
      <c r="C76" s="7"/>
      <c r="D76" s="88"/>
      <c r="E76" s="88"/>
      <c r="F76" s="7"/>
      <c r="G76" s="41"/>
      <c r="H76" s="41"/>
      <c r="I76" s="7"/>
      <c r="J76" s="41"/>
      <c r="K76" s="41"/>
      <c r="L76" s="7"/>
    </row>
    <row r="77" spans="1:12" ht="15" customHeight="1" x14ac:dyDescent="0.25">
      <c r="A77" s="465" t="s">
        <v>465</v>
      </c>
      <c r="B77" s="7"/>
      <c r="C77" s="7"/>
      <c r="D77" s="88"/>
      <c r="E77" s="88"/>
      <c r="F77" s="7"/>
      <c r="G77" s="41"/>
      <c r="H77" s="41"/>
      <c r="I77" s="7"/>
      <c r="J77" s="41"/>
      <c r="K77" s="41"/>
      <c r="L77" s="7"/>
    </row>
    <row r="78" spans="1:12" ht="15" customHeight="1" x14ac:dyDescent="0.25">
      <c r="A78" s="465" t="s">
        <v>466</v>
      </c>
    </row>
    <row r="79" spans="1:12" ht="15" customHeight="1" x14ac:dyDescent="0.25">
      <c r="A79" s="465" t="s">
        <v>467</v>
      </c>
    </row>
    <row r="80" spans="1:12" ht="15" customHeight="1" x14ac:dyDescent="0.25">
      <c r="A80" s="465" t="s">
        <v>468</v>
      </c>
    </row>
    <row r="81" spans="1:12" ht="15" customHeight="1" x14ac:dyDescent="0.25">
      <c r="A81" s="465" t="s">
        <v>469</v>
      </c>
    </row>
    <row r="82" spans="1:12" ht="15" customHeight="1" x14ac:dyDescent="0.25">
      <c r="A82" s="465" t="s">
        <v>470</v>
      </c>
    </row>
    <row r="83" spans="1:12" ht="15" customHeight="1" x14ac:dyDescent="0.25">
      <c r="A83" s="465" t="s">
        <v>471</v>
      </c>
    </row>
    <row r="84" spans="1:12" ht="15" customHeight="1" x14ac:dyDescent="0.25">
      <c r="A84" s="465" t="s">
        <v>472</v>
      </c>
    </row>
    <row r="85" spans="1:12" ht="15" customHeight="1" x14ac:dyDescent="0.25">
      <c r="A85" s="465" t="s">
        <v>473</v>
      </c>
    </row>
    <row r="86" spans="1:12" ht="15" customHeight="1" x14ac:dyDescent="0.25">
      <c r="A86" s="465" t="s">
        <v>474</v>
      </c>
    </row>
    <row r="87" spans="1:12" ht="15" customHeight="1" x14ac:dyDescent="0.25">
      <c r="A87" s="465" t="s">
        <v>475</v>
      </c>
    </row>
    <row r="88" spans="1:12" ht="15" customHeight="1" x14ac:dyDescent="0.25">
      <c r="A88" s="465" t="s">
        <v>476</v>
      </c>
    </row>
    <row r="89" spans="1:12" ht="15" customHeight="1" x14ac:dyDescent="0.25">
      <c r="A89" s="465" t="s">
        <v>477</v>
      </c>
    </row>
    <row r="90" spans="1:12" ht="15" customHeight="1" x14ac:dyDescent="0.25">
      <c r="A90" s="465" t="s">
        <v>478</v>
      </c>
    </row>
    <row r="91" spans="1:12" ht="15" customHeight="1" x14ac:dyDescent="0.25">
      <c r="A91" s="465" t="s">
        <v>479</v>
      </c>
    </row>
    <row r="92" spans="1:12" ht="15" customHeight="1" x14ac:dyDescent="0.25">
      <c r="A92" s="465" t="s">
        <v>480</v>
      </c>
    </row>
    <row r="93" spans="1:12" ht="15" customHeight="1" x14ac:dyDescent="0.25">
      <c r="A93" s="465" t="s">
        <v>481</v>
      </c>
    </row>
    <row r="94" spans="1:12" ht="15" customHeight="1" x14ac:dyDescent="0.25">
      <c r="A94" s="465" t="s">
        <v>482</v>
      </c>
      <c r="B94" s="7"/>
      <c r="C94" s="7"/>
      <c r="D94" s="88"/>
      <c r="E94" s="88"/>
      <c r="F94" s="7"/>
      <c r="G94" s="41"/>
      <c r="H94" s="41"/>
      <c r="I94" s="7"/>
      <c r="J94" s="41"/>
      <c r="K94" s="41"/>
      <c r="L94" s="7"/>
    </row>
    <row r="95" spans="1:12" ht="15" customHeight="1" x14ac:dyDescent="0.25">
      <c r="A95" s="465" t="s">
        <v>483</v>
      </c>
      <c r="B95" s="7"/>
      <c r="C95" s="7"/>
      <c r="D95" s="88"/>
      <c r="E95" s="88"/>
      <c r="F95" s="7"/>
      <c r="G95" s="41"/>
      <c r="H95" s="41"/>
      <c r="I95" s="7"/>
      <c r="J95" s="41"/>
      <c r="K95" s="41"/>
      <c r="L95" s="7"/>
    </row>
    <row r="96" spans="1:12" ht="15" customHeight="1" x14ac:dyDescent="0.25">
      <c r="A96" s="465" t="s">
        <v>484</v>
      </c>
      <c r="B96" s="7"/>
      <c r="C96" s="7"/>
      <c r="D96" s="88"/>
      <c r="E96" s="88"/>
      <c r="F96" s="7"/>
      <c r="G96" s="41"/>
      <c r="H96" s="41"/>
      <c r="I96" s="7"/>
      <c r="J96" s="41"/>
      <c r="K96" s="41"/>
      <c r="L96" s="7"/>
    </row>
    <row r="97" spans="1:12" ht="15" customHeight="1" x14ac:dyDescent="0.25">
      <c r="A97" s="465" t="s">
        <v>485</v>
      </c>
      <c r="B97" s="7"/>
      <c r="C97" s="7"/>
      <c r="D97" s="88"/>
      <c r="E97" s="88"/>
      <c r="F97" s="7"/>
      <c r="G97" s="41"/>
      <c r="H97" s="41"/>
      <c r="I97" s="7"/>
      <c r="J97" s="41"/>
      <c r="K97" s="41"/>
      <c r="L97" s="7"/>
    </row>
    <row r="98" spans="1:12" ht="15" customHeight="1" x14ac:dyDescent="0.25">
      <c r="A98" s="465" t="s">
        <v>486</v>
      </c>
      <c r="B98" s="7"/>
      <c r="C98" s="7"/>
      <c r="D98" s="88"/>
      <c r="E98" s="88"/>
      <c r="F98" s="7"/>
      <c r="G98" s="41"/>
      <c r="H98" s="41"/>
      <c r="I98" s="7"/>
      <c r="J98" s="41"/>
      <c r="K98" s="41"/>
      <c r="L98" s="7"/>
    </row>
    <row r="99" spans="1:12" ht="15" customHeight="1" x14ac:dyDescent="0.25">
      <c r="A99" s="465" t="s">
        <v>487</v>
      </c>
      <c r="B99" s="7"/>
      <c r="C99" s="7"/>
      <c r="D99" s="88"/>
      <c r="E99" s="88"/>
      <c r="F99" s="7"/>
      <c r="G99" s="41"/>
      <c r="H99" s="41"/>
      <c r="I99" s="7"/>
      <c r="J99" s="41"/>
      <c r="K99" s="41"/>
      <c r="L99" s="7"/>
    </row>
    <row r="100" spans="1:12" ht="15" customHeight="1" x14ac:dyDescent="0.25">
      <c r="A100" s="465" t="s">
        <v>488</v>
      </c>
      <c r="B100" s="7"/>
      <c r="C100" s="7"/>
      <c r="D100" s="88"/>
      <c r="E100" s="88"/>
      <c r="F100" s="7"/>
      <c r="G100" s="41"/>
      <c r="H100" s="41"/>
      <c r="I100" s="7"/>
      <c r="J100" s="41"/>
      <c r="K100" s="41"/>
      <c r="L100" s="7"/>
    </row>
    <row r="101" spans="1:12" ht="15" customHeight="1" x14ac:dyDescent="0.25">
      <c r="A101" s="465" t="s">
        <v>489</v>
      </c>
      <c r="B101" s="7"/>
      <c r="C101" s="7"/>
      <c r="D101" s="88"/>
      <c r="E101" s="88"/>
      <c r="F101" s="7"/>
      <c r="G101" s="41"/>
      <c r="H101" s="41"/>
      <c r="I101" s="7"/>
      <c r="J101" s="41"/>
      <c r="K101" s="41"/>
      <c r="L101" s="7"/>
    </row>
    <row r="102" spans="1:12" ht="15" customHeight="1" x14ac:dyDescent="0.25">
      <c r="A102" s="465" t="s">
        <v>490</v>
      </c>
      <c r="B102" s="7"/>
      <c r="C102" s="7"/>
      <c r="D102" s="88"/>
      <c r="E102" s="88"/>
      <c r="F102" s="7"/>
      <c r="G102" s="41"/>
      <c r="H102" s="41"/>
      <c r="I102" s="7"/>
      <c r="J102" s="41"/>
      <c r="K102" s="41"/>
      <c r="L102" s="7"/>
    </row>
    <row r="103" spans="1:12" ht="15" customHeight="1" x14ac:dyDescent="0.25">
      <c r="A103" s="465" t="s">
        <v>491</v>
      </c>
      <c r="B103" s="7"/>
      <c r="C103" s="7"/>
      <c r="D103" s="88"/>
      <c r="E103" s="88"/>
      <c r="F103" s="7"/>
      <c r="G103" s="41"/>
      <c r="H103" s="41"/>
      <c r="I103" s="7"/>
      <c r="J103" s="41"/>
      <c r="K103" s="41"/>
      <c r="L103" s="7"/>
    </row>
    <row r="104" spans="1:12" ht="15" customHeight="1" x14ac:dyDescent="0.25">
      <c r="A104" s="465" t="s">
        <v>492</v>
      </c>
      <c r="B104" s="7"/>
      <c r="C104" s="7"/>
      <c r="D104" s="88"/>
      <c r="E104" s="88"/>
      <c r="F104" s="7"/>
      <c r="G104" s="41"/>
      <c r="H104" s="41"/>
      <c r="I104" s="7"/>
      <c r="J104" s="41"/>
      <c r="K104" s="41"/>
      <c r="L104" s="7"/>
    </row>
    <row r="105" spans="1:12" ht="15" customHeight="1" x14ac:dyDescent="0.25">
      <c r="A105" s="465" t="s">
        <v>493</v>
      </c>
      <c r="B105" s="7"/>
      <c r="C105" s="7"/>
      <c r="D105" s="88"/>
      <c r="E105" s="88"/>
      <c r="F105" s="7"/>
      <c r="G105" s="41"/>
      <c r="H105" s="41"/>
      <c r="I105" s="7"/>
      <c r="J105" s="41"/>
      <c r="K105" s="41"/>
      <c r="L105" s="7"/>
    </row>
    <row r="106" spans="1:12" ht="15" customHeight="1" x14ac:dyDescent="0.25">
      <c r="A106" s="465" t="s">
        <v>494</v>
      </c>
      <c r="B106" s="7"/>
      <c r="C106" s="7"/>
      <c r="D106" s="88"/>
      <c r="E106" s="88"/>
      <c r="F106" s="7"/>
      <c r="G106" s="41"/>
      <c r="H106" s="41"/>
      <c r="I106" s="7"/>
      <c r="J106" s="41"/>
      <c r="K106" s="41"/>
      <c r="L106" s="7"/>
    </row>
    <row r="107" spans="1:12" ht="15" customHeight="1" x14ac:dyDescent="0.25">
      <c r="A107" s="465" t="s">
        <v>495</v>
      </c>
      <c r="B107" s="7"/>
      <c r="C107" s="7"/>
      <c r="D107" s="88"/>
      <c r="E107" s="88"/>
      <c r="F107" s="7"/>
      <c r="G107" s="41"/>
      <c r="H107" s="41"/>
      <c r="I107" s="7"/>
      <c r="J107" s="41"/>
      <c r="K107" s="41"/>
      <c r="L107" s="7"/>
    </row>
    <row r="108" spans="1:12" ht="15" customHeight="1" x14ac:dyDescent="0.25">
      <c r="A108" s="465" t="s">
        <v>496</v>
      </c>
      <c r="B108" s="7"/>
      <c r="C108" s="7"/>
      <c r="D108" s="88"/>
      <c r="E108" s="88"/>
      <c r="F108" s="7"/>
      <c r="G108" s="41"/>
      <c r="H108" s="41"/>
      <c r="I108" s="7"/>
      <c r="J108" s="41"/>
      <c r="K108" s="41"/>
      <c r="L108" s="7"/>
    </row>
    <row r="109" spans="1:12" ht="15" customHeight="1" x14ac:dyDescent="0.25">
      <c r="A109" s="465" t="s">
        <v>497</v>
      </c>
      <c r="B109" s="7"/>
      <c r="C109" s="7"/>
      <c r="D109" s="88"/>
      <c r="E109" s="88"/>
      <c r="F109" s="7"/>
      <c r="G109" s="41"/>
      <c r="H109" s="41"/>
      <c r="I109" s="7"/>
      <c r="J109" s="41"/>
      <c r="K109" s="41"/>
      <c r="L109" s="7"/>
    </row>
    <row r="110" spans="1:12" ht="15" customHeight="1" x14ac:dyDescent="0.25">
      <c r="A110" s="465" t="s">
        <v>498</v>
      </c>
      <c r="B110" s="7"/>
      <c r="C110" s="7"/>
      <c r="D110" s="88"/>
      <c r="E110" s="88"/>
      <c r="F110" s="7"/>
      <c r="G110" s="41"/>
      <c r="H110" s="41"/>
      <c r="I110" s="7"/>
      <c r="J110" s="41"/>
      <c r="K110" s="41"/>
      <c r="L110" s="7"/>
    </row>
    <row r="111" spans="1:12" ht="15" customHeight="1" x14ac:dyDescent="0.25">
      <c r="A111" s="465" t="s">
        <v>499</v>
      </c>
      <c r="B111" s="7"/>
      <c r="C111" s="7"/>
      <c r="D111" s="88"/>
      <c r="E111" s="88"/>
      <c r="F111" s="7"/>
      <c r="G111" s="41"/>
      <c r="H111" s="41"/>
      <c r="I111" s="7"/>
      <c r="J111" s="41"/>
      <c r="K111" s="41"/>
      <c r="L111" s="7"/>
    </row>
    <row r="112" spans="1:12" ht="15" customHeight="1" x14ac:dyDescent="0.25">
      <c r="A112" s="465" t="s">
        <v>500</v>
      </c>
      <c r="B112" s="7"/>
      <c r="C112" s="7"/>
      <c r="D112" s="88"/>
      <c r="E112" s="88"/>
      <c r="F112" s="7"/>
      <c r="G112" s="41"/>
      <c r="H112" s="41"/>
      <c r="I112" s="7"/>
      <c r="J112" s="41"/>
      <c r="K112" s="41"/>
      <c r="L112" s="7"/>
    </row>
    <row r="113" spans="1:12" ht="15" customHeight="1" x14ac:dyDescent="0.25">
      <c r="A113" s="465" t="s">
        <v>501</v>
      </c>
      <c r="B113" s="7"/>
      <c r="C113" s="7"/>
      <c r="D113" s="88"/>
      <c r="E113" s="88"/>
      <c r="F113" s="7"/>
      <c r="G113" s="41"/>
      <c r="H113" s="41"/>
      <c r="I113" s="7"/>
      <c r="J113" s="41"/>
      <c r="K113" s="41"/>
      <c r="L113" s="7"/>
    </row>
    <row r="114" spans="1:12" ht="15" customHeight="1" x14ac:dyDescent="0.25">
      <c r="A114" s="465" t="s">
        <v>502</v>
      </c>
      <c r="B114" s="7"/>
      <c r="C114" s="7"/>
      <c r="D114" s="88"/>
      <c r="E114" s="88"/>
      <c r="F114" s="7"/>
      <c r="G114" s="41"/>
      <c r="H114" s="41"/>
      <c r="I114" s="7"/>
      <c r="J114" s="41"/>
      <c r="K114" s="41"/>
      <c r="L114" s="7"/>
    </row>
    <row r="115" spans="1:12" ht="15" customHeight="1" x14ac:dyDescent="0.25">
      <c r="A115" s="465" t="s">
        <v>503</v>
      </c>
      <c r="B115" s="7"/>
      <c r="C115" s="7"/>
      <c r="D115" s="88"/>
      <c r="E115" s="88"/>
      <c r="F115" s="7"/>
      <c r="G115" s="41"/>
      <c r="H115" s="41"/>
      <c r="I115" s="7"/>
      <c r="J115" s="41"/>
      <c r="K115" s="41"/>
      <c r="L115" s="7"/>
    </row>
    <row r="116" spans="1:12" ht="15" customHeight="1" x14ac:dyDescent="0.25">
      <c r="A116" s="465" t="s">
        <v>504</v>
      </c>
      <c r="B116" s="7"/>
      <c r="C116" s="7"/>
      <c r="D116" s="88"/>
      <c r="E116" s="88"/>
      <c r="F116" s="7"/>
      <c r="G116" s="41"/>
      <c r="H116" s="41"/>
      <c r="I116" s="7"/>
      <c r="J116" s="41"/>
      <c r="K116" s="41"/>
      <c r="L116" s="7"/>
    </row>
    <row r="117" spans="1:12" ht="15" customHeight="1" x14ac:dyDescent="0.25">
      <c r="A117" s="465" t="s">
        <v>505</v>
      </c>
      <c r="B117" s="7"/>
      <c r="C117" s="7"/>
      <c r="D117" s="88"/>
      <c r="E117" s="88"/>
      <c r="F117" s="7"/>
      <c r="G117" s="41"/>
      <c r="H117" s="41"/>
      <c r="I117" s="7"/>
      <c r="J117" s="41"/>
      <c r="K117" s="41"/>
      <c r="L117" s="7"/>
    </row>
    <row r="118" spans="1:12" ht="15" customHeight="1" x14ac:dyDescent="0.25">
      <c r="A118" s="465" t="s">
        <v>506</v>
      </c>
      <c r="B118" s="7"/>
      <c r="C118" s="7"/>
      <c r="D118" s="88"/>
      <c r="E118" s="88"/>
      <c r="F118" s="7"/>
      <c r="G118" s="41"/>
      <c r="H118" s="41"/>
      <c r="I118" s="7"/>
      <c r="J118" s="41"/>
      <c r="K118" s="41"/>
      <c r="L118" s="7"/>
    </row>
    <row r="119" spans="1:12" ht="15" customHeight="1" x14ac:dyDescent="0.25">
      <c r="A119" s="465" t="s">
        <v>507</v>
      </c>
      <c r="B119" s="7"/>
      <c r="C119" s="7"/>
      <c r="D119" s="88"/>
      <c r="E119" s="88"/>
      <c r="F119" s="7"/>
      <c r="G119" s="41"/>
      <c r="H119" s="41"/>
      <c r="I119" s="7"/>
      <c r="J119" s="41"/>
      <c r="K119" s="41"/>
      <c r="L119" s="7"/>
    </row>
    <row r="120" spans="1:12" ht="15" customHeight="1" x14ac:dyDescent="0.25">
      <c r="A120" s="465" t="s">
        <v>508</v>
      </c>
      <c r="B120" s="7"/>
      <c r="C120" s="7"/>
      <c r="D120" s="88"/>
      <c r="E120" s="88"/>
      <c r="F120" s="7"/>
      <c r="G120" s="41"/>
      <c r="H120" s="41"/>
      <c r="I120" s="7"/>
      <c r="J120" s="41"/>
      <c r="K120" s="41"/>
      <c r="L120" s="7"/>
    </row>
    <row r="121" spans="1:12" ht="15" customHeight="1" x14ac:dyDescent="0.25">
      <c r="A121" s="465" t="s">
        <v>509</v>
      </c>
      <c r="B121" s="7"/>
      <c r="C121" s="7"/>
      <c r="D121" s="88"/>
      <c r="E121" s="88"/>
      <c r="F121" s="7"/>
      <c r="G121" s="41"/>
      <c r="H121" s="41"/>
      <c r="I121" s="7"/>
      <c r="J121" s="41"/>
      <c r="K121" s="41"/>
      <c r="L121" s="7"/>
    </row>
    <row r="122" spans="1:12" ht="15" customHeight="1" x14ac:dyDescent="0.25">
      <c r="A122" s="465" t="s">
        <v>510</v>
      </c>
      <c r="B122" s="7"/>
      <c r="C122" s="7"/>
      <c r="D122" s="88"/>
      <c r="E122" s="88"/>
      <c r="F122" s="7"/>
      <c r="G122" s="41"/>
      <c r="H122" s="41"/>
      <c r="I122" s="7"/>
      <c r="J122" s="41"/>
      <c r="K122" s="41"/>
      <c r="L122" s="7"/>
    </row>
    <row r="123" spans="1:12" ht="15" customHeight="1" x14ac:dyDescent="0.25">
      <c r="A123" s="465" t="s">
        <v>511</v>
      </c>
      <c r="B123" s="7"/>
      <c r="C123" s="7"/>
      <c r="D123" s="88"/>
      <c r="E123" s="88"/>
      <c r="F123" s="7"/>
      <c r="G123" s="41"/>
      <c r="H123" s="41"/>
      <c r="I123" s="7"/>
      <c r="J123" s="41"/>
      <c r="K123" s="41"/>
      <c r="L123" s="7"/>
    </row>
    <row r="124" spans="1:12" ht="15" customHeight="1" x14ac:dyDescent="0.25">
      <c r="A124" s="465" t="s">
        <v>512</v>
      </c>
      <c r="B124" s="7"/>
      <c r="C124" s="7"/>
      <c r="D124" s="88"/>
      <c r="E124" s="88"/>
      <c r="F124" s="7"/>
      <c r="G124" s="41"/>
      <c r="H124" s="41"/>
      <c r="I124" s="7"/>
      <c r="J124" s="41"/>
      <c r="K124" s="41"/>
      <c r="L124" s="7"/>
    </row>
    <row r="125" spans="1:12" ht="15" customHeight="1" x14ac:dyDescent="0.25">
      <c r="A125" s="465" t="s">
        <v>513</v>
      </c>
      <c r="B125" s="7"/>
      <c r="C125" s="7"/>
      <c r="D125" s="88"/>
      <c r="E125" s="88"/>
      <c r="F125" s="7"/>
      <c r="G125" s="41"/>
      <c r="H125" s="41"/>
      <c r="I125" s="7"/>
      <c r="J125" s="41"/>
      <c r="K125" s="41"/>
      <c r="L125" s="7"/>
    </row>
    <row r="126" spans="1:12" ht="15" customHeight="1" x14ac:dyDescent="0.25">
      <c r="A126" s="465" t="s">
        <v>514</v>
      </c>
      <c r="B126" s="7"/>
      <c r="C126" s="7"/>
      <c r="D126" s="88"/>
      <c r="E126" s="88"/>
      <c r="F126" s="7"/>
      <c r="G126" s="41"/>
      <c r="H126" s="41"/>
      <c r="I126" s="7"/>
      <c r="J126" s="41"/>
      <c r="K126" s="41"/>
      <c r="L126" s="7"/>
    </row>
    <row r="127" spans="1:12" ht="15" customHeight="1" x14ac:dyDescent="0.25">
      <c r="A127" s="465" t="s">
        <v>515</v>
      </c>
      <c r="B127" s="7"/>
      <c r="C127" s="7"/>
      <c r="D127" s="88"/>
      <c r="E127" s="88"/>
      <c r="F127" s="7"/>
      <c r="G127" s="41"/>
      <c r="H127" s="41"/>
      <c r="I127" s="7"/>
      <c r="J127" s="41"/>
      <c r="K127" s="41"/>
      <c r="L127" s="7"/>
    </row>
    <row r="128" spans="1:12" ht="15" customHeight="1" x14ac:dyDescent="0.25">
      <c r="A128" s="465" t="s">
        <v>516</v>
      </c>
      <c r="B128" s="7"/>
      <c r="C128" s="7"/>
      <c r="D128" s="88"/>
      <c r="E128" s="88"/>
      <c r="F128" s="7"/>
      <c r="G128" s="41"/>
      <c r="H128" s="41"/>
      <c r="I128" s="7"/>
      <c r="J128" s="41"/>
      <c r="K128" s="41"/>
      <c r="L128" s="7"/>
    </row>
    <row r="129" spans="1:12" ht="15" customHeight="1" x14ac:dyDescent="0.25">
      <c r="A129" s="465" t="s">
        <v>517</v>
      </c>
      <c r="B129" s="7"/>
      <c r="C129" s="7"/>
      <c r="D129" s="88"/>
      <c r="E129" s="88"/>
      <c r="F129" s="7"/>
      <c r="G129" s="41"/>
      <c r="H129" s="41"/>
      <c r="I129" s="7"/>
      <c r="J129" s="41"/>
      <c r="K129" s="41"/>
      <c r="L129" s="7"/>
    </row>
    <row r="130" spans="1:12" ht="15" customHeight="1" x14ac:dyDescent="0.25">
      <c r="A130" s="465" t="s">
        <v>518</v>
      </c>
      <c r="B130" s="7"/>
      <c r="C130" s="7"/>
      <c r="D130" s="88"/>
      <c r="E130" s="88"/>
      <c r="F130" s="7"/>
      <c r="G130" s="41"/>
      <c r="H130" s="41"/>
      <c r="I130" s="7"/>
      <c r="J130" s="41"/>
      <c r="K130" s="41"/>
      <c r="L130" s="7"/>
    </row>
    <row r="131" spans="1:12" ht="15" customHeight="1" x14ac:dyDescent="0.25">
      <c r="A131" s="465" t="s">
        <v>519</v>
      </c>
      <c r="B131" s="7"/>
      <c r="C131" s="7"/>
      <c r="D131" s="88"/>
      <c r="E131" s="88"/>
      <c r="F131" s="7"/>
      <c r="G131" s="41"/>
      <c r="H131" s="41"/>
      <c r="I131" s="7"/>
      <c r="J131" s="41"/>
      <c r="K131" s="41"/>
      <c r="L131" s="7"/>
    </row>
    <row r="132" spans="1:12" ht="15" customHeight="1" x14ac:dyDescent="0.25">
      <c r="A132" s="465" t="s">
        <v>520</v>
      </c>
      <c r="B132" s="7"/>
      <c r="C132" s="7"/>
      <c r="D132" s="88"/>
      <c r="E132" s="88"/>
      <c r="F132" s="7"/>
      <c r="G132" s="41"/>
      <c r="H132" s="41"/>
      <c r="I132" s="7"/>
      <c r="J132" s="41"/>
      <c r="K132" s="41"/>
      <c r="L132" s="7"/>
    </row>
    <row r="133" spans="1:12" ht="15" customHeight="1" x14ac:dyDescent="0.25">
      <c r="A133" s="465" t="s">
        <v>521</v>
      </c>
      <c r="B133" s="7"/>
      <c r="C133" s="7"/>
      <c r="D133" s="88"/>
      <c r="E133" s="88"/>
      <c r="F133" s="7"/>
      <c r="G133" s="41"/>
      <c r="H133" s="41"/>
      <c r="I133" s="7"/>
      <c r="J133" s="41"/>
      <c r="K133" s="41"/>
      <c r="L133" s="7"/>
    </row>
    <row r="134" spans="1:12" ht="15" customHeight="1" x14ac:dyDescent="0.25">
      <c r="A134" s="465" t="s">
        <v>522</v>
      </c>
      <c r="B134" s="7"/>
      <c r="C134" s="7"/>
      <c r="D134" s="88"/>
      <c r="E134" s="88"/>
      <c r="F134" s="7"/>
      <c r="G134" s="41"/>
      <c r="H134" s="41"/>
      <c r="I134" s="7"/>
      <c r="J134" s="41"/>
      <c r="K134" s="41"/>
      <c r="L134" s="7"/>
    </row>
    <row r="135" spans="1:12" ht="15" customHeight="1" x14ac:dyDescent="0.25">
      <c r="A135" s="465" t="s">
        <v>523</v>
      </c>
      <c r="B135" s="7"/>
      <c r="C135" s="7"/>
      <c r="D135" s="88"/>
      <c r="E135" s="88"/>
      <c r="F135" s="7"/>
      <c r="G135" s="41"/>
      <c r="H135" s="41"/>
      <c r="I135" s="7"/>
      <c r="J135" s="41"/>
      <c r="K135" s="41"/>
      <c r="L135" s="7"/>
    </row>
    <row r="136" spans="1:12" ht="15" customHeight="1" x14ac:dyDescent="0.25">
      <c r="A136" s="465" t="s">
        <v>524</v>
      </c>
      <c r="B136" s="7"/>
      <c r="C136" s="7"/>
      <c r="D136" s="88"/>
      <c r="E136" s="88"/>
      <c r="F136" s="7"/>
      <c r="G136" s="41"/>
      <c r="H136" s="41"/>
      <c r="I136" s="7"/>
      <c r="J136" s="41"/>
      <c r="K136" s="41"/>
      <c r="L136" s="7"/>
    </row>
    <row r="137" spans="1:12" ht="15" customHeight="1" x14ac:dyDescent="0.25">
      <c r="A137" s="465" t="s">
        <v>525</v>
      </c>
      <c r="B137" s="7"/>
      <c r="C137" s="7"/>
      <c r="D137" s="88"/>
      <c r="E137" s="88"/>
      <c r="F137" s="7"/>
      <c r="G137" s="41"/>
      <c r="H137" s="41"/>
      <c r="I137" s="7"/>
      <c r="J137" s="41"/>
      <c r="K137" s="41"/>
      <c r="L137" s="7"/>
    </row>
    <row r="138" spans="1:12" ht="15" customHeight="1" x14ac:dyDescent="0.25">
      <c r="A138" s="465" t="s">
        <v>526</v>
      </c>
      <c r="B138" s="7"/>
      <c r="C138" s="7"/>
      <c r="D138" s="88"/>
      <c r="E138" s="88"/>
      <c r="F138" s="7"/>
      <c r="G138" s="41"/>
      <c r="H138" s="41"/>
      <c r="I138" s="7"/>
      <c r="J138" s="41"/>
      <c r="K138" s="41"/>
      <c r="L138" s="7"/>
    </row>
    <row r="139" spans="1:12" ht="15" customHeight="1" x14ac:dyDescent="0.25">
      <c r="A139" s="465" t="s">
        <v>527</v>
      </c>
      <c r="B139" s="7"/>
      <c r="C139" s="7"/>
      <c r="D139" s="88"/>
      <c r="E139" s="88"/>
      <c r="F139" s="7"/>
      <c r="G139" s="41"/>
      <c r="H139" s="41"/>
      <c r="I139" s="7"/>
      <c r="J139" s="41"/>
      <c r="K139" s="41"/>
      <c r="L139" s="7"/>
    </row>
    <row r="140" spans="1:12" ht="15" customHeight="1" x14ac:dyDescent="0.25">
      <c r="A140" s="465" t="s">
        <v>528</v>
      </c>
      <c r="B140" s="7"/>
      <c r="C140" s="7"/>
      <c r="D140" s="88"/>
      <c r="E140" s="88"/>
      <c r="F140" s="7"/>
      <c r="G140" s="41"/>
      <c r="H140" s="41"/>
      <c r="I140" s="7"/>
      <c r="J140" s="41"/>
      <c r="K140" s="41"/>
      <c r="L140" s="7"/>
    </row>
    <row r="141" spans="1:12" ht="15" customHeight="1" x14ac:dyDescent="0.25">
      <c r="A141" s="465" t="s">
        <v>529</v>
      </c>
      <c r="B141" s="7"/>
      <c r="C141" s="7"/>
      <c r="D141" s="88"/>
      <c r="E141" s="88"/>
      <c r="F141" s="7"/>
      <c r="G141" s="41"/>
      <c r="H141" s="41"/>
      <c r="I141" s="7"/>
      <c r="J141" s="41"/>
      <c r="K141" s="41"/>
      <c r="L141" s="7"/>
    </row>
    <row r="142" spans="1:12" ht="15" customHeight="1" x14ac:dyDescent="0.25">
      <c r="A142" s="465" t="s">
        <v>530</v>
      </c>
      <c r="B142" s="7"/>
      <c r="C142" s="7"/>
      <c r="D142" s="88"/>
      <c r="E142" s="88"/>
      <c r="F142" s="7"/>
      <c r="G142" s="41"/>
      <c r="H142" s="41"/>
      <c r="I142" s="7"/>
      <c r="J142" s="41"/>
      <c r="K142" s="41"/>
      <c r="L142" s="7"/>
    </row>
    <row r="143" spans="1:12" ht="15" customHeight="1" x14ac:dyDescent="0.25">
      <c r="A143" s="465" t="s">
        <v>531</v>
      </c>
      <c r="B143" s="7"/>
      <c r="C143" s="7"/>
      <c r="D143" s="88"/>
      <c r="E143" s="88"/>
      <c r="F143" s="7"/>
      <c r="G143" s="41"/>
      <c r="H143" s="41"/>
      <c r="I143" s="7"/>
      <c r="J143" s="41"/>
      <c r="K143" s="41"/>
      <c r="L143" s="7"/>
    </row>
    <row r="144" spans="1:12" ht="15" customHeight="1" x14ac:dyDescent="0.25">
      <c r="A144" s="465" t="s">
        <v>532</v>
      </c>
      <c r="B144" s="7"/>
      <c r="C144" s="7"/>
      <c r="D144" s="88"/>
      <c r="E144" s="88"/>
      <c r="F144" s="7"/>
      <c r="G144" s="41"/>
      <c r="H144" s="41"/>
      <c r="I144" s="7"/>
      <c r="J144" s="41"/>
      <c r="K144" s="41"/>
      <c r="L144" s="7"/>
    </row>
    <row r="145" spans="1:12" ht="15" customHeight="1" x14ac:dyDescent="0.25">
      <c r="A145" s="465" t="s">
        <v>533</v>
      </c>
      <c r="B145" s="7"/>
      <c r="C145" s="7"/>
      <c r="D145" s="88"/>
      <c r="E145" s="88"/>
      <c r="F145" s="7"/>
      <c r="G145" s="41"/>
      <c r="H145" s="41"/>
      <c r="I145" s="7"/>
      <c r="J145" s="41"/>
      <c r="K145" s="41"/>
      <c r="L145" s="7"/>
    </row>
    <row r="146" spans="1:12" ht="15" customHeight="1" x14ac:dyDescent="0.25">
      <c r="A146" s="465" t="s">
        <v>534</v>
      </c>
      <c r="B146" s="7"/>
      <c r="C146" s="7"/>
      <c r="D146" s="88"/>
      <c r="E146" s="88"/>
      <c r="F146" s="7"/>
      <c r="G146" s="41"/>
      <c r="H146" s="41"/>
      <c r="I146" s="7"/>
      <c r="J146" s="41"/>
      <c r="K146" s="41"/>
      <c r="L146" s="7"/>
    </row>
    <row r="147" spans="1:12" ht="15" customHeight="1" x14ac:dyDescent="0.25">
      <c r="A147" s="465" t="s">
        <v>535</v>
      </c>
      <c r="B147" s="7"/>
      <c r="C147" s="7"/>
      <c r="D147" s="88"/>
      <c r="E147" s="88"/>
      <c r="F147" s="7"/>
      <c r="G147" s="41"/>
      <c r="H147" s="41"/>
      <c r="I147" s="7"/>
      <c r="J147" s="41"/>
      <c r="K147" s="41"/>
      <c r="L147" s="7"/>
    </row>
    <row r="148" spans="1:12" ht="15" customHeight="1" x14ac:dyDescent="0.25">
      <c r="A148" s="465" t="s">
        <v>536</v>
      </c>
      <c r="B148" s="7"/>
      <c r="C148" s="7"/>
      <c r="D148" s="88"/>
      <c r="E148" s="88"/>
      <c r="F148" s="7"/>
      <c r="G148" s="41"/>
      <c r="H148" s="41"/>
      <c r="I148" s="7"/>
      <c r="J148" s="41"/>
      <c r="K148" s="41"/>
      <c r="L148" s="7"/>
    </row>
    <row r="149" spans="1:12" ht="15" customHeight="1" x14ac:dyDescent="0.25">
      <c r="A149" s="465" t="s">
        <v>537</v>
      </c>
      <c r="B149" s="7"/>
      <c r="C149" s="7"/>
      <c r="D149" s="88"/>
      <c r="E149" s="88"/>
      <c r="F149" s="7"/>
      <c r="G149" s="41"/>
      <c r="H149" s="41"/>
      <c r="I149" s="7"/>
      <c r="J149" s="41"/>
      <c r="K149" s="41"/>
      <c r="L149" s="7"/>
    </row>
    <row r="150" spans="1:12" ht="15" customHeight="1" x14ac:dyDescent="0.25">
      <c r="A150" s="465" t="s">
        <v>538</v>
      </c>
      <c r="B150" s="7"/>
      <c r="C150" s="7"/>
      <c r="D150" s="88"/>
      <c r="E150" s="88"/>
      <c r="F150" s="7"/>
      <c r="G150" s="41"/>
      <c r="H150" s="41"/>
      <c r="I150" s="7"/>
      <c r="J150" s="41"/>
      <c r="K150" s="41"/>
      <c r="L150" s="7"/>
    </row>
    <row r="151" spans="1:12" ht="15" customHeight="1" x14ac:dyDescent="0.25">
      <c r="A151" s="465" t="s">
        <v>539</v>
      </c>
      <c r="B151" s="7"/>
      <c r="C151" s="7"/>
      <c r="D151" s="88"/>
      <c r="E151" s="88"/>
      <c r="F151" s="7"/>
      <c r="G151" s="41"/>
      <c r="H151" s="41"/>
      <c r="I151" s="7"/>
      <c r="J151" s="41"/>
      <c r="K151" s="41"/>
      <c r="L151" s="7"/>
    </row>
    <row r="152" spans="1:12" ht="15" customHeight="1" x14ac:dyDescent="0.25">
      <c r="A152" s="465" t="s">
        <v>540</v>
      </c>
      <c r="B152" s="7"/>
      <c r="C152" s="7"/>
      <c r="D152" s="88"/>
      <c r="E152" s="88"/>
      <c r="F152" s="7"/>
      <c r="G152" s="41"/>
      <c r="H152" s="41"/>
      <c r="I152" s="7"/>
      <c r="J152" s="41"/>
      <c r="K152" s="41"/>
      <c r="L152" s="7"/>
    </row>
    <row r="153" spans="1:12" ht="15" customHeight="1" x14ac:dyDescent="0.25">
      <c r="A153" s="465" t="s">
        <v>541</v>
      </c>
      <c r="B153" s="7"/>
      <c r="C153" s="7"/>
      <c r="D153" s="88"/>
      <c r="E153" s="88"/>
      <c r="F153" s="7"/>
      <c r="G153" s="41"/>
      <c r="H153" s="41"/>
      <c r="I153" s="7"/>
      <c r="J153" s="41"/>
      <c r="K153" s="41"/>
      <c r="L153" s="7"/>
    </row>
    <row r="154" spans="1:12" ht="15" customHeight="1" x14ac:dyDescent="0.25">
      <c r="A154" s="465" t="s">
        <v>542</v>
      </c>
      <c r="B154" s="7"/>
      <c r="C154" s="7"/>
      <c r="D154" s="88"/>
      <c r="E154" s="88"/>
      <c r="F154" s="7"/>
      <c r="G154" s="41"/>
      <c r="H154" s="41"/>
      <c r="I154" s="7"/>
      <c r="J154" s="41"/>
      <c r="K154" s="41"/>
      <c r="L154" s="7"/>
    </row>
    <row r="155" spans="1:12" ht="15" customHeight="1" x14ac:dyDescent="0.25">
      <c r="A155" s="465" t="s">
        <v>543</v>
      </c>
      <c r="B155" s="7"/>
      <c r="C155" s="7"/>
      <c r="D155" s="88"/>
      <c r="E155" s="88"/>
      <c r="F155" s="7"/>
      <c r="G155" s="41"/>
      <c r="H155" s="41"/>
      <c r="I155" s="7"/>
      <c r="J155" s="41"/>
      <c r="K155" s="41"/>
      <c r="L155" s="7"/>
    </row>
    <row r="156" spans="1:12" ht="15" customHeight="1" x14ac:dyDescent="0.25">
      <c r="A156" s="465" t="s">
        <v>544</v>
      </c>
      <c r="B156" s="7"/>
      <c r="C156" s="7"/>
      <c r="D156" s="88"/>
      <c r="E156" s="88"/>
      <c r="F156" s="7"/>
      <c r="G156" s="41"/>
      <c r="H156" s="41"/>
      <c r="I156" s="7"/>
      <c r="J156" s="41"/>
      <c r="K156" s="41"/>
      <c r="L156" s="7"/>
    </row>
    <row r="157" spans="1:12" ht="15" customHeight="1" x14ac:dyDescent="0.25">
      <c r="A157" s="465" t="s">
        <v>545</v>
      </c>
      <c r="B157" s="7"/>
      <c r="C157" s="7"/>
      <c r="D157" s="88"/>
      <c r="E157" s="88"/>
      <c r="F157" s="7"/>
      <c r="G157" s="41"/>
      <c r="H157" s="41"/>
      <c r="I157" s="7"/>
      <c r="J157" s="41"/>
      <c r="K157" s="41"/>
      <c r="L157" s="7"/>
    </row>
    <row r="158" spans="1:12" ht="15" customHeight="1" x14ac:dyDescent="0.25">
      <c r="A158" s="465" t="s">
        <v>546</v>
      </c>
      <c r="B158" s="7"/>
      <c r="C158" s="7"/>
      <c r="D158" s="88"/>
      <c r="E158" s="88"/>
      <c r="F158" s="7"/>
      <c r="G158" s="41"/>
      <c r="H158" s="41"/>
      <c r="I158" s="7"/>
      <c r="J158" s="41"/>
      <c r="K158" s="41"/>
      <c r="L158" s="7"/>
    </row>
    <row r="159" spans="1:12" ht="15" customHeight="1" x14ac:dyDescent="0.25">
      <c r="A159" s="465" t="s">
        <v>547</v>
      </c>
      <c r="B159" s="7"/>
      <c r="C159" s="7"/>
      <c r="D159" s="88"/>
      <c r="E159" s="88"/>
      <c r="F159" s="7"/>
      <c r="G159" s="41"/>
      <c r="H159" s="41"/>
      <c r="I159" s="7"/>
      <c r="J159" s="41"/>
      <c r="K159" s="41"/>
      <c r="L159" s="7"/>
    </row>
    <row r="160" spans="1:12" ht="15" customHeight="1" x14ac:dyDescent="0.25">
      <c r="A160" s="465" t="s">
        <v>548</v>
      </c>
      <c r="B160" s="7"/>
      <c r="C160" s="7"/>
      <c r="D160" s="88"/>
      <c r="E160" s="88"/>
      <c r="F160" s="7"/>
      <c r="G160" s="41"/>
      <c r="H160" s="41"/>
      <c r="I160" s="7"/>
      <c r="J160" s="41"/>
      <c r="K160" s="41"/>
      <c r="L160" s="7"/>
    </row>
    <row r="161" spans="1:12" ht="15" customHeight="1" x14ac:dyDescent="0.25">
      <c r="A161" s="465" t="s">
        <v>549</v>
      </c>
      <c r="B161" s="7"/>
      <c r="C161" s="7"/>
      <c r="D161" s="88"/>
      <c r="E161" s="88"/>
      <c r="F161" s="7"/>
      <c r="G161" s="41"/>
      <c r="H161" s="41"/>
      <c r="I161" s="7"/>
      <c r="J161" s="41"/>
      <c r="K161" s="41"/>
      <c r="L161" s="7"/>
    </row>
    <row r="162" spans="1:12" ht="15" customHeight="1" x14ac:dyDescent="0.25">
      <c r="A162" s="465" t="s">
        <v>550</v>
      </c>
      <c r="B162" s="7"/>
      <c r="C162" s="7"/>
      <c r="D162" s="88"/>
      <c r="E162" s="88"/>
      <c r="F162" s="7"/>
      <c r="G162" s="41"/>
      <c r="H162" s="41"/>
      <c r="I162" s="7"/>
      <c r="J162" s="41"/>
      <c r="K162" s="41"/>
      <c r="L162" s="7"/>
    </row>
    <row r="163" spans="1:12" ht="15" customHeight="1" x14ac:dyDescent="0.25">
      <c r="A163" s="465" t="s">
        <v>551</v>
      </c>
      <c r="B163" s="7"/>
      <c r="C163" s="7"/>
      <c r="D163" s="88"/>
      <c r="E163" s="88"/>
      <c r="F163" s="7"/>
      <c r="G163" s="41"/>
      <c r="H163" s="41"/>
      <c r="I163" s="7"/>
      <c r="J163" s="41"/>
      <c r="K163" s="41"/>
      <c r="L163" s="7"/>
    </row>
    <row r="164" spans="1:12" ht="15" customHeight="1" x14ac:dyDescent="0.25">
      <c r="A164" s="465" t="s">
        <v>552</v>
      </c>
      <c r="B164" s="7"/>
      <c r="C164" s="7"/>
      <c r="D164" s="88"/>
      <c r="E164" s="88"/>
      <c r="F164" s="7"/>
      <c r="G164" s="41"/>
      <c r="H164" s="41"/>
      <c r="I164" s="7"/>
      <c r="J164" s="41"/>
      <c r="K164" s="41"/>
      <c r="L164" s="7"/>
    </row>
    <row r="165" spans="1:12" ht="15" customHeight="1" x14ac:dyDescent="0.25">
      <c r="A165" s="465" t="s">
        <v>553</v>
      </c>
      <c r="B165" s="7"/>
      <c r="C165" s="7"/>
      <c r="D165" s="88"/>
      <c r="E165" s="88"/>
      <c r="F165" s="7"/>
      <c r="G165" s="41"/>
      <c r="H165" s="41"/>
      <c r="I165" s="7"/>
      <c r="J165" s="41"/>
      <c r="K165" s="41"/>
      <c r="L165" s="7"/>
    </row>
    <row r="166" spans="1:12" ht="15" customHeight="1" x14ac:dyDescent="0.25">
      <c r="A166" s="465" t="s">
        <v>554</v>
      </c>
      <c r="B166" s="7"/>
      <c r="C166" s="7"/>
      <c r="D166" s="88"/>
      <c r="E166" s="88"/>
      <c r="F166" s="7"/>
      <c r="G166" s="41"/>
      <c r="H166" s="41"/>
      <c r="I166" s="7"/>
      <c r="J166" s="41"/>
      <c r="K166" s="41"/>
      <c r="L166" s="7"/>
    </row>
    <row r="167" spans="1:12" ht="15" customHeight="1" x14ac:dyDescent="0.25">
      <c r="A167" s="465" t="s">
        <v>555</v>
      </c>
      <c r="B167" s="7"/>
      <c r="C167" s="7"/>
      <c r="D167" s="88"/>
      <c r="E167" s="88"/>
      <c r="F167" s="7"/>
      <c r="G167" s="41"/>
      <c r="H167" s="41"/>
      <c r="I167" s="7"/>
      <c r="J167" s="41"/>
      <c r="K167" s="41"/>
      <c r="L167" s="7"/>
    </row>
    <row r="168" spans="1:12" ht="15" customHeight="1" x14ac:dyDescent="0.25">
      <c r="A168" s="465" t="s">
        <v>556</v>
      </c>
      <c r="B168" s="7"/>
      <c r="C168" s="7"/>
      <c r="D168" s="88"/>
      <c r="E168" s="88"/>
      <c r="F168" s="7"/>
      <c r="G168" s="41"/>
      <c r="H168" s="41"/>
      <c r="I168" s="7"/>
      <c r="J168" s="41"/>
      <c r="K168" s="41"/>
      <c r="L168" s="7"/>
    </row>
    <row r="169" spans="1:12" ht="15" customHeight="1" x14ac:dyDescent="0.25">
      <c r="A169" s="465" t="s">
        <v>557</v>
      </c>
      <c r="B169" s="7"/>
      <c r="C169" s="7"/>
      <c r="D169" s="88"/>
      <c r="E169" s="88"/>
      <c r="F169" s="7"/>
      <c r="G169" s="41"/>
      <c r="H169" s="41"/>
      <c r="I169" s="7"/>
      <c r="J169" s="41"/>
      <c r="K169" s="41"/>
      <c r="L169" s="7"/>
    </row>
    <row r="170" spans="1:12" ht="15" customHeight="1" x14ac:dyDescent="0.25">
      <c r="A170" s="465" t="s">
        <v>558</v>
      </c>
      <c r="B170" s="7"/>
      <c r="C170" s="7"/>
      <c r="D170" s="88"/>
      <c r="E170" s="88"/>
      <c r="F170" s="7"/>
      <c r="G170" s="41"/>
      <c r="H170" s="41"/>
      <c r="I170" s="7"/>
      <c r="J170" s="41"/>
      <c r="K170" s="41"/>
      <c r="L170" s="7"/>
    </row>
    <row r="171" spans="1:12" ht="15" customHeight="1" x14ac:dyDescent="0.25">
      <c r="A171" s="465" t="s">
        <v>559</v>
      </c>
      <c r="B171" s="7"/>
      <c r="C171" s="7"/>
      <c r="D171" s="88"/>
      <c r="E171" s="88"/>
      <c r="F171" s="7"/>
      <c r="G171" s="41"/>
      <c r="H171" s="41"/>
      <c r="I171" s="7"/>
      <c r="J171" s="41"/>
      <c r="K171" s="41"/>
      <c r="L171" s="7"/>
    </row>
    <row r="172" spans="1:12" ht="15" customHeight="1" x14ac:dyDescent="0.25">
      <c r="A172" s="465" t="s">
        <v>560</v>
      </c>
      <c r="B172" s="7"/>
      <c r="C172" s="7"/>
      <c r="D172" s="88"/>
      <c r="E172" s="88"/>
      <c r="F172" s="7"/>
      <c r="G172" s="41"/>
      <c r="H172" s="41"/>
      <c r="I172" s="7"/>
      <c r="J172" s="41"/>
      <c r="K172" s="41"/>
      <c r="L172" s="7"/>
    </row>
    <row r="173" spans="1:12" ht="15" customHeight="1" x14ac:dyDescent="0.25">
      <c r="A173" s="465" t="s">
        <v>561</v>
      </c>
      <c r="B173" s="7"/>
      <c r="C173" s="7"/>
      <c r="D173" s="88"/>
      <c r="E173" s="88"/>
      <c r="F173" s="7"/>
      <c r="G173" s="41"/>
      <c r="H173" s="41"/>
      <c r="I173" s="7"/>
      <c r="J173" s="41"/>
      <c r="K173" s="41"/>
      <c r="L173" s="7"/>
    </row>
    <row r="174" spans="1:12" ht="15" customHeight="1" x14ac:dyDescent="0.25">
      <c r="A174" s="465" t="s">
        <v>562</v>
      </c>
      <c r="B174" s="7"/>
      <c r="C174" s="7"/>
      <c r="D174" s="88"/>
      <c r="E174" s="88"/>
      <c r="F174" s="7"/>
      <c r="G174" s="41"/>
      <c r="H174" s="41"/>
      <c r="I174" s="7"/>
      <c r="J174" s="41"/>
      <c r="K174" s="41"/>
      <c r="L174" s="7"/>
    </row>
    <row r="175" spans="1:12" ht="15" customHeight="1" x14ac:dyDescent="0.25">
      <c r="A175" s="465" t="s">
        <v>563</v>
      </c>
      <c r="B175" s="7"/>
      <c r="C175" s="7"/>
      <c r="D175" s="88"/>
      <c r="E175" s="88"/>
      <c r="F175" s="7"/>
      <c r="G175" s="41"/>
      <c r="H175" s="41"/>
      <c r="I175" s="7"/>
      <c r="J175" s="41"/>
      <c r="K175" s="41"/>
      <c r="L175" s="7"/>
    </row>
    <row r="176" spans="1:12" ht="15" customHeight="1" x14ac:dyDescent="0.25">
      <c r="A176" s="465" t="s">
        <v>564</v>
      </c>
      <c r="B176" s="7"/>
      <c r="C176" s="7"/>
      <c r="D176" s="88"/>
      <c r="E176" s="88"/>
      <c r="F176" s="7"/>
      <c r="G176" s="41"/>
      <c r="H176" s="41"/>
      <c r="I176" s="7"/>
      <c r="J176" s="41"/>
      <c r="K176" s="41"/>
      <c r="L176" s="7"/>
    </row>
    <row r="177" spans="1:12" ht="15" customHeight="1" x14ac:dyDescent="0.25">
      <c r="A177" s="465" t="s">
        <v>565</v>
      </c>
      <c r="B177" s="7"/>
      <c r="C177" s="7"/>
      <c r="D177" s="88"/>
      <c r="E177" s="88"/>
      <c r="F177" s="7"/>
      <c r="G177" s="41"/>
      <c r="H177" s="41"/>
      <c r="I177" s="7"/>
      <c r="J177" s="41"/>
      <c r="K177" s="41"/>
      <c r="L177" s="7"/>
    </row>
    <row r="178" spans="1:12" ht="15" customHeight="1" x14ac:dyDescent="0.25">
      <c r="A178" s="465" t="s">
        <v>566</v>
      </c>
      <c r="B178" s="7"/>
      <c r="C178" s="7"/>
      <c r="D178" s="88"/>
      <c r="E178" s="88"/>
      <c r="F178" s="7"/>
      <c r="G178" s="41"/>
      <c r="H178" s="41"/>
      <c r="I178" s="7"/>
      <c r="J178" s="41"/>
      <c r="K178" s="41"/>
      <c r="L178" s="7"/>
    </row>
    <row r="179" spans="1:12" ht="15" customHeight="1" x14ac:dyDescent="0.25">
      <c r="A179" s="465" t="s">
        <v>567</v>
      </c>
      <c r="B179" s="7"/>
      <c r="C179" s="7"/>
      <c r="D179" s="88"/>
      <c r="E179" s="88"/>
      <c r="F179" s="7"/>
      <c r="G179" s="41"/>
      <c r="H179" s="41"/>
      <c r="I179" s="7"/>
      <c r="J179" s="41"/>
      <c r="K179" s="41"/>
      <c r="L179" s="7"/>
    </row>
    <row r="180" spans="1:12" ht="15" customHeight="1" x14ac:dyDescent="0.25">
      <c r="A180" s="465" t="s">
        <v>568</v>
      </c>
      <c r="B180" s="7"/>
      <c r="C180" s="7"/>
      <c r="D180" s="88"/>
      <c r="E180" s="88"/>
      <c r="F180" s="7"/>
      <c r="G180" s="41"/>
      <c r="H180" s="41"/>
      <c r="I180" s="7"/>
      <c r="J180" s="41"/>
      <c r="K180" s="41"/>
      <c r="L180" s="7"/>
    </row>
    <row r="181" spans="1:12" ht="15" customHeight="1" x14ac:dyDescent="0.25">
      <c r="A181" s="465" t="s">
        <v>569</v>
      </c>
      <c r="B181" s="7"/>
      <c r="C181" s="7"/>
      <c r="D181" s="88"/>
      <c r="E181" s="88"/>
      <c r="F181" s="7"/>
      <c r="G181" s="41"/>
      <c r="H181" s="41"/>
      <c r="I181" s="7"/>
      <c r="J181" s="41"/>
      <c r="K181" s="41"/>
      <c r="L181" s="7"/>
    </row>
    <row r="182" spans="1:12" ht="15" customHeight="1" x14ac:dyDescent="0.25">
      <c r="A182" s="465" t="s">
        <v>570</v>
      </c>
      <c r="B182" s="7"/>
      <c r="C182" s="7"/>
      <c r="D182" s="88"/>
      <c r="E182" s="88"/>
      <c r="F182" s="7"/>
      <c r="G182" s="41"/>
      <c r="H182" s="41"/>
      <c r="I182" s="7"/>
      <c r="J182" s="41"/>
      <c r="K182" s="41"/>
      <c r="L182" s="7"/>
    </row>
    <row r="183" spans="1:12" ht="15" customHeight="1" x14ac:dyDescent="0.25">
      <c r="A183" s="465" t="s">
        <v>571</v>
      </c>
      <c r="B183" s="7"/>
      <c r="C183" s="7"/>
      <c r="D183" s="88"/>
      <c r="E183" s="88"/>
      <c r="F183" s="7"/>
      <c r="G183" s="41"/>
      <c r="H183" s="41"/>
      <c r="I183" s="7"/>
      <c r="J183" s="41"/>
      <c r="K183" s="41"/>
      <c r="L183" s="7"/>
    </row>
    <row r="184" spans="1:12" ht="15" customHeight="1" x14ac:dyDescent="0.25">
      <c r="A184" s="465" t="s">
        <v>572</v>
      </c>
      <c r="B184" s="7"/>
      <c r="C184" s="7"/>
      <c r="D184" s="88"/>
      <c r="E184" s="88"/>
      <c r="F184" s="7"/>
      <c r="G184" s="41"/>
      <c r="H184" s="41"/>
      <c r="I184" s="7"/>
      <c r="J184" s="41"/>
      <c r="K184" s="41"/>
      <c r="L184" s="7"/>
    </row>
    <row r="185" spans="1:12" ht="15" customHeight="1" x14ac:dyDescent="0.25">
      <c r="A185" s="465" t="s">
        <v>573</v>
      </c>
      <c r="B185" s="7"/>
      <c r="C185" s="7"/>
      <c r="D185" s="88"/>
      <c r="E185" s="88"/>
      <c r="F185" s="7"/>
      <c r="G185" s="41"/>
      <c r="H185" s="41"/>
      <c r="I185" s="7"/>
      <c r="J185" s="41"/>
      <c r="K185" s="41"/>
      <c r="L185" s="7"/>
    </row>
    <row r="186" spans="1:12" ht="15" customHeight="1" x14ac:dyDescent="0.25">
      <c r="A186" s="465" t="s">
        <v>574</v>
      </c>
      <c r="B186" s="7"/>
      <c r="C186" s="7"/>
      <c r="D186" s="88"/>
      <c r="E186" s="88"/>
      <c r="F186" s="7"/>
      <c r="G186" s="41"/>
      <c r="H186" s="41"/>
      <c r="I186" s="7"/>
      <c r="J186" s="41"/>
      <c r="K186" s="41"/>
      <c r="L186" s="7"/>
    </row>
    <row r="187" spans="1:12" ht="15" customHeight="1" x14ac:dyDescent="0.25">
      <c r="A187" s="465" t="s">
        <v>575</v>
      </c>
      <c r="B187" s="7"/>
      <c r="C187" s="7"/>
      <c r="D187" s="88"/>
      <c r="E187" s="88"/>
      <c r="F187" s="7"/>
      <c r="G187" s="41"/>
      <c r="H187" s="41"/>
      <c r="I187" s="7"/>
      <c r="J187" s="41"/>
      <c r="K187" s="41"/>
      <c r="L187" s="7"/>
    </row>
    <row r="188" spans="1:12" ht="15" customHeight="1" x14ac:dyDescent="0.25">
      <c r="A188" s="465" t="s">
        <v>576</v>
      </c>
      <c r="B188" s="7"/>
      <c r="C188" s="7"/>
      <c r="D188" s="88"/>
      <c r="E188" s="88"/>
      <c r="F188" s="7"/>
      <c r="G188" s="41"/>
      <c r="H188" s="41"/>
      <c r="I188" s="7"/>
      <c r="J188" s="41"/>
      <c r="K188" s="41"/>
      <c r="L188" s="7"/>
    </row>
    <row r="189" spans="1:12" ht="15" customHeight="1" x14ac:dyDescent="0.25">
      <c r="A189" s="465" t="s">
        <v>577</v>
      </c>
      <c r="B189" s="7"/>
      <c r="C189" s="7"/>
      <c r="D189" s="88"/>
      <c r="E189" s="88"/>
      <c r="F189" s="7"/>
      <c r="G189" s="41"/>
      <c r="H189" s="41"/>
      <c r="I189" s="7"/>
      <c r="J189" s="41"/>
      <c r="K189" s="41"/>
      <c r="L189" s="7"/>
    </row>
    <row r="190" spans="1:12" ht="15" customHeight="1" x14ac:dyDescent="0.25">
      <c r="A190" s="465" t="s">
        <v>578</v>
      </c>
      <c r="B190" s="7"/>
      <c r="C190" s="7"/>
      <c r="D190" s="88"/>
      <c r="E190" s="88"/>
      <c r="F190" s="7"/>
      <c r="G190" s="41"/>
      <c r="H190" s="41"/>
      <c r="I190" s="7"/>
      <c r="J190" s="41"/>
      <c r="K190" s="41"/>
      <c r="L190" s="7"/>
    </row>
    <row r="191" spans="1:12" ht="15" customHeight="1" x14ac:dyDescent="0.25">
      <c r="A191" s="465" t="s">
        <v>579</v>
      </c>
      <c r="B191" s="7"/>
      <c r="C191" s="7"/>
      <c r="D191" s="88"/>
      <c r="E191" s="88"/>
      <c r="F191" s="7"/>
      <c r="G191" s="41"/>
      <c r="H191" s="41"/>
      <c r="I191" s="7"/>
      <c r="J191" s="41"/>
      <c r="K191" s="41"/>
      <c r="L191" s="7"/>
    </row>
    <row r="192" spans="1:12" ht="15" customHeight="1" x14ac:dyDescent="0.25">
      <c r="A192" s="465" t="s">
        <v>580</v>
      </c>
      <c r="B192" s="7"/>
      <c r="C192" s="7"/>
      <c r="D192" s="88"/>
      <c r="E192" s="88"/>
      <c r="F192" s="7"/>
      <c r="G192" s="41"/>
      <c r="H192" s="41"/>
      <c r="I192" s="7"/>
      <c r="J192" s="41"/>
      <c r="K192" s="41"/>
      <c r="L192" s="7"/>
    </row>
    <row r="193" spans="1:12" ht="15" customHeight="1" x14ac:dyDescent="0.25">
      <c r="A193" s="465" t="s">
        <v>581</v>
      </c>
      <c r="B193" s="7"/>
      <c r="C193" s="7"/>
      <c r="D193" s="88"/>
      <c r="E193" s="88"/>
      <c r="F193" s="7"/>
      <c r="G193" s="41"/>
      <c r="H193" s="41"/>
      <c r="I193" s="7"/>
      <c r="J193" s="41"/>
      <c r="K193" s="41"/>
      <c r="L193" s="7"/>
    </row>
    <row r="194" spans="1:12" ht="15" customHeight="1" x14ac:dyDescent="0.25">
      <c r="A194" s="465" t="s">
        <v>582</v>
      </c>
      <c r="B194" s="7"/>
      <c r="C194" s="7"/>
      <c r="D194" s="88"/>
      <c r="E194" s="88"/>
      <c r="F194" s="7"/>
      <c r="G194" s="41"/>
      <c r="H194" s="41"/>
      <c r="I194" s="7"/>
      <c r="J194" s="41"/>
      <c r="K194" s="41"/>
      <c r="L194" s="7"/>
    </row>
    <row r="195" spans="1:12" ht="15" customHeight="1" x14ac:dyDescent="0.25">
      <c r="A195" s="465" t="s">
        <v>583</v>
      </c>
      <c r="B195" s="7"/>
      <c r="C195" s="7"/>
      <c r="D195" s="88"/>
      <c r="E195" s="88"/>
      <c r="F195" s="7"/>
      <c r="G195" s="41"/>
      <c r="H195" s="41"/>
      <c r="I195" s="7"/>
      <c r="J195" s="41"/>
      <c r="K195" s="41"/>
      <c r="L195" s="7"/>
    </row>
    <row r="196" spans="1:12" ht="15" customHeight="1" x14ac:dyDescent="0.25">
      <c r="A196" s="465" t="s">
        <v>584</v>
      </c>
      <c r="B196" s="7"/>
      <c r="C196" s="7"/>
      <c r="D196" s="88"/>
      <c r="E196" s="88"/>
      <c r="F196" s="7"/>
      <c r="G196" s="41"/>
      <c r="H196" s="41"/>
      <c r="I196" s="7"/>
      <c r="J196" s="41"/>
      <c r="K196" s="41"/>
      <c r="L196" s="7"/>
    </row>
    <row r="197" spans="1:12" ht="15" customHeight="1" x14ac:dyDescent="0.25">
      <c r="A197" s="465" t="s">
        <v>585</v>
      </c>
      <c r="B197" s="7"/>
      <c r="C197" s="7"/>
      <c r="D197" s="88"/>
      <c r="E197" s="88"/>
      <c r="F197" s="7"/>
      <c r="G197" s="41"/>
      <c r="H197" s="41"/>
      <c r="I197" s="7"/>
      <c r="J197" s="41"/>
      <c r="K197" s="41"/>
      <c r="L197" s="7"/>
    </row>
    <row r="198" spans="1:12" ht="15" customHeight="1" x14ac:dyDescent="0.25">
      <c r="A198" s="465" t="s">
        <v>586</v>
      </c>
      <c r="B198" s="7"/>
      <c r="C198" s="7"/>
      <c r="D198" s="88"/>
      <c r="E198" s="88"/>
      <c r="F198" s="7"/>
      <c r="G198" s="41"/>
      <c r="H198" s="41"/>
      <c r="I198" s="7"/>
      <c r="J198" s="41"/>
      <c r="K198" s="41"/>
      <c r="L198" s="7"/>
    </row>
    <row r="199" spans="1:12" ht="15" customHeight="1" x14ac:dyDescent="0.25">
      <c r="A199" s="465" t="s">
        <v>587</v>
      </c>
      <c r="B199" s="7"/>
      <c r="C199" s="7"/>
      <c r="D199" s="88"/>
      <c r="E199" s="88"/>
      <c r="F199" s="7"/>
      <c r="G199" s="41"/>
      <c r="H199" s="41"/>
      <c r="I199" s="7"/>
      <c r="J199" s="41"/>
      <c r="K199" s="41"/>
      <c r="L199" s="7"/>
    </row>
    <row r="200" spans="1:12" ht="15" customHeight="1" x14ac:dyDescent="0.25">
      <c r="A200" s="465" t="s">
        <v>588</v>
      </c>
      <c r="B200" s="7"/>
      <c r="C200" s="7"/>
      <c r="D200" s="88"/>
      <c r="E200" s="88"/>
      <c r="F200" s="7"/>
      <c r="G200" s="41"/>
      <c r="H200" s="41"/>
      <c r="I200" s="7"/>
      <c r="J200" s="41"/>
      <c r="K200" s="41"/>
      <c r="L200" s="7"/>
    </row>
    <row r="201" spans="1:12" ht="15" customHeight="1" x14ac:dyDescent="0.25">
      <c r="A201" s="465" t="s">
        <v>589</v>
      </c>
      <c r="B201" s="7"/>
      <c r="C201" s="7"/>
      <c r="D201" s="88"/>
      <c r="E201" s="88"/>
      <c r="F201" s="7"/>
      <c r="G201" s="41"/>
      <c r="H201" s="41"/>
      <c r="I201" s="7"/>
      <c r="J201" s="41"/>
      <c r="K201" s="41"/>
      <c r="L201" s="7"/>
    </row>
    <row r="202" spans="1:12" ht="15" customHeight="1" x14ac:dyDescent="0.25">
      <c r="A202" s="465" t="s">
        <v>590</v>
      </c>
      <c r="B202" s="7"/>
      <c r="C202" s="7"/>
      <c r="D202" s="88"/>
      <c r="E202" s="88"/>
      <c r="F202" s="7"/>
      <c r="G202" s="41"/>
      <c r="H202" s="41"/>
      <c r="I202" s="7"/>
      <c r="J202" s="41"/>
      <c r="K202" s="41"/>
      <c r="L202" s="7"/>
    </row>
    <row r="203" spans="1:12" ht="15" customHeight="1" x14ac:dyDescent="0.25">
      <c r="A203" s="465" t="s">
        <v>591</v>
      </c>
      <c r="B203" s="7"/>
      <c r="C203" s="7"/>
      <c r="D203" s="88"/>
      <c r="E203" s="88"/>
      <c r="F203" s="7"/>
      <c r="G203" s="41"/>
      <c r="H203" s="41"/>
      <c r="I203" s="7"/>
      <c r="J203" s="41"/>
      <c r="K203" s="41"/>
      <c r="L203" s="7"/>
    </row>
    <row r="204" spans="1:12" ht="15" customHeight="1" x14ac:dyDescent="0.25">
      <c r="A204" s="465" t="s">
        <v>592</v>
      </c>
      <c r="B204" s="7"/>
      <c r="C204" s="7"/>
      <c r="D204" s="88"/>
      <c r="E204" s="88"/>
      <c r="F204" s="7"/>
      <c r="G204" s="41"/>
      <c r="H204" s="41"/>
      <c r="I204" s="7"/>
      <c r="J204" s="41"/>
      <c r="K204" s="41"/>
      <c r="L204" s="7"/>
    </row>
    <row r="205" spans="1:12" ht="15" customHeight="1" x14ac:dyDescent="0.25">
      <c r="A205" s="465" t="s">
        <v>593</v>
      </c>
      <c r="B205" s="7"/>
      <c r="C205" s="7"/>
      <c r="D205" s="88"/>
      <c r="E205" s="88"/>
      <c r="F205" s="7"/>
      <c r="G205" s="41"/>
      <c r="H205" s="41"/>
      <c r="I205" s="7"/>
      <c r="J205" s="41"/>
      <c r="K205" s="41"/>
      <c r="L205" s="7"/>
    </row>
    <row r="206" spans="1:12" ht="15" customHeight="1" x14ac:dyDescent="0.25">
      <c r="A206" s="465" t="s">
        <v>594</v>
      </c>
      <c r="B206" s="7"/>
      <c r="C206" s="7"/>
      <c r="D206" s="88"/>
      <c r="E206" s="88"/>
      <c r="F206" s="7"/>
      <c r="G206" s="41"/>
      <c r="H206" s="41"/>
      <c r="I206" s="7"/>
      <c r="J206" s="41"/>
      <c r="K206" s="41"/>
      <c r="L206" s="7"/>
    </row>
    <row r="207" spans="1:12" ht="15" customHeight="1" x14ac:dyDescent="0.25">
      <c r="A207" s="465" t="s">
        <v>595</v>
      </c>
      <c r="B207" s="7"/>
      <c r="C207" s="7"/>
      <c r="D207" s="88"/>
      <c r="E207" s="88"/>
      <c r="F207" s="7"/>
      <c r="G207" s="41"/>
      <c r="H207" s="41"/>
      <c r="I207" s="7"/>
      <c r="J207" s="41"/>
      <c r="K207" s="41"/>
      <c r="L207" s="7"/>
    </row>
    <row r="208" spans="1:12" ht="15" customHeight="1" x14ac:dyDescent="0.25">
      <c r="A208" s="465" t="s">
        <v>596</v>
      </c>
      <c r="B208" s="7"/>
      <c r="C208" s="7"/>
      <c r="D208" s="88"/>
      <c r="E208" s="88"/>
      <c r="F208" s="7"/>
      <c r="G208" s="41"/>
      <c r="H208" s="41"/>
      <c r="I208" s="7"/>
      <c r="J208" s="41"/>
      <c r="K208" s="41"/>
      <c r="L208" s="7"/>
    </row>
    <row r="209" spans="1:12" ht="15" customHeight="1" x14ac:dyDescent="0.25">
      <c r="A209" s="465" t="s">
        <v>597</v>
      </c>
      <c r="B209" s="7"/>
      <c r="C209" s="7"/>
      <c r="D209" s="88"/>
      <c r="E209" s="88"/>
      <c r="F209" s="7"/>
      <c r="G209" s="41"/>
      <c r="H209" s="41"/>
      <c r="I209" s="7"/>
      <c r="J209" s="41"/>
      <c r="K209" s="41"/>
      <c r="L209" s="7"/>
    </row>
    <row r="210" spans="1:12" ht="15" customHeight="1" x14ac:dyDescent="0.25">
      <c r="A210" s="465" t="s">
        <v>598</v>
      </c>
      <c r="B210" s="7"/>
      <c r="C210" s="7"/>
      <c r="D210" s="88"/>
      <c r="E210" s="88"/>
      <c r="F210" s="7"/>
      <c r="G210" s="41"/>
      <c r="H210" s="41"/>
      <c r="I210" s="7"/>
      <c r="J210" s="41"/>
      <c r="K210" s="41"/>
      <c r="L210" s="7"/>
    </row>
    <row r="211" spans="1:12" ht="15" customHeight="1" x14ac:dyDescent="0.25">
      <c r="A211" s="465" t="s">
        <v>599</v>
      </c>
      <c r="B211" s="7"/>
      <c r="C211" s="7"/>
      <c r="D211" s="88"/>
      <c r="E211" s="88"/>
      <c r="F211" s="7"/>
      <c r="G211" s="41"/>
      <c r="H211" s="41"/>
      <c r="I211" s="7"/>
      <c r="J211" s="41"/>
      <c r="K211" s="41"/>
      <c r="L211" s="7"/>
    </row>
    <row r="212" spans="1:12" ht="15" customHeight="1" x14ac:dyDescent="0.25">
      <c r="A212" s="465" t="s">
        <v>600</v>
      </c>
      <c r="B212" s="7"/>
      <c r="C212" s="7"/>
      <c r="D212" s="88"/>
      <c r="E212" s="88"/>
      <c r="F212" s="7"/>
      <c r="G212" s="41"/>
      <c r="H212" s="41"/>
      <c r="I212" s="7"/>
      <c r="J212" s="41"/>
      <c r="K212" s="41"/>
      <c r="L212" s="7"/>
    </row>
    <row r="213" spans="1:12" ht="15" customHeight="1" x14ac:dyDescent="0.25">
      <c r="A213" s="465" t="s">
        <v>601</v>
      </c>
      <c r="B213" s="7"/>
      <c r="C213" s="7"/>
      <c r="D213" s="88"/>
      <c r="E213" s="88"/>
      <c r="F213" s="7"/>
      <c r="G213" s="41"/>
      <c r="H213" s="41"/>
      <c r="I213" s="7"/>
      <c r="J213" s="41"/>
      <c r="K213" s="41"/>
      <c r="L213" s="7"/>
    </row>
    <row r="214" spans="1:12" ht="15" customHeight="1" x14ac:dyDescent="0.25">
      <c r="A214" s="465" t="s">
        <v>602</v>
      </c>
      <c r="B214" s="7"/>
      <c r="C214" s="7"/>
      <c r="D214" s="88"/>
      <c r="E214" s="88"/>
      <c r="F214" s="7"/>
      <c r="G214" s="41"/>
      <c r="H214" s="41"/>
      <c r="I214" s="7"/>
      <c r="J214" s="41"/>
      <c r="K214" s="41"/>
      <c r="L214" s="7"/>
    </row>
    <row r="215" spans="1:12" ht="15" customHeight="1" x14ac:dyDescent="0.25">
      <c r="A215" s="465" t="s">
        <v>603</v>
      </c>
      <c r="B215" s="7"/>
      <c r="C215" s="7"/>
      <c r="D215" s="88"/>
      <c r="E215" s="88"/>
      <c r="F215" s="7"/>
      <c r="G215" s="41"/>
      <c r="H215" s="41"/>
      <c r="I215" s="7"/>
      <c r="J215" s="41"/>
      <c r="K215" s="41"/>
      <c r="L215" s="7"/>
    </row>
    <row r="216" spans="1:12" ht="15" customHeight="1" x14ac:dyDescent="0.25">
      <c r="A216" s="465" t="s">
        <v>604</v>
      </c>
      <c r="B216" s="7"/>
      <c r="C216" s="7"/>
      <c r="D216" s="88"/>
      <c r="E216" s="88"/>
      <c r="F216" s="7"/>
      <c r="G216" s="41"/>
      <c r="H216" s="41"/>
      <c r="I216" s="7"/>
      <c r="J216" s="41"/>
      <c r="K216" s="41"/>
      <c r="L216" s="7"/>
    </row>
    <row r="217" spans="1:12" ht="15" customHeight="1" x14ac:dyDescent="0.25">
      <c r="A217" s="465" t="s">
        <v>605</v>
      </c>
      <c r="B217" s="7"/>
      <c r="C217" s="7"/>
      <c r="D217" s="88"/>
      <c r="E217" s="88"/>
      <c r="F217" s="7"/>
      <c r="G217" s="41"/>
      <c r="H217" s="41"/>
      <c r="I217" s="7"/>
      <c r="J217" s="41"/>
      <c r="K217" s="41"/>
      <c r="L217" s="7"/>
    </row>
    <row r="218" spans="1:12" ht="15" customHeight="1" x14ac:dyDescent="0.25">
      <c r="A218" s="465" t="s">
        <v>606</v>
      </c>
      <c r="B218" s="7"/>
      <c r="C218" s="7"/>
      <c r="D218" s="88"/>
      <c r="E218" s="88"/>
      <c r="F218" s="7"/>
      <c r="G218" s="41"/>
      <c r="H218" s="41"/>
      <c r="I218" s="7"/>
      <c r="J218" s="41"/>
      <c r="K218" s="41"/>
      <c r="L218" s="7"/>
    </row>
    <row r="219" spans="1:12" ht="15" customHeight="1" x14ac:dyDescent="0.25">
      <c r="A219" s="465" t="s">
        <v>607</v>
      </c>
      <c r="B219" s="7"/>
      <c r="C219" s="7"/>
      <c r="D219" s="88"/>
      <c r="E219" s="88"/>
      <c r="F219" s="7"/>
      <c r="G219" s="41"/>
      <c r="H219" s="41"/>
      <c r="I219" s="7"/>
      <c r="J219" s="41"/>
      <c r="K219" s="41"/>
      <c r="L219" s="7"/>
    </row>
    <row r="220" spans="1:12" ht="15" customHeight="1" x14ac:dyDescent="0.25">
      <c r="A220" s="465" t="s">
        <v>608</v>
      </c>
      <c r="B220" s="7"/>
      <c r="C220" s="7"/>
      <c r="D220" s="88"/>
      <c r="E220" s="88"/>
      <c r="F220" s="7"/>
      <c r="G220" s="41"/>
      <c r="H220" s="41"/>
      <c r="I220" s="7"/>
      <c r="J220" s="41"/>
      <c r="K220" s="41"/>
      <c r="L220" s="7"/>
    </row>
    <row r="221" spans="1:12" ht="15" customHeight="1" x14ac:dyDescent="0.25">
      <c r="A221" s="465" t="s">
        <v>609</v>
      </c>
      <c r="B221" s="7"/>
      <c r="C221" s="7"/>
      <c r="D221" s="88"/>
      <c r="E221" s="88"/>
      <c r="F221" s="7"/>
      <c r="G221" s="41"/>
      <c r="H221" s="41"/>
      <c r="I221" s="7"/>
      <c r="J221" s="41"/>
      <c r="K221" s="41"/>
      <c r="L221" s="7"/>
    </row>
    <row r="222" spans="1:12" ht="15" customHeight="1" x14ac:dyDescent="0.25">
      <c r="A222" s="465" t="s">
        <v>610</v>
      </c>
      <c r="B222" s="7"/>
      <c r="C222" s="7"/>
      <c r="D222" s="88"/>
      <c r="E222" s="88"/>
      <c r="F222" s="7"/>
      <c r="G222" s="41"/>
      <c r="H222" s="41"/>
      <c r="I222" s="7"/>
      <c r="J222" s="41"/>
      <c r="K222" s="41"/>
      <c r="L222" s="7"/>
    </row>
    <row r="223" spans="1:12" ht="15" customHeight="1" x14ac:dyDescent="0.25">
      <c r="A223" s="465" t="s">
        <v>611</v>
      </c>
      <c r="B223" s="7"/>
      <c r="C223" s="7"/>
      <c r="D223" s="88"/>
      <c r="E223" s="88"/>
      <c r="F223" s="7"/>
      <c r="G223" s="41"/>
      <c r="H223" s="41"/>
      <c r="I223" s="7"/>
      <c r="J223" s="41"/>
      <c r="K223" s="41"/>
      <c r="L223" s="7"/>
    </row>
    <row r="224" spans="1:12" ht="15" customHeight="1" x14ac:dyDescent="0.25">
      <c r="A224" s="465" t="s">
        <v>612</v>
      </c>
      <c r="B224" s="7"/>
      <c r="C224" s="7"/>
      <c r="D224" s="88"/>
      <c r="E224" s="88"/>
      <c r="F224" s="7"/>
      <c r="G224" s="41"/>
      <c r="H224" s="41"/>
      <c r="I224" s="7"/>
      <c r="J224" s="41"/>
      <c r="K224" s="41"/>
      <c r="L224" s="7"/>
    </row>
    <row r="225" spans="1:12" ht="15" customHeight="1" x14ac:dyDescent="0.25">
      <c r="A225" s="465" t="s">
        <v>613</v>
      </c>
      <c r="B225" s="7"/>
      <c r="C225" s="7"/>
      <c r="D225" s="88"/>
      <c r="E225" s="88"/>
      <c r="F225" s="7"/>
      <c r="G225" s="41"/>
      <c r="H225" s="41"/>
      <c r="I225" s="7"/>
      <c r="J225" s="41"/>
      <c r="K225" s="41"/>
      <c r="L225" s="7"/>
    </row>
    <row r="226" spans="1:12" ht="15" customHeight="1" x14ac:dyDescent="0.25">
      <c r="A226" s="465" t="s">
        <v>614</v>
      </c>
      <c r="B226" s="7"/>
      <c r="C226" s="7"/>
      <c r="D226" s="88"/>
      <c r="E226" s="88"/>
      <c r="F226" s="7"/>
      <c r="G226" s="41"/>
      <c r="H226" s="41"/>
      <c r="I226" s="7"/>
      <c r="J226" s="41"/>
      <c r="K226" s="41"/>
      <c r="L226" s="7"/>
    </row>
    <row r="227" spans="1:12" ht="15" customHeight="1" x14ac:dyDescent="0.25">
      <c r="A227" s="465" t="s">
        <v>615</v>
      </c>
      <c r="B227" s="7"/>
      <c r="C227" s="7"/>
      <c r="D227" s="88"/>
      <c r="E227" s="88"/>
      <c r="F227" s="7"/>
      <c r="G227" s="41"/>
      <c r="H227" s="41"/>
      <c r="I227" s="7"/>
      <c r="J227" s="41"/>
      <c r="K227" s="41"/>
      <c r="L227" s="7"/>
    </row>
    <row r="228" spans="1:12" ht="15" customHeight="1" x14ac:dyDescent="0.25">
      <c r="A228" s="465" t="s">
        <v>616</v>
      </c>
      <c r="B228" s="7"/>
      <c r="C228" s="7"/>
      <c r="D228" s="88"/>
      <c r="E228" s="88"/>
      <c r="F228" s="7"/>
      <c r="G228" s="41"/>
      <c r="H228" s="41"/>
      <c r="I228" s="7"/>
      <c r="J228" s="41"/>
      <c r="K228" s="41"/>
      <c r="L228" s="7"/>
    </row>
    <row r="229" spans="1:12" ht="15" customHeight="1" x14ac:dyDescent="0.25">
      <c r="A229" s="465" t="s">
        <v>617</v>
      </c>
      <c r="B229" s="7"/>
      <c r="C229" s="7"/>
      <c r="D229" s="88"/>
      <c r="E229" s="88"/>
      <c r="F229" s="7"/>
      <c r="G229" s="41"/>
      <c r="H229" s="41"/>
      <c r="I229" s="7"/>
      <c r="J229" s="41"/>
      <c r="K229" s="41"/>
      <c r="L229" s="7"/>
    </row>
    <row r="230" spans="1:12" ht="15" customHeight="1" x14ac:dyDescent="0.25">
      <c r="A230" s="465" t="s">
        <v>618</v>
      </c>
      <c r="B230" s="7"/>
      <c r="C230" s="7"/>
      <c r="D230" s="88"/>
      <c r="E230" s="88"/>
      <c r="F230" s="7"/>
      <c r="G230" s="41"/>
      <c r="H230" s="41"/>
      <c r="I230" s="7"/>
      <c r="J230" s="41"/>
      <c r="K230" s="41"/>
      <c r="L230" s="7"/>
    </row>
    <row r="231" spans="1:12" ht="15" customHeight="1" x14ac:dyDescent="0.25">
      <c r="A231" s="465" t="s">
        <v>619</v>
      </c>
      <c r="B231" s="7"/>
      <c r="C231" s="7"/>
      <c r="D231" s="88"/>
      <c r="E231" s="88"/>
      <c r="F231" s="7"/>
      <c r="G231" s="41"/>
      <c r="H231" s="41"/>
      <c r="I231" s="7"/>
      <c r="J231" s="41"/>
      <c r="K231" s="41"/>
      <c r="L231" s="7"/>
    </row>
    <row r="232" spans="1:12" ht="15" customHeight="1" x14ac:dyDescent="0.25">
      <c r="A232" s="465" t="s">
        <v>620</v>
      </c>
      <c r="B232" s="7"/>
      <c r="C232" s="7"/>
      <c r="D232" s="88"/>
      <c r="E232" s="88"/>
      <c r="F232" s="7"/>
      <c r="G232" s="41"/>
      <c r="H232" s="41"/>
      <c r="I232" s="7"/>
      <c r="J232" s="41"/>
      <c r="K232" s="41"/>
      <c r="L232" s="7"/>
    </row>
    <row r="233" spans="1:12" ht="15" customHeight="1" x14ac:dyDescent="0.25">
      <c r="A233" s="465" t="s">
        <v>621</v>
      </c>
      <c r="B233" s="7"/>
      <c r="C233" s="7"/>
      <c r="D233" s="88"/>
      <c r="E233" s="88"/>
      <c r="F233" s="7"/>
      <c r="G233" s="41"/>
      <c r="H233" s="41"/>
      <c r="I233" s="7"/>
      <c r="J233" s="41"/>
      <c r="K233" s="41"/>
      <c r="L233" s="7"/>
    </row>
    <row r="234" spans="1:12" ht="15" customHeight="1" x14ac:dyDescent="0.25">
      <c r="A234" s="465" t="s">
        <v>622</v>
      </c>
      <c r="B234" s="7"/>
      <c r="C234" s="7"/>
      <c r="D234" s="88"/>
      <c r="E234" s="88"/>
      <c r="F234" s="7"/>
      <c r="G234" s="41"/>
      <c r="H234" s="41"/>
      <c r="I234" s="7"/>
      <c r="J234" s="41"/>
      <c r="K234" s="41"/>
      <c r="L234" s="7"/>
    </row>
    <row r="235" spans="1:12" ht="15" customHeight="1" x14ac:dyDescent="0.25">
      <c r="A235" s="465" t="s">
        <v>623</v>
      </c>
      <c r="B235" s="7"/>
      <c r="C235" s="7"/>
      <c r="D235" s="88"/>
      <c r="E235" s="88"/>
      <c r="F235" s="7"/>
      <c r="G235" s="41"/>
      <c r="H235" s="41"/>
      <c r="I235" s="7"/>
      <c r="J235" s="41"/>
      <c r="K235" s="41"/>
      <c r="L235" s="7"/>
    </row>
    <row r="236" spans="1:12" ht="15" customHeight="1" x14ac:dyDescent="0.25">
      <c r="A236" s="465" t="s">
        <v>624</v>
      </c>
      <c r="B236" s="7"/>
      <c r="C236" s="7"/>
      <c r="D236" s="88"/>
      <c r="E236" s="88"/>
      <c r="F236" s="7"/>
      <c r="G236" s="41"/>
      <c r="H236" s="41"/>
      <c r="I236" s="7"/>
      <c r="J236" s="41"/>
      <c r="K236" s="41"/>
      <c r="L236" s="7"/>
    </row>
    <row r="237" spans="1:12" ht="15" customHeight="1" x14ac:dyDescent="0.25">
      <c r="A237" s="465" t="s">
        <v>625</v>
      </c>
      <c r="B237" s="7"/>
      <c r="C237" s="7"/>
      <c r="D237" s="88"/>
      <c r="E237" s="88"/>
      <c r="F237" s="7"/>
      <c r="G237" s="41"/>
      <c r="H237" s="41"/>
      <c r="I237" s="7"/>
      <c r="J237" s="41"/>
      <c r="K237" s="41"/>
      <c r="L237" s="7"/>
    </row>
    <row r="238" spans="1:12" ht="15" customHeight="1" x14ac:dyDescent="0.25">
      <c r="A238" s="465" t="s">
        <v>626</v>
      </c>
      <c r="B238" s="7"/>
      <c r="C238" s="7"/>
      <c r="D238" s="88"/>
      <c r="E238" s="88"/>
      <c r="F238" s="7"/>
      <c r="G238" s="41"/>
      <c r="H238" s="41"/>
      <c r="I238" s="7"/>
      <c r="J238" s="41"/>
      <c r="K238" s="41"/>
      <c r="L238" s="7"/>
    </row>
    <row r="239" spans="1:12" ht="15" customHeight="1" x14ac:dyDescent="0.25">
      <c r="A239" s="465" t="s">
        <v>627</v>
      </c>
      <c r="B239" s="7"/>
      <c r="C239" s="7"/>
      <c r="D239" s="88"/>
      <c r="E239" s="88"/>
      <c r="F239" s="7"/>
      <c r="G239" s="41"/>
      <c r="H239" s="41"/>
      <c r="I239" s="7"/>
      <c r="J239" s="41"/>
      <c r="K239" s="41"/>
      <c r="L239" s="7"/>
    </row>
    <row r="240" spans="1:12" ht="15" customHeight="1" x14ac:dyDescent="0.25">
      <c r="A240" s="465" t="s">
        <v>628</v>
      </c>
      <c r="B240" s="7"/>
      <c r="C240" s="7"/>
      <c r="D240" s="88"/>
      <c r="E240" s="88"/>
      <c r="F240" s="7"/>
      <c r="G240" s="41"/>
      <c r="H240" s="41"/>
      <c r="I240" s="7"/>
      <c r="J240" s="41"/>
      <c r="K240" s="41"/>
      <c r="L240" s="7"/>
    </row>
    <row r="241" spans="1:12" ht="15" customHeight="1" x14ac:dyDescent="0.25">
      <c r="A241" s="465" t="s">
        <v>629</v>
      </c>
      <c r="B241" s="7"/>
      <c r="C241" s="7"/>
      <c r="D241" s="88"/>
      <c r="E241" s="88"/>
      <c r="F241" s="7"/>
      <c r="G241" s="41"/>
      <c r="H241" s="41"/>
      <c r="I241" s="7"/>
      <c r="J241" s="41"/>
      <c r="K241" s="41"/>
      <c r="L241" s="7"/>
    </row>
    <row r="242" spans="1:12" ht="15" customHeight="1" x14ac:dyDescent="0.25">
      <c r="A242" s="465" t="s">
        <v>630</v>
      </c>
      <c r="B242" s="7"/>
      <c r="C242" s="7"/>
      <c r="D242" s="88"/>
      <c r="E242" s="88"/>
      <c r="F242" s="7"/>
      <c r="G242" s="41"/>
      <c r="H242" s="41"/>
      <c r="I242" s="7"/>
      <c r="J242" s="41"/>
      <c r="K242" s="41"/>
      <c r="L242" s="7"/>
    </row>
    <row r="243" spans="1:12" ht="15" customHeight="1" x14ac:dyDescent="0.25">
      <c r="A243" s="465" t="s">
        <v>631</v>
      </c>
      <c r="B243" s="7"/>
      <c r="C243" s="7"/>
      <c r="D243" s="88"/>
      <c r="E243" s="88"/>
      <c r="F243" s="7"/>
      <c r="G243" s="41"/>
      <c r="H243" s="41"/>
      <c r="I243" s="7"/>
      <c r="J243" s="41"/>
      <c r="K243" s="41"/>
      <c r="L243" s="7"/>
    </row>
    <row r="244" spans="1:12" ht="15" customHeight="1" x14ac:dyDescent="0.25">
      <c r="A244" s="465" t="s">
        <v>632</v>
      </c>
      <c r="B244" s="7"/>
      <c r="C244" s="7"/>
      <c r="D244" s="88"/>
      <c r="E244" s="88"/>
      <c r="F244" s="7"/>
      <c r="G244" s="41"/>
      <c r="H244" s="41"/>
      <c r="I244" s="7"/>
      <c r="J244" s="41"/>
      <c r="K244" s="41"/>
      <c r="L244" s="7"/>
    </row>
    <row r="245" spans="1:12" ht="15" customHeight="1" x14ac:dyDescent="0.25">
      <c r="A245" s="465" t="s">
        <v>633</v>
      </c>
      <c r="B245" s="7"/>
      <c r="C245" s="7"/>
      <c r="D245" s="88"/>
      <c r="E245" s="88"/>
      <c r="F245" s="7"/>
      <c r="G245" s="7"/>
      <c r="H245" s="7"/>
      <c r="I245" s="7"/>
      <c r="J245" s="41"/>
      <c r="K245" s="41"/>
      <c r="L245" s="7"/>
    </row>
    <row r="246" spans="1:12" ht="15" customHeight="1" x14ac:dyDescent="0.25">
      <c r="A246" s="465" t="s">
        <v>634</v>
      </c>
      <c r="B246" s="7"/>
      <c r="C246" s="7"/>
      <c r="D246" s="88"/>
      <c r="E246" s="88"/>
      <c r="F246" s="7"/>
      <c r="G246" s="41"/>
      <c r="H246" s="41"/>
      <c r="I246" s="7"/>
      <c r="J246" s="41"/>
      <c r="K246" s="41"/>
      <c r="L246" s="7"/>
    </row>
    <row r="247" spans="1:12" ht="15" customHeight="1" x14ac:dyDescent="0.25">
      <c r="A247" s="465" t="s">
        <v>635</v>
      </c>
      <c r="B247" s="7"/>
      <c r="C247" s="7"/>
      <c r="D247" s="88"/>
      <c r="E247" s="88"/>
      <c r="F247" s="7"/>
      <c r="G247" s="41"/>
      <c r="H247" s="41"/>
      <c r="I247" s="7"/>
      <c r="J247" s="41"/>
      <c r="K247" s="41"/>
      <c r="L247" s="7"/>
    </row>
    <row r="248" spans="1:12" ht="15" customHeight="1" x14ac:dyDescent="0.25">
      <c r="A248" s="465" t="s">
        <v>636</v>
      </c>
      <c r="B248" s="7"/>
      <c r="C248" s="7"/>
      <c r="D248" s="88"/>
      <c r="E248" s="88"/>
      <c r="F248" s="7"/>
      <c r="G248" s="41"/>
      <c r="H248" s="41"/>
      <c r="I248" s="7"/>
      <c r="J248" s="41"/>
      <c r="K248" s="41"/>
      <c r="L248" s="7"/>
    </row>
    <row r="249" spans="1:12" ht="15" customHeight="1" x14ac:dyDescent="0.25">
      <c r="A249" s="465" t="s">
        <v>637</v>
      </c>
      <c r="B249" s="7"/>
      <c r="C249" s="7"/>
      <c r="D249" s="88"/>
      <c r="E249" s="88"/>
      <c r="F249" s="7"/>
      <c r="G249" s="41"/>
      <c r="H249" s="41"/>
      <c r="I249" s="7"/>
      <c r="J249" s="41"/>
      <c r="K249" s="41"/>
      <c r="L249" s="7"/>
    </row>
    <row r="250" spans="1:12" ht="15" customHeight="1" x14ac:dyDescent="0.25">
      <c r="A250" s="465" t="s">
        <v>638</v>
      </c>
      <c r="B250" s="7"/>
      <c r="C250" s="7"/>
      <c r="D250" s="88"/>
      <c r="E250" s="88"/>
      <c r="F250" s="7"/>
      <c r="G250" s="41"/>
      <c r="H250" s="41"/>
      <c r="I250" s="7"/>
      <c r="J250" s="41"/>
      <c r="K250" s="41"/>
      <c r="L250" s="7"/>
    </row>
    <row r="251" spans="1:12" ht="15" customHeight="1" x14ac:dyDescent="0.25">
      <c r="A251" s="465" t="s">
        <v>639</v>
      </c>
      <c r="B251" s="7"/>
      <c r="C251" s="7"/>
      <c r="D251" s="88"/>
      <c r="E251" s="88"/>
      <c r="F251" s="7"/>
      <c r="G251" s="41"/>
      <c r="H251" s="41"/>
      <c r="I251" s="7"/>
      <c r="J251" s="41"/>
      <c r="K251" s="41"/>
      <c r="L251" s="7"/>
    </row>
    <row r="252" spans="1:12" ht="15" customHeight="1" x14ac:dyDescent="0.25">
      <c r="A252" s="465" t="s">
        <v>640</v>
      </c>
      <c r="B252" s="7"/>
      <c r="C252" s="7"/>
      <c r="D252" s="88"/>
      <c r="E252" s="88"/>
      <c r="F252" s="7"/>
      <c r="G252" s="7"/>
      <c r="H252" s="7"/>
      <c r="I252" s="7"/>
      <c r="J252" s="41"/>
      <c r="K252" s="41"/>
      <c r="L252" s="7"/>
    </row>
    <row r="253" spans="1:12" ht="15" customHeight="1" x14ac:dyDescent="0.25">
      <c r="A253" s="465" t="s">
        <v>641</v>
      </c>
      <c r="B253" s="7"/>
      <c r="C253" s="7"/>
      <c r="D253" s="88"/>
      <c r="E253" s="88"/>
      <c r="F253" s="7"/>
      <c r="G253" s="7"/>
      <c r="H253" s="7"/>
      <c r="I253" s="7"/>
      <c r="J253" s="41"/>
      <c r="K253" s="41"/>
      <c r="L253" s="7"/>
    </row>
    <row r="254" spans="1:12" ht="15" customHeight="1" x14ac:dyDescent="0.25">
      <c r="A254" s="465" t="s">
        <v>642</v>
      </c>
      <c r="B254" s="7"/>
      <c r="C254" s="7"/>
      <c r="D254" s="88"/>
      <c r="E254" s="88"/>
      <c r="F254" s="7"/>
      <c r="G254" s="7"/>
      <c r="H254" s="7"/>
      <c r="I254" s="7"/>
      <c r="J254" s="41"/>
      <c r="K254" s="41"/>
      <c r="L254" s="7"/>
    </row>
    <row r="255" spans="1:12" ht="15" customHeight="1" x14ac:dyDescent="0.25">
      <c r="A255" s="465" t="s">
        <v>643</v>
      </c>
      <c r="B255" s="7"/>
      <c r="C255" s="7"/>
      <c r="D255" s="88"/>
      <c r="E255" s="88"/>
      <c r="F255" s="7"/>
      <c r="G255" s="7"/>
      <c r="H255" s="7"/>
      <c r="I255" s="7"/>
      <c r="J255" s="41"/>
      <c r="K255" s="41"/>
      <c r="L255" s="7"/>
    </row>
    <row r="256" spans="1:12" ht="15" customHeight="1" x14ac:dyDescent="0.25">
      <c r="A256" s="465" t="s">
        <v>644</v>
      </c>
      <c r="B256" s="7"/>
      <c r="C256" s="7"/>
      <c r="D256" s="88"/>
      <c r="E256" s="88"/>
      <c r="F256" s="7"/>
      <c r="G256" s="7"/>
      <c r="H256" s="7"/>
      <c r="I256" s="7"/>
      <c r="J256" s="41"/>
      <c r="K256" s="41"/>
      <c r="L256" s="7"/>
    </row>
    <row r="257" spans="1:12" ht="15" customHeight="1" x14ac:dyDescent="0.25">
      <c r="A257" s="465" t="s">
        <v>645</v>
      </c>
      <c r="B257" s="7"/>
      <c r="C257" s="7"/>
      <c r="D257" s="88"/>
      <c r="E257" s="88"/>
      <c r="F257" s="7"/>
      <c r="G257" s="41"/>
      <c r="H257" s="41"/>
      <c r="I257" s="7"/>
      <c r="J257" s="41"/>
      <c r="K257" s="41"/>
      <c r="L257" s="7"/>
    </row>
    <row r="258" spans="1:12" ht="15" customHeight="1" x14ac:dyDescent="0.25">
      <c r="A258" s="465" t="s">
        <v>646</v>
      </c>
      <c r="B258" s="7"/>
      <c r="C258" s="7"/>
      <c r="D258" s="88"/>
      <c r="E258" s="88"/>
      <c r="F258" s="7"/>
      <c r="G258" s="7"/>
      <c r="H258" s="7"/>
      <c r="I258" s="7"/>
      <c r="J258" s="41"/>
      <c r="K258" s="41"/>
      <c r="L258" s="7"/>
    </row>
    <row r="259" spans="1:12" ht="15" customHeight="1" x14ac:dyDescent="0.25">
      <c r="A259" s="465" t="s">
        <v>647</v>
      </c>
      <c r="B259" s="7"/>
      <c r="C259" s="7"/>
      <c r="D259" s="88"/>
      <c r="E259" s="88"/>
      <c r="F259" s="7"/>
      <c r="G259" s="7"/>
      <c r="H259" s="7"/>
      <c r="I259" s="7"/>
      <c r="J259" s="41"/>
      <c r="K259" s="41"/>
      <c r="L259" s="7"/>
    </row>
    <row r="260" spans="1:12" ht="15" customHeight="1" x14ac:dyDescent="0.25">
      <c r="A260" s="465" t="s">
        <v>648</v>
      </c>
      <c r="B260" s="7"/>
      <c r="C260" s="7"/>
      <c r="D260" s="88"/>
      <c r="E260" s="88"/>
      <c r="F260" s="7"/>
      <c r="G260" s="7"/>
      <c r="H260" s="7"/>
      <c r="I260" s="7"/>
      <c r="J260" s="41"/>
      <c r="K260" s="41"/>
      <c r="L260" s="7"/>
    </row>
    <row r="261" spans="1:12" ht="15" customHeight="1" x14ac:dyDescent="0.25">
      <c r="A261" s="465" t="s">
        <v>649</v>
      </c>
    </row>
    <row r="262" spans="1:12" ht="15" customHeight="1" x14ac:dyDescent="0.25">
      <c r="A262" s="465" t="s">
        <v>650</v>
      </c>
    </row>
    <row r="263" spans="1:12" ht="15" customHeight="1" x14ac:dyDescent="0.25">
      <c r="A263" s="465" t="s">
        <v>651</v>
      </c>
    </row>
    <row r="264" spans="1:12" ht="15" customHeight="1" x14ac:dyDescent="0.25">
      <c r="A264" s="465" t="s">
        <v>652</v>
      </c>
    </row>
    <row r="265" spans="1:12" ht="15" customHeight="1" x14ac:dyDescent="0.25">
      <c r="A265" s="465" t="s">
        <v>653</v>
      </c>
    </row>
    <row r="266" spans="1:12" ht="15" customHeight="1" x14ac:dyDescent="0.25">
      <c r="A266" s="465" t="s">
        <v>654</v>
      </c>
    </row>
    <row r="267" spans="1:12" ht="15" customHeight="1" x14ac:dyDescent="0.25">
      <c r="A267" s="465" t="s">
        <v>655</v>
      </c>
    </row>
  </sheetData>
  <autoFilter ref="A68:AA70" xr:uid="{00000000-0009-0000-0000-000003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39" type="noConversion"/>
  <pageMargins left="0.7" right="0.7" top="0.78740157499999996" bottom="0.78740157499999996" header="0.3" footer="0.3"/>
  <pageSetup paperSize="9" orientation="portrait"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7577F-DC7F-4DF4-8A15-8AAF589561E6}">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50.7109375" customWidth="1"/>
    <col min="3" max="5" width="20.7109375" customWidth="1"/>
    <col min="9" max="11" width="9.140625" hidden="1" customWidth="1"/>
  </cols>
  <sheetData>
    <row r="1" spans="1:11" ht="6.75" customHeight="1" x14ac:dyDescent="0.25"/>
    <row r="2" spans="1:11" x14ac:dyDescent="0.25">
      <c r="A2" s="526" t="str">
        <f>'Basic data'!B2</f>
        <v>Annex CR Version Q1.2 (Audit year 2026 / Indicator year 2025)</v>
      </c>
    </row>
    <row r="3" spans="1:11" ht="15.75" x14ac:dyDescent="0.25">
      <c r="A3" s="527" t="s">
        <v>832</v>
      </c>
    </row>
    <row r="4" spans="1:11" ht="18" customHeight="1" thickBot="1" x14ac:dyDescent="0.3"/>
    <row r="5" spans="1:11" ht="18" customHeight="1" thickBot="1" x14ac:dyDescent="0.3">
      <c r="D5" s="528" t="s">
        <v>833</v>
      </c>
      <c r="E5" s="529">
        <f>SUM(K11:K60)</f>
        <v>0</v>
      </c>
    </row>
    <row r="7" spans="1:11" ht="35.25" customHeight="1" x14ac:dyDescent="0.25">
      <c r="A7" s="667" t="s">
        <v>859</v>
      </c>
      <c r="B7" s="668"/>
      <c r="C7" s="668"/>
      <c r="D7" s="668"/>
      <c r="E7" s="668"/>
    </row>
    <row r="8" spans="1:11" ht="5.25" customHeight="1" thickBot="1" x14ac:dyDescent="0.3"/>
    <row r="9" spans="1:11" ht="24.95" customHeight="1" x14ac:dyDescent="0.25">
      <c r="A9" s="669" t="s">
        <v>834</v>
      </c>
      <c r="B9" s="671" t="s">
        <v>835</v>
      </c>
      <c r="C9" s="671" t="s">
        <v>836</v>
      </c>
      <c r="D9" s="671"/>
      <c r="E9" s="673"/>
    </row>
    <row r="10" spans="1:11" ht="54.95" customHeight="1" thickBot="1" x14ac:dyDescent="0.3">
      <c r="A10" s="670"/>
      <c r="B10" s="672"/>
      <c r="C10" s="530" t="s">
        <v>837</v>
      </c>
      <c r="D10" s="530" t="s">
        <v>857</v>
      </c>
      <c r="E10" s="531" t="s">
        <v>858</v>
      </c>
    </row>
    <row r="11" spans="1:11" ht="26.1" customHeight="1" x14ac:dyDescent="0.25">
      <c r="A11" s="532"/>
      <c r="B11" s="533"/>
      <c r="C11" s="534"/>
      <c r="D11" s="534"/>
      <c r="E11" s="535"/>
      <c r="I11" s="536">
        <f>IF(A11&lt;&gt;"",1,0)</f>
        <v>0</v>
      </c>
      <c r="J11" s="536">
        <f>IF(B11&lt;&gt;"",1,0)</f>
        <v>0</v>
      </c>
      <c r="K11" s="536" t="str">
        <f>IF(AND(SUM($C$11:$C$60)&gt;=1,SUM(I11:J11)=2),SUM(C11:E11),"")</f>
        <v/>
      </c>
    </row>
    <row r="12" spans="1:11" ht="26.1" customHeight="1" x14ac:dyDescent="0.25">
      <c r="A12" s="532"/>
      <c r="B12" s="533"/>
      <c r="C12" s="534"/>
      <c r="D12" s="534"/>
      <c r="E12" s="535"/>
      <c r="I12" s="536">
        <f t="shared" ref="I12:I60" si="0">IF(A12&lt;&gt;"",1,0)</f>
        <v>0</v>
      </c>
      <c r="J12" s="536">
        <f t="shared" ref="J12:J60" si="1">IF(B12&lt;&gt;"",1,0)</f>
        <v>0</v>
      </c>
      <c r="K12" s="536" t="str">
        <f t="shared" ref="K12:K60" si="2">IF(AND(SUM($C$11:$C$60)&gt;=1,SUM(I12:J12)=2),SUM(C12:E12),"")</f>
        <v/>
      </c>
    </row>
    <row r="13" spans="1:11" ht="26.1" customHeight="1" x14ac:dyDescent="0.25">
      <c r="A13" s="532"/>
      <c r="B13" s="533"/>
      <c r="C13" s="534"/>
      <c r="D13" s="534"/>
      <c r="E13" s="535"/>
      <c r="I13" s="536">
        <f t="shared" si="0"/>
        <v>0</v>
      </c>
      <c r="J13" s="536">
        <f t="shared" si="1"/>
        <v>0</v>
      </c>
      <c r="K13" s="536" t="str">
        <f t="shared" si="2"/>
        <v/>
      </c>
    </row>
    <row r="14" spans="1:11" ht="26.1" customHeight="1" x14ac:dyDescent="0.25">
      <c r="A14" s="532"/>
      <c r="B14" s="533"/>
      <c r="C14" s="534"/>
      <c r="D14" s="534"/>
      <c r="E14" s="535"/>
      <c r="I14" s="536">
        <f t="shared" si="0"/>
        <v>0</v>
      </c>
      <c r="J14" s="536">
        <f t="shared" si="1"/>
        <v>0</v>
      </c>
      <c r="K14" s="536" t="str">
        <f t="shared" si="2"/>
        <v/>
      </c>
    </row>
    <row r="15" spans="1:11" ht="26.1" customHeight="1" x14ac:dyDescent="0.25">
      <c r="A15" s="532"/>
      <c r="B15" s="533"/>
      <c r="C15" s="534"/>
      <c r="D15" s="534"/>
      <c r="E15" s="535"/>
      <c r="I15" s="536">
        <f t="shared" si="0"/>
        <v>0</v>
      </c>
      <c r="J15" s="536">
        <f t="shared" si="1"/>
        <v>0</v>
      </c>
      <c r="K15" s="536" t="str">
        <f t="shared" si="2"/>
        <v/>
      </c>
    </row>
    <row r="16" spans="1:11" ht="26.1" customHeight="1" x14ac:dyDescent="0.25">
      <c r="A16" s="532"/>
      <c r="B16" s="533"/>
      <c r="C16" s="534"/>
      <c r="D16" s="534"/>
      <c r="E16" s="535"/>
      <c r="I16" s="536">
        <f t="shared" si="0"/>
        <v>0</v>
      </c>
      <c r="J16" s="536">
        <f t="shared" si="1"/>
        <v>0</v>
      </c>
      <c r="K16" s="536" t="str">
        <f t="shared" si="2"/>
        <v/>
      </c>
    </row>
    <row r="17" spans="1:11" ht="26.1" customHeight="1" x14ac:dyDescent="0.25">
      <c r="A17" s="532"/>
      <c r="B17" s="533"/>
      <c r="C17" s="534"/>
      <c r="D17" s="534"/>
      <c r="E17" s="535"/>
      <c r="I17" s="536">
        <f t="shared" si="0"/>
        <v>0</v>
      </c>
      <c r="J17" s="536">
        <f t="shared" si="1"/>
        <v>0</v>
      </c>
      <c r="K17" s="536" t="str">
        <f t="shared" si="2"/>
        <v/>
      </c>
    </row>
    <row r="18" spans="1:11" ht="26.1" customHeight="1" x14ac:dyDescent="0.25">
      <c r="A18" s="532"/>
      <c r="B18" s="533"/>
      <c r="C18" s="534"/>
      <c r="D18" s="534"/>
      <c r="E18" s="535"/>
      <c r="I18" s="536">
        <f t="shared" si="0"/>
        <v>0</v>
      </c>
      <c r="J18" s="536">
        <f t="shared" si="1"/>
        <v>0</v>
      </c>
      <c r="K18" s="536" t="str">
        <f t="shared" si="2"/>
        <v/>
      </c>
    </row>
    <row r="19" spans="1:11" ht="26.1" customHeight="1" x14ac:dyDescent="0.25">
      <c r="A19" s="532"/>
      <c r="B19" s="533"/>
      <c r="C19" s="534"/>
      <c r="D19" s="534"/>
      <c r="E19" s="535"/>
      <c r="I19" s="536">
        <f t="shared" si="0"/>
        <v>0</v>
      </c>
      <c r="J19" s="536">
        <f t="shared" si="1"/>
        <v>0</v>
      </c>
      <c r="K19" s="536" t="str">
        <f t="shared" si="2"/>
        <v/>
      </c>
    </row>
    <row r="20" spans="1:11" ht="26.1" customHeight="1" x14ac:dyDescent="0.25">
      <c r="A20" s="532"/>
      <c r="B20" s="533"/>
      <c r="C20" s="534"/>
      <c r="D20" s="534"/>
      <c r="E20" s="535"/>
      <c r="I20" s="536">
        <f t="shared" si="0"/>
        <v>0</v>
      </c>
      <c r="J20" s="536">
        <f t="shared" si="1"/>
        <v>0</v>
      </c>
      <c r="K20" s="536" t="str">
        <f t="shared" si="2"/>
        <v/>
      </c>
    </row>
    <row r="21" spans="1:11" ht="26.1" customHeight="1" x14ac:dyDescent="0.25">
      <c r="A21" s="532"/>
      <c r="B21" s="533"/>
      <c r="C21" s="534"/>
      <c r="D21" s="534"/>
      <c r="E21" s="535"/>
      <c r="I21" s="536">
        <f t="shared" si="0"/>
        <v>0</v>
      </c>
      <c r="J21" s="536">
        <f t="shared" si="1"/>
        <v>0</v>
      </c>
      <c r="K21" s="536" t="str">
        <f t="shared" si="2"/>
        <v/>
      </c>
    </row>
    <row r="22" spans="1:11" ht="26.1" customHeight="1" x14ac:dyDescent="0.25">
      <c r="A22" s="532"/>
      <c r="B22" s="533"/>
      <c r="C22" s="534"/>
      <c r="D22" s="534"/>
      <c r="E22" s="535"/>
      <c r="I22" s="536">
        <f t="shared" si="0"/>
        <v>0</v>
      </c>
      <c r="J22" s="536">
        <f t="shared" si="1"/>
        <v>0</v>
      </c>
      <c r="K22" s="536" t="str">
        <f t="shared" si="2"/>
        <v/>
      </c>
    </row>
    <row r="23" spans="1:11" ht="26.1" customHeight="1" x14ac:dyDescent="0.25">
      <c r="A23" s="532"/>
      <c r="B23" s="533"/>
      <c r="C23" s="534"/>
      <c r="D23" s="534"/>
      <c r="E23" s="535"/>
      <c r="I23" s="536">
        <f t="shared" si="0"/>
        <v>0</v>
      </c>
      <c r="J23" s="536">
        <f t="shared" si="1"/>
        <v>0</v>
      </c>
      <c r="K23" s="536" t="str">
        <f t="shared" si="2"/>
        <v/>
      </c>
    </row>
    <row r="24" spans="1:11" ht="26.1" customHeight="1" x14ac:dyDescent="0.25">
      <c r="A24" s="532"/>
      <c r="B24" s="533"/>
      <c r="C24" s="534"/>
      <c r="D24" s="534"/>
      <c r="E24" s="535"/>
      <c r="I24" s="536">
        <f t="shared" si="0"/>
        <v>0</v>
      </c>
      <c r="J24" s="536">
        <f t="shared" si="1"/>
        <v>0</v>
      </c>
      <c r="K24" s="536" t="str">
        <f t="shared" si="2"/>
        <v/>
      </c>
    </row>
    <row r="25" spans="1:11" ht="26.1" customHeight="1" x14ac:dyDescent="0.25">
      <c r="A25" s="532"/>
      <c r="B25" s="533"/>
      <c r="C25" s="534"/>
      <c r="D25" s="534"/>
      <c r="E25" s="535"/>
      <c r="I25" s="536">
        <f t="shared" si="0"/>
        <v>0</v>
      </c>
      <c r="J25" s="536">
        <f t="shared" si="1"/>
        <v>0</v>
      </c>
      <c r="K25" s="536" t="str">
        <f t="shared" si="2"/>
        <v/>
      </c>
    </row>
    <row r="26" spans="1:11" ht="26.1" customHeight="1" x14ac:dyDescent="0.25">
      <c r="A26" s="532"/>
      <c r="B26" s="533"/>
      <c r="C26" s="534"/>
      <c r="D26" s="534"/>
      <c r="E26" s="535"/>
      <c r="I26" s="536">
        <f t="shared" si="0"/>
        <v>0</v>
      </c>
      <c r="J26" s="536">
        <f t="shared" si="1"/>
        <v>0</v>
      </c>
      <c r="K26" s="536" t="str">
        <f t="shared" si="2"/>
        <v/>
      </c>
    </row>
    <row r="27" spans="1:11" ht="26.1" customHeight="1" x14ac:dyDescent="0.25">
      <c r="A27" s="532"/>
      <c r="B27" s="533"/>
      <c r="C27" s="534"/>
      <c r="D27" s="534"/>
      <c r="E27" s="535"/>
      <c r="I27" s="536">
        <f t="shared" si="0"/>
        <v>0</v>
      </c>
      <c r="J27" s="536">
        <f t="shared" si="1"/>
        <v>0</v>
      </c>
      <c r="K27" s="536" t="str">
        <f t="shared" si="2"/>
        <v/>
      </c>
    </row>
    <row r="28" spans="1:11" ht="26.1" customHeight="1" x14ac:dyDescent="0.25">
      <c r="A28" s="532"/>
      <c r="B28" s="533"/>
      <c r="C28" s="534"/>
      <c r="D28" s="534"/>
      <c r="E28" s="535"/>
      <c r="I28" s="536">
        <f t="shared" si="0"/>
        <v>0</v>
      </c>
      <c r="J28" s="536">
        <f t="shared" si="1"/>
        <v>0</v>
      </c>
      <c r="K28" s="536" t="str">
        <f t="shared" si="2"/>
        <v/>
      </c>
    </row>
    <row r="29" spans="1:11" ht="26.1" customHeight="1" x14ac:dyDescent="0.25">
      <c r="A29" s="532"/>
      <c r="B29" s="533"/>
      <c r="C29" s="534"/>
      <c r="D29" s="534"/>
      <c r="E29" s="535"/>
      <c r="I29" s="536">
        <f t="shared" si="0"/>
        <v>0</v>
      </c>
      <c r="J29" s="536">
        <f t="shared" si="1"/>
        <v>0</v>
      </c>
      <c r="K29" s="536" t="str">
        <f t="shared" si="2"/>
        <v/>
      </c>
    </row>
    <row r="30" spans="1:11" ht="26.1" customHeight="1" x14ac:dyDescent="0.25">
      <c r="A30" s="532"/>
      <c r="B30" s="533"/>
      <c r="C30" s="534"/>
      <c r="D30" s="534"/>
      <c r="E30" s="535"/>
      <c r="I30" s="536">
        <f t="shared" si="0"/>
        <v>0</v>
      </c>
      <c r="J30" s="536">
        <f t="shared" si="1"/>
        <v>0</v>
      </c>
      <c r="K30" s="536" t="str">
        <f t="shared" si="2"/>
        <v/>
      </c>
    </row>
    <row r="31" spans="1:11" ht="26.1" customHeight="1" x14ac:dyDescent="0.25">
      <c r="A31" s="532"/>
      <c r="B31" s="533"/>
      <c r="C31" s="534"/>
      <c r="D31" s="534"/>
      <c r="E31" s="535"/>
      <c r="I31" s="536">
        <f t="shared" si="0"/>
        <v>0</v>
      </c>
      <c r="J31" s="536">
        <f t="shared" si="1"/>
        <v>0</v>
      </c>
      <c r="K31" s="536" t="str">
        <f t="shared" si="2"/>
        <v/>
      </c>
    </row>
    <row r="32" spans="1:11" ht="26.1" customHeight="1" x14ac:dyDescent="0.25">
      <c r="A32" s="532"/>
      <c r="B32" s="533"/>
      <c r="C32" s="534"/>
      <c r="D32" s="534"/>
      <c r="E32" s="535"/>
      <c r="I32" s="536">
        <f t="shared" si="0"/>
        <v>0</v>
      </c>
      <c r="J32" s="536">
        <f t="shared" si="1"/>
        <v>0</v>
      </c>
      <c r="K32" s="536" t="str">
        <f t="shared" si="2"/>
        <v/>
      </c>
    </row>
    <row r="33" spans="1:11" ht="26.1" customHeight="1" x14ac:dyDescent="0.25">
      <c r="A33" s="532"/>
      <c r="B33" s="533"/>
      <c r="C33" s="534"/>
      <c r="D33" s="534"/>
      <c r="E33" s="535"/>
      <c r="I33" s="536">
        <f t="shared" si="0"/>
        <v>0</v>
      </c>
      <c r="J33" s="536">
        <f t="shared" si="1"/>
        <v>0</v>
      </c>
      <c r="K33" s="536" t="str">
        <f t="shared" si="2"/>
        <v/>
      </c>
    </row>
    <row r="34" spans="1:11" ht="26.1" customHeight="1" x14ac:dyDescent="0.25">
      <c r="A34" s="532"/>
      <c r="B34" s="533"/>
      <c r="C34" s="534"/>
      <c r="D34" s="534"/>
      <c r="E34" s="535"/>
      <c r="I34" s="536">
        <f t="shared" si="0"/>
        <v>0</v>
      </c>
      <c r="J34" s="536">
        <f t="shared" si="1"/>
        <v>0</v>
      </c>
      <c r="K34" s="536" t="str">
        <f t="shared" si="2"/>
        <v/>
      </c>
    </row>
    <row r="35" spans="1:11" ht="26.1" customHeight="1" x14ac:dyDescent="0.25">
      <c r="A35" s="532"/>
      <c r="B35" s="533"/>
      <c r="C35" s="534"/>
      <c r="D35" s="534"/>
      <c r="E35" s="535"/>
      <c r="I35" s="536">
        <f t="shared" si="0"/>
        <v>0</v>
      </c>
      <c r="J35" s="536">
        <f t="shared" si="1"/>
        <v>0</v>
      </c>
      <c r="K35" s="536" t="str">
        <f t="shared" si="2"/>
        <v/>
      </c>
    </row>
    <row r="36" spans="1:11" ht="26.1" customHeight="1" x14ac:dyDescent="0.25">
      <c r="A36" s="532"/>
      <c r="B36" s="533"/>
      <c r="C36" s="534"/>
      <c r="D36" s="534"/>
      <c r="E36" s="535"/>
      <c r="I36" s="536">
        <f t="shared" si="0"/>
        <v>0</v>
      </c>
      <c r="J36" s="536">
        <f t="shared" si="1"/>
        <v>0</v>
      </c>
      <c r="K36" s="536" t="str">
        <f t="shared" si="2"/>
        <v/>
      </c>
    </row>
    <row r="37" spans="1:11" ht="26.1" customHeight="1" x14ac:dyDescent="0.25">
      <c r="A37" s="532"/>
      <c r="B37" s="533"/>
      <c r="C37" s="534"/>
      <c r="D37" s="534"/>
      <c r="E37" s="535"/>
      <c r="I37" s="536">
        <f t="shared" si="0"/>
        <v>0</v>
      </c>
      <c r="J37" s="536">
        <f t="shared" si="1"/>
        <v>0</v>
      </c>
      <c r="K37" s="536" t="str">
        <f t="shared" si="2"/>
        <v/>
      </c>
    </row>
    <row r="38" spans="1:11" ht="26.1" customHeight="1" x14ac:dyDescent="0.25">
      <c r="A38" s="532"/>
      <c r="B38" s="533"/>
      <c r="C38" s="534"/>
      <c r="D38" s="534"/>
      <c r="E38" s="535"/>
      <c r="I38" s="536">
        <f t="shared" si="0"/>
        <v>0</v>
      </c>
      <c r="J38" s="536">
        <f t="shared" si="1"/>
        <v>0</v>
      </c>
      <c r="K38" s="536" t="str">
        <f t="shared" si="2"/>
        <v/>
      </c>
    </row>
    <row r="39" spans="1:11" ht="26.1" customHeight="1" x14ac:dyDescent="0.25">
      <c r="A39" s="532"/>
      <c r="B39" s="533"/>
      <c r="C39" s="534"/>
      <c r="D39" s="534"/>
      <c r="E39" s="535"/>
      <c r="I39" s="536">
        <f t="shared" si="0"/>
        <v>0</v>
      </c>
      <c r="J39" s="536">
        <f t="shared" si="1"/>
        <v>0</v>
      </c>
      <c r="K39" s="536" t="str">
        <f t="shared" si="2"/>
        <v/>
      </c>
    </row>
    <row r="40" spans="1:11" ht="26.1" customHeight="1" x14ac:dyDescent="0.25">
      <c r="A40" s="532"/>
      <c r="B40" s="533"/>
      <c r="C40" s="534"/>
      <c r="D40" s="534"/>
      <c r="E40" s="535"/>
      <c r="I40" s="536">
        <f t="shared" si="0"/>
        <v>0</v>
      </c>
      <c r="J40" s="536">
        <f t="shared" si="1"/>
        <v>0</v>
      </c>
      <c r="K40" s="536" t="str">
        <f t="shared" si="2"/>
        <v/>
      </c>
    </row>
    <row r="41" spans="1:11" ht="26.1" customHeight="1" x14ac:dyDescent="0.25">
      <c r="A41" s="532"/>
      <c r="B41" s="533"/>
      <c r="C41" s="534"/>
      <c r="D41" s="534"/>
      <c r="E41" s="535"/>
      <c r="I41" s="536">
        <f t="shared" si="0"/>
        <v>0</v>
      </c>
      <c r="J41" s="536">
        <f t="shared" si="1"/>
        <v>0</v>
      </c>
      <c r="K41" s="536" t="str">
        <f t="shared" si="2"/>
        <v/>
      </c>
    </row>
    <row r="42" spans="1:11" ht="26.1" customHeight="1" x14ac:dyDescent="0.25">
      <c r="A42" s="532"/>
      <c r="B42" s="533"/>
      <c r="C42" s="534"/>
      <c r="D42" s="534"/>
      <c r="E42" s="535"/>
      <c r="I42" s="536">
        <f t="shared" si="0"/>
        <v>0</v>
      </c>
      <c r="J42" s="536">
        <f t="shared" si="1"/>
        <v>0</v>
      </c>
      <c r="K42" s="536" t="str">
        <f t="shared" si="2"/>
        <v/>
      </c>
    </row>
    <row r="43" spans="1:11" ht="26.1" customHeight="1" x14ac:dyDescent="0.25">
      <c r="A43" s="532"/>
      <c r="B43" s="533"/>
      <c r="C43" s="534"/>
      <c r="D43" s="534"/>
      <c r="E43" s="535"/>
      <c r="I43" s="536">
        <f t="shared" si="0"/>
        <v>0</v>
      </c>
      <c r="J43" s="536">
        <f t="shared" si="1"/>
        <v>0</v>
      </c>
      <c r="K43" s="536" t="str">
        <f t="shared" si="2"/>
        <v/>
      </c>
    </row>
    <row r="44" spans="1:11" ht="26.1" customHeight="1" x14ac:dyDescent="0.25">
      <c r="A44" s="532"/>
      <c r="B44" s="533"/>
      <c r="C44" s="534"/>
      <c r="D44" s="534"/>
      <c r="E44" s="535"/>
      <c r="I44" s="536">
        <f t="shared" si="0"/>
        <v>0</v>
      </c>
      <c r="J44" s="536">
        <f t="shared" si="1"/>
        <v>0</v>
      </c>
      <c r="K44" s="536" t="str">
        <f t="shared" si="2"/>
        <v/>
      </c>
    </row>
    <row r="45" spans="1:11" ht="26.1" customHeight="1" x14ac:dyDescent="0.25">
      <c r="A45" s="532"/>
      <c r="B45" s="533"/>
      <c r="C45" s="534"/>
      <c r="D45" s="534"/>
      <c r="E45" s="535"/>
      <c r="I45" s="536">
        <f t="shared" si="0"/>
        <v>0</v>
      </c>
      <c r="J45" s="536">
        <f t="shared" si="1"/>
        <v>0</v>
      </c>
      <c r="K45" s="536" t="str">
        <f t="shared" si="2"/>
        <v/>
      </c>
    </row>
    <row r="46" spans="1:11" ht="26.1" customHeight="1" x14ac:dyDescent="0.25">
      <c r="A46" s="532"/>
      <c r="B46" s="533"/>
      <c r="C46" s="534"/>
      <c r="D46" s="534"/>
      <c r="E46" s="535"/>
      <c r="I46" s="536">
        <f t="shared" si="0"/>
        <v>0</v>
      </c>
      <c r="J46" s="536">
        <f t="shared" si="1"/>
        <v>0</v>
      </c>
      <c r="K46" s="536" t="str">
        <f t="shared" si="2"/>
        <v/>
      </c>
    </row>
    <row r="47" spans="1:11" ht="26.1" customHeight="1" x14ac:dyDescent="0.25">
      <c r="A47" s="532"/>
      <c r="B47" s="533"/>
      <c r="C47" s="534"/>
      <c r="D47" s="534"/>
      <c r="E47" s="535"/>
      <c r="I47" s="536">
        <f t="shared" si="0"/>
        <v>0</v>
      </c>
      <c r="J47" s="536">
        <f t="shared" si="1"/>
        <v>0</v>
      </c>
      <c r="K47" s="536" t="str">
        <f t="shared" si="2"/>
        <v/>
      </c>
    </row>
    <row r="48" spans="1:11" ht="26.1" customHeight="1" x14ac:dyDescent="0.25">
      <c r="A48" s="532"/>
      <c r="B48" s="533"/>
      <c r="C48" s="534"/>
      <c r="D48" s="534"/>
      <c r="E48" s="535"/>
      <c r="I48" s="536">
        <f t="shared" si="0"/>
        <v>0</v>
      </c>
      <c r="J48" s="536">
        <f t="shared" si="1"/>
        <v>0</v>
      </c>
      <c r="K48" s="536" t="str">
        <f t="shared" si="2"/>
        <v/>
      </c>
    </row>
    <row r="49" spans="1:11" ht="26.1" customHeight="1" x14ac:dyDescent="0.25">
      <c r="A49" s="532"/>
      <c r="B49" s="533"/>
      <c r="C49" s="534"/>
      <c r="D49" s="534"/>
      <c r="E49" s="535"/>
      <c r="I49" s="536">
        <f t="shared" si="0"/>
        <v>0</v>
      </c>
      <c r="J49" s="536">
        <f t="shared" si="1"/>
        <v>0</v>
      </c>
      <c r="K49" s="536" t="str">
        <f t="shared" si="2"/>
        <v/>
      </c>
    </row>
    <row r="50" spans="1:11" ht="26.1" customHeight="1" x14ac:dyDescent="0.25">
      <c r="A50" s="532"/>
      <c r="B50" s="533"/>
      <c r="C50" s="534"/>
      <c r="D50" s="534"/>
      <c r="E50" s="535"/>
      <c r="I50" s="536">
        <f t="shared" si="0"/>
        <v>0</v>
      </c>
      <c r="J50" s="536">
        <f t="shared" si="1"/>
        <v>0</v>
      </c>
      <c r="K50" s="536" t="str">
        <f t="shared" si="2"/>
        <v/>
      </c>
    </row>
    <row r="51" spans="1:11" ht="26.1" customHeight="1" x14ac:dyDescent="0.25">
      <c r="A51" s="532"/>
      <c r="B51" s="533"/>
      <c r="C51" s="534"/>
      <c r="D51" s="534"/>
      <c r="E51" s="535"/>
      <c r="I51" s="536">
        <f t="shared" si="0"/>
        <v>0</v>
      </c>
      <c r="J51" s="536">
        <f t="shared" si="1"/>
        <v>0</v>
      </c>
      <c r="K51" s="536" t="str">
        <f t="shared" si="2"/>
        <v/>
      </c>
    </row>
    <row r="52" spans="1:11" ht="26.1" customHeight="1" x14ac:dyDescent="0.25">
      <c r="A52" s="532"/>
      <c r="B52" s="533"/>
      <c r="C52" s="534"/>
      <c r="D52" s="534"/>
      <c r="E52" s="535"/>
      <c r="I52" s="536">
        <f t="shared" si="0"/>
        <v>0</v>
      </c>
      <c r="J52" s="536">
        <f t="shared" si="1"/>
        <v>0</v>
      </c>
      <c r="K52" s="536" t="str">
        <f t="shared" si="2"/>
        <v/>
      </c>
    </row>
    <row r="53" spans="1:11" ht="26.1" customHeight="1" x14ac:dyDescent="0.25">
      <c r="A53" s="532"/>
      <c r="B53" s="533"/>
      <c r="C53" s="534"/>
      <c r="D53" s="534"/>
      <c r="E53" s="535"/>
      <c r="I53" s="536">
        <f t="shared" si="0"/>
        <v>0</v>
      </c>
      <c r="J53" s="536">
        <f t="shared" si="1"/>
        <v>0</v>
      </c>
      <c r="K53" s="536" t="str">
        <f t="shared" si="2"/>
        <v/>
      </c>
    </row>
    <row r="54" spans="1:11" ht="26.1" customHeight="1" x14ac:dyDescent="0.25">
      <c r="A54" s="532"/>
      <c r="B54" s="533"/>
      <c r="C54" s="534"/>
      <c r="D54" s="534"/>
      <c r="E54" s="535"/>
      <c r="I54" s="536">
        <f t="shared" si="0"/>
        <v>0</v>
      </c>
      <c r="J54" s="536">
        <f t="shared" si="1"/>
        <v>0</v>
      </c>
      <c r="K54" s="536" t="str">
        <f t="shared" si="2"/>
        <v/>
      </c>
    </row>
    <row r="55" spans="1:11" ht="26.1" customHeight="1" x14ac:dyDescent="0.25">
      <c r="A55" s="532"/>
      <c r="B55" s="533"/>
      <c r="C55" s="534"/>
      <c r="D55" s="534"/>
      <c r="E55" s="535"/>
      <c r="I55" s="536">
        <f t="shared" si="0"/>
        <v>0</v>
      </c>
      <c r="J55" s="536">
        <f t="shared" si="1"/>
        <v>0</v>
      </c>
      <c r="K55" s="536" t="str">
        <f t="shared" si="2"/>
        <v/>
      </c>
    </row>
    <row r="56" spans="1:11" ht="26.1" customHeight="1" x14ac:dyDescent="0.25">
      <c r="A56" s="532"/>
      <c r="B56" s="533"/>
      <c r="C56" s="534"/>
      <c r="D56" s="534"/>
      <c r="E56" s="535"/>
      <c r="I56" s="536">
        <f t="shared" si="0"/>
        <v>0</v>
      </c>
      <c r="J56" s="536">
        <f t="shared" si="1"/>
        <v>0</v>
      </c>
      <c r="K56" s="536" t="str">
        <f t="shared" si="2"/>
        <v/>
      </c>
    </row>
    <row r="57" spans="1:11" ht="26.1" customHeight="1" x14ac:dyDescent="0.25">
      <c r="A57" s="532"/>
      <c r="B57" s="533"/>
      <c r="C57" s="534"/>
      <c r="D57" s="534"/>
      <c r="E57" s="535"/>
      <c r="I57" s="536">
        <f t="shared" si="0"/>
        <v>0</v>
      </c>
      <c r="J57" s="536">
        <f t="shared" si="1"/>
        <v>0</v>
      </c>
      <c r="K57" s="536" t="str">
        <f t="shared" si="2"/>
        <v/>
      </c>
    </row>
    <row r="58" spans="1:11" ht="26.1" customHeight="1" x14ac:dyDescent="0.25">
      <c r="A58" s="532"/>
      <c r="B58" s="533"/>
      <c r="C58" s="534"/>
      <c r="D58" s="534"/>
      <c r="E58" s="535"/>
      <c r="I58" s="536">
        <f t="shared" si="0"/>
        <v>0</v>
      </c>
      <c r="J58" s="536">
        <f t="shared" si="1"/>
        <v>0</v>
      </c>
      <c r="K58" s="536" t="str">
        <f t="shared" si="2"/>
        <v/>
      </c>
    </row>
    <row r="59" spans="1:11" ht="26.1" customHeight="1" x14ac:dyDescent="0.25">
      <c r="A59" s="532"/>
      <c r="B59" s="533"/>
      <c r="C59" s="534"/>
      <c r="D59" s="534"/>
      <c r="E59" s="535"/>
      <c r="I59" s="536">
        <f t="shared" si="0"/>
        <v>0</v>
      </c>
      <c r="J59" s="536">
        <f t="shared" si="1"/>
        <v>0</v>
      </c>
      <c r="K59" s="536" t="str">
        <f t="shared" si="2"/>
        <v/>
      </c>
    </row>
    <row r="60" spans="1:11" ht="26.1" customHeight="1" thickBot="1" x14ac:dyDescent="0.3">
      <c r="A60" s="537"/>
      <c r="B60" s="538"/>
      <c r="C60" s="539"/>
      <c r="D60" s="539"/>
      <c r="E60" s="540"/>
      <c r="I60" s="536">
        <f t="shared" si="0"/>
        <v>0</v>
      </c>
      <c r="J60" s="536">
        <f t="shared" si="1"/>
        <v>0</v>
      </c>
      <c r="K60" s="536" t="str">
        <f t="shared" si="2"/>
        <v/>
      </c>
    </row>
  </sheetData>
  <sheetProtection algorithmName="SHA-512" hashValue="RNZK0CwZa25QXbvEMp7FeNwY7w1Wc5jplYT8/DxKP5j+MNM9QQ8ntEaEmw9LQQArhVjlMpeUD6CreR83luQrwg==" saltValue="W9sySy1wNU69o6ToIt+ucg==" spinCount="100000" sheet="1" objects="1" scenarios="1" selectLockedCells="1"/>
  <mergeCells count="4">
    <mergeCell ref="A7:E7"/>
    <mergeCell ref="A9:A10"/>
    <mergeCell ref="B9:B10"/>
    <mergeCell ref="C9:E9"/>
  </mergeCells>
  <phoneticPr fontId="131" type="noConversion"/>
  <conditionalFormatting sqref="A11:E60">
    <cfRule type="expression" dxfId="137" priority="2" stopIfTrue="1">
      <formula>LEN(TRIM(A11))=0</formula>
    </cfRule>
  </conditionalFormatting>
  <conditionalFormatting sqref="B11:B60">
    <cfRule type="duplicateValues" dxfId="136" priority="1"/>
  </conditionalFormatting>
  <dataValidations count="2">
    <dataValidation type="textLength" allowBlank="1" showInputMessage="1" showErrorMessage="1" errorTitle="Character length" error="Only text input up to 200 characters possible." sqref="A11:B60" xr:uid="{55E1C966-F315-46FD-B05C-7D8DF0BC9EC2}">
      <formula1>2</formula1>
      <formula2>200</formula2>
    </dataValidation>
    <dataValidation type="whole" allowBlank="1" showInputMessage="1" showErrorMessage="1" errorTitle="Input data error" error="Whole number between 0 and 5000." sqref="C11:E60" xr:uid="{E1A72746-28A4-4214-9408-512EAE8F4EDA}">
      <formula1>0</formula1>
      <formula2>5000</formula2>
    </dataValidation>
  </dataValidations>
  <pageMargins left="0.70866141732283472" right="0.70866141732283472" top="0.74803149606299213" bottom="0.74803149606299213" header="0.31496062992125984" footer="0.31496062992125984"/>
  <pageSetup scale="56" orientation="portrait" r:id="rId1"/>
  <headerFooter>
    <oddFooter>&amp;L&amp;F&amp;R&amp;P</oddFooter>
  </headerFooter>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1F07C-3F59-474C-B171-50F88A5A1C2A}">
  <dimension ref="A1:M51"/>
  <sheetViews>
    <sheetView workbookViewId="0"/>
  </sheetViews>
  <sheetFormatPr defaultColWidth="9.140625" defaultRowHeight="15" x14ac:dyDescent="0.25"/>
  <cols>
    <col min="1" max="1" width="36.7109375" bestFit="1" customWidth="1"/>
    <col min="2" max="2" width="16.42578125" bestFit="1" customWidth="1"/>
    <col min="3" max="3" width="47.5703125" bestFit="1" customWidth="1"/>
    <col min="4" max="4" width="34.85546875" customWidth="1"/>
    <col min="5" max="5" width="25.5703125" customWidth="1"/>
    <col min="6" max="13" width="9.140625" style="526"/>
  </cols>
  <sheetData>
    <row r="1" spans="1:13" s="544" customFormat="1" ht="52.5" customHeight="1" x14ac:dyDescent="0.25">
      <c r="A1" s="541" t="s">
        <v>838</v>
      </c>
      <c r="B1" s="541" t="s">
        <v>828</v>
      </c>
      <c r="C1" s="542" t="s">
        <v>829</v>
      </c>
      <c r="D1" s="542" t="s">
        <v>830</v>
      </c>
      <c r="E1" s="542" t="s">
        <v>831</v>
      </c>
      <c r="F1" s="543" t="s">
        <v>839</v>
      </c>
      <c r="G1" s="543" t="s">
        <v>840</v>
      </c>
      <c r="H1" s="543" t="s">
        <v>841</v>
      </c>
      <c r="I1" s="543" t="s">
        <v>842</v>
      </c>
      <c r="J1" s="543" t="s">
        <v>843</v>
      </c>
      <c r="K1" s="543" t="s">
        <v>844</v>
      </c>
      <c r="L1" s="543" t="s">
        <v>845</v>
      </c>
      <c r="M1" s="543" t="s">
        <v>846</v>
      </c>
    </row>
    <row r="2" spans="1:13" x14ac:dyDescent="0.25">
      <c r="A2" s="545" t="str">
        <f>IF(AND(SUM(Studies!I11:J11)=2,Studies!K11&lt;&gt;0),Studies!A11,"")</f>
        <v/>
      </c>
      <c r="B2" s="545" t="str">
        <f>IF(AND(SUM(Studies!I11:J11)=2,Studies!K11&lt;&gt;0),Studies!B11,"")</f>
        <v/>
      </c>
      <c r="C2" s="545" t="str">
        <f>IF(AND(SUM(Studies!I11:J11)=2,Studies!K11&lt;&gt;0),Studies!C11,"")</f>
        <v/>
      </c>
      <c r="D2" s="545" t="str">
        <f>IF(AND(SUM(Studies!I11:J11)=2,Studies!K11&lt;&gt;0),Studies!D11,"")</f>
        <v/>
      </c>
      <c r="E2" s="545" t="str">
        <f>IF(AND(SUM(Studies!I11:J11)=2,Studies!K11&lt;&gt;0),Studies!E11,"")</f>
        <v/>
      </c>
      <c r="F2" s="546"/>
      <c r="G2" s="546"/>
      <c r="H2" s="546"/>
      <c r="I2" s="546"/>
      <c r="J2" s="546"/>
      <c r="K2" s="546"/>
      <c r="L2" s="546"/>
      <c r="M2" s="546"/>
    </row>
    <row r="3" spans="1:13" x14ac:dyDescent="0.25">
      <c r="A3" s="545" t="str">
        <f>IF(AND(SUM(Studies!I12:J12)=2,Studies!K12&lt;&gt;0),Studies!A12,"")</f>
        <v/>
      </c>
      <c r="B3" s="545" t="str">
        <f>IF(AND(SUM(Studies!I12:J12)=2,Studies!K12&lt;&gt;0),Studies!B12,"")</f>
        <v/>
      </c>
      <c r="C3" s="545" t="str">
        <f>IF(AND(SUM(Studies!I12:J12)=2,Studies!K12&lt;&gt;0),Studies!C12,"")</f>
        <v/>
      </c>
      <c r="D3" s="545" t="str">
        <f>IF(AND(SUM(Studies!I12:J12)=2,Studies!K12&lt;&gt;0),Studies!D12,"")</f>
        <v/>
      </c>
      <c r="E3" s="545" t="str">
        <f>IF(AND(SUM(Studies!I12:J12)=2,Studies!K12&lt;&gt;0),Studies!E12,"")</f>
        <v/>
      </c>
      <c r="F3" s="546"/>
      <c r="G3" s="546"/>
      <c r="H3" s="546"/>
      <c r="I3" s="546"/>
      <c r="J3" s="546"/>
      <c r="K3" s="546"/>
      <c r="L3" s="546"/>
      <c r="M3" s="546"/>
    </row>
    <row r="4" spans="1:13" x14ac:dyDescent="0.25">
      <c r="A4" s="545" t="str">
        <f>IF(AND(SUM(Studies!I13:J13)=2,Studies!K13&lt;&gt;0),Studies!A13,"")</f>
        <v/>
      </c>
      <c r="B4" s="545" t="str">
        <f>IF(AND(SUM(Studies!I13:J13)=2,Studies!K13&lt;&gt;0),Studies!B13,"")</f>
        <v/>
      </c>
      <c r="C4" s="545" t="str">
        <f>IF(AND(SUM(Studies!I13:J13)=2,Studies!K13&lt;&gt;0),Studies!C13,"")</f>
        <v/>
      </c>
      <c r="D4" s="545" t="str">
        <f>IF(AND(SUM(Studies!I13:J13)=2,Studies!K13&lt;&gt;0),Studies!D13,"")</f>
        <v/>
      </c>
      <c r="E4" s="545" t="str">
        <f>IF(AND(SUM(Studies!I13:J13)=2,Studies!K13&lt;&gt;0),Studies!E13,"")</f>
        <v/>
      </c>
      <c r="F4" s="546"/>
      <c r="G4" s="546"/>
      <c r="H4" s="546"/>
      <c r="I4" s="546"/>
      <c r="J4" s="546"/>
      <c r="K4" s="546"/>
      <c r="L4" s="546"/>
      <c r="M4" s="546"/>
    </row>
    <row r="5" spans="1:13" x14ac:dyDescent="0.25">
      <c r="A5" s="545" t="str">
        <f>IF(AND(SUM(Studies!I14:J14)=2,Studies!K14&lt;&gt;0),Studies!A14,"")</f>
        <v/>
      </c>
      <c r="B5" s="545" t="str">
        <f>IF(AND(SUM(Studies!I14:J14)=2,Studies!K14&lt;&gt;0),Studies!B14,"")</f>
        <v/>
      </c>
      <c r="C5" s="545" t="str">
        <f>IF(AND(SUM(Studies!I14:J14)=2,Studies!K14&lt;&gt;0),Studies!C14,"")</f>
        <v/>
      </c>
      <c r="D5" s="545" t="str">
        <f>IF(AND(SUM(Studies!I14:J14)=2,Studies!K14&lt;&gt;0),Studies!D14,"")</f>
        <v/>
      </c>
      <c r="E5" s="545" t="str">
        <f>IF(AND(SUM(Studies!I14:J14)=2,Studies!K14&lt;&gt;0),Studies!E14,"")</f>
        <v/>
      </c>
      <c r="F5" s="546"/>
      <c r="G5" s="546"/>
      <c r="H5" s="546"/>
      <c r="I5" s="546"/>
      <c r="J5" s="546"/>
      <c r="K5" s="546"/>
      <c r="L5" s="546"/>
      <c r="M5" s="546"/>
    </row>
    <row r="6" spans="1:13" x14ac:dyDescent="0.25">
      <c r="A6" s="545" t="str">
        <f>IF(AND(SUM(Studies!I15:J15)=2,Studies!K15&lt;&gt;0),Studies!A15,"")</f>
        <v/>
      </c>
      <c r="B6" s="545" t="str">
        <f>IF(AND(SUM(Studies!I15:J15)=2,Studies!K15&lt;&gt;0),Studies!B15,"")</f>
        <v/>
      </c>
      <c r="C6" s="545" t="str">
        <f>IF(AND(SUM(Studies!I15:J15)=2,Studies!K15&lt;&gt;0),Studies!C15,"")</f>
        <v/>
      </c>
      <c r="D6" s="545" t="str">
        <f>IF(AND(SUM(Studies!I15:J15)=2,Studies!K15&lt;&gt;0),Studies!D15,"")</f>
        <v/>
      </c>
      <c r="E6" s="545" t="str">
        <f>IF(AND(SUM(Studies!I15:J15)=2,Studies!K15&lt;&gt;0),Studies!E15,"")</f>
        <v/>
      </c>
      <c r="F6" s="546"/>
      <c r="G6" s="546"/>
      <c r="H6" s="546"/>
      <c r="I6" s="546"/>
      <c r="J6" s="546"/>
      <c r="K6" s="546"/>
      <c r="L6" s="546"/>
      <c r="M6" s="546"/>
    </row>
    <row r="7" spans="1:13" x14ac:dyDescent="0.25">
      <c r="A7" s="545" t="str">
        <f>IF(AND(SUM(Studies!I16:J16)=2,Studies!K16&lt;&gt;0),Studies!A16,"")</f>
        <v/>
      </c>
      <c r="B7" s="545" t="str">
        <f>IF(AND(SUM(Studies!I16:J16)=2,Studies!K16&lt;&gt;0),Studies!B16,"")</f>
        <v/>
      </c>
      <c r="C7" s="545" t="str">
        <f>IF(AND(SUM(Studies!I16:J16)=2,Studies!K16&lt;&gt;0),Studies!C16,"")</f>
        <v/>
      </c>
      <c r="D7" s="545" t="str">
        <f>IF(AND(SUM(Studies!I16:J16)=2,Studies!K16&lt;&gt;0),Studies!D16,"")</f>
        <v/>
      </c>
      <c r="E7" s="545" t="str">
        <f>IF(AND(SUM(Studies!I16:J16)=2,Studies!K16&lt;&gt;0),Studies!E16,"")</f>
        <v/>
      </c>
      <c r="F7" s="546"/>
      <c r="G7" s="546"/>
      <c r="H7" s="546"/>
      <c r="I7" s="546"/>
      <c r="J7" s="546"/>
      <c r="K7" s="546"/>
      <c r="L7" s="546"/>
      <c r="M7" s="546"/>
    </row>
    <row r="8" spans="1:13" x14ac:dyDescent="0.25">
      <c r="A8" s="545" t="str">
        <f>IF(AND(SUM(Studies!I17:J17)=2,Studies!K17&lt;&gt;0),Studies!A17,"")</f>
        <v/>
      </c>
      <c r="B8" s="545" t="str">
        <f>IF(AND(SUM(Studies!I17:J17)=2,Studies!K17&lt;&gt;0),Studies!B17,"")</f>
        <v/>
      </c>
      <c r="C8" s="545" t="str">
        <f>IF(AND(SUM(Studies!I17:J17)=2,Studies!K17&lt;&gt;0),Studies!C17,"")</f>
        <v/>
      </c>
      <c r="D8" s="545" t="str">
        <f>IF(AND(SUM(Studies!I17:J17)=2,Studies!K17&lt;&gt;0),Studies!D17,"")</f>
        <v/>
      </c>
      <c r="E8" s="545" t="str">
        <f>IF(AND(SUM(Studies!I17:J17)=2,Studies!K17&lt;&gt;0),Studies!E17,"")</f>
        <v/>
      </c>
      <c r="F8" s="546"/>
      <c r="G8" s="546"/>
      <c r="H8" s="546"/>
      <c r="I8" s="546"/>
      <c r="J8" s="546"/>
      <c r="K8" s="546"/>
      <c r="L8" s="546"/>
      <c r="M8" s="546"/>
    </row>
    <row r="9" spans="1:13" x14ac:dyDescent="0.25">
      <c r="A9" s="545" t="str">
        <f>IF(AND(SUM(Studies!I18:J18)=2,Studies!K18&lt;&gt;0),Studies!A18,"")</f>
        <v/>
      </c>
      <c r="B9" s="545" t="str">
        <f>IF(AND(SUM(Studies!I18:J18)=2,Studies!K18&lt;&gt;0),Studies!B18,"")</f>
        <v/>
      </c>
      <c r="C9" s="545" t="str">
        <f>IF(AND(SUM(Studies!I18:J18)=2,Studies!K18&lt;&gt;0),Studies!C18,"")</f>
        <v/>
      </c>
      <c r="D9" s="545" t="str">
        <f>IF(AND(SUM(Studies!I18:J18)=2,Studies!K18&lt;&gt;0),Studies!D18,"")</f>
        <v/>
      </c>
      <c r="E9" s="545" t="str">
        <f>IF(AND(SUM(Studies!I18:J18)=2,Studies!K18&lt;&gt;0),Studies!E18,"")</f>
        <v/>
      </c>
      <c r="F9" s="546"/>
      <c r="G9" s="546"/>
      <c r="H9" s="546"/>
      <c r="I9" s="546"/>
      <c r="J9" s="546"/>
      <c r="K9" s="546"/>
      <c r="L9" s="546"/>
      <c r="M9" s="546"/>
    </row>
    <row r="10" spans="1:13" x14ac:dyDescent="0.25">
      <c r="A10" s="545" t="str">
        <f>IF(AND(SUM(Studies!I19:J19)=2,Studies!K19&lt;&gt;0),Studies!A19,"")</f>
        <v/>
      </c>
      <c r="B10" s="545" t="str">
        <f>IF(AND(SUM(Studies!I19:J19)=2,Studies!K19&lt;&gt;0),Studies!B19,"")</f>
        <v/>
      </c>
      <c r="C10" s="545" t="str">
        <f>IF(AND(SUM(Studies!I19:J19)=2,Studies!K19&lt;&gt;0),Studies!C19,"")</f>
        <v/>
      </c>
      <c r="D10" s="545" t="str">
        <f>IF(AND(SUM(Studies!I19:J19)=2,Studies!K19&lt;&gt;0),Studies!D19,"")</f>
        <v/>
      </c>
      <c r="E10" s="545" t="str">
        <f>IF(AND(SUM(Studies!I19:J19)=2,Studies!K19&lt;&gt;0),Studies!E19,"")</f>
        <v/>
      </c>
      <c r="F10" s="546"/>
      <c r="G10" s="546"/>
      <c r="H10" s="546"/>
      <c r="I10" s="546"/>
      <c r="J10" s="546"/>
      <c r="K10" s="546"/>
      <c r="L10" s="546"/>
      <c r="M10" s="546"/>
    </row>
    <row r="11" spans="1:13" x14ac:dyDescent="0.25">
      <c r="A11" s="545" t="str">
        <f>IF(AND(SUM(Studies!I20:J20)=2,Studies!K20&lt;&gt;0),Studies!A20,"")</f>
        <v/>
      </c>
      <c r="B11" s="545" t="str">
        <f>IF(AND(SUM(Studies!I20:J20)=2,Studies!K20&lt;&gt;0),Studies!B20,"")</f>
        <v/>
      </c>
      <c r="C11" s="545" t="str">
        <f>IF(AND(SUM(Studies!I20:J20)=2,Studies!K20&lt;&gt;0),Studies!C20,"")</f>
        <v/>
      </c>
      <c r="D11" s="545" t="str">
        <f>IF(AND(SUM(Studies!I20:J20)=2,Studies!K20&lt;&gt;0),Studies!D20,"")</f>
        <v/>
      </c>
      <c r="E11" s="545" t="str">
        <f>IF(AND(SUM(Studies!I20:J20)=2,Studies!K20&lt;&gt;0),Studies!E20,"")</f>
        <v/>
      </c>
      <c r="F11" s="546"/>
      <c r="G11" s="546"/>
      <c r="H11" s="546"/>
      <c r="I11" s="546"/>
      <c r="J11" s="546"/>
      <c r="K11" s="546"/>
      <c r="L11" s="546"/>
      <c r="M11" s="546"/>
    </row>
    <row r="12" spans="1:13" x14ac:dyDescent="0.25">
      <c r="A12" s="545" t="str">
        <f>IF(AND(SUM(Studies!I21:J21)=2,Studies!K21&lt;&gt;0),Studies!A21,"")</f>
        <v/>
      </c>
      <c r="B12" s="545" t="str">
        <f>IF(AND(SUM(Studies!I21:J21)=2,Studies!K21&lt;&gt;0),Studies!B21,"")</f>
        <v/>
      </c>
      <c r="C12" s="545" t="str">
        <f>IF(AND(SUM(Studies!I21:J21)=2,Studies!K21&lt;&gt;0),Studies!C21,"")</f>
        <v/>
      </c>
      <c r="D12" s="545" t="str">
        <f>IF(AND(SUM(Studies!I21:J21)=2,Studies!K21&lt;&gt;0),Studies!D21,"")</f>
        <v/>
      </c>
      <c r="E12" s="545" t="str">
        <f>IF(AND(SUM(Studies!I21:J21)=2,Studies!K21&lt;&gt;0),Studies!E21,"")</f>
        <v/>
      </c>
      <c r="F12" s="546"/>
      <c r="G12" s="546"/>
      <c r="H12" s="546"/>
      <c r="I12" s="546"/>
      <c r="J12" s="546"/>
      <c r="K12" s="546"/>
      <c r="L12" s="546"/>
      <c r="M12" s="546"/>
    </row>
    <row r="13" spans="1:13" x14ac:dyDescent="0.25">
      <c r="A13" s="545" t="str">
        <f>IF(AND(SUM(Studies!I22:J22)=2,Studies!K22&lt;&gt;0),Studies!A22,"")</f>
        <v/>
      </c>
      <c r="B13" s="545" t="str">
        <f>IF(AND(SUM(Studies!I22:J22)=2,Studies!K22&lt;&gt;0),Studies!B22,"")</f>
        <v/>
      </c>
      <c r="C13" s="545" t="str">
        <f>IF(AND(SUM(Studies!I22:J22)=2,Studies!K22&lt;&gt;0),Studies!C22,"")</f>
        <v/>
      </c>
      <c r="D13" s="545" t="str">
        <f>IF(AND(SUM(Studies!I22:J22)=2,Studies!K22&lt;&gt;0),Studies!D22,"")</f>
        <v/>
      </c>
      <c r="E13" s="545" t="str">
        <f>IF(AND(SUM(Studies!I22:J22)=2,Studies!K22&lt;&gt;0),Studies!E22,"")</f>
        <v/>
      </c>
      <c r="F13" s="546"/>
      <c r="G13" s="546"/>
      <c r="H13" s="546"/>
      <c r="I13" s="546"/>
      <c r="J13" s="546"/>
      <c r="K13" s="546"/>
      <c r="L13" s="546"/>
      <c r="M13" s="546"/>
    </row>
    <row r="14" spans="1:13" x14ac:dyDescent="0.25">
      <c r="A14" s="545" t="str">
        <f>IF(AND(SUM(Studies!I23:J23)=2,Studies!K23&lt;&gt;0),Studies!A23,"")</f>
        <v/>
      </c>
      <c r="B14" s="545" t="str">
        <f>IF(AND(SUM(Studies!I23:J23)=2,Studies!K23&lt;&gt;0),Studies!B23,"")</f>
        <v/>
      </c>
      <c r="C14" s="545" t="str">
        <f>IF(AND(SUM(Studies!I23:J23)=2,Studies!K23&lt;&gt;0),Studies!C23,"")</f>
        <v/>
      </c>
      <c r="D14" s="545" t="str">
        <f>IF(AND(SUM(Studies!I23:J23)=2,Studies!K23&lt;&gt;0),Studies!D23,"")</f>
        <v/>
      </c>
      <c r="E14" s="545" t="str">
        <f>IF(AND(SUM(Studies!I23:J23)=2,Studies!K23&lt;&gt;0),Studies!E23,"")</f>
        <v/>
      </c>
      <c r="F14" s="546"/>
      <c r="G14" s="546"/>
      <c r="H14" s="546"/>
      <c r="I14" s="546"/>
      <c r="J14" s="546"/>
      <c r="K14" s="546"/>
      <c r="L14" s="546"/>
      <c r="M14" s="546"/>
    </row>
    <row r="15" spans="1:13" x14ac:dyDescent="0.25">
      <c r="A15" s="545" t="str">
        <f>IF(AND(SUM(Studies!I24:J24)=2,Studies!K24&lt;&gt;0),Studies!A24,"")</f>
        <v/>
      </c>
      <c r="B15" s="545" t="str">
        <f>IF(AND(SUM(Studies!I24:J24)=2,Studies!K24&lt;&gt;0),Studies!B24,"")</f>
        <v/>
      </c>
      <c r="C15" s="545" t="str">
        <f>IF(AND(SUM(Studies!I24:J24)=2,Studies!K24&lt;&gt;0),Studies!C24,"")</f>
        <v/>
      </c>
      <c r="D15" s="545" t="str">
        <f>IF(AND(SUM(Studies!I24:J24)=2,Studies!K24&lt;&gt;0),Studies!D24,"")</f>
        <v/>
      </c>
      <c r="E15" s="545" t="str">
        <f>IF(AND(SUM(Studies!I24:J24)=2,Studies!K24&lt;&gt;0),Studies!E24,"")</f>
        <v/>
      </c>
      <c r="F15" s="546"/>
      <c r="G15" s="546"/>
      <c r="H15" s="546"/>
      <c r="I15" s="546"/>
      <c r="J15" s="546"/>
      <c r="K15" s="546"/>
      <c r="L15" s="546"/>
      <c r="M15" s="546"/>
    </row>
    <row r="16" spans="1:13" x14ac:dyDescent="0.25">
      <c r="A16" s="545" t="str">
        <f>IF(AND(SUM(Studies!I25:J25)=2,Studies!K25&lt;&gt;0),Studies!A25,"")</f>
        <v/>
      </c>
      <c r="B16" s="545" t="str">
        <f>IF(AND(SUM(Studies!I25:J25)=2,Studies!K25&lt;&gt;0),Studies!B25,"")</f>
        <v/>
      </c>
      <c r="C16" s="545" t="str">
        <f>IF(AND(SUM(Studies!I25:J25)=2,Studies!K25&lt;&gt;0),Studies!C25,"")</f>
        <v/>
      </c>
      <c r="D16" s="545" t="str">
        <f>IF(AND(SUM(Studies!I25:J25)=2,Studies!K25&lt;&gt;0),Studies!D25,"")</f>
        <v/>
      </c>
      <c r="E16" s="545" t="str">
        <f>IF(AND(SUM(Studies!I25:J25)=2,Studies!K25&lt;&gt;0),Studies!E25,"")</f>
        <v/>
      </c>
      <c r="F16" s="546"/>
      <c r="G16" s="546"/>
      <c r="H16" s="546"/>
      <c r="I16" s="546"/>
      <c r="J16" s="546"/>
      <c r="K16" s="546"/>
      <c r="L16" s="546"/>
      <c r="M16" s="546"/>
    </row>
    <row r="17" spans="1:13" x14ac:dyDescent="0.25">
      <c r="A17" s="545" t="str">
        <f>IF(AND(SUM(Studies!I26:J26)=2,Studies!K26&lt;&gt;0),Studies!A26,"")</f>
        <v/>
      </c>
      <c r="B17" s="545" t="str">
        <f>IF(AND(SUM(Studies!I26:J26)=2,Studies!K26&lt;&gt;0),Studies!B26,"")</f>
        <v/>
      </c>
      <c r="C17" s="545" t="str">
        <f>IF(AND(SUM(Studies!I26:J26)=2,Studies!K26&lt;&gt;0),Studies!C26,"")</f>
        <v/>
      </c>
      <c r="D17" s="545" t="str">
        <f>IF(AND(SUM(Studies!I26:J26)=2,Studies!K26&lt;&gt;0),Studies!D26,"")</f>
        <v/>
      </c>
      <c r="E17" s="545" t="str">
        <f>IF(AND(SUM(Studies!I26:J26)=2,Studies!K26&lt;&gt;0),Studies!E26,"")</f>
        <v/>
      </c>
      <c r="F17" s="546"/>
      <c r="G17" s="546"/>
      <c r="H17" s="546"/>
      <c r="I17" s="546"/>
      <c r="J17" s="546"/>
      <c r="K17" s="546"/>
      <c r="L17" s="546"/>
      <c r="M17" s="546"/>
    </row>
    <row r="18" spans="1:13" x14ac:dyDescent="0.25">
      <c r="A18" s="545" t="str">
        <f>IF(AND(SUM(Studies!I27:J27)=2,Studies!K27&lt;&gt;0),Studies!A27,"")</f>
        <v/>
      </c>
      <c r="B18" s="545" t="str">
        <f>IF(AND(SUM(Studies!I27:J27)=2,Studies!K27&lt;&gt;0),Studies!B27,"")</f>
        <v/>
      </c>
      <c r="C18" s="545" t="str">
        <f>IF(AND(SUM(Studies!I27:J27)=2,Studies!K27&lt;&gt;0),Studies!C27,"")</f>
        <v/>
      </c>
      <c r="D18" s="545" t="str">
        <f>IF(AND(SUM(Studies!I27:J27)=2,Studies!K27&lt;&gt;0),Studies!D27,"")</f>
        <v/>
      </c>
      <c r="E18" s="545" t="str">
        <f>IF(AND(SUM(Studies!I27:J27)=2,Studies!K27&lt;&gt;0),Studies!E27,"")</f>
        <v/>
      </c>
      <c r="F18" s="546"/>
      <c r="G18" s="546"/>
      <c r="H18" s="546"/>
      <c r="I18" s="546"/>
      <c r="J18" s="546"/>
      <c r="K18" s="546"/>
      <c r="L18" s="546"/>
      <c r="M18" s="546"/>
    </row>
    <row r="19" spans="1:13" x14ac:dyDescent="0.25">
      <c r="A19" s="545" t="str">
        <f>IF(AND(SUM(Studies!I28:J28)=2,Studies!K28&lt;&gt;0),Studies!A28,"")</f>
        <v/>
      </c>
      <c r="B19" s="545" t="str">
        <f>IF(AND(SUM(Studies!I28:J28)=2,Studies!K28&lt;&gt;0),Studies!B28,"")</f>
        <v/>
      </c>
      <c r="C19" s="545" t="str">
        <f>IF(AND(SUM(Studies!I28:J28)=2,Studies!K28&lt;&gt;0),Studies!C28,"")</f>
        <v/>
      </c>
      <c r="D19" s="545" t="str">
        <f>IF(AND(SUM(Studies!I28:J28)=2,Studies!K28&lt;&gt;0),Studies!D28,"")</f>
        <v/>
      </c>
      <c r="E19" s="545" t="str">
        <f>IF(AND(SUM(Studies!I28:J28)=2,Studies!K28&lt;&gt;0),Studies!E28,"")</f>
        <v/>
      </c>
      <c r="F19" s="546"/>
      <c r="G19" s="546"/>
      <c r="H19" s="546"/>
      <c r="I19" s="546"/>
      <c r="J19" s="546"/>
      <c r="K19" s="546"/>
      <c r="L19" s="546"/>
      <c r="M19" s="546"/>
    </row>
    <row r="20" spans="1:13" x14ac:dyDescent="0.25">
      <c r="A20" s="545" t="str">
        <f>IF(AND(SUM(Studies!I29:J29)=2,Studies!K29&lt;&gt;0),Studies!A29,"")</f>
        <v/>
      </c>
      <c r="B20" s="545" t="str">
        <f>IF(AND(SUM(Studies!I29:J29)=2,Studies!K29&lt;&gt;0),Studies!B29,"")</f>
        <v/>
      </c>
      <c r="C20" s="545" t="str">
        <f>IF(AND(SUM(Studies!I29:J29)=2,Studies!K29&lt;&gt;0),Studies!C29,"")</f>
        <v/>
      </c>
      <c r="D20" s="545" t="str">
        <f>IF(AND(SUM(Studies!I29:J29)=2,Studies!K29&lt;&gt;0),Studies!D29,"")</f>
        <v/>
      </c>
      <c r="E20" s="545" t="str">
        <f>IF(AND(SUM(Studies!I29:J29)=2,Studies!K29&lt;&gt;0),Studies!E29,"")</f>
        <v/>
      </c>
      <c r="F20" s="546"/>
      <c r="G20" s="546"/>
      <c r="H20" s="546"/>
      <c r="I20" s="546"/>
      <c r="J20" s="546"/>
      <c r="K20" s="546"/>
      <c r="L20" s="546"/>
      <c r="M20" s="546"/>
    </row>
    <row r="21" spans="1:13" x14ac:dyDescent="0.25">
      <c r="A21" s="545" t="str">
        <f>IF(AND(SUM(Studies!I30:J30)=2,Studies!K30&lt;&gt;0),Studies!A30,"")</f>
        <v/>
      </c>
      <c r="B21" s="545" t="str">
        <f>IF(AND(SUM(Studies!I30:J30)=2,Studies!K30&lt;&gt;0),Studies!B30,"")</f>
        <v/>
      </c>
      <c r="C21" s="545" t="str">
        <f>IF(AND(SUM(Studies!I30:J30)=2,Studies!K30&lt;&gt;0),Studies!C30,"")</f>
        <v/>
      </c>
      <c r="D21" s="545" t="str">
        <f>IF(AND(SUM(Studies!I30:J30)=2,Studies!K30&lt;&gt;0),Studies!D30,"")</f>
        <v/>
      </c>
      <c r="E21" s="545" t="str">
        <f>IF(AND(SUM(Studies!I30:J30)=2,Studies!K30&lt;&gt;0),Studies!E30,"")</f>
        <v/>
      </c>
      <c r="F21" s="546"/>
      <c r="G21" s="546"/>
      <c r="H21" s="546"/>
      <c r="I21" s="546"/>
      <c r="J21" s="546"/>
      <c r="K21" s="546"/>
      <c r="L21" s="546"/>
      <c r="M21" s="546"/>
    </row>
    <row r="22" spans="1:13" x14ac:dyDescent="0.25">
      <c r="A22" s="545" t="str">
        <f>IF(AND(SUM(Studies!I31:J31)=2,Studies!K31&lt;&gt;0),Studies!A31,"")</f>
        <v/>
      </c>
      <c r="B22" s="545" t="str">
        <f>IF(AND(SUM(Studies!I31:J31)=2,Studies!K31&lt;&gt;0),Studies!B31,"")</f>
        <v/>
      </c>
      <c r="C22" s="545" t="str">
        <f>IF(AND(SUM(Studies!I31:J31)=2,Studies!K31&lt;&gt;0),Studies!C31,"")</f>
        <v/>
      </c>
      <c r="D22" s="545" t="str">
        <f>IF(AND(SUM(Studies!I31:J31)=2,Studies!K31&lt;&gt;0),Studies!D31,"")</f>
        <v/>
      </c>
      <c r="E22" s="545" t="str">
        <f>IF(AND(SUM(Studies!I31:J31)=2,Studies!K31&lt;&gt;0),Studies!E31,"")</f>
        <v/>
      </c>
      <c r="F22" s="546"/>
      <c r="G22" s="546"/>
      <c r="H22" s="546"/>
      <c r="I22" s="546"/>
      <c r="J22" s="546"/>
      <c r="K22" s="546"/>
      <c r="L22" s="546"/>
      <c r="M22" s="546"/>
    </row>
    <row r="23" spans="1:13" x14ac:dyDescent="0.25">
      <c r="A23" s="545" t="str">
        <f>IF(AND(SUM(Studies!I32:J32)=2,Studies!K32&lt;&gt;0),Studies!A32,"")</f>
        <v/>
      </c>
      <c r="B23" s="545" t="str">
        <f>IF(AND(SUM(Studies!I32:J32)=2,Studies!K32&lt;&gt;0),Studies!B32,"")</f>
        <v/>
      </c>
      <c r="C23" s="545" t="str">
        <f>IF(AND(SUM(Studies!I32:J32)=2,Studies!K32&lt;&gt;0),Studies!C32,"")</f>
        <v/>
      </c>
      <c r="D23" s="545" t="str">
        <f>IF(AND(SUM(Studies!I32:J32)=2,Studies!K32&lt;&gt;0),Studies!D32,"")</f>
        <v/>
      </c>
      <c r="E23" s="545" t="str">
        <f>IF(AND(SUM(Studies!I32:J32)=2,Studies!K32&lt;&gt;0),Studies!E32,"")</f>
        <v/>
      </c>
      <c r="F23" s="546"/>
      <c r="G23" s="546"/>
      <c r="H23" s="546"/>
      <c r="I23" s="546"/>
      <c r="J23" s="546"/>
      <c r="K23" s="546"/>
      <c r="L23" s="546"/>
      <c r="M23" s="546"/>
    </row>
    <row r="24" spans="1:13" x14ac:dyDescent="0.25">
      <c r="A24" s="545" t="str">
        <f>IF(AND(SUM(Studies!I33:J33)=2,Studies!K33&lt;&gt;0),Studies!A33,"")</f>
        <v/>
      </c>
      <c r="B24" s="545" t="str">
        <f>IF(AND(SUM(Studies!I33:J33)=2,Studies!K33&lt;&gt;0),Studies!B33,"")</f>
        <v/>
      </c>
      <c r="C24" s="545" t="str">
        <f>IF(AND(SUM(Studies!I33:J33)=2,Studies!K33&lt;&gt;0),Studies!C33,"")</f>
        <v/>
      </c>
      <c r="D24" s="545" t="str">
        <f>IF(AND(SUM(Studies!I33:J33)=2,Studies!K33&lt;&gt;0),Studies!D33,"")</f>
        <v/>
      </c>
      <c r="E24" s="545" t="str">
        <f>IF(AND(SUM(Studies!I33:J33)=2,Studies!K33&lt;&gt;0),Studies!E33,"")</f>
        <v/>
      </c>
      <c r="F24" s="546"/>
      <c r="G24" s="546"/>
      <c r="H24" s="546"/>
      <c r="I24" s="546"/>
      <c r="J24" s="546"/>
      <c r="K24" s="546"/>
      <c r="L24" s="546"/>
      <c r="M24" s="546"/>
    </row>
    <row r="25" spans="1:13" x14ac:dyDescent="0.25">
      <c r="A25" s="545" t="str">
        <f>IF(AND(SUM(Studies!I34:J34)=2,Studies!K34&lt;&gt;0),Studies!A34,"")</f>
        <v/>
      </c>
      <c r="B25" s="545" t="str">
        <f>IF(AND(SUM(Studies!I34:J34)=2,Studies!K34&lt;&gt;0),Studies!B34,"")</f>
        <v/>
      </c>
      <c r="C25" s="545" t="str">
        <f>IF(AND(SUM(Studies!I34:J34)=2,Studies!K34&lt;&gt;0),Studies!C34,"")</f>
        <v/>
      </c>
      <c r="D25" s="545" t="str">
        <f>IF(AND(SUM(Studies!I34:J34)=2,Studies!K34&lt;&gt;0),Studies!D34,"")</f>
        <v/>
      </c>
      <c r="E25" s="545" t="str">
        <f>IF(AND(SUM(Studies!I34:J34)=2,Studies!K34&lt;&gt;0),Studies!E34,"")</f>
        <v/>
      </c>
      <c r="F25" s="546"/>
      <c r="G25" s="546"/>
      <c r="H25" s="546"/>
      <c r="I25" s="546"/>
      <c r="J25" s="546"/>
      <c r="K25" s="546"/>
      <c r="L25" s="546"/>
      <c r="M25" s="546"/>
    </row>
    <row r="26" spans="1:13" x14ac:dyDescent="0.25">
      <c r="A26" s="545" t="str">
        <f>IF(AND(SUM(Studies!I35:J35)=2,Studies!K35&lt;&gt;0),Studies!A35,"")</f>
        <v/>
      </c>
      <c r="B26" s="545" t="str">
        <f>IF(AND(SUM(Studies!I35:J35)=2,Studies!K35&lt;&gt;0),Studies!B35,"")</f>
        <v/>
      </c>
      <c r="C26" s="545" t="str">
        <f>IF(AND(SUM(Studies!I35:J35)=2,Studies!K35&lt;&gt;0),Studies!C35,"")</f>
        <v/>
      </c>
      <c r="D26" s="545" t="str">
        <f>IF(AND(SUM(Studies!I35:J35)=2,Studies!K35&lt;&gt;0),Studies!D35,"")</f>
        <v/>
      </c>
      <c r="E26" s="545" t="str">
        <f>IF(AND(SUM(Studies!I35:J35)=2,Studies!K35&lt;&gt;0),Studies!E35,"")</f>
        <v/>
      </c>
      <c r="F26" s="546"/>
      <c r="G26" s="546"/>
      <c r="H26" s="546"/>
      <c r="I26" s="546"/>
      <c r="J26" s="546"/>
      <c r="K26" s="546"/>
      <c r="L26" s="546"/>
      <c r="M26" s="546"/>
    </row>
    <row r="27" spans="1:13" x14ac:dyDescent="0.25">
      <c r="A27" s="545" t="str">
        <f>IF(AND(SUM(Studies!I36:J36)=2,Studies!K36&lt;&gt;0),Studies!A36,"")</f>
        <v/>
      </c>
      <c r="B27" s="545" t="str">
        <f>IF(AND(SUM(Studies!I36:J36)=2,Studies!K36&lt;&gt;0),Studies!B36,"")</f>
        <v/>
      </c>
      <c r="C27" s="545" t="str">
        <f>IF(AND(SUM(Studies!I36:J36)=2,Studies!K36&lt;&gt;0),Studies!C36,"")</f>
        <v/>
      </c>
      <c r="D27" s="545" t="str">
        <f>IF(AND(SUM(Studies!I36:J36)=2,Studies!K36&lt;&gt;0),Studies!D36,"")</f>
        <v/>
      </c>
      <c r="E27" s="545" t="str">
        <f>IF(AND(SUM(Studies!I36:J36)=2,Studies!K36&lt;&gt;0),Studies!E36,"")</f>
        <v/>
      </c>
      <c r="F27" s="546"/>
      <c r="G27" s="546"/>
      <c r="H27" s="546"/>
      <c r="I27" s="546"/>
      <c r="J27" s="546"/>
      <c r="K27" s="546"/>
      <c r="L27" s="546"/>
      <c r="M27" s="546"/>
    </row>
    <row r="28" spans="1:13" x14ac:dyDescent="0.25">
      <c r="A28" s="545" t="str">
        <f>IF(AND(SUM(Studies!I37:J37)=2,Studies!K37&lt;&gt;0),Studies!A37,"")</f>
        <v/>
      </c>
      <c r="B28" s="545" t="str">
        <f>IF(AND(SUM(Studies!I37:J37)=2,Studies!K37&lt;&gt;0),Studies!B37,"")</f>
        <v/>
      </c>
      <c r="C28" s="545" t="str">
        <f>IF(AND(SUM(Studies!I37:J37)=2,Studies!K37&lt;&gt;0),Studies!C37,"")</f>
        <v/>
      </c>
      <c r="D28" s="545" t="str">
        <f>IF(AND(SUM(Studies!I37:J37)=2,Studies!K37&lt;&gt;0),Studies!D37,"")</f>
        <v/>
      </c>
      <c r="E28" s="545" t="str">
        <f>IF(AND(SUM(Studies!I37:J37)=2,Studies!K37&lt;&gt;0),Studies!E37,"")</f>
        <v/>
      </c>
      <c r="F28" s="546"/>
      <c r="G28" s="546"/>
      <c r="H28" s="546"/>
      <c r="I28" s="546"/>
      <c r="J28" s="546"/>
      <c r="K28" s="546"/>
      <c r="L28" s="546"/>
      <c r="M28" s="546"/>
    </row>
    <row r="29" spans="1:13" x14ac:dyDescent="0.25">
      <c r="A29" s="545" t="str">
        <f>IF(AND(SUM(Studies!I38:J38)=2,Studies!K38&lt;&gt;0),Studies!A38,"")</f>
        <v/>
      </c>
      <c r="B29" s="545" t="str">
        <f>IF(AND(SUM(Studies!I38:J38)=2,Studies!K38&lt;&gt;0),Studies!B38,"")</f>
        <v/>
      </c>
      <c r="C29" s="545" t="str">
        <f>IF(AND(SUM(Studies!I38:J38)=2,Studies!K38&lt;&gt;0),Studies!C38,"")</f>
        <v/>
      </c>
      <c r="D29" s="545" t="str">
        <f>IF(AND(SUM(Studies!I38:J38)=2,Studies!K38&lt;&gt;0),Studies!D38,"")</f>
        <v/>
      </c>
      <c r="E29" s="545" t="str">
        <f>IF(AND(SUM(Studies!I38:J38)=2,Studies!K38&lt;&gt;0),Studies!E38,"")</f>
        <v/>
      </c>
      <c r="F29" s="546"/>
      <c r="G29" s="546"/>
      <c r="H29" s="546"/>
      <c r="I29" s="546"/>
      <c r="J29" s="546"/>
      <c r="K29" s="546"/>
      <c r="L29" s="546"/>
      <c r="M29" s="546"/>
    </row>
    <row r="30" spans="1:13" x14ac:dyDescent="0.25">
      <c r="A30" s="545" t="str">
        <f>IF(AND(SUM(Studies!I39:J39)=2,Studies!K39&lt;&gt;0),Studies!A39,"")</f>
        <v/>
      </c>
      <c r="B30" s="545" t="str">
        <f>IF(AND(SUM(Studies!I39:J39)=2,Studies!K39&lt;&gt;0),Studies!B39,"")</f>
        <v/>
      </c>
      <c r="C30" s="545" t="str">
        <f>IF(AND(SUM(Studies!I39:J39)=2,Studies!K39&lt;&gt;0),Studies!C39,"")</f>
        <v/>
      </c>
      <c r="D30" s="545" t="str">
        <f>IF(AND(SUM(Studies!I39:J39)=2,Studies!K39&lt;&gt;0),Studies!D39,"")</f>
        <v/>
      </c>
      <c r="E30" s="545" t="str">
        <f>IF(AND(SUM(Studies!I39:J39)=2,Studies!K39&lt;&gt;0),Studies!E39,"")</f>
        <v/>
      </c>
      <c r="F30" s="546"/>
      <c r="G30" s="546"/>
      <c r="H30" s="546"/>
      <c r="I30" s="546"/>
      <c r="J30" s="546"/>
      <c r="K30" s="546"/>
      <c r="L30" s="546"/>
      <c r="M30" s="546"/>
    </row>
    <row r="31" spans="1:13" x14ac:dyDescent="0.25">
      <c r="A31" s="545" t="str">
        <f>IF(AND(SUM(Studies!I40:J40)=2,Studies!K40&lt;&gt;0),Studies!A40,"")</f>
        <v/>
      </c>
      <c r="B31" s="545" t="str">
        <f>IF(AND(SUM(Studies!I40:J40)=2,Studies!K40&lt;&gt;0),Studies!B40,"")</f>
        <v/>
      </c>
      <c r="C31" s="545" t="str">
        <f>IF(AND(SUM(Studies!I40:J40)=2,Studies!K40&lt;&gt;0),Studies!C40,"")</f>
        <v/>
      </c>
      <c r="D31" s="545" t="str">
        <f>IF(AND(SUM(Studies!I40:J40)=2,Studies!K40&lt;&gt;0),Studies!D40,"")</f>
        <v/>
      </c>
      <c r="E31" s="545" t="str">
        <f>IF(AND(SUM(Studies!I40:J40)=2,Studies!K40&lt;&gt;0),Studies!E40,"")</f>
        <v/>
      </c>
      <c r="F31" s="546"/>
      <c r="G31" s="546"/>
      <c r="H31" s="546"/>
      <c r="I31" s="546"/>
      <c r="J31" s="546"/>
      <c r="K31" s="546"/>
      <c r="L31" s="546"/>
      <c r="M31" s="546"/>
    </row>
    <row r="32" spans="1:13" x14ac:dyDescent="0.25">
      <c r="A32" s="545" t="str">
        <f>IF(AND(SUM(Studies!I41:J41)=2,Studies!K41&lt;&gt;0),Studies!A41,"")</f>
        <v/>
      </c>
      <c r="B32" s="545" t="str">
        <f>IF(AND(SUM(Studies!I41:J41)=2,Studies!K41&lt;&gt;0),Studies!B41,"")</f>
        <v/>
      </c>
      <c r="C32" s="545" t="str">
        <f>IF(AND(SUM(Studies!I41:J41)=2,Studies!K41&lt;&gt;0),Studies!C41,"")</f>
        <v/>
      </c>
      <c r="D32" s="545" t="str">
        <f>IF(AND(SUM(Studies!I41:J41)=2,Studies!K41&lt;&gt;0),Studies!D41,"")</f>
        <v/>
      </c>
      <c r="E32" s="545" t="str">
        <f>IF(AND(SUM(Studies!I41:J41)=2,Studies!K41&lt;&gt;0),Studies!E41,"")</f>
        <v/>
      </c>
      <c r="F32" s="546"/>
      <c r="G32" s="546"/>
      <c r="H32" s="546"/>
      <c r="I32" s="546"/>
      <c r="J32" s="546"/>
      <c r="K32" s="546"/>
      <c r="L32" s="546"/>
      <c r="M32" s="546"/>
    </row>
    <row r="33" spans="1:13" x14ac:dyDescent="0.25">
      <c r="A33" s="545" t="str">
        <f>IF(AND(SUM(Studies!I42:J42)=2,Studies!K42&lt;&gt;0),Studies!A42,"")</f>
        <v/>
      </c>
      <c r="B33" s="545" t="str">
        <f>IF(AND(SUM(Studies!I42:J42)=2,Studies!K42&lt;&gt;0),Studies!B42,"")</f>
        <v/>
      </c>
      <c r="C33" s="545" t="str">
        <f>IF(AND(SUM(Studies!I42:J42)=2,Studies!K42&lt;&gt;0),Studies!C42,"")</f>
        <v/>
      </c>
      <c r="D33" s="545" t="str">
        <f>IF(AND(SUM(Studies!I42:J42)=2,Studies!K42&lt;&gt;0),Studies!D42,"")</f>
        <v/>
      </c>
      <c r="E33" s="545" t="str">
        <f>IF(AND(SUM(Studies!I42:J42)=2,Studies!K42&lt;&gt;0),Studies!E42,"")</f>
        <v/>
      </c>
      <c r="F33" s="546"/>
      <c r="G33" s="546"/>
      <c r="H33" s="546"/>
      <c r="I33" s="546"/>
      <c r="J33" s="546"/>
      <c r="K33" s="546"/>
      <c r="L33" s="546"/>
      <c r="M33" s="546"/>
    </row>
    <row r="34" spans="1:13" x14ac:dyDescent="0.25">
      <c r="A34" s="545" t="str">
        <f>IF(AND(SUM(Studies!I43:J43)=2,Studies!K43&lt;&gt;0),Studies!A43,"")</f>
        <v/>
      </c>
      <c r="B34" s="545" t="str">
        <f>IF(AND(SUM(Studies!I43:J43)=2,Studies!K43&lt;&gt;0),Studies!B43,"")</f>
        <v/>
      </c>
      <c r="C34" s="545" t="str">
        <f>IF(AND(SUM(Studies!I43:J43)=2,Studies!K43&lt;&gt;0),Studies!C43,"")</f>
        <v/>
      </c>
      <c r="D34" s="545" t="str">
        <f>IF(AND(SUM(Studies!I43:J43)=2,Studies!K43&lt;&gt;0),Studies!D43,"")</f>
        <v/>
      </c>
      <c r="E34" s="545" t="str">
        <f>IF(AND(SUM(Studies!I43:J43)=2,Studies!K43&lt;&gt;0),Studies!E43,"")</f>
        <v/>
      </c>
      <c r="F34" s="546"/>
      <c r="G34" s="546"/>
      <c r="H34" s="546"/>
      <c r="I34" s="546"/>
      <c r="J34" s="546"/>
      <c r="K34" s="546"/>
      <c r="L34" s="546"/>
      <c r="M34" s="546"/>
    </row>
    <row r="35" spans="1:13" x14ac:dyDescent="0.25">
      <c r="A35" s="545" t="str">
        <f>IF(AND(SUM(Studies!I44:J44)=2,Studies!K44&lt;&gt;0),Studies!A44,"")</f>
        <v/>
      </c>
      <c r="B35" s="545" t="str">
        <f>IF(AND(SUM(Studies!I44:J44)=2,Studies!K44&lt;&gt;0),Studies!B44,"")</f>
        <v/>
      </c>
      <c r="C35" s="545" t="str">
        <f>IF(AND(SUM(Studies!I44:J44)=2,Studies!K44&lt;&gt;0),Studies!C44,"")</f>
        <v/>
      </c>
      <c r="D35" s="545" t="str">
        <f>IF(AND(SUM(Studies!I44:J44)=2,Studies!K44&lt;&gt;0),Studies!D44,"")</f>
        <v/>
      </c>
      <c r="E35" s="545" t="str">
        <f>IF(AND(SUM(Studies!I44:J44)=2,Studies!K44&lt;&gt;0),Studies!E44,"")</f>
        <v/>
      </c>
      <c r="F35" s="546"/>
      <c r="G35" s="546"/>
      <c r="H35" s="546"/>
      <c r="I35" s="546"/>
      <c r="J35" s="546"/>
      <c r="K35" s="546"/>
      <c r="L35" s="546"/>
      <c r="M35" s="546"/>
    </row>
    <row r="36" spans="1:13" x14ac:dyDescent="0.25">
      <c r="A36" s="545" t="str">
        <f>IF(AND(SUM(Studies!I45:J45)=2,Studies!K45&lt;&gt;0),Studies!A45,"")</f>
        <v/>
      </c>
      <c r="B36" s="545" t="str">
        <f>IF(AND(SUM(Studies!I45:J45)=2,Studies!K45&lt;&gt;0),Studies!B45,"")</f>
        <v/>
      </c>
      <c r="C36" s="545" t="str">
        <f>IF(AND(SUM(Studies!I45:J45)=2,Studies!K45&lt;&gt;0),Studies!C45,"")</f>
        <v/>
      </c>
      <c r="D36" s="545" t="str">
        <f>IF(AND(SUM(Studies!I45:J45)=2,Studies!K45&lt;&gt;0),Studies!D45,"")</f>
        <v/>
      </c>
      <c r="E36" s="545" t="str">
        <f>IF(AND(SUM(Studies!I45:J45)=2,Studies!K45&lt;&gt;0),Studies!E45,"")</f>
        <v/>
      </c>
      <c r="F36" s="546"/>
      <c r="G36" s="546"/>
      <c r="H36" s="546"/>
      <c r="I36" s="546"/>
      <c r="J36" s="546"/>
      <c r="K36" s="546"/>
      <c r="L36" s="546"/>
      <c r="M36" s="546"/>
    </row>
    <row r="37" spans="1:13" x14ac:dyDescent="0.25">
      <c r="A37" s="545" t="str">
        <f>IF(AND(SUM(Studies!I46:J46)=2,Studies!K46&lt;&gt;0),Studies!A46,"")</f>
        <v/>
      </c>
      <c r="B37" s="545" t="str">
        <f>IF(AND(SUM(Studies!I46:J46)=2,Studies!K46&lt;&gt;0),Studies!B46,"")</f>
        <v/>
      </c>
      <c r="C37" s="545" t="str">
        <f>IF(AND(SUM(Studies!I46:J46)=2,Studies!K46&lt;&gt;0),Studies!C46,"")</f>
        <v/>
      </c>
      <c r="D37" s="545" t="str">
        <f>IF(AND(SUM(Studies!I46:J46)=2,Studies!K46&lt;&gt;0),Studies!D46,"")</f>
        <v/>
      </c>
      <c r="E37" s="545" t="str">
        <f>IF(AND(SUM(Studies!I46:J46)=2,Studies!K46&lt;&gt;0),Studies!E46,"")</f>
        <v/>
      </c>
      <c r="F37" s="546"/>
      <c r="G37" s="546"/>
      <c r="H37" s="546"/>
      <c r="I37" s="546"/>
      <c r="J37" s="546"/>
      <c r="K37" s="546"/>
      <c r="L37" s="546"/>
      <c r="M37" s="546"/>
    </row>
    <row r="38" spans="1:13" x14ac:dyDescent="0.25">
      <c r="A38" s="545" t="str">
        <f>IF(AND(SUM(Studies!I47:J47)=2,Studies!K47&lt;&gt;0),Studies!A47,"")</f>
        <v/>
      </c>
      <c r="B38" s="545" t="str">
        <f>IF(AND(SUM(Studies!I47:J47)=2,Studies!K47&lt;&gt;0),Studies!B47,"")</f>
        <v/>
      </c>
      <c r="C38" s="545" t="str">
        <f>IF(AND(SUM(Studies!I47:J47)=2,Studies!K47&lt;&gt;0),Studies!C47,"")</f>
        <v/>
      </c>
      <c r="D38" s="545" t="str">
        <f>IF(AND(SUM(Studies!I47:J47)=2,Studies!K47&lt;&gt;0),Studies!D47,"")</f>
        <v/>
      </c>
      <c r="E38" s="545" t="str">
        <f>IF(AND(SUM(Studies!I47:J47)=2,Studies!K47&lt;&gt;0),Studies!E47,"")</f>
        <v/>
      </c>
      <c r="F38" s="546"/>
      <c r="G38" s="546"/>
      <c r="H38" s="546"/>
      <c r="I38" s="546"/>
      <c r="J38" s="546"/>
      <c r="K38" s="546"/>
      <c r="L38" s="546"/>
      <c r="M38" s="546"/>
    </row>
    <row r="39" spans="1:13" x14ac:dyDescent="0.25">
      <c r="A39" s="545" t="str">
        <f>IF(AND(SUM(Studies!I48:J48)=2,Studies!K48&lt;&gt;0),Studies!A48,"")</f>
        <v/>
      </c>
      <c r="B39" s="545" t="str">
        <f>IF(AND(SUM(Studies!I48:J48)=2,Studies!K48&lt;&gt;0),Studies!B48,"")</f>
        <v/>
      </c>
      <c r="C39" s="545" t="str">
        <f>IF(AND(SUM(Studies!I48:J48)=2,Studies!K48&lt;&gt;0),Studies!C48,"")</f>
        <v/>
      </c>
      <c r="D39" s="545" t="str">
        <f>IF(AND(SUM(Studies!I48:J48)=2,Studies!K48&lt;&gt;0),Studies!D48,"")</f>
        <v/>
      </c>
      <c r="E39" s="545" t="str">
        <f>IF(AND(SUM(Studies!I48:J48)=2,Studies!K48&lt;&gt;0),Studies!E48,"")</f>
        <v/>
      </c>
      <c r="F39" s="546"/>
      <c r="G39" s="546"/>
      <c r="H39" s="546"/>
      <c r="I39" s="546"/>
      <c r="J39" s="546"/>
      <c r="K39" s="546"/>
      <c r="L39" s="546"/>
      <c r="M39" s="546"/>
    </row>
    <row r="40" spans="1:13" x14ac:dyDescent="0.25">
      <c r="A40" s="545" t="str">
        <f>IF(AND(SUM(Studies!I49:J49)=2,Studies!K49&lt;&gt;0),Studies!A49,"")</f>
        <v/>
      </c>
      <c r="B40" s="545" t="str">
        <f>IF(AND(SUM(Studies!I49:J49)=2,Studies!K49&lt;&gt;0),Studies!B49,"")</f>
        <v/>
      </c>
      <c r="C40" s="545" t="str">
        <f>IF(AND(SUM(Studies!I49:J49)=2,Studies!K49&lt;&gt;0),Studies!C49,"")</f>
        <v/>
      </c>
      <c r="D40" s="545" t="str">
        <f>IF(AND(SUM(Studies!I49:J49)=2,Studies!K49&lt;&gt;0),Studies!D49,"")</f>
        <v/>
      </c>
      <c r="E40" s="545" t="str">
        <f>IF(AND(SUM(Studies!I49:J49)=2,Studies!K49&lt;&gt;0),Studies!E49,"")</f>
        <v/>
      </c>
      <c r="F40" s="546"/>
      <c r="G40" s="546"/>
      <c r="H40" s="546"/>
      <c r="I40" s="546"/>
      <c r="J40" s="546"/>
      <c r="K40" s="546"/>
      <c r="L40" s="546"/>
      <c r="M40" s="546"/>
    </row>
    <row r="41" spans="1:13" x14ac:dyDescent="0.25">
      <c r="A41" s="545" t="str">
        <f>IF(AND(SUM(Studies!I50:J50)=2,Studies!K50&lt;&gt;0),Studies!A50,"")</f>
        <v/>
      </c>
      <c r="B41" s="545" t="str">
        <f>IF(AND(SUM(Studies!I50:J50)=2,Studies!K50&lt;&gt;0),Studies!B50,"")</f>
        <v/>
      </c>
      <c r="C41" s="545" t="str">
        <f>IF(AND(SUM(Studies!I50:J50)=2,Studies!K50&lt;&gt;0),Studies!C50,"")</f>
        <v/>
      </c>
      <c r="D41" s="545" t="str">
        <f>IF(AND(SUM(Studies!I50:J50)=2,Studies!K50&lt;&gt;0),Studies!D50,"")</f>
        <v/>
      </c>
      <c r="E41" s="545" t="str">
        <f>IF(AND(SUM(Studies!I50:J50)=2,Studies!K50&lt;&gt;0),Studies!E50,"")</f>
        <v/>
      </c>
      <c r="F41" s="546"/>
      <c r="G41" s="546"/>
      <c r="H41" s="546"/>
      <c r="I41" s="546"/>
      <c r="J41" s="546"/>
      <c r="K41" s="546"/>
      <c r="L41" s="546"/>
      <c r="M41" s="546"/>
    </row>
    <row r="42" spans="1:13" x14ac:dyDescent="0.25">
      <c r="A42" s="545" t="str">
        <f>IF(AND(SUM(Studies!I51:J51)=2,Studies!K51&lt;&gt;0),Studies!A51,"")</f>
        <v/>
      </c>
      <c r="B42" s="545" t="str">
        <f>IF(AND(SUM(Studies!I51:J51)=2,Studies!K51&lt;&gt;0),Studies!B51,"")</f>
        <v/>
      </c>
      <c r="C42" s="545" t="str">
        <f>IF(AND(SUM(Studies!I51:J51)=2,Studies!K51&lt;&gt;0),Studies!C51,"")</f>
        <v/>
      </c>
      <c r="D42" s="545" t="str">
        <f>IF(AND(SUM(Studies!I51:J51)=2,Studies!K51&lt;&gt;0),Studies!D51,"")</f>
        <v/>
      </c>
      <c r="E42" s="545" t="str">
        <f>IF(AND(SUM(Studies!I51:J51)=2,Studies!K51&lt;&gt;0),Studies!E51,"")</f>
        <v/>
      </c>
      <c r="F42" s="546"/>
      <c r="G42" s="546"/>
      <c r="H42" s="546"/>
      <c r="I42" s="546"/>
      <c r="J42" s="546"/>
      <c r="K42" s="546"/>
      <c r="L42" s="546"/>
      <c r="M42" s="546"/>
    </row>
    <row r="43" spans="1:13" x14ac:dyDescent="0.25">
      <c r="A43" s="545" t="str">
        <f>IF(AND(SUM(Studies!I52:J52)=2,Studies!K52&lt;&gt;0),Studies!A52,"")</f>
        <v/>
      </c>
      <c r="B43" s="545" t="str">
        <f>IF(AND(SUM(Studies!I52:J52)=2,Studies!K52&lt;&gt;0),Studies!B52,"")</f>
        <v/>
      </c>
      <c r="C43" s="545" t="str">
        <f>IF(AND(SUM(Studies!I52:J52)=2,Studies!K52&lt;&gt;0),Studies!C52,"")</f>
        <v/>
      </c>
      <c r="D43" s="545" t="str">
        <f>IF(AND(SUM(Studies!I52:J52)=2,Studies!K52&lt;&gt;0),Studies!D52,"")</f>
        <v/>
      </c>
      <c r="E43" s="545" t="str">
        <f>IF(AND(SUM(Studies!I52:J52)=2,Studies!K52&lt;&gt;0),Studies!E52,"")</f>
        <v/>
      </c>
      <c r="F43" s="546"/>
      <c r="G43" s="546"/>
      <c r="H43" s="546"/>
      <c r="I43" s="546"/>
      <c r="J43" s="546"/>
      <c r="K43" s="546"/>
      <c r="L43" s="546"/>
      <c r="M43" s="546"/>
    </row>
    <row r="44" spans="1:13" x14ac:dyDescent="0.25">
      <c r="A44" s="545" t="str">
        <f>IF(AND(SUM(Studies!I53:J53)=2,Studies!K53&lt;&gt;0),Studies!A53,"")</f>
        <v/>
      </c>
      <c r="B44" s="545" t="str">
        <f>IF(AND(SUM(Studies!I53:J53)=2,Studies!K53&lt;&gt;0),Studies!B53,"")</f>
        <v/>
      </c>
      <c r="C44" s="545" t="str">
        <f>IF(AND(SUM(Studies!I53:J53)=2,Studies!K53&lt;&gt;0),Studies!C53,"")</f>
        <v/>
      </c>
      <c r="D44" s="545" t="str">
        <f>IF(AND(SUM(Studies!I53:J53)=2,Studies!K53&lt;&gt;0),Studies!D53,"")</f>
        <v/>
      </c>
      <c r="E44" s="545" t="str">
        <f>IF(AND(SUM(Studies!I53:J53)=2,Studies!K53&lt;&gt;0),Studies!E53,"")</f>
        <v/>
      </c>
      <c r="F44" s="546"/>
      <c r="G44" s="546"/>
      <c r="H44" s="546"/>
      <c r="I44" s="546"/>
      <c r="J44" s="546"/>
      <c r="K44" s="546"/>
      <c r="L44" s="546"/>
      <c r="M44" s="546"/>
    </row>
    <row r="45" spans="1:13" x14ac:dyDescent="0.25">
      <c r="A45" s="545" t="str">
        <f>IF(AND(SUM(Studies!I54:J54)=2,Studies!K54&lt;&gt;0),Studies!A54,"")</f>
        <v/>
      </c>
      <c r="B45" s="545" t="str">
        <f>IF(AND(SUM(Studies!I54:J54)=2,Studies!K54&lt;&gt;0),Studies!B54,"")</f>
        <v/>
      </c>
      <c r="C45" s="545" t="str">
        <f>IF(AND(SUM(Studies!I54:J54)=2,Studies!K54&lt;&gt;0),Studies!C54,"")</f>
        <v/>
      </c>
      <c r="D45" s="545" t="str">
        <f>IF(AND(SUM(Studies!I54:J54)=2,Studies!K54&lt;&gt;0),Studies!D54,"")</f>
        <v/>
      </c>
      <c r="E45" s="545" t="str">
        <f>IF(AND(SUM(Studies!I54:J54)=2,Studies!K54&lt;&gt;0),Studies!E54,"")</f>
        <v/>
      </c>
      <c r="F45" s="546"/>
      <c r="G45" s="546"/>
      <c r="H45" s="546"/>
      <c r="I45" s="546"/>
      <c r="J45" s="546"/>
      <c r="K45" s="546"/>
      <c r="L45" s="546"/>
      <c r="M45" s="546"/>
    </row>
    <row r="46" spans="1:13" x14ac:dyDescent="0.25">
      <c r="A46" s="545" t="str">
        <f>IF(AND(SUM(Studies!I55:J55)=2,Studies!K55&lt;&gt;0),Studies!A55,"")</f>
        <v/>
      </c>
      <c r="B46" s="545" t="str">
        <f>IF(AND(SUM(Studies!I55:J55)=2,Studies!K55&lt;&gt;0),Studies!B55,"")</f>
        <v/>
      </c>
      <c r="C46" s="545" t="str">
        <f>IF(AND(SUM(Studies!I55:J55)=2,Studies!K55&lt;&gt;0),Studies!C55,"")</f>
        <v/>
      </c>
      <c r="D46" s="545" t="str">
        <f>IF(AND(SUM(Studies!I55:J55)=2,Studies!K55&lt;&gt;0),Studies!D55,"")</f>
        <v/>
      </c>
      <c r="E46" s="545" t="str">
        <f>IF(AND(SUM(Studies!I55:J55)=2,Studies!K55&lt;&gt;0),Studies!E55,"")</f>
        <v/>
      </c>
      <c r="F46" s="546"/>
      <c r="G46" s="546"/>
      <c r="H46" s="546"/>
      <c r="I46" s="546"/>
      <c r="J46" s="546"/>
      <c r="K46" s="546"/>
      <c r="L46" s="546"/>
      <c r="M46" s="546"/>
    </row>
    <row r="47" spans="1:13" x14ac:dyDescent="0.25">
      <c r="A47" s="545" t="str">
        <f>IF(AND(SUM(Studies!I56:J56)=2,Studies!K56&lt;&gt;0),Studies!A56,"")</f>
        <v/>
      </c>
      <c r="B47" s="545" t="str">
        <f>IF(AND(SUM(Studies!I56:J56)=2,Studies!K56&lt;&gt;0),Studies!B56,"")</f>
        <v/>
      </c>
      <c r="C47" s="545" t="str">
        <f>IF(AND(SUM(Studies!I56:J56)=2,Studies!K56&lt;&gt;0),Studies!C56,"")</f>
        <v/>
      </c>
      <c r="D47" s="545" t="str">
        <f>IF(AND(SUM(Studies!I56:J56)=2,Studies!K56&lt;&gt;0),Studies!D56,"")</f>
        <v/>
      </c>
      <c r="E47" s="545" t="str">
        <f>IF(AND(SUM(Studies!I56:J56)=2,Studies!K56&lt;&gt;0),Studies!E56,"")</f>
        <v/>
      </c>
      <c r="F47" s="546"/>
      <c r="G47" s="546"/>
      <c r="H47" s="546"/>
      <c r="I47" s="546"/>
      <c r="J47" s="546"/>
      <c r="K47" s="546"/>
      <c r="L47" s="546"/>
      <c r="M47" s="546"/>
    </row>
    <row r="48" spans="1:13" x14ac:dyDescent="0.25">
      <c r="A48" s="545" t="str">
        <f>IF(AND(SUM(Studies!I57:J57)=2,Studies!K57&lt;&gt;0),Studies!A57,"")</f>
        <v/>
      </c>
      <c r="B48" s="545" t="str">
        <f>IF(AND(SUM(Studies!I57:J57)=2,Studies!K57&lt;&gt;0),Studies!B57,"")</f>
        <v/>
      </c>
      <c r="C48" s="545" t="str">
        <f>IF(AND(SUM(Studies!I57:J57)=2,Studies!K57&lt;&gt;0),Studies!C57,"")</f>
        <v/>
      </c>
      <c r="D48" s="545" t="str">
        <f>IF(AND(SUM(Studies!I57:J57)=2,Studies!K57&lt;&gt;0),Studies!D57,"")</f>
        <v/>
      </c>
      <c r="E48" s="545" t="str">
        <f>IF(AND(SUM(Studies!I57:J57)=2,Studies!K57&lt;&gt;0),Studies!E57,"")</f>
        <v/>
      </c>
      <c r="F48" s="546"/>
      <c r="G48" s="546"/>
      <c r="H48" s="546"/>
      <c r="I48" s="546"/>
      <c r="J48" s="546"/>
      <c r="K48" s="546"/>
      <c r="L48" s="546"/>
      <c r="M48" s="546"/>
    </row>
    <row r="49" spans="1:13" x14ac:dyDescent="0.25">
      <c r="A49" s="545" t="str">
        <f>IF(AND(SUM(Studies!I58:J58)=2,Studies!K58&lt;&gt;0),Studies!A58,"")</f>
        <v/>
      </c>
      <c r="B49" s="545" t="str">
        <f>IF(AND(SUM(Studies!I58:J58)=2,Studies!K58&lt;&gt;0),Studies!B58,"")</f>
        <v/>
      </c>
      <c r="C49" s="545" t="str">
        <f>IF(AND(SUM(Studies!I58:J58)=2,Studies!K58&lt;&gt;0),Studies!C58,"")</f>
        <v/>
      </c>
      <c r="D49" s="545" t="str">
        <f>IF(AND(SUM(Studies!I58:J58)=2,Studies!K58&lt;&gt;0),Studies!D58,"")</f>
        <v/>
      </c>
      <c r="E49" s="545" t="str">
        <f>IF(AND(SUM(Studies!I58:J58)=2,Studies!K58&lt;&gt;0),Studies!E58,"")</f>
        <v/>
      </c>
      <c r="F49" s="546"/>
      <c r="G49" s="546"/>
      <c r="H49" s="546"/>
      <c r="I49" s="546"/>
      <c r="J49" s="546"/>
      <c r="K49" s="546"/>
      <c r="L49" s="546"/>
      <c r="M49" s="546"/>
    </row>
    <row r="50" spans="1:13" x14ac:dyDescent="0.25">
      <c r="A50" s="545" t="str">
        <f>IF(AND(SUM(Studies!I59:J59)=2,Studies!K59&lt;&gt;0),Studies!A59,"")</f>
        <v/>
      </c>
      <c r="B50" s="545" t="str">
        <f>IF(AND(SUM(Studies!I59:J59)=2,Studies!K59&lt;&gt;0),Studies!B59,"")</f>
        <v/>
      </c>
      <c r="C50" s="545" t="str">
        <f>IF(AND(SUM(Studies!I59:J59)=2,Studies!K59&lt;&gt;0),Studies!C59,"")</f>
        <v/>
      </c>
      <c r="D50" s="545" t="str">
        <f>IF(AND(SUM(Studies!I59:J59)=2,Studies!K59&lt;&gt;0),Studies!D59,"")</f>
        <v/>
      </c>
      <c r="E50" s="545" t="str">
        <f>IF(AND(SUM(Studies!I59:J59)=2,Studies!K59&lt;&gt;0),Studies!E59,"")</f>
        <v/>
      </c>
      <c r="F50" s="546"/>
      <c r="G50" s="546"/>
      <c r="H50" s="546"/>
      <c r="I50" s="546"/>
      <c r="J50" s="546"/>
      <c r="K50" s="546"/>
      <c r="L50" s="546"/>
      <c r="M50" s="546"/>
    </row>
    <row r="51" spans="1:13" x14ac:dyDescent="0.25">
      <c r="A51" s="545" t="str">
        <f>IF(AND(SUM(Studies!I60:J60)=2,Studies!K60&lt;&gt;0),Studies!A60,"")</f>
        <v/>
      </c>
      <c r="B51" s="545" t="str">
        <f>IF(AND(SUM(Studies!I60:J60)=2,Studies!K60&lt;&gt;0),Studies!B60,"")</f>
        <v/>
      </c>
      <c r="C51" s="545" t="str">
        <f>IF(AND(SUM(Studies!I60:J60)=2,Studies!K60&lt;&gt;0),Studies!C60,"")</f>
        <v/>
      </c>
      <c r="D51" s="545" t="str">
        <f>IF(AND(SUM(Studies!I60:J60)=2,Studies!K60&lt;&gt;0),Studies!D60,"")</f>
        <v/>
      </c>
      <c r="E51" s="545" t="str">
        <f>IF(AND(SUM(Studies!I60:J60)=2,Studies!K60&lt;&gt;0),Studies!E60,"")</f>
        <v/>
      </c>
      <c r="F51" s="546"/>
      <c r="G51" s="546"/>
      <c r="H51" s="546"/>
      <c r="I51" s="546"/>
      <c r="J51" s="546"/>
      <c r="K51" s="546"/>
      <c r="L51" s="546"/>
      <c r="M51" s="54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0B1D3-A24D-46E3-A6A2-8BEA155A52BD}">
  <sheetPr>
    <pageSetUpPr fitToPage="1"/>
  </sheetPr>
  <dimension ref="A1:P27"/>
  <sheetViews>
    <sheetView showGridLines="0" zoomScaleNormal="100" zoomScalePageLayoutView="50" workbookViewId="0">
      <pane ySplit="7" topLeftCell="A8" activePane="bottomLeft" state="frozen"/>
      <selection pane="bottomLeft" activeCell="A8" sqref="A8"/>
    </sheetView>
  </sheetViews>
  <sheetFormatPr defaultColWidth="11.42578125" defaultRowHeight="15" x14ac:dyDescent="0.25"/>
  <cols>
    <col min="1" max="1" width="34.7109375" style="547" customWidth="1"/>
    <col min="2" max="2" width="17.5703125" style="547" customWidth="1"/>
    <col min="3" max="3" width="40.85546875" style="547" customWidth="1"/>
    <col min="4" max="4" width="16.28515625" style="547" customWidth="1"/>
    <col min="5" max="10" width="10.7109375" style="547" customWidth="1"/>
    <col min="11" max="11" width="44.7109375" style="547" customWidth="1"/>
    <col min="12" max="12" width="11.42578125" style="547"/>
    <col min="13" max="15" width="11.42578125" style="547" hidden="1" customWidth="1"/>
    <col min="16" max="16" width="11.42578125" style="547" customWidth="1"/>
    <col min="17" max="16384" width="11.42578125" style="547"/>
  </cols>
  <sheetData>
    <row r="1" spans="1:16" ht="8.25" customHeight="1" x14ac:dyDescent="0.25">
      <c r="A1" s="12"/>
      <c r="B1" s="12"/>
      <c r="C1" s="12"/>
      <c r="D1" s="12"/>
      <c r="E1" s="12"/>
      <c r="F1" s="12"/>
      <c r="G1" s="12"/>
      <c r="H1" s="12"/>
      <c r="I1" s="12"/>
      <c r="J1" s="12"/>
      <c r="K1" s="12"/>
      <c r="L1" s="12"/>
      <c r="M1" s="12"/>
      <c r="N1" s="12"/>
      <c r="O1" s="12"/>
    </row>
    <row r="2" spans="1:16" x14ac:dyDescent="0.25">
      <c r="A2" s="441" t="str">
        <f>'Basic data'!B2</f>
        <v>Annex CR Version Q1.2 (Audit year 2026 / Indicator year 2025)</v>
      </c>
      <c r="B2" s="12"/>
      <c r="C2" s="12"/>
      <c r="D2" s="12"/>
      <c r="E2" s="12"/>
      <c r="F2" s="12"/>
      <c r="G2" s="12"/>
      <c r="H2" s="12"/>
      <c r="I2" s="12"/>
      <c r="J2" s="12"/>
      <c r="K2" s="12"/>
      <c r="L2" s="12"/>
      <c r="M2" s="12"/>
      <c r="N2" s="12"/>
      <c r="O2" s="12"/>
    </row>
    <row r="3" spans="1:16" ht="15.75" x14ac:dyDescent="0.25">
      <c r="A3" s="548" t="s">
        <v>848</v>
      </c>
      <c r="B3" s="12"/>
      <c r="C3" s="12"/>
      <c r="D3" s="12"/>
      <c r="E3" s="12"/>
      <c r="F3" s="12"/>
      <c r="G3" s="12"/>
      <c r="H3" s="12"/>
      <c r="I3" s="12"/>
      <c r="J3" s="12"/>
      <c r="K3" s="12"/>
      <c r="L3" s="12"/>
      <c r="M3" s="12"/>
      <c r="N3" s="12"/>
      <c r="O3" s="12"/>
    </row>
    <row r="4" spans="1:16" ht="33.75" customHeight="1" x14ac:dyDescent="0.25">
      <c r="A4" s="590" t="s">
        <v>891</v>
      </c>
      <c r="B4" s="590"/>
      <c r="C4" s="590"/>
      <c r="D4" s="590"/>
      <c r="E4" s="590"/>
      <c r="F4" s="590"/>
      <c r="G4" s="12"/>
      <c r="H4" s="12"/>
      <c r="I4" s="12"/>
      <c r="J4" s="12"/>
      <c r="K4" s="12"/>
      <c r="L4" s="12"/>
      <c r="M4" s="12"/>
      <c r="N4" s="12"/>
      <c r="O4" s="12"/>
    </row>
    <row r="5" spans="1:16" ht="5.25" customHeight="1" thickBot="1" x14ac:dyDescent="0.3">
      <c r="E5" s="442"/>
      <c r="F5" s="12"/>
      <c r="G5" s="12"/>
      <c r="H5" s="12"/>
      <c r="I5" s="12"/>
      <c r="J5" s="12"/>
    </row>
    <row r="6" spans="1:16" ht="24.95" customHeight="1" x14ac:dyDescent="0.25">
      <c r="A6" s="677" t="s">
        <v>849</v>
      </c>
      <c r="B6" s="679" t="s">
        <v>850</v>
      </c>
      <c r="C6" s="679" t="s">
        <v>855</v>
      </c>
      <c r="D6" s="679" t="s">
        <v>851</v>
      </c>
      <c r="E6" s="679">
        <v>2025</v>
      </c>
      <c r="F6" s="681" t="s">
        <v>879</v>
      </c>
      <c r="G6" s="682"/>
      <c r="H6" s="682"/>
      <c r="I6" s="682"/>
      <c r="J6" s="683"/>
      <c r="K6" s="674" t="s">
        <v>856</v>
      </c>
    </row>
    <row r="7" spans="1:16" ht="24.95" customHeight="1" thickBot="1" x14ac:dyDescent="0.3">
      <c r="A7" s="678"/>
      <c r="B7" s="680"/>
      <c r="C7" s="680"/>
      <c r="D7" s="680"/>
      <c r="E7" s="680"/>
      <c r="F7" s="549">
        <v>2024</v>
      </c>
      <c r="G7" s="549">
        <v>2023</v>
      </c>
      <c r="H7" s="550">
        <v>2022</v>
      </c>
      <c r="I7" s="549">
        <v>2021</v>
      </c>
      <c r="J7" s="549" t="s">
        <v>878</v>
      </c>
      <c r="K7" s="675"/>
    </row>
    <row r="8" spans="1:16" ht="24.95" customHeight="1" x14ac:dyDescent="0.25">
      <c r="A8" s="551"/>
      <c r="B8" s="552"/>
      <c r="C8" s="552"/>
      <c r="D8" s="553"/>
      <c r="E8" s="554"/>
      <c r="F8" s="554"/>
      <c r="G8" s="554"/>
      <c r="H8" s="564"/>
      <c r="I8" s="554"/>
      <c r="J8" s="565">
        <f>IF(AND(E8&gt;=25,F8&lt;&gt;"",G8&lt;&gt;"",H8&lt;&gt;"",I8&lt;&gt;""),SUM(E8:I8),IF(AND(E8&lt;=24,F8&lt;&gt;"",G8&lt;&gt;"",H8&lt;&gt;"",I8&lt;&gt;""),SUM(E8:I8),IF(E8&gt;=25,0,0)))</f>
        <v>0</v>
      </c>
      <c r="K8" s="555"/>
      <c r="M8" s="556" t="s">
        <v>852</v>
      </c>
      <c r="O8" s="566" t="str">
        <f>IF(OR(B8="Designated surgeon",B8="Non-designated surgeon"),E8,"0")</f>
        <v>0</v>
      </c>
      <c r="P8" s="567"/>
    </row>
    <row r="9" spans="1:16" ht="24.95" customHeight="1" x14ac:dyDescent="0.25">
      <c r="A9" s="551"/>
      <c r="B9" s="552"/>
      <c r="C9" s="552"/>
      <c r="D9" s="553"/>
      <c r="E9" s="568"/>
      <c r="F9" s="554"/>
      <c r="G9" s="554"/>
      <c r="H9" s="564"/>
      <c r="I9" s="554"/>
      <c r="J9" s="565">
        <f t="shared" ref="J9:J24" si="0">IF(AND(E9&gt;=25,F9&lt;&gt;"",G9&lt;&gt;"",H9&lt;&gt;"",I9&lt;&gt;""),SUM(E9:I9),IF(AND(E9&lt;=24,F9&lt;&gt;"",G9&lt;&gt;"",H9&lt;&gt;"",I9&lt;&gt;""),SUM(E9:I9),IF(E9&gt;=25,0,0)))</f>
        <v>0</v>
      </c>
      <c r="K9" s="555"/>
      <c r="M9" s="556" t="s">
        <v>853</v>
      </c>
      <c r="O9" s="566" t="str">
        <f t="shared" ref="O9:O24" si="1">IF(OR(B9="Designated surgeon",B9="Non-designated surgeon"),E9,"0")</f>
        <v>0</v>
      </c>
    </row>
    <row r="10" spans="1:16" ht="24.95" customHeight="1" x14ac:dyDescent="0.25">
      <c r="A10" s="551"/>
      <c r="B10" s="552"/>
      <c r="C10" s="552"/>
      <c r="D10" s="553"/>
      <c r="E10" s="554"/>
      <c r="F10" s="554"/>
      <c r="G10" s="554"/>
      <c r="H10" s="564"/>
      <c r="I10" s="554"/>
      <c r="J10" s="565">
        <f t="shared" si="0"/>
        <v>0</v>
      </c>
      <c r="K10" s="555"/>
      <c r="M10" s="556" t="s">
        <v>854</v>
      </c>
      <c r="O10" s="566" t="str">
        <f t="shared" si="1"/>
        <v>0</v>
      </c>
    </row>
    <row r="11" spans="1:16" ht="24.95" customHeight="1" x14ac:dyDescent="0.25">
      <c r="A11" s="551"/>
      <c r="B11" s="552"/>
      <c r="C11" s="552"/>
      <c r="D11" s="553"/>
      <c r="E11" s="568"/>
      <c r="F11" s="554"/>
      <c r="G11" s="554"/>
      <c r="H11" s="564"/>
      <c r="I11" s="554"/>
      <c r="J11" s="565">
        <f t="shared" si="0"/>
        <v>0</v>
      </c>
      <c r="K11" s="555"/>
      <c r="O11" s="566" t="str">
        <f t="shared" si="1"/>
        <v>0</v>
      </c>
    </row>
    <row r="12" spans="1:16" ht="24.95" customHeight="1" x14ac:dyDescent="0.25">
      <c r="A12" s="551"/>
      <c r="B12" s="552"/>
      <c r="C12" s="552"/>
      <c r="D12" s="553"/>
      <c r="E12" s="554"/>
      <c r="F12" s="568"/>
      <c r="G12" s="568"/>
      <c r="H12" s="569"/>
      <c r="I12" s="568"/>
      <c r="J12" s="565">
        <f t="shared" si="0"/>
        <v>0</v>
      </c>
      <c r="K12" s="555"/>
      <c r="O12" s="566" t="str">
        <f t="shared" si="1"/>
        <v>0</v>
      </c>
    </row>
    <row r="13" spans="1:16" ht="24.95" customHeight="1" x14ac:dyDescent="0.25">
      <c r="A13" s="551"/>
      <c r="B13" s="552"/>
      <c r="C13" s="552"/>
      <c r="D13" s="553"/>
      <c r="E13" s="568"/>
      <c r="F13" s="568"/>
      <c r="G13" s="568"/>
      <c r="H13" s="569"/>
      <c r="I13" s="568"/>
      <c r="J13" s="565">
        <f t="shared" si="0"/>
        <v>0</v>
      </c>
      <c r="K13" s="555"/>
      <c r="O13" s="566" t="str">
        <f t="shared" si="1"/>
        <v>0</v>
      </c>
    </row>
    <row r="14" spans="1:16" ht="24.95" customHeight="1" x14ac:dyDescent="0.25">
      <c r="A14" s="551"/>
      <c r="B14" s="552"/>
      <c r="C14" s="552"/>
      <c r="D14" s="553"/>
      <c r="E14" s="554"/>
      <c r="F14" s="570"/>
      <c r="G14" s="568"/>
      <c r="H14" s="568"/>
      <c r="I14" s="570"/>
      <c r="J14" s="565">
        <f t="shared" si="0"/>
        <v>0</v>
      </c>
      <c r="K14" s="555"/>
      <c r="O14" s="566" t="str">
        <f t="shared" si="1"/>
        <v>0</v>
      </c>
    </row>
    <row r="15" spans="1:16" ht="24.95" customHeight="1" x14ac:dyDescent="0.25">
      <c r="A15" s="551"/>
      <c r="B15" s="552"/>
      <c r="C15" s="552"/>
      <c r="D15" s="553"/>
      <c r="E15" s="568"/>
      <c r="F15" s="570"/>
      <c r="G15" s="568"/>
      <c r="H15" s="568"/>
      <c r="I15" s="570"/>
      <c r="J15" s="565">
        <f t="shared" si="0"/>
        <v>0</v>
      </c>
      <c r="K15" s="555"/>
      <c r="O15" s="566" t="str">
        <f t="shared" si="1"/>
        <v>0</v>
      </c>
    </row>
    <row r="16" spans="1:16" ht="24.95" customHeight="1" x14ac:dyDescent="0.25">
      <c r="A16" s="551"/>
      <c r="B16" s="552"/>
      <c r="C16" s="552"/>
      <c r="D16" s="553"/>
      <c r="E16" s="554"/>
      <c r="F16" s="570"/>
      <c r="G16" s="568"/>
      <c r="H16" s="568"/>
      <c r="I16" s="570"/>
      <c r="J16" s="565">
        <f t="shared" si="0"/>
        <v>0</v>
      </c>
      <c r="K16" s="555"/>
      <c r="O16" s="566" t="str">
        <f t="shared" si="1"/>
        <v>0</v>
      </c>
    </row>
    <row r="17" spans="1:15" ht="24.95" customHeight="1" x14ac:dyDescent="0.25">
      <c r="A17" s="551"/>
      <c r="B17" s="552"/>
      <c r="C17" s="552"/>
      <c r="D17" s="553"/>
      <c r="E17" s="568"/>
      <c r="F17" s="570"/>
      <c r="G17" s="568"/>
      <c r="H17" s="568"/>
      <c r="I17" s="570"/>
      <c r="J17" s="565">
        <f t="shared" si="0"/>
        <v>0</v>
      </c>
      <c r="K17" s="555"/>
      <c r="O17" s="566" t="str">
        <f t="shared" si="1"/>
        <v>0</v>
      </c>
    </row>
    <row r="18" spans="1:15" ht="24.95" customHeight="1" x14ac:dyDescent="0.25">
      <c r="A18" s="551"/>
      <c r="B18" s="552"/>
      <c r="C18" s="552"/>
      <c r="D18" s="553"/>
      <c r="E18" s="554"/>
      <c r="F18" s="570"/>
      <c r="G18" s="568"/>
      <c r="H18" s="568"/>
      <c r="I18" s="570"/>
      <c r="J18" s="565">
        <f t="shared" si="0"/>
        <v>0</v>
      </c>
      <c r="K18" s="555"/>
      <c r="O18" s="566" t="str">
        <f t="shared" si="1"/>
        <v>0</v>
      </c>
    </row>
    <row r="19" spans="1:15" ht="24.95" customHeight="1" x14ac:dyDescent="0.25">
      <c r="A19" s="551"/>
      <c r="B19" s="552"/>
      <c r="C19" s="552"/>
      <c r="D19" s="553"/>
      <c r="E19" s="568"/>
      <c r="F19" s="570"/>
      <c r="G19" s="568"/>
      <c r="H19" s="568"/>
      <c r="I19" s="570"/>
      <c r="J19" s="565">
        <f t="shared" si="0"/>
        <v>0</v>
      </c>
      <c r="K19" s="555"/>
      <c r="O19" s="566" t="str">
        <f t="shared" si="1"/>
        <v>0</v>
      </c>
    </row>
    <row r="20" spans="1:15" ht="24.95" customHeight="1" x14ac:dyDescent="0.25">
      <c r="A20" s="551"/>
      <c r="B20" s="552"/>
      <c r="C20" s="552"/>
      <c r="D20" s="553"/>
      <c r="E20" s="554"/>
      <c r="F20" s="570"/>
      <c r="G20" s="568"/>
      <c r="H20" s="568"/>
      <c r="I20" s="570"/>
      <c r="J20" s="565">
        <f t="shared" si="0"/>
        <v>0</v>
      </c>
      <c r="K20" s="555"/>
      <c r="O20" s="566" t="str">
        <f t="shared" si="1"/>
        <v>0</v>
      </c>
    </row>
    <row r="21" spans="1:15" ht="24.95" customHeight="1" x14ac:dyDescent="0.25">
      <c r="A21" s="551"/>
      <c r="B21" s="552"/>
      <c r="C21" s="552"/>
      <c r="D21" s="553"/>
      <c r="E21" s="568"/>
      <c r="F21" s="570"/>
      <c r="G21" s="568"/>
      <c r="H21" s="568"/>
      <c r="I21" s="570"/>
      <c r="J21" s="565">
        <f t="shared" si="0"/>
        <v>0</v>
      </c>
      <c r="K21" s="555"/>
      <c r="O21" s="566" t="str">
        <f t="shared" si="1"/>
        <v>0</v>
      </c>
    </row>
    <row r="22" spans="1:15" ht="24.95" customHeight="1" x14ac:dyDescent="0.25">
      <c r="A22" s="551"/>
      <c r="B22" s="552"/>
      <c r="C22" s="552"/>
      <c r="D22" s="553"/>
      <c r="E22" s="554"/>
      <c r="F22" s="570"/>
      <c r="G22" s="568"/>
      <c r="H22" s="568"/>
      <c r="I22" s="570"/>
      <c r="J22" s="565">
        <f t="shared" si="0"/>
        <v>0</v>
      </c>
      <c r="K22" s="555"/>
      <c r="O22" s="566" t="str">
        <f t="shared" si="1"/>
        <v>0</v>
      </c>
    </row>
    <row r="23" spans="1:15" ht="24.95" customHeight="1" x14ac:dyDescent="0.25">
      <c r="A23" s="551"/>
      <c r="B23" s="552"/>
      <c r="C23" s="552"/>
      <c r="D23" s="553"/>
      <c r="E23" s="568"/>
      <c r="F23" s="570"/>
      <c r="G23" s="568"/>
      <c r="H23" s="568"/>
      <c r="I23" s="570"/>
      <c r="J23" s="565">
        <f t="shared" si="0"/>
        <v>0</v>
      </c>
      <c r="K23" s="555"/>
      <c r="O23" s="566" t="str">
        <f t="shared" si="1"/>
        <v>0</v>
      </c>
    </row>
    <row r="24" spans="1:15" ht="24.95" customHeight="1" thickBot="1" x14ac:dyDescent="0.3">
      <c r="A24" s="557"/>
      <c r="B24" s="538"/>
      <c r="C24" s="538"/>
      <c r="D24" s="558"/>
      <c r="E24" s="559"/>
      <c r="F24" s="571"/>
      <c r="G24" s="559"/>
      <c r="H24" s="559"/>
      <c r="I24" s="559"/>
      <c r="J24" s="572">
        <f t="shared" si="0"/>
        <v>0</v>
      </c>
      <c r="K24" s="555"/>
      <c r="O24" s="566" t="str">
        <f t="shared" si="1"/>
        <v>0</v>
      </c>
    </row>
    <row r="25" spans="1:15" ht="20.100000000000001" customHeight="1" thickBot="1" x14ac:dyDescent="0.3">
      <c r="D25" s="560" t="s">
        <v>847</v>
      </c>
      <c r="E25" s="573">
        <f>SUM(O8:O24)</f>
        <v>0</v>
      </c>
      <c r="F25" s="574"/>
      <c r="G25" s="574"/>
      <c r="H25" s="574"/>
      <c r="I25" s="574"/>
    </row>
    <row r="26" spans="1:15" ht="15.75" customHeight="1" x14ac:dyDescent="0.25">
      <c r="A26" s="676"/>
      <c r="B26" s="676"/>
      <c r="C26" s="676"/>
    </row>
    <row r="27" spans="1:15" x14ac:dyDescent="0.25">
      <c r="A27" s="377"/>
    </row>
  </sheetData>
  <sheetProtection algorithmName="SHA-512" hashValue="yobO/KA7YBOPptdtz2prOrNqhYk64MGcwBNWSt+sNckDR2J6u0kz/T2mOgBbn+U4cCHkl8CmGfea6HpTtVRdEQ==" saltValue="XlSDd+/NO5Z2yKkNhvIGPA==" spinCount="100000" sheet="1" objects="1" scenarios="1" selectLockedCells="1"/>
  <mergeCells count="9">
    <mergeCell ref="K6:K7"/>
    <mergeCell ref="A26:C26"/>
    <mergeCell ref="A4:F4"/>
    <mergeCell ref="A6:A7"/>
    <mergeCell ref="B6:B7"/>
    <mergeCell ref="C6:C7"/>
    <mergeCell ref="D6:D7"/>
    <mergeCell ref="E6:E7"/>
    <mergeCell ref="F6:J6"/>
  </mergeCells>
  <conditionalFormatting sqref="A8:I24">
    <cfRule type="expression" dxfId="135" priority="21">
      <formula>LEN(TRIM(A8))=0</formula>
    </cfRule>
  </conditionalFormatting>
  <conditionalFormatting sqref="E8:E24">
    <cfRule type="expression" dxfId="134" priority="22">
      <formula>AND($B8="Designated surgeon",$E8&lt;25)</formula>
    </cfRule>
    <cfRule type="expression" dxfId="133" priority="23">
      <formula>AND($B8="Non-designated surgeon",$E$8&gt;=0)</formula>
    </cfRule>
  </conditionalFormatting>
  <conditionalFormatting sqref="F8:I24">
    <cfRule type="expression" dxfId="132" priority="13">
      <formula>AND($B8="In training",$E8&lt;&gt;"")</formula>
    </cfRule>
    <cfRule type="expression" dxfId="131" priority="20">
      <formula>$E8&gt;=25</formula>
    </cfRule>
  </conditionalFormatting>
  <conditionalFormatting sqref="J8:J24">
    <cfRule type="expression" dxfId="130" priority="12">
      <formula>$B8="In training"</formula>
    </cfRule>
    <cfRule type="expression" dxfId="129" priority="18">
      <formula>$E8&gt;=25</formula>
    </cfRule>
    <cfRule type="expression" dxfId="128" priority="19">
      <formula>AND($J8&gt;1,$J8&lt;75)</formula>
    </cfRule>
  </conditionalFormatting>
  <conditionalFormatting sqref="K8:K24">
    <cfRule type="expression" dxfId="127" priority="1">
      <formula>AND($B8="Designated surgeon", $K8&lt;&gt;"")</formula>
    </cfRule>
    <cfRule type="expression" dxfId="126" priority="2">
      <formula>AND($B8="Designated surgeon", $K8="", $E8&gt;=25)</formula>
    </cfRule>
    <cfRule type="expression" dxfId="125" priority="3">
      <formula>AND($B8="Designated surgeon", $K8="", $E8&lt;25)</formula>
    </cfRule>
    <cfRule type="expression" dxfId="124" priority="4">
      <formula>AND($B8="Non-designated surgeon", $K8&lt;&gt;"")</formula>
    </cfRule>
    <cfRule type="expression" dxfId="123" priority="5">
      <formula>AND($B8="Non-designated surgeon",$E8&lt;&gt;"")</formula>
    </cfRule>
    <cfRule type="expression" dxfId="122" priority="6">
      <formula>AND($J8&lt;&gt;0,$J8&gt;=75)</formula>
    </cfRule>
    <cfRule type="expression" dxfId="121" priority="7">
      <formula>AND($B8="In training",$E8&lt;&gt;"")</formula>
    </cfRule>
    <cfRule type="expression" dxfId="120" priority="8">
      <formula>LEN(TRIM(K8))=0</formula>
    </cfRule>
  </conditionalFormatting>
  <dataValidations count="7">
    <dataValidation type="textLength" allowBlank="1" showInputMessage="1" showErrorMessage="1" errorTitle="Note" error="Please enter the period from ... to the key figure year." sqref="D8:D24" xr:uid="{7CD4CFDA-72AD-4834-A674-CD2D0CC0BCFE}">
      <formula1>2</formula1>
      <formula2>500</formula2>
    </dataValidation>
    <dataValidation type="list" allowBlank="1" showInputMessage="1" showErrorMessage="1" errorTitle="Indication" error="Select option via drop-down list." sqref="B8:B24" xr:uid="{6386BA88-C5DB-405A-BEF3-AA58C3190982}">
      <formula1>$M$8:$M$10</formula1>
    </dataValidation>
    <dataValidation type="whole" showInputMessage="1" showErrorMessage="1" errorTitle="Eingabefehler" error="Ganze Zahl zwischen 0 und 5000 eingeben." sqref="J8:J24" xr:uid="{050AF444-E079-4B2E-B03B-D655445CFB48}">
      <formula1>0</formula1>
      <formula2>5000</formula2>
    </dataValidation>
    <dataValidation type="textLength" showInputMessage="1" showErrorMessage="1" errorTitle="Character length" error="Only text input up to 200 characters possible." sqref="C8:C24" xr:uid="{39DED4D1-397E-4FFC-AFB4-221366B8AD91}">
      <formula1>2</formula1>
      <formula2>200</formula2>
    </dataValidation>
    <dataValidation type="textLength" showInputMessage="1" showErrorMessage="1" errorTitle="Character length" error="Only text input up to 500 characters possible." sqref="K8:K24" xr:uid="{ACBB2543-69C5-4636-9817-4DAFB7A41538}">
      <formula1>2</formula1>
      <formula2>500</formula2>
    </dataValidation>
    <dataValidation type="textLength" allowBlank="1" showInputMessage="1" showErrorMessage="1" errorTitle="Character length" error="Only text input up to 200 characters possible." sqref="A8:A24" xr:uid="{F5372098-C22D-4E23-A659-568338023B07}">
      <formula1>2</formula1>
      <formula2>200</formula2>
    </dataValidation>
    <dataValidation type="whole" allowBlank="1" showInputMessage="1" showErrorMessage="1" errorTitle="Input data error" error="Whole number between 0 and 5000." sqref="E8:I24" xr:uid="{7D3953C5-70E8-43A0-9AAD-247B09668A27}">
      <formula1>0</formula1>
      <formula2>5000</formula2>
    </dataValidation>
  </dataValidations>
  <pageMargins left="0.24" right="0.25" top="0.75" bottom="0.75" header="0.3" footer="0.3"/>
  <pageSetup scale="62" orientation="landscape" horizontalDpi="4294967295" verticalDpi="4294967295" r:id="rId1"/>
  <headerFooter>
    <oddFooter>&amp;L&amp;F&amp;C© DKG Alle Rechte vorbehalten&amp;R&amp;P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pageSetUpPr fitToPage="1"/>
  </sheetPr>
  <dimension ref="A1:AA103"/>
  <sheetViews>
    <sheetView showGridLines="0" zoomScaleNormal="100" zoomScaleSheetLayoutView="100" workbookViewId="0">
      <pane xSplit="1" ySplit="7" topLeftCell="B8" activePane="bottomRight" state="frozen"/>
      <selection pane="topRight" activeCell="B1" sqref="B1"/>
      <selection pane="bottomLeft" activeCell="A13" sqref="A13"/>
      <selection pane="bottomRight" activeCell="S8" sqref="S8:S10"/>
    </sheetView>
  </sheetViews>
  <sheetFormatPr defaultColWidth="11.42578125" defaultRowHeight="14.25" x14ac:dyDescent="0.2"/>
  <cols>
    <col min="1" max="1" width="0.85546875" style="12" customWidth="1"/>
    <col min="2" max="2" width="3.42578125" style="12" customWidth="1"/>
    <col min="3" max="3" width="4" style="467" customWidth="1"/>
    <col min="4" max="4" width="4.140625" style="12" customWidth="1"/>
    <col min="5" max="5" width="16.28515625" style="12" customWidth="1"/>
    <col min="6" max="6" width="13.140625" style="12" customWidth="1"/>
    <col min="7" max="7" width="10.28515625" style="12" customWidth="1"/>
    <col min="8" max="8" width="12.7109375" style="12" customWidth="1"/>
    <col min="9" max="9" width="10.28515625" style="12" customWidth="1"/>
    <col min="10" max="10" width="14.5703125" style="12" customWidth="1"/>
    <col min="11" max="11" width="9.7109375" style="12" customWidth="1"/>
    <col min="12" max="12" width="5.85546875" style="12" customWidth="1"/>
    <col min="13" max="13" width="4.7109375" style="12" customWidth="1"/>
    <col min="14" max="14" width="3.85546875" style="12" customWidth="1"/>
    <col min="15" max="15" width="6.7109375" style="12" customWidth="1"/>
    <col min="16" max="16" width="9.7109375" style="12" customWidth="1"/>
    <col min="17" max="17" width="7.85546875" style="480" customWidth="1"/>
    <col min="18" max="18" width="8.7109375" style="12" customWidth="1"/>
    <col min="19" max="20" width="70.85546875" style="12" customWidth="1"/>
    <col min="21" max="21" width="9.140625" style="12" hidden="1" customWidth="1"/>
    <col min="22" max="16384" width="11.42578125" style="12"/>
  </cols>
  <sheetData>
    <row r="1" spans="1:20" ht="8.25" customHeight="1" x14ac:dyDescent="0.25">
      <c r="A1" s="6"/>
      <c r="Q1" s="12"/>
    </row>
    <row r="2" spans="1:20" ht="15" customHeight="1" x14ac:dyDescent="0.2">
      <c r="A2" s="50"/>
      <c r="B2" s="441" t="s">
        <v>861</v>
      </c>
      <c r="C2" s="468"/>
      <c r="D2" s="11"/>
      <c r="E2" s="11"/>
      <c r="F2" s="11"/>
      <c r="G2" s="11"/>
      <c r="H2" s="11"/>
      <c r="I2" s="11"/>
      <c r="J2" s="11"/>
      <c r="Q2" s="12"/>
      <c r="S2" s="577"/>
    </row>
    <row r="3" spans="1:20" ht="19.5" customHeight="1" x14ac:dyDescent="0.25">
      <c r="A3" s="469"/>
      <c r="B3" s="470" t="s">
        <v>656</v>
      </c>
      <c r="P3" s="471"/>
      <c r="Q3" s="12"/>
      <c r="S3" s="826"/>
    </row>
    <row r="4" spans="1:20" s="11" customFormat="1" ht="15" customHeight="1" x14ac:dyDescent="0.2">
      <c r="B4" s="26" t="s">
        <v>418</v>
      </c>
      <c r="C4" s="45"/>
      <c r="D4" s="26"/>
      <c r="E4" s="781" t="str">
        <f>IF('Basic data'!C6=0,"",'Basic data'!C6)</f>
        <v/>
      </c>
      <c r="F4" s="782"/>
      <c r="G4" s="45" t="s">
        <v>419</v>
      </c>
      <c r="H4" s="781" t="str">
        <f>IF('Basic data'!C8=0,"",'Basic data'!C8)</f>
        <v/>
      </c>
      <c r="I4" s="783"/>
      <c r="J4" s="783"/>
      <c r="K4" s="783"/>
      <c r="L4" s="783"/>
      <c r="M4" s="783"/>
      <c r="N4" s="783"/>
      <c r="O4" s="782"/>
      <c r="P4" s="12"/>
      <c r="Q4" s="471"/>
      <c r="R4" s="471"/>
      <c r="S4" s="826"/>
    </row>
    <row r="5" spans="1:20" s="11" customFormat="1" ht="9" customHeight="1" thickBot="1" x14ac:dyDescent="0.25">
      <c r="B5" s="5"/>
      <c r="C5" s="116"/>
      <c r="D5" s="5"/>
      <c r="Q5" s="471"/>
    </row>
    <row r="6" spans="1:20" s="442" customFormat="1" ht="16.5" customHeight="1" thickBot="1" x14ac:dyDescent="0.3">
      <c r="B6" s="786" t="s">
        <v>664</v>
      </c>
      <c r="C6" s="787"/>
      <c r="D6" s="792" t="s">
        <v>735</v>
      </c>
      <c r="E6" s="790" t="s">
        <v>665</v>
      </c>
      <c r="F6" s="790" t="s">
        <v>666</v>
      </c>
      <c r="G6" s="794"/>
      <c r="H6" s="790" t="s">
        <v>667</v>
      </c>
      <c r="I6" s="794"/>
      <c r="J6" s="790" t="s">
        <v>668</v>
      </c>
      <c r="K6" s="794"/>
      <c r="L6" s="784" t="s">
        <v>731</v>
      </c>
      <c r="M6" s="798" t="s">
        <v>669</v>
      </c>
      <c r="N6" s="798"/>
      <c r="O6" s="784" t="s">
        <v>731</v>
      </c>
      <c r="P6" s="786" t="s">
        <v>670</v>
      </c>
      <c r="Q6" s="815"/>
      <c r="R6" s="792" t="s">
        <v>671</v>
      </c>
      <c r="S6" s="795" t="s">
        <v>672</v>
      </c>
      <c r="T6" s="796"/>
    </row>
    <row r="7" spans="1:20" s="442" customFormat="1" ht="23.25" customHeight="1" thickBot="1" x14ac:dyDescent="0.3">
      <c r="B7" s="788"/>
      <c r="C7" s="789"/>
      <c r="D7" s="793"/>
      <c r="E7" s="791"/>
      <c r="F7" s="791"/>
      <c r="G7" s="794"/>
      <c r="H7" s="791"/>
      <c r="I7" s="794"/>
      <c r="J7" s="791"/>
      <c r="K7" s="794"/>
      <c r="L7" s="785"/>
      <c r="M7" s="798"/>
      <c r="N7" s="798"/>
      <c r="O7" s="785"/>
      <c r="P7" s="816"/>
      <c r="Q7" s="817"/>
      <c r="R7" s="802"/>
      <c r="S7" s="472" t="s">
        <v>673</v>
      </c>
      <c r="T7" s="472" t="s">
        <v>674</v>
      </c>
    </row>
    <row r="8" spans="1:20" ht="28.5" customHeight="1" thickBot="1" x14ac:dyDescent="0.25">
      <c r="B8" s="768" t="s">
        <v>141</v>
      </c>
      <c r="C8" s="745"/>
      <c r="D8" s="774" t="s">
        <v>151</v>
      </c>
      <c r="E8" s="758" t="s">
        <v>675</v>
      </c>
      <c r="F8" s="758" t="s">
        <v>676</v>
      </c>
      <c r="G8" s="760"/>
      <c r="H8" s="758" t="s">
        <v>677</v>
      </c>
      <c r="I8" s="760"/>
      <c r="J8" s="769" t="s">
        <v>255</v>
      </c>
      <c r="K8" s="771"/>
      <c r="L8" s="728"/>
      <c r="M8" s="752" t="s">
        <v>193</v>
      </c>
      <c r="N8" s="752"/>
      <c r="O8" s="728"/>
      <c r="P8" s="799" t="s">
        <v>678</v>
      </c>
      <c r="Q8" s="720">
        <f>IF('Basic data'!Q40="",0,'Basic data'!Q40)</f>
        <v>0</v>
      </c>
      <c r="R8" s="711" t="str">
        <f>IF(Q8="",Berechnung1!$F$4,IF(Q8=0, Berechnung1!F4,IF(OR(Q8&lt; Berechnung1!E29,Q8&gt; Berechnung1!F29),Berechnung1!$G$4,IF(OR(ROUND(Q8,4)&lt;Berechnung1!J29,ROUND(Q8,4)&gt;Berechnung1!K29),Berechnung1!$D$4,IF(OR(ROUND(Q8,4)&lt;Berechnung1!G29,ROUND(Q8,4)&gt;Berechnung1!H29),Berechnung1!$E$4,Berechnung1!$C$4)))))</f>
        <v>Incomplete</v>
      </c>
      <c r="S8" s="714"/>
      <c r="T8" s="723"/>
    </row>
    <row r="9" spans="1:20" ht="28.5" customHeight="1" thickBot="1" x14ac:dyDescent="0.25">
      <c r="B9" s="746"/>
      <c r="C9" s="747"/>
      <c r="D9" s="775"/>
      <c r="E9" s="758"/>
      <c r="F9" s="758"/>
      <c r="G9" s="760"/>
      <c r="H9" s="758"/>
      <c r="I9" s="760"/>
      <c r="J9" s="698"/>
      <c r="K9" s="772"/>
      <c r="L9" s="729"/>
      <c r="M9" s="752"/>
      <c r="N9" s="752"/>
      <c r="O9" s="729"/>
      <c r="P9" s="799"/>
      <c r="Q9" s="721"/>
      <c r="R9" s="712"/>
      <c r="S9" s="797"/>
      <c r="T9" s="726"/>
    </row>
    <row r="10" spans="1:20" ht="28.5" customHeight="1" thickBot="1" x14ac:dyDescent="0.25">
      <c r="B10" s="748"/>
      <c r="C10" s="749"/>
      <c r="D10" s="776"/>
      <c r="E10" s="758"/>
      <c r="F10" s="758"/>
      <c r="G10" s="760"/>
      <c r="H10" s="758"/>
      <c r="I10" s="760"/>
      <c r="J10" s="700"/>
      <c r="K10" s="773"/>
      <c r="L10" s="730"/>
      <c r="M10" s="752"/>
      <c r="N10" s="752"/>
      <c r="O10" s="730"/>
      <c r="P10" s="799"/>
      <c r="Q10" s="722"/>
      <c r="R10" s="713"/>
      <c r="S10" s="797"/>
      <c r="T10" s="726"/>
    </row>
    <row r="11" spans="1:20" ht="30" customHeight="1" thickBot="1" x14ac:dyDescent="0.25">
      <c r="B11" s="801" t="s">
        <v>172</v>
      </c>
      <c r="C11" s="800">
        <v>1</v>
      </c>
      <c r="D11" s="761"/>
      <c r="E11" s="758" t="s">
        <v>679</v>
      </c>
      <c r="F11" s="778" t="s">
        <v>255</v>
      </c>
      <c r="G11" s="771"/>
      <c r="H11" s="758" t="s">
        <v>680</v>
      </c>
      <c r="I11" s="760"/>
      <c r="J11" s="769" t="s">
        <v>255</v>
      </c>
      <c r="K11" s="771"/>
      <c r="L11" s="728"/>
      <c r="M11" s="752" t="s">
        <v>681</v>
      </c>
      <c r="N11" s="752"/>
      <c r="O11" s="728"/>
      <c r="P11" s="799" t="s">
        <v>678</v>
      </c>
      <c r="Q11" s="720">
        <f>IF('Basic data'!Q33="",0,'Basic data'!Q33)</f>
        <v>0</v>
      </c>
      <c r="R11" s="711" t="str">
        <f>IF(Q11="",Berechnung1!$F$4,IF(Q11=0, Berechnung1!F4,IF(OR(Q11&lt; Berechnung1!E32,Q11&gt; Berechnung1!F32),Berechnung1!$G$4,IF(OR(ROUND(Q11,4)&lt;Berechnung1!J32,ROUND(Q11,4)&gt;Berechnung1!K32),Berechnung1!$D$4,IF(OR(ROUND(Q11,4)&lt;Berechnung1!G32,ROUND(Q11,4)&gt;Berechnung1!H32),Berechnung1!$E$4,Berechnung1!$C$4)))))</f>
        <v>Incomplete</v>
      </c>
      <c r="S11" s="723"/>
      <c r="T11" s="723"/>
    </row>
    <row r="12" spans="1:20" ht="30" customHeight="1" thickBot="1" x14ac:dyDescent="0.25">
      <c r="B12" s="764"/>
      <c r="C12" s="766"/>
      <c r="D12" s="750"/>
      <c r="E12" s="758"/>
      <c r="F12" s="779"/>
      <c r="G12" s="772"/>
      <c r="H12" s="758"/>
      <c r="I12" s="760"/>
      <c r="J12" s="698"/>
      <c r="K12" s="772"/>
      <c r="L12" s="729"/>
      <c r="M12" s="752"/>
      <c r="N12" s="752"/>
      <c r="O12" s="729"/>
      <c r="P12" s="799"/>
      <c r="Q12" s="721"/>
      <c r="R12" s="712"/>
      <c r="S12" s="724"/>
      <c r="T12" s="726"/>
    </row>
    <row r="13" spans="1:20" ht="30" customHeight="1" thickBot="1" x14ac:dyDescent="0.25">
      <c r="B13" s="764"/>
      <c r="C13" s="766"/>
      <c r="D13" s="750"/>
      <c r="E13" s="758"/>
      <c r="F13" s="780"/>
      <c r="G13" s="773"/>
      <c r="H13" s="758"/>
      <c r="I13" s="760"/>
      <c r="J13" s="700"/>
      <c r="K13" s="773"/>
      <c r="L13" s="730"/>
      <c r="M13" s="752"/>
      <c r="N13" s="752"/>
      <c r="O13" s="730"/>
      <c r="P13" s="799"/>
      <c r="Q13" s="722"/>
      <c r="R13" s="713"/>
      <c r="S13" s="725"/>
      <c r="T13" s="726"/>
    </row>
    <row r="14" spans="1:20" ht="30" customHeight="1" thickBot="1" x14ac:dyDescent="0.25">
      <c r="B14" s="764"/>
      <c r="C14" s="777">
        <v>2</v>
      </c>
      <c r="D14" s="750"/>
      <c r="E14" s="758" t="s">
        <v>682</v>
      </c>
      <c r="F14" s="778" t="s">
        <v>255</v>
      </c>
      <c r="G14" s="771"/>
      <c r="H14" s="758" t="s">
        <v>683</v>
      </c>
      <c r="I14" s="760"/>
      <c r="J14" s="769" t="s">
        <v>255</v>
      </c>
      <c r="K14" s="771"/>
      <c r="L14" s="728"/>
      <c r="M14" s="752" t="s">
        <v>681</v>
      </c>
      <c r="N14" s="752"/>
      <c r="O14" s="728"/>
      <c r="P14" s="799" t="s">
        <v>678</v>
      </c>
      <c r="Q14" s="720">
        <f>IF('Basic data'!Q34="",0,'Basic data'!Q34)</f>
        <v>0</v>
      </c>
      <c r="R14" s="711" t="str">
        <f>IF(Q14="",Berechnung1!$F$4,IF(Q14=0, Berechnung1!F4,IF(OR(Q14&lt; Berechnung1!E35,Q14&gt; Berechnung1!F35),Berechnung1!$G$4,IF(OR(ROUND(Q14,4)&lt;Berechnung1!J35,ROUND(Q14,4)&gt;Berechnung1!K35),Berechnung1!$D$4,IF(OR(ROUND(Q14,4)&lt;Berechnung1!G35,ROUND(Q14,4)&gt;Berechnung1!H35),Berechnung1!$E$4,Berechnung1!$C$4)))))</f>
        <v>Incomplete</v>
      </c>
      <c r="S14" s="723"/>
      <c r="T14" s="723"/>
    </row>
    <row r="15" spans="1:20" ht="30" customHeight="1" thickBot="1" x14ac:dyDescent="0.25">
      <c r="B15" s="764"/>
      <c r="C15" s="766"/>
      <c r="D15" s="750"/>
      <c r="E15" s="758"/>
      <c r="F15" s="779"/>
      <c r="G15" s="772"/>
      <c r="H15" s="758"/>
      <c r="I15" s="760"/>
      <c r="J15" s="698"/>
      <c r="K15" s="772"/>
      <c r="L15" s="729"/>
      <c r="M15" s="752"/>
      <c r="N15" s="752"/>
      <c r="O15" s="729"/>
      <c r="P15" s="799"/>
      <c r="Q15" s="721"/>
      <c r="R15" s="712"/>
      <c r="S15" s="797"/>
      <c r="T15" s="726"/>
    </row>
    <row r="16" spans="1:20" ht="30" customHeight="1" thickBot="1" x14ac:dyDescent="0.25">
      <c r="B16" s="764"/>
      <c r="C16" s="766"/>
      <c r="D16" s="750"/>
      <c r="E16" s="758"/>
      <c r="F16" s="780"/>
      <c r="G16" s="773"/>
      <c r="H16" s="758"/>
      <c r="I16" s="760"/>
      <c r="J16" s="700"/>
      <c r="K16" s="773"/>
      <c r="L16" s="730"/>
      <c r="M16" s="752"/>
      <c r="N16" s="752"/>
      <c r="O16" s="730"/>
      <c r="P16" s="799"/>
      <c r="Q16" s="722"/>
      <c r="R16" s="713"/>
      <c r="S16" s="797"/>
      <c r="T16" s="726"/>
    </row>
    <row r="17" spans="2:21" ht="30" customHeight="1" thickBot="1" x14ac:dyDescent="0.25">
      <c r="B17" s="764"/>
      <c r="C17" s="777">
        <v>3</v>
      </c>
      <c r="D17" s="750"/>
      <c r="E17" s="758" t="s">
        <v>684</v>
      </c>
      <c r="F17" s="778" t="s">
        <v>255</v>
      </c>
      <c r="G17" s="771"/>
      <c r="H17" s="758" t="s">
        <v>685</v>
      </c>
      <c r="I17" s="760"/>
      <c r="J17" s="769" t="s">
        <v>255</v>
      </c>
      <c r="K17" s="771"/>
      <c r="L17" s="728"/>
      <c r="M17" s="752" t="s">
        <v>681</v>
      </c>
      <c r="N17" s="752"/>
      <c r="O17" s="728"/>
      <c r="P17" s="799" t="s">
        <v>678</v>
      </c>
      <c r="Q17" s="720">
        <f>IF('Basic data'!Q35="",0,'Basic data'!Q35)</f>
        <v>0</v>
      </c>
      <c r="R17" s="711" t="str">
        <f>IF(Q17="",Berechnung1!$F$4,IF(Q17=0, Berechnung1!F4,IF(OR(Q17&lt; Berechnung1!E38,Q17&gt; Berechnung1!F38),Berechnung1!$G$4,IF(OR(ROUND(Q17,4)&lt;Berechnung1!J38,ROUND(Q17,4)&gt;Berechnung1!K38),Berechnung1!$D$4,IF(OR(ROUND(Q17,4)&lt;Berechnung1!G38,ROUND(Q17,4)&gt;Berechnung1!H38),Berechnung1!$E$4,Berechnung1!$C$4)))))</f>
        <v>Incomplete</v>
      </c>
      <c r="S17" s="723"/>
      <c r="T17" s="723"/>
    </row>
    <row r="18" spans="2:21" ht="30" customHeight="1" thickBot="1" x14ac:dyDescent="0.25">
      <c r="B18" s="764"/>
      <c r="C18" s="766"/>
      <c r="D18" s="750"/>
      <c r="E18" s="758"/>
      <c r="F18" s="779"/>
      <c r="G18" s="772"/>
      <c r="H18" s="758"/>
      <c r="I18" s="760"/>
      <c r="J18" s="698"/>
      <c r="K18" s="772"/>
      <c r="L18" s="729"/>
      <c r="M18" s="752"/>
      <c r="N18" s="752"/>
      <c r="O18" s="729"/>
      <c r="P18" s="799"/>
      <c r="Q18" s="721"/>
      <c r="R18" s="712"/>
      <c r="S18" s="797"/>
      <c r="T18" s="726"/>
    </row>
    <row r="19" spans="2:21" ht="30" customHeight="1" thickBot="1" x14ac:dyDescent="0.25">
      <c r="B19" s="765"/>
      <c r="C19" s="767"/>
      <c r="D19" s="751"/>
      <c r="E19" s="758"/>
      <c r="F19" s="780"/>
      <c r="G19" s="773"/>
      <c r="H19" s="758"/>
      <c r="I19" s="760"/>
      <c r="J19" s="700"/>
      <c r="K19" s="773"/>
      <c r="L19" s="730"/>
      <c r="M19" s="752"/>
      <c r="N19" s="752"/>
      <c r="O19" s="730"/>
      <c r="P19" s="799"/>
      <c r="Q19" s="722"/>
      <c r="R19" s="713"/>
      <c r="S19" s="797"/>
      <c r="T19" s="726"/>
    </row>
    <row r="20" spans="2:21" ht="30" customHeight="1" thickBot="1" x14ac:dyDescent="0.25">
      <c r="B20" s="768" t="s">
        <v>736</v>
      </c>
      <c r="C20" s="745"/>
      <c r="D20" s="761"/>
      <c r="E20" s="693" t="s">
        <v>753</v>
      </c>
      <c r="F20" s="769" t="s">
        <v>255</v>
      </c>
      <c r="G20" s="697"/>
      <c r="H20" s="696" t="s">
        <v>753</v>
      </c>
      <c r="I20" s="697"/>
      <c r="J20" s="769" t="s">
        <v>255</v>
      </c>
      <c r="K20" s="697"/>
      <c r="L20" s="728"/>
      <c r="M20" s="705" t="s">
        <v>681</v>
      </c>
      <c r="N20" s="706"/>
      <c r="O20" s="728"/>
      <c r="P20" s="818" t="s">
        <v>678</v>
      </c>
      <c r="Q20" s="720">
        <f>IFERROR('Basic data'!Q45+'Basic data'!Q46,0)</f>
        <v>0</v>
      </c>
      <c r="R20" s="711" t="str">
        <f>IF(AND(U21="",Q20=0),Berechnung1!$F$4,IF(AND(U21=0,Q20=0),Berechnung1!$H$4,IF(OR(Q20&lt;Berechnung1!E41,Q20&gt;Berechnung1!F41),Berechnung1!$G$4,IF(OR(ROUND(Q20,4)&lt;Berechnung1!J41,ROUND(Q20,4)&gt;Berechnung1!K41),Berechnung1!$D$4,IF(OR(ROUND(Q20,4)&lt;Berechnung1!G41,ROUND(Q20,4)&gt;Berechnung1!H41),Berechnung1!$E$4,Berechnung1!$C$4)))))</f>
        <v>Incomplete</v>
      </c>
      <c r="S20" s="723"/>
      <c r="T20" s="723"/>
    </row>
    <row r="21" spans="2:21" ht="30" customHeight="1" thickBot="1" x14ac:dyDescent="0.25">
      <c r="B21" s="746"/>
      <c r="C21" s="747"/>
      <c r="D21" s="750"/>
      <c r="E21" s="694"/>
      <c r="F21" s="698"/>
      <c r="G21" s="699"/>
      <c r="H21" s="698"/>
      <c r="I21" s="699"/>
      <c r="J21" s="698"/>
      <c r="K21" s="699"/>
      <c r="L21" s="729"/>
      <c r="M21" s="707"/>
      <c r="N21" s="708"/>
      <c r="O21" s="729"/>
      <c r="P21" s="819"/>
      <c r="Q21" s="721"/>
      <c r="R21" s="712"/>
      <c r="S21" s="724"/>
      <c r="T21" s="726"/>
      <c r="U21" s="12" t="str">
        <f>IF('Basic data'!Q45="","",IF('Basic data'!Q46="","",('Basic data'!Q45+'Basic data'!Q46)))</f>
        <v/>
      </c>
    </row>
    <row r="22" spans="2:21" ht="30" customHeight="1" thickBot="1" x14ac:dyDescent="0.25">
      <c r="B22" s="748"/>
      <c r="C22" s="749"/>
      <c r="D22" s="751"/>
      <c r="E22" s="695"/>
      <c r="F22" s="700"/>
      <c r="G22" s="701"/>
      <c r="H22" s="700"/>
      <c r="I22" s="701"/>
      <c r="J22" s="700"/>
      <c r="K22" s="701"/>
      <c r="L22" s="730"/>
      <c r="M22" s="709"/>
      <c r="N22" s="710"/>
      <c r="O22" s="730"/>
      <c r="P22" s="820"/>
      <c r="Q22" s="722"/>
      <c r="R22" s="713"/>
      <c r="S22" s="725"/>
      <c r="T22" s="726"/>
    </row>
    <row r="23" spans="2:21" ht="33.75" customHeight="1" thickBot="1" x14ac:dyDescent="0.25">
      <c r="B23" s="763">
        <v>2</v>
      </c>
      <c r="C23" s="770" t="s">
        <v>173</v>
      </c>
      <c r="D23" s="761" t="s">
        <v>152</v>
      </c>
      <c r="E23" s="693" t="s">
        <v>737</v>
      </c>
      <c r="F23" s="803" t="s">
        <v>738</v>
      </c>
      <c r="G23" s="804"/>
      <c r="H23" s="809" t="s">
        <v>740</v>
      </c>
      <c r="I23" s="810"/>
      <c r="J23" s="696" t="s">
        <v>787</v>
      </c>
      <c r="K23" s="697"/>
      <c r="L23" s="455"/>
      <c r="M23" s="754" t="s">
        <v>158</v>
      </c>
      <c r="N23" s="752"/>
      <c r="O23" s="728"/>
      <c r="P23" s="473" t="s">
        <v>667</v>
      </c>
      <c r="Q23" s="516"/>
      <c r="R23" s="711" t="str">
        <f>IF(AND(Q23&lt;&gt;"",Q24&lt;&gt;"",Q23=0,Q24=0),Berechnung1!$H$4,IF(Q25="",Berechnung1!$D$4,IF(Q25=Berechnung1!D44,Berechnung1!$F$4,IF(OR(Q25&lt;Berechnung1!E44,Q25&gt;Berechnung1!F44),Berechnung1!$G$4,IF(OR(ROUND(Q25,4)&lt;Berechnung1!J44,ROUND(Q25,4)&gt;Berechnung1!K44),Berechnung1!$D$4,IF(OR(ROUND(Q25,4)&lt;Berechnung1!G44,ROUND(Q25,4)&gt;Berechnung1!H44),Berechnung1!$E$4,Berechnung1!$C$4))))))</f>
        <v>Incomplete</v>
      </c>
      <c r="S23" s="714"/>
      <c r="T23" s="723"/>
    </row>
    <row r="24" spans="2:21" ht="33.75" customHeight="1" thickBot="1" x14ac:dyDescent="0.25">
      <c r="B24" s="764"/>
      <c r="C24" s="766"/>
      <c r="D24" s="750"/>
      <c r="E24" s="694"/>
      <c r="F24" s="805"/>
      <c r="G24" s="806"/>
      <c r="H24" s="811"/>
      <c r="I24" s="812"/>
      <c r="J24" s="698"/>
      <c r="K24" s="699"/>
      <c r="L24" s="456"/>
      <c r="M24" s="752"/>
      <c r="N24" s="752"/>
      <c r="O24" s="729"/>
      <c r="P24" s="466" t="s">
        <v>686</v>
      </c>
      <c r="Q24" s="517"/>
      <c r="R24" s="712"/>
      <c r="S24" s="797"/>
      <c r="T24" s="724"/>
      <c r="U24" s="12">
        <f>IF('Basic data'!Q38="",0,'Basic data'!Q38)</f>
        <v>0</v>
      </c>
    </row>
    <row r="25" spans="2:21" ht="33.75" customHeight="1" thickBot="1" x14ac:dyDescent="0.25">
      <c r="B25" s="764"/>
      <c r="C25" s="766"/>
      <c r="D25" s="750"/>
      <c r="E25" s="694"/>
      <c r="F25" s="805"/>
      <c r="G25" s="806"/>
      <c r="H25" s="811"/>
      <c r="I25" s="812"/>
      <c r="J25" s="698"/>
      <c r="K25" s="699"/>
      <c r="L25" s="456"/>
      <c r="M25" s="752"/>
      <c r="N25" s="752"/>
      <c r="O25" s="730"/>
      <c r="P25" s="466" t="s">
        <v>4</v>
      </c>
      <c r="Q25" s="252" t="str">
        <f>IF(Q23="","n.d.",IF(Q24="","n.d.",IF(Q24=0,"",Q23/Q24)))</f>
        <v>n.d.</v>
      </c>
      <c r="R25" s="713"/>
      <c r="S25" s="797"/>
      <c r="T25" s="725"/>
    </row>
    <row r="26" spans="2:21" ht="33.75" customHeight="1" thickBot="1" x14ac:dyDescent="0.25">
      <c r="B26" s="764"/>
      <c r="C26" s="766" t="s">
        <v>174</v>
      </c>
      <c r="D26" s="750"/>
      <c r="E26" s="694"/>
      <c r="F26" s="803" t="s">
        <v>739</v>
      </c>
      <c r="G26" s="804"/>
      <c r="H26" s="811"/>
      <c r="I26" s="812"/>
      <c r="J26" s="698"/>
      <c r="K26" s="699"/>
      <c r="L26" s="455"/>
      <c r="M26" s="754" t="s">
        <v>158</v>
      </c>
      <c r="N26" s="752"/>
      <c r="O26" s="728"/>
      <c r="P26" s="473" t="s">
        <v>667</v>
      </c>
      <c r="Q26" s="516"/>
      <c r="R26" s="711" t="str">
        <f>IF(AND(Q26&lt;&gt;"",Q27&lt;&gt;"",Q26=0,Q27=0),Berechnung1!$H$4,IF(Q28="",Berechnung1!$D$4,IF(Q28=Berechnung1!D47,Berechnung1!$F$4,IF(OR(Q28&lt;Berechnung1!E47,Q28&gt;Berechnung1!F47),Berechnung1!$G$4,IF(OR(ROUND(Q28,4)&lt;Berechnung1!J47,ROUND(Q28,4)&gt;Berechnung1!K47),Berechnung1!$D$4,IF(OR(ROUND(Q28,4)&lt;Berechnung1!G47,ROUND(Q28,4)&gt;Berechnung1!H47),Berechnung1!$E$4,Berechnung1!$C$4))))))</f>
        <v>Incomplete</v>
      </c>
      <c r="S26" s="723"/>
      <c r="T26" s="724"/>
    </row>
    <row r="27" spans="2:21" ht="33.75" customHeight="1" thickBot="1" x14ac:dyDescent="0.25">
      <c r="B27" s="764"/>
      <c r="C27" s="766"/>
      <c r="D27" s="750"/>
      <c r="E27" s="694"/>
      <c r="F27" s="805"/>
      <c r="G27" s="806"/>
      <c r="H27" s="811"/>
      <c r="I27" s="812"/>
      <c r="J27" s="698"/>
      <c r="K27" s="699"/>
      <c r="L27" s="456"/>
      <c r="M27" s="752"/>
      <c r="N27" s="752"/>
      <c r="O27" s="729"/>
      <c r="P27" s="466" t="s">
        <v>686</v>
      </c>
      <c r="Q27" s="516"/>
      <c r="R27" s="712"/>
      <c r="S27" s="797"/>
      <c r="T27" s="726"/>
    </row>
    <row r="28" spans="2:21" ht="33.75" customHeight="1" thickBot="1" x14ac:dyDescent="0.25">
      <c r="B28" s="765"/>
      <c r="C28" s="767"/>
      <c r="D28" s="751"/>
      <c r="E28" s="695"/>
      <c r="F28" s="807"/>
      <c r="G28" s="808"/>
      <c r="H28" s="813"/>
      <c r="I28" s="814"/>
      <c r="J28" s="700"/>
      <c r="K28" s="701"/>
      <c r="L28" s="457"/>
      <c r="M28" s="752"/>
      <c r="N28" s="752"/>
      <c r="O28" s="730"/>
      <c r="P28" s="466" t="s">
        <v>4</v>
      </c>
      <c r="Q28" s="252" t="str">
        <f>IF(Q26="","n.d.",IF(Q27="","n.d.",IF(Q27=0,"",Q26/Q27)))</f>
        <v>n.d.</v>
      </c>
      <c r="R28" s="713"/>
      <c r="S28" s="797"/>
      <c r="T28" s="726"/>
    </row>
    <row r="29" spans="2:21" ht="33.75" customHeight="1" thickBot="1" x14ac:dyDescent="0.25">
      <c r="B29" s="687">
        <v>3</v>
      </c>
      <c r="C29" s="770" t="s">
        <v>173</v>
      </c>
      <c r="D29" s="761" t="s">
        <v>752</v>
      </c>
      <c r="E29" s="693" t="s">
        <v>802</v>
      </c>
      <c r="F29" s="696" t="s">
        <v>741</v>
      </c>
      <c r="G29" s="697"/>
      <c r="H29" s="696" t="s">
        <v>742</v>
      </c>
      <c r="I29" s="697"/>
      <c r="J29" s="758" t="s">
        <v>812</v>
      </c>
      <c r="K29" s="758"/>
      <c r="L29" s="728"/>
      <c r="M29" s="754">
        <v>1</v>
      </c>
      <c r="N29" s="752"/>
      <c r="O29" s="728"/>
      <c r="P29" s="473" t="s">
        <v>667</v>
      </c>
      <c r="Q29" s="516"/>
      <c r="R29" s="711" t="str">
        <f>IF(AND(Q29&lt;&gt;"",Q30&lt;&gt;"",Q29=0,Q30=0),Berechnung1!$H$4,IF(Q31="",Berechnung1!$D$4,IF(Q31=Berechnung1!D50,Berechnung1!$F$4,IF(OR(Q31&lt;Berechnung1!E50,Q31&gt;Berechnung1!F50),Berechnung1!$G$4,IF(OR(ROUND(Q31,4)&lt;Berechnung1!J50,ROUND(Q31,4)&gt;Berechnung1!K50),Berechnung1!$D$4,IF(OR(ROUND(Q31,4)&lt;Berechnung1!G50,ROUND(Q31,4)&gt;Berechnung1!H50),Berechnung1!$E$4,Berechnung1!$C$4))))))</f>
        <v>Incomplete</v>
      </c>
      <c r="S29" s="714"/>
      <c r="T29" s="821"/>
    </row>
    <row r="30" spans="2:21" ht="33.75" customHeight="1" thickBot="1" x14ac:dyDescent="0.25">
      <c r="B30" s="689"/>
      <c r="C30" s="766"/>
      <c r="D30" s="750"/>
      <c r="E30" s="694"/>
      <c r="F30" s="698"/>
      <c r="G30" s="699"/>
      <c r="H30" s="698"/>
      <c r="I30" s="699"/>
      <c r="J30" s="758"/>
      <c r="K30" s="758"/>
      <c r="L30" s="729"/>
      <c r="M30" s="752"/>
      <c r="N30" s="752"/>
      <c r="O30" s="729"/>
      <c r="P30" s="466" t="s">
        <v>686</v>
      </c>
      <c r="Q30" s="517"/>
      <c r="R30" s="712"/>
      <c r="S30" s="797"/>
      <c r="T30" s="822"/>
      <c r="U30" s="474">
        <f>IF(OR('Basic data'!F40="",'Basic data'!H40="",'Basic data'!I40=""),0,SUM('Basic data'!F40:'Basic data'!I40))</f>
        <v>0</v>
      </c>
    </row>
    <row r="31" spans="2:21" ht="33.75" customHeight="1" thickBot="1" x14ac:dyDescent="0.25">
      <c r="B31" s="689"/>
      <c r="C31" s="766"/>
      <c r="D31" s="750"/>
      <c r="E31" s="694"/>
      <c r="F31" s="698"/>
      <c r="G31" s="699"/>
      <c r="H31" s="698"/>
      <c r="I31" s="699"/>
      <c r="J31" s="758"/>
      <c r="K31" s="758"/>
      <c r="L31" s="730"/>
      <c r="M31" s="752"/>
      <c r="N31" s="752"/>
      <c r="O31" s="730"/>
      <c r="P31" s="466" t="s">
        <v>4</v>
      </c>
      <c r="Q31" s="252" t="str">
        <f>IF(Q29="","n.d.",IF(Q30="","n.d.",IF(Q30=0,"",Q29/Q30)))</f>
        <v>n.d.</v>
      </c>
      <c r="R31" s="713"/>
      <c r="S31" s="797"/>
      <c r="T31" s="823"/>
    </row>
    <row r="32" spans="2:21" ht="33.75" customHeight="1" thickBot="1" x14ac:dyDescent="0.25">
      <c r="B32" s="689"/>
      <c r="C32" s="766" t="s">
        <v>174</v>
      </c>
      <c r="D32" s="750"/>
      <c r="E32" s="694"/>
      <c r="F32" s="698"/>
      <c r="G32" s="699"/>
      <c r="H32" s="698"/>
      <c r="I32" s="699"/>
      <c r="J32" s="758" t="s">
        <v>687</v>
      </c>
      <c r="K32" s="758"/>
      <c r="L32" s="728"/>
      <c r="M32" s="754">
        <v>1</v>
      </c>
      <c r="N32" s="752"/>
      <c r="O32" s="728"/>
      <c r="P32" s="473" t="s">
        <v>667</v>
      </c>
      <c r="Q32" s="516"/>
      <c r="R32" s="711" t="str">
        <f>IF(AND(Q32&lt;&gt;"",Q33&lt;&gt;"",Q32=0,Q33=0),Berechnung1!$H$4,IF(ISERROR(Q34),Berechnung1!$G$4,IF(Q34="",Berechnung1!$D$4,IF(Q34=Berechnung1!D53,Berechnung1!$F$4,IF(OR(Q34&lt;Berechnung1!E53,Q34&gt;Berechnung1!F53),Berechnung1!$G$4,IF(OR(ROUND(Q34,4)&lt;Berechnung1!J53,ROUND(Q34,4)&gt;Berechnung1!K53),Berechnung1!$D$4,IF(OR(ROUND(Q34,4)&lt;Berechnung1!G53,ROUND(Q34,4)&gt;Berechnung1!H53),Berechnung1!$E$4,Berechnung1!$C$4)))))))</f>
        <v>Incomplete</v>
      </c>
      <c r="S32" s="714"/>
      <c r="T32" s="714"/>
    </row>
    <row r="33" spans="2:21" ht="33.75" customHeight="1" thickBot="1" x14ac:dyDescent="0.25">
      <c r="B33" s="689"/>
      <c r="C33" s="766"/>
      <c r="D33" s="750"/>
      <c r="E33" s="694"/>
      <c r="F33" s="698"/>
      <c r="G33" s="699"/>
      <c r="H33" s="698"/>
      <c r="I33" s="699"/>
      <c r="J33" s="758"/>
      <c r="K33" s="758"/>
      <c r="L33" s="729"/>
      <c r="M33" s="752"/>
      <c r="N33" s="752"/>
      <c r="O33" s="729"/>
      <c r="P33" s="466" t="s">
        <v>686</v>
      </c>
      <c r="Q33" s="516"/>
      <c r="R33" s="712"/>
      <c r="S33" s="797"/>
      <c r="T33" s="726"/>
      <c r="U33" s="474">
        <f>IF('Basic data'!Q38="",0,'Basic data'!Q38)</f>
        <v>0</v>
      </c>
    </row>
    <row r="34" spans="2:21" ht="33.75" customHeight="1" thickBot="1" x14ac:dyDescent="0.25">
      <c r="B34" s="689"/>
      <c r="C34" s="767"/>
      <c r="D34" s="750"/>
      <c r="E34" s="694"/>
      <c r="F34" s="698"/>
      <c r="G34" s="699"/>
      <c r="H34" s="698"/>
      <c r="I34" s="699"/>
      <c r="J34" s="758"/>
      <c r="K34" s="758"/>
      <c r="L34" s="730"/>
      <c r="M34" s="752"/>
      <c r="N34" s="752"/>
      <c r="O34" s="730"/>
      <c r="P34" s="466" t="s">
        <v>4</v>
      </c>
      <c r="Q34" s="252" t="str">
        <f>IF(Q32="","n.d.",IF(Q33="","n.d.",IF(Q33=0,"",Q32/Q33)))</f>
        <v>n.d.</v>
      </c>
      <c r="R34" s="713"/>
      <c r="S34" s="797"/>
      <c r="T34" s="726"/>
      <c r="U34" s="474">
        <f>SUM('Basic data'!Q38:Q39)</f>
        <v>0</v>
      </c>
    </row>
    <row r="35" spans="2:21" ht="33.75" customHeight="1" thickBot="1" x14ac:dyDescent="0.25">
      <c r="B35" s="689"/>
      <c r="C35" s="766" t="s">
        <v>385</v>
      </c>
      <c r="D35" s="750"/>
      <c r="E35" s="694"/>
      <c r="F35" s="698"/>
      <c r="G35" s="699"/>
      <c r="H35" s="698"/>
      <c r="I35" s="699"/>
      <c r="J35" s="758" t="s">
        <v>806</v>
      </c>
      <c r="K35" s="758"/>
      <c r="L35" s="728"/>
      <c r="M35" s="754">
        <v>1</v>
      </c>
      <c r="N35" s="752"/>
      <c r="O35" s="728"/>
      <c r="P35" s="473" t="s">
        <v>667</v>
      </c>
      <c r="Q35" s="516"/>
      <c r="R35" s="711" t="str">
        <f>IF(AND(Q35&lt;&gt;"",Q36&lt;&gt;"",Q35=0,Q36=0),Berechnung1!$H$4,IF(ISERROR(Q37),Berechnung1!$G$4,IF(Q37="",Berechnung1!$D$4,IF(Q37=Berechnung1!D56,Berechnung1!$F$4,IF(OR(Q37&lt;Berechnung1!E56,Q37&gt;Berechnung1!F56),Berechnung1!$G$4,IF(OR(ROUND(Q37,4)&lt;Berechnung1!J56,ROUND(Q37,4)&gt;Berechnung1!K56),Berechnung1!$D$4,IF(OR(ROUND(Q37,4)&lt;Berechnung1!G56,ROUND(Q37,4)&gt;Berechnung1!H56),Berechnung1!$E$4,Berechnung1!$C$4)))))))</f>
        <v>Incomplete</v>
      </c>
      <c r="S35" s="714"/>
      <c r="T35" s="723"/>
      <c r="U35" s="474">
        <f>IF('Basic data'!Q47="",0,'Basic data'!Q47)</f>
        <v>0</v>
      </c>
    </row>
    <row r="36" spans="2:21" ht="33.75" customHeight="1" thickBot="1" x14ac:dyDescent="0.25">
      <c r="B36" s="689"/>
      <c r="C36" s="766"/>
      <c r="D36" s="750"/>
      <c r="E36" s="694"/>
      <c r="F36" s="698"/>
      <c r="G36" s="699"/>
      <c r="H36" s="698"/>
      <c r="I36" s="699"/>
      <c r="J36" s="758"/>
      <c r="K36" s="758"/>
      <c r="L36" s="729"/>
      <c r="M36" s="752"/>
      <c r="N36" s="752"/>
      <c r="O36" s="729"/>
      <c r="P36" s="466" t="s">
        <v>686</v>
      </c>
      <c r="Q36" s="475">
        <f>IF('Basic data'!Q45="",0,IF('Basic data'!Q46="",0,('Basic data'!Q45+'Basic data'!Q46)))</f>
        <v>0</v>
      </c>
      <c r="R36" s="712"/>
      <c r="S36" s="797"/>
      <c r="T36" s="726"/>
    </row>
    <row r="37" spans="2:21" ht="33.75" customHeight="1" thickBot="1" x14ac:dyDescent="0.25">
      <c r="B37" s="691"/>
      <c r="C37" s="767"/>
      <c r="D37" s="751"/>
      <c r="E37" s="695"/>
      <c r="F37" s="700"/>
      <c r="G37" s="701"/>
      <c r="H37" s="700"/>
      <c r="I37" s="701"/>
      <c r="J37" s="758"/>
      <c r="K37" s="758"/>
      <c r="L37" s="730"/>
      <c r="M37" s="752"/>
      <c r="N37" s="752"/>
      <c r="O37" s="730"/>
      <c r="P37" s="466" t="s">
        <v>4</v>
      </c>
      <c r="Q37" s="252" t="str">
        <f>IF(Q35="","n.d.",IF(AND(Q35=0,Q36=0),"",Q35/Q36))</f>
        <v>n.d.</v>
      </c>
      <c r="R37" s="713"/>
      <c r="S37" s="797"/>
      <c r="T37" s="726"/>
    </row>
    <row r="38" spans="2:21" s="478" customFormat="1" ht="32.25" customHeight="1" thickBot="1" x14ac:dyDescent="0.25">
      <c r="B38" s="687">
        <v>4</v>
      </c>
      <c r="C38" s="745"/>
      <c r="D38" s="717" t="s">
        <v>743</v>
      </c>
      <c r="E38" s="758" t="s">
        <v>883</v>
      </c>
      <c r="F38" s="758" t="s">
        <v>881</v>
      </c>
      <c r="G38" s="760"/>
      <c r="H38" s="758" t="s">
        <v>882</v>
      </c>
      <c r="I38" s="760"/>
      <c r="J38" s="758" t="s">
        <v>884</v>
      </c>
      <c r="K38" s="760"/>
      <c r="L38" s="728"/>
      <c r="M38" s="752" t="s">
        <v>885</v>
      </c>
      <c r="N38" s="752"/>
      <c r="O38" s="728"/>
      <c r="P38" s="473" t="s">
        <v>667</v>
      </c>
      <c r="Q38" s="476">
        <f>IF('Basic data'!D33="",0,'Basic data'!D33)</f>
        <v>0</v>
      </c>
      <c r="R38" s="711" t="str">
        <f>IF(Q40=Berechnung1!D59,Berechnung1!$F$4,IF(OR(Q40&lt; Berechnung1!E59,Q40&gt; Berechnung1!F59),Berechnung1!$G$4,IF(OR(ROUND(Q40,4)&lt;Berechnung1!J59,ROUND(Q40,4)&gt;Berechnung1!K59),Berechnung1!$D$4,IF(OR(ROUND(Q40,4)&lt;Berechnung1!G59,ROUND(Q40,4)&gt;Berechnung1!H59),Berechnung1!$E$4,Berechnung1!$C$4))))</f>
        <v>Incomplete</v>
      </c>
      <c r="S38" s="723"/>
      <c r="T38" s="824"/>
      <c r="U38" s="477"/>
    </row>
    <row r="39" spans="2:21" ht="32.25" customHeight="1" thickBot="1" x14ac:dyDescent="0.25">
      <c r="B39" s="746"/>
      <c r="C39" s="747"/>
      <c r="D39" s="750"/>
      <c r="E39" s="758"/>
      <c r="F39" s="758"/>
      <c r="G39" s="760"/>
      <c r="H39" s="758"/>
      <c r="I39" s="760"/>
      <c r="J39" s="758"/>
      <c r="K39" s="760"/>
      <c r="L39" s="729"/>
      <c r="M39" s="752"/>
      <c r="N39" s="752"/>
      <c r="O39" s="729"/>
      <c r="P39" s="466" t="s">
        <v>686</v>
      </c>
      <c r="Q39" s="475">
        <f>SUM('Basic data'!D33:H33,'Basic data'!J33:P33)</f>
        <v>0</v>
      </c>
      <c r="R39" s="712"/>
      <c r="S39" s="797"/>
      <c r="T39" s="822"/>
    </row>
    <row r="40" spans="2:21" ht="32.25" customHeight="1" thickBot="1" x14ac:dyDescent="0.25">
      <c r="B40" s="748"/>
      <c r="C40" s="749"/>
      <c r="D40" s="751"/>
      <c r="E40" s="758"/>
      <c r="F40" s="758"/>
      <c r="G40" s="760"/>
      <c r="H40" s="758"/>
      <c r="I40" s="760"/>
      <c r="J40" s="758"/>
      <c r="K40" s="760"/>
      <c r="L40" s="730"/>
      <c r="M40" s="752"/>
      <c r="N40" s="752"/>
      <c r="O40" s="730"/>
      <c r="P40" s="466" t="s">
        <v>4</v>
      </c>
      <c r="Q40" s="252" t="str">
        <f>IF(OR(Q38="",Q39=""),"n.d.",IF(AND(Q38=0,Q39=0),"n.d.",IF(Q39=0,"",Q38/Q39)))</f>
        <v>n.d.</v>
      </c>
      <c r="R40" s="713"/>
      <c r="S40" s="797"/>
      <c r="T40" s="823"/>
    </row>
    <row r="41" spans="2:21" ht="32.25" customHeight="1" thickBot="1" x14ac:dyDescent="0.25">
      <c r="B41" s="687">
        <v>5</v>
      </c>
      <c r="C41" s="745"/>
      <c r="D41" s="717" t="s">
        <v>743</v>
      </c>
      <c r="E41" s="693" t="s">
        <v>744</v>
      </c>
      <c r="F41" s="696" t="s">
        <v>688</v>
      </c>
      <c r="G41" s="697"/>
      <c r="H41" s="696" t="s">
        <v>715</v>
      </c>
      <c r="I41" s="697"/>
      <c r="J41" s="696" t="s">
        <v>689</v>
      </c>
      <c r="K41" s="697"/>
      <c r="L41" s="728"/>
      <c r="M41" s="752" t="s">
        <v>387</v>
      </c>
      <c r="N41" s="752"/>
      <c r="O41" s="755"/>
      <c r="P41" s="473" t="s">
        <v>667</v>
      </c>
      <c r="Q41" s="516"/>
      <c r="R41" s="711" t="str">
        <f>IF(AND(Q41&lt;&gt;"",Q42&lt;&gt;"",Q41=0,Q42=0),Berechnung1!$H$4,IF(ISERROR(Q43),Berechnung1!$G$4,IF(Q43="",Berechnung1!$D$4,IF(Q43=Berechnung1!D62,Berechnung1!$F$4,IF(OR(Q43&lt;Berechnung1!E62,Q43&gt;Berechnung1!F62),Berechnung1!$G$4,IF(OR(ROUND(Q43,4)&lt;Berechnung1!J62,ROUND(Q43,4)&gt;Berechnung1!K62),Berechnung1!$D$4,IF(OR(ROUND(Q43,4)&lt;Berechnung1!G62,ROUND(Q43,4)&gt;Berechnung1!H62),Berechnung1!$E$4,Berechnung1!$C$4)))))))</f>
        <v>Incomplete</v>
      </c>
      <c r="S41" s="714"/>
      <c r="T41" s="723"/>
    </row>
    <row r="42" spans="2:21" ht="32.25" customHeight="1" thickBot="1" x14ac:dyDescent="0.25">
      <c r="B42" s="746"/>
      <c r="C42" s="747"/>
      <c r="D42" s="750"/>
      <c r="E42" s="694"/>
      <c r="F42" s="698"/>
      <c r="G42" s="699"/>
      <c r="H42" s="698"/>
      <c r="I42" s="699"/>
      <c r="J42" s="698"/>
      <c r="K42" s="699"/>
      <c r="L42" s="729"/>
      <c r="M42" s="752"/>
      <c r="N42" s="752"/>
      <c r="O42" s="756"/>
      <c r="P42" s="466" t="s">
        <v>686</v>
      </c>
      <c r="Q42" s="475">
        <f>IF('Basic data'!J35="",0,IF('Basic data'!K35="",0,('Basic data'!J35+'Basic data'!K35)))</f>
        <v>0</v>
      </c>
      <c r="R42" s="712"/>
      <c r="S42" s="724"/>
      <c r="T42" s="724"/>
    </row>
    <row r="43" spans="2:21" ht="32.25" customHeight="1" thickBot="1" x14ac:dyDescent="0.25">
      <c r="B43" s="748"/>
      <c r="C43" s="749"/>
      <c r="D43" s="751"/>
      <c r="E43" s="695"/>
      <c r="F43" s="700"/>
      <c r="G43" s="701"/>
      <c r="H43" s="700"/>
      <c r="I43" s="701"/>
      <c r="J43" s="700"/>
      <c r="K43" s="701"/>
      <c r="L43" s="730"/>
      <c r="M43" s="752"/>
      <c r="N43" s="752"/>
      <c r="O43" s="757"/>
      <c r="P43" s="466" t="s">
        <v>4</v>
      </c>
      <c r="Q43" s="252" t="str">
        <f>IF(Q41="","n.d.",IF(AND(Q41=0,Q42=0),"",Q41/Q42))</f>
        <v>n.d.</v>
      </c>
      <c r="R43" s="713"/>
      <c r="S43" s="725"/>
      <c r="T43" s="725"/>
    </row>
    <row r="44" spans="2:21" ht="35.1" customHeight="1" thickBot="1" x14ac:dyDescent="0.25">
      <c r="B44" s="687" t="s">
        <v>860</v>
      </c>
      <c r="C44" s="745"/>
      <c r="D44" s="761" t="s">
        <v>153</v>
      </c>
      <c r="E44" s="693" t="s">
        <v>803</v>
      </c>
      <c r="F44" s="758" t="s">
        <v>804</v>
      </c>
      <c r="G44" s="760"/>
      <c r="H44" s="758" t="s">
        <v>805</v>
      </c>
      <c r="I44" s="760"/>
      <c r="J44" s="758" t="s">
        <v>807</v>
      </c>
      <c r="K44" s="760"/>
      <c r="L44" s="728"/>
      <c r="M44" s="752" t="s">
        <v>808</v>
      </c>
      <c r="N44" s="752"/>
      <c r="O44" s="728"/>
      <c r="P44" s="473" t="s">
        <v>667</v>
      </c>
      <c r="Q44" s="516"/>
      <c r="R44" s="711" t="str">
        <f>IF(Q46=Berechnung1!D65,Berechnung1!$F$4,IF(OR(Q46&lt; Berechnung1!E65,Q46&gt; Berechnung1!F65),Berechnung1!$G$4,IF(OR(ROUND(Q46,4)&lt;Berechnung1!J65,ROUND(Q46,4)&gt;Berechnung1!K65),Berechnung1!$D$4,IF(OR(ROUND(Q46,4)&lt;Berechnung1!G65,ROUND(Q46,4)&gt;Berechnung1!H65),Berechnung1!$E$4,Berechnung1!$C$4))))</f>
        <v>Incomplete</v>
      </c>
      <c r="S44" s="714"/>
      <c r="T44" s="723"/>
    </row>
    <row r="45" spans="2:21" ht="35.1" customHeight="1" thickBot="1" x14ac:dyDescent="0.25">
      <c r="B45" s="746"/>
      <c r="C45" s="747"/>
      <c r="D45" s="750"/>
      <c r="E45" s="694"/>
      <c r="F45" s="758"/>
      <c r="G45" s="760"/>
      <c r="H45" s="758"/>
      <c r="I45" s="760"/>
      <c r="J45" s="758"/>
      <c r="K45" s="760"/>
      <c r="L45" s="729"/>
      <c r="M45" s="752"/>
      <c r="N45" s="752"/>
      <c r="O45" s="729"/>
      <c r="P45" s="466" t="s">
        <v>686</v>
      </c>
      <c r="Q45" s="115">
        <f>IF(OR(Q8="",Q20=""),0,(Q8+Q20))</f>
        <v>0</v>
      </c>
      <c r="R45" s="712"/>
      <c r="S45" s="797"/>
      <c r="T45" s="726"/>
    </row>
    <row r="46" spans="2:21" ht="35.1" customHeight="1" thickBot="1" x14ac:dyDescent="0.25">
      <c r="B46" s="748"/>
      <c r="C46" s="749"/>
      <c r="D46" s="751"/>
      <c r="E46" s="695"/>
      <c r="F46" s="758"/>
      <c r="G46" s="760"/>
      <c r="H46" s="758"/>
      <c r="I46" s="760"/>
      <c r="J46" s="758"/>
      <c r="K46" s="760"/>
      <c r="L46" s="730"/>
      <c r="M46" s="752"/>
      <c r="N46" s="752"/>
      <c r="O46" s="730"/>
      <c r="P46" s="466" t="s">
        <v>4</v>
      </c>
      <c r="Q46" s="252" t="str">
        <f>IF(Q44="","n.d.",IF(Q45="","n.d.",IF(Q45=0,"",Q44/Q45)))</f>
        <v>n.d.</v>
      </c>
      <c r="R46" s="713"/>
      <c r="S46" s="797"/>
      <c r="T46" s="726"/>
    </row>
    <row r="47" spans="2:21" ht="35.1" customHeight="1" thickBot="1" x14ac:dyDescent="0.25">
      <c r="B47" s="687">
        <v>7</v>
      </c>
      <c r="C47" s="745"/>
      <c r="D47" s="761" t="s">
        <v>154</v>
      </c>
      <c r="E47" s="758" t="s">
        <v>810</v>
      </c>
      <c r="F47" s="758" t="s">
        <v>745</v>
      </c>
      <c r="G47" s="760"/>
      <c r="H47" s="758" t="s">
        <v>716</v>
      </c>
      <c r="I47" s="760"/>
      <c r="J47" s="758" t="s">
        <v>801</v>
      </c>
      <c r="K47" s="760"/>
      <c r="L47" s="728" t="s">
        <v>274</v>
      </c>
      <c r="M47" s="752" t="s">
        <v>681</v>
      </c>
      <c r="N47" s="752"/>
      <c r="O47" s="825"/>
      <c r="P47" s="473" t="s">
        <v>667</v>
      </c>
      <c r="Q47" s="516"/>
      <c r="R47" s="711" t="str">
        <f>IF(Q49=Berechnung1!D68,Berechnung1!$F$4,IF(OR(Q49&lt; Berechnung1!E68,Q49&gt; Berechnung1!F68),Berechnung1!$G$4,IF(OR(ROUND(Q49,4)&lt;Berechnung1!J68,ROUND(Q49,4)&gt;Berechnung1!K68),Berechnung1!$D$4,IF(OR(ROUND(Q49,4)&lt;Berechnung1!G68,ROUND(Q49,4)&gt;Berechnung1!H68),Berechnung1!$E$4,Berechnung1!$C$4))))</f>
        <v>Incomplete</v>
      </c>
      <c r="S47" s="714"/>
      <c r="T47" s="824"/>
    </row>
    <row r="48" spans="2:21" ht="35.1" customHeight="1" thickBot="1" x14ac:dyDescent="0.25">
      <c r="B48" s="746"/>
      <c r="C48" s="747"/>
      <c r="D48" s="750"/>
      <c r="E48" s="758"/>
      <c r="F48" s="758"/>
      <c r="G48" s="760"/>
      <c r="H48" s="758"/>
      <c r="I48" s="760"/>
      <c r="J48" s="758"/>
      <c r="K48" s="760"/>
      <c r="L48" s="729"/>
      <c r="M48" s="752"/>
      <c r="N48" s="752"/>
      <c r="O48" s="729"/>
      <c r="P48" s="466" t="s">
        <v>686</v>
      </c>
      <c r="Q48" s="115">
        <f>Q45</f>
        <v>0</v>
      </c>
      <c r="R48" s="712"/>
      <c r="S48" s="797"/>
      <c r="T48" s="822"/>
    </row>
    <row r="49" spans="2:21" ht="35.1" customHeight="1" thickBot="1" x14ac:dyDescent="0.25">
      <c r="B49" s="748"/>
      <c r="C49" s="749"/>
      <c r="D49" s="751"/>
      <c r="E49" s="758"/>
      <c r="F49" s="758"/>
      <c r="G49" s="760"/>
      <c r="H49" s="758"/>
      <c r="I49" s="760"/>
      <c r="J49" s="758"/>
      <c r="K49" s="760"/>
      <c r="L49" s="730"/>
      <c r="M49" s="752"/>
      <c r="N49" s="752"/>
      <c r="O49" s="730"/>
      <c r="P49" s="466" t="s">
        <v>4</v>
      </c>
      <c r="Q49" s="486" t="str">
        <f>IF(Q47="","n.d.",IF(Q48="","n.d.",IF(Q48=0,"",Q47/Q48)))</f>
        <v>n.d.</v>
      </c>
      <c r="R49" s="713"/>
      <c r="S49" s="797"/>
      <c r="T49" s="823"/>
    </row>
    <row r="50" spans="2:21" ht="32.25" customHeight="1" thickBot="1" x14ac:dyDescent="0.25">
      <c r="B50" s="687">
        <v>8</v>
      </c>
      <c r="C50" s="745"/>
      <c r="D50" s="761" t="s">
        <v>155</v>
      </c>
      <c r="E50" s="758" t="s">
        <v>811</v>
      </c>
      <c r="F50" s="758" t="s">
        <v>690</v>
      </c>
      <c r="G50" s="760"/>
      <c r="H50" s="758" t="s">
        <v>746</v>
      </c>
      <c r="I50" s="760"/>
      <c r="J50" s="758" t="s">
        <v>691</v>
      </c>
      <c r="K50" s="760"/>
      <c r="L50" s="728"/>
      <c r="M50" s="752" t="s">
        <v>157</v>
      </c>
      <c r="N50" s="752"/>
      <c r="O50" s="728"/>
      <c r="P50" s="487" t="s">
        <v>667</v>
      </c>
      <c r="Q50" s="115">
        <f>IF(Studies!E5="",0,Studies!E5)</f>
        <v>0</v>
      </c>
      <c r="R50" s="711" t="str">
        <f>IF(Q52=Berechnung1!D71,Berechnung1!$F$4,IF(OR(Q52&lt; Berechnung1!E71,Q52&gt; Berechnung1!F71),Berechnung1!$G$4,IF(OR(ROUND(Q52,4)&lt;Berechnung1!J71,ROUND(Q52,4)&gt;Berechnung1!K71),Berechnung1!$D$4,IF(OR(ROUND(Q52,4)&lt;Berechnung1!G71,ROUND(Q52,4)&gt;Berechnung1!H71),Berechnung1!$E$4,Berechnung1!$C$4))))</f>
        <v>Incomplete</v>
      </c>
      <c r="S50" s="714"/>
      <c r="T50" s="723"/>
    </row>
    <row r="51" spans="2:21" ht="32.25" customHeight="1" thickBot="1" x14ac:dyDescent="0.25">
      <c r="B51" s="746"/>
      <c r="C51" s="747"/>
      <c r="D51" s="750"/>
      <c r="E51" s="758"/>
      <c r="F51" s="758"/>
      <c r="G51" s="760"/>
      <c r="H51" s="758"/>
      <c r="I51" s="760"/>
      <c r="J51" s="758"/>
      <c r="K51" s="760"/>
      <c r="L51" s="729"/>
      <c r="M51" s="752"/>
      <c r="N51" s="752"/>
      <c r="O51" s="729"/>
      <c r="P51" s="466" t="s">
        <v>686</v>
      </c>
      <c r="Q51" s="485">
        <f>Q8</f>
        <v>0</v>
      </c>
      <c r="R51" s="712"/>
      <c r="S51" s="797"/>
      <c r="T51" s="726"/>
    </row>
    <row r="52" spans="2:21" ht="32.25" customHeight="1" thickBot="1" x14ac:dyDescent="0.25">
      <c r="B52" s="748"/>
      <c r="C52" s="749"/>
      <c r="D52" s="751"/>
      <c r="E52" s="758"/>
      <c r="F52" s="758"/>
      <c r="G52" s="760"/>
      <c r="H52" s="758"/>
      <c r="I52" s="760"/>
      <c r="J52" s="758"/>
      <c r="K52" s="760"/>
      <c r="L52" s="730"/>
      <c r="M52" s="752"/>
      <c r="N52" s="752"/>
      <c r="O52" s="730"/>
      <c r="P52" s="466" t="s">
        <v>4</v>
      </c>
      <c r="Q52" s="252" t="str">
        <f>IF(Q50="0","n.d.",IF(Q51="","n.d.",IF(Q51=0,"n.d.",Q50/Q51)))</f>
        <v>n.d.</v>
      </c>
      <c r="R52" s="713"/>
      <c r="S52" s="797"/>
      <c r="T52" s="726"/>
    </row>
    <row r="53" spans="2:21" ht="32.25" customHeight="1" thickBot="1" x14ac:dyDescent="0.25">
      <c r="B53" s="687">
        <v>9</v>
      </c>
      <c r="C53" s="745"/>
      <c r="D53" s="761" t="s">
        <v>156</v>
      </c>
      <c r="E53" s="758" t="s">
        <v>809</v>
      </c>
      <c r="F53" s="758" t="s">
        <v>676</v>
      </c>
      <c r="G53" s="760"/>
      <c r="H53" s="758" t="s">
        <v>692</v>
      </c>
      <c r="I53" s="760"/>
      <c r="J53" s="769" t="s">
        <v>255</v>
      </c>
      <c r="K53" s="771"/>
      <c r="L53" s="728"/>
      <c r="M53" s="752" t="s">
        <v>400</v>
      </c>
      <c r="N53" s="752"/>
      <c r="O53" s="728"/>
      <c r="P53" s="799" t="s">
        <v>678</v>
      </c>
      <c r="Q53" s="720">
        <f>IF('Basic data'!Q53="",0,'Basic data'!Q53)</f>
        <v>0</v>
      </c>
      <c r="R53" s="711" t="str">
        <f>IF(Q53="",Berechnung1!$F$4,IF(Q53=0, Berechnung1!F4,IF(OR(Q53&lt; Berechnung1!E74,Q53&gt; Berechnung1!F74),Berechnung1!$G$4,IF(OR(ROUND(Q53,4)&lt;Berechnung1!J74,ROUND(Q53,4)&gt;Berechnung1!K74),Berechnung1!$D$4,IF(OR(ROUND(Q53,4)&lt;Berechnung1!G74,ROUND(Q53,4)&gt;Berechnung1!H74),Berechnung1!$E$4,Berechnung1!$C$4)))))</f>
        <v>Incomplete</v>
      </c>
      <c r="S53" s="714"/>
      <c r="T53" s="723"/>
    </row>
    <row r="54" spans="2:21" ht="32.25" customHeight="1" thickBot="1" x14ac:dyDescent="0.25">
      <c r="B54" s="746"/>
      <c r="C54" s="747"/>
      <c r="D54" s="750"/>
      <c r="E54" s="758"/>
      <c r="F54" s="758"/>
      <c r="G54" s="760"/>
      <c r="H54" s="758"/>
      <c r="I54" s="760"/>
      <c r="J54" s="698"/>
      <c r="K54" s="772"/>
      <c r="L54" s="729"/>
      <c r="M54" s="752"/>
      <c r="N54" s="752"/>
      <c r="O54" s="729"/>
      <c r="P54" s="799"/>
      <c r="Q54" s="721"/>
      <c r="R54" s="712"/>
      <c r="S54" s="797"/>
      <c r="T54" s="726"/>
    </row>
    <row r="55" spans="2:21" ht="32.25" customHeight="1" thickBot="1" x14ac:dyDescent="0.25">
      <c r="B55" s="748"/>
      <c r="C55" s="749"/>
      <c r="D55" s="751"/>
      <c r="E55" s="758"/>
      <c r="F55" s="758"/>
      <c r="G55" s="760"/>
      <c r="H55" s="758"/>
      <c r="I55" s="760"/>
      <c r="J55" s="700"/>
      <c r="K55" s="773"/>
      <c r="L55" s="730"/>
      <c r="M55" s="752"/>
      <c r="N55" s="752"/>
      <c r="O55" s="730"/>
      <c r="P55" s="799"/>
      <c r="Q55" s="722"/>
      <c r="R55" s="713"/>
      <c r="S55" s="797"/>
      <c r="T55" s="726"/>
    </row>
    <row r="56" spans="2:21" ht="35.1" customHeight="1" thickBot="1" x14ac:dyDescent="0.25">
      <c r="B56" s="687">
        <v>10</v>
      </c>
      <c r="C56" s="745"/>
      <c r="D56" s="761"/>
      <c r="E56" s="758" t="s">
        <v>796</v>
      </c>
      <c r="F56" s="758" t="s">
        <v>797</v>
      </c>
      <c r="G56" s="760"/>
      <c r="H56" s="758" t="s">
        <v>717</v>
      </c>
      <c r="I56" s="760"/>
      <c r="J56" s="758" t="s">
        <v>798</v>
      </c>
      <c r="K56" s="760"/>
      <c r="L56" s="728"/>
      <c r="M56" s="752" t="s">
        <v>406</v>
      </c>
      <c r="N56" s="762"/>
      <c r="O56" s="728"/>
      <c r="P56" s="473" t="s">
        <v>667</v>
      </c>
      <c r="Q56" s="516"/>
      <c r="R56" s="711" t="str">
        <f>IF(AND(Q56&lt;&gt;"",Q57&lt;&gt;"",Q56=0,Q57=0),Berechnung1!$H$4,IF(Q58="",Berechnung1!$D$4,IF(Q58=Berechnung1!D77,Berechnung1!$F$4,IF(OR(Q58&lt;Berechnung1!E77,Q58&gt;Berechnung1!F77),Berechnung1!$G$4,IF(OR(ROUND(Q58,4)&lt;Berechnung1!J77,ROUND(Q58,4)&gt;Berechnung1!K77),Berechnung1!$D$4,IF(OR(ROUND(Q58,4)&lt;Berechnung1!G77,ROUND(Q58,4)&gt;Berechnung1!H77),Berechnung1!$E$4,Berechnung1!$C$4))))))</f>
        <v>Incomplete</v>
      </c>
      <c r="S56" s="714"/>
      <c r="T56" s="723"/>
    </row>
    <row r="57" spans="2:21" ht="35.1" customHeight="1" thickBot="1" x14ac:dyDescent="0.25">
      <c r="B57" s="746"/>
      <c r="C57" s="747"/>
      <c r="D57" s="750"/>
      <c r="E57" s="758"/>
      <c r="F57" s="758"/>
      <c r="G57" s="760"/>
      <c r="H57" s="758"/>
      <c r="I57" s="760"/>
      <c r="J57" s="758"/>
      <c r="K57" s="760"/>
      <c r="L57" s="729"/>
      <c r="M57" s="762"/>
      <c r="N57" s="762"/>
      <c r="O57" s="729"/>
      <c r="P57" s="466" t="s">
        <v>686</v>
      </c>
      <c r="Q57" s="516"/>
      <c r="R57" s="712"/>
      <c r="S57" s="797"/>
      <c r="T57" s="726"/>
      <c r="U57" s="12">
        <f>SUM('Basic data'!F40:I40)</f>
        <v>0</v>
      </c>
    </row>
    <row r="58" spans="2:21" ht="35.1" customHeight="1" thickBot="1" x14ac:dyDescent="0.25">
      <c r="B58" s="748"/>
      <c r="C58" s="749"/>
      <c r="D58" s="751"/>
      <c r="E58" s="758"/>
      <c r="F58" s="758"/>
      <c r="G58" s="760"/>
      <c r="H58" s="758"/>
      <c r="I58" s="760"/>
      <c r="J58" s="758"/>
      <c r="K58" s="760"/>
      <c r="L58" s="730"/>
      <c r="M58" s="762"/>
      <c r="N58" s="762"/>
      <c r="O58" s="730"/>
      <c r="P58" s="466" t="s">
        <v>4</v>
      </c>
      <c r="Q58" s="252" t="str">
        <f>IF(Q56="","n.d.",IF(Q57="","n.d.",IF(AND(Q56=0,Q57=0),"",Q56/Q57)))</f>
        <v>n.d.</v>
      </c>
      <c r="R58" s="713"/>
      <c r="S58" s="797"/>
      <c r="T58" s="726"/>
    </row>
    <row r="59" spans="2:21" ht="35.1" customHeight="1" thickBot="1" x14ac:dyDescent="0.25">
      <c r="B59" s="687">
        <v>11</v>
      </c>
      <c r="C59" s="745"/>
      <c r="D59" s="761"/>
      <c r="E59" s="758" t="s">
        <v>693</v>
      </c>
      <c r="F59" s="758" t="s">
        <v>694</v>
      </c>
      <c r="G59" s="760"/>
      <c r="H59" s="758" t="s">
        <v>718</v>
      </c>
      <c r="I59" s="760"/>
      <c r="J59" s="758" t="s">
        <v>691</v>
      </c>
      <c r="K59" s="760"/>
      <c r="L59" s="728" t="s">
        <v>381</v>
      </c>
      <c r="M59" s="752" t="s">
        <v>681</v>
      </c>
      <c r="N59" s="752"/>
      <c r="O59" s="728" t="s">
        <v>382</v>
      </c>
      <c r="P59" s="473" t="s">
        <v>667</v>
      </c>
      <c r="Q59" s="475">
        <f>IF('Basic data'!J40="",0,IF('Basic data'!K40="",0,('Basic data'!J40+'Basic data'!K40)))</f>
        <v>0</v>
      </c>
      <c r="R59" s="711" t="str">
        <f>IF(Q61=Berechnung1!D80,Berechnung1!$F$4,IF(OR(Q61&lt; Berechnung1!E80,Q61&gt; Berechnung1!F80),Berechnung1!$G$4,IF(OR(ROUND(Q61,4)&lt;Berechnung1!J80,ROUND(Q61,4)&gt;Berechnung1!K80),Berechnung1!$D$4,IF(OR(ROUND(Q61,4)&lt;Berechnung1!G80,ROUND(Q61,4)&gt;Berechnung1!H80),Berechnung1!$E$4,Berechnung1!$C$4))))</f>
        <v>Incomplete</v>
      </c>
      <c r="S59" s="723"/>
      <c r="T59" s="723"/>
    </row>
    <row r="60" spans="2:21" ht="35.1" customHeight="1" thickBot="1" x14ac:dyDescent="0.25">
      <c r="B60" s="746"/>
      <c r="C60" s="747"/>
      <c r="D60" s="750"/>
      <c r="E60" s="758"/>
      <c r="F60" s="758"/>
      <c r="G60" s="760"/>
      <c r="H60" s="758"/>
      <c r="I60" s="760"/>
      <c r="J60" s="758"/>
      <c r="K60" s="760"/>
      <c r="L60" s="729"/>
      <c r="M60" s="752"/>
      <c r="N60" s="752"/>
      <c r="O60" s="729"/>
      <c r="P60" s="466" t="s">
        <v>686</v>
      </c>
      <c r="Q60" s="115">
        <f>Q8</f>
        <v>0</v>
      </c>
      <c r="R60" s="712"/>
      <c r="S60" s="797"/>
      <c r="T60" s="726"/>
    </row>
    <row r="61" spans="2:21" ht="35.1" customHeight="1" thickBot="1" x14ac:dyDescent="0.25">
      <c r="B61" s="748"/>
      <c r="C61" s="749"/>
      <c r="D61" s="751"/>
      <c r="E61" s="758"/>
      <c r="F61" s="758"/>
      <c r="G61" s="760"/>
      <c r="H61" s="758"/>
      <c r="I61" s="760"/>
      <c r="J61" s="758"/>
      <c r="K61" s="760"/>
      <c r="L61" s="730"/>
      <c r="M61" s="752"/>
      <c r="N61" s="752"/>
      <c r="O61" s="730"/>
      <c r="P61" s="466" t="s">
        <v>4</v>
      </c>
      <c r="Q61" s="252" t="str">
        <f>IF(Q59="",0,IF(Q60=0,"n.d.",Q59/Q60))</f>
        <v>n.d.</v>
      </c>
      <c r="R61" s="713"/>
      <c r="S61" s="797"/>
      <c r="T61" s="726"/>
    </row>
    <row r="62" spans="2:21" ht="35.1" customHeight="1" thickBot="1" x14ac:dyDescent="0.25">
      <c r="B62" s="687">
        <v>12</v>
      </c>
      <c r="C62" s="745"/>
      <c r="D62" s="761"/>
      <c r="E62" s="758" t="s">
        <v>695</v>
      </c>
      <c r="F62" s="758" t="s">
        <v>754</v>
      </c>
      <c r="G62" s="760"/>
      <c r="H62" s="758" t="s">
        <v>719</v>
      </c>
      <c r="I62" s="760"/>
      <c r="J62" s="758" t="s">
        <v>720</v>
      </c>
      <c r="K62" s="760"/>
      <c r="L62" s="728"/>
      <c r="M62" s="752" t="s">
        <v>399</v>
      </c>
      <c r="N62" s="752"/>
      <c r="O62" s="728"/>
      <c r="P62" s="473" t="s">
        <v>667</v>
      </c>
      <c r="Q62" s="516"/>
      <c r="R62" s="711" t="str">
        <f>IF(AND(Q62&lt;&gt;"",Q63&lt;&gt;"",Q62=0,Q63=0),Berechnung1!$H$4,IF(ISERROR(Q64),Berechnung1!$G$4,IF(Q64="",Berechnung1!$D$4,IF(Q64=Berechnung1!D83,Berechnung1!$F$4,IF(OR(Q64&lt;Berechnung1!E83,Q64&gt;Berechnung1!F83),Berechnung1!$G$4,IF(OR(ROUND(Q64,4)&lt;Berechnung1!J83,ROUND(Q64,4)&gt;Berechnung1!K83),Berechnung1!$D$4,IF(OR(ROUND(Q64,4)&lt;Berechnung1!G83,ROUND(Q64,4)&gt;Berechnung1!H83),Berechnung1!$E$4,Berechnung1!$C$4)))))))</f>
        <v>Incomplete</v>
      </c>
      <c r="S62" s="714"/>
      <c r="T62" s="723"/>
    </row>
    <row r="63" spans="2:21" ht="35.1" customHeight="1" thickBot="1" x14ac:dyDescent="0.25">
      <c r="B63" s="746"/>
      <c r="C63" s="747"/>
      <c r="D63" s="750"/>
      <c r="E63" s="758"/>
      <c r="F63" s="758"/>
      <c r="G63" s="760"/>
      <c r="H63" s="758"/>
      <c r="I63" s="760"/>
      <c r="J63" s="758"/>
      <c r="K63" s="760"/>
      <c r="L63" s="729"/>
      <c r="M63" s="752"/>
      <c r="N63" s="752"/>
      <c r="O63" s="729"/>
      <c r="P63" s="466" t="s">
        <v>686</v>
      </c>
      <c r="Q63" s="518"/>
      <c r="R63" s="712"/>
      <c r="S63" s="797"/>
      <c r="T63" s="726"/>
      <c r="U63" s="12" t="str">
        <f>'Basic data'!L40</f>
        <v/>
      </c>
    </row>
    <row r="64" spans="2:21" ht="35.1" customHeight="1" thickBot="1" x14ac:dyDescent="0.25">
      <c r="B64" s="748"/>
      <c r="C64" s="749"/>
      <c r="D64" s="751"/>
      <c r="E64" s="758"/>
      <c r="F64" s="758"/>
      <c r="G64" s="760"/>
      <c r="H64" s="758"/>
      <c r="I64" s="760"/>
      <c r="J64" s="758"/>
      <c r="K64" s="760"/>
      <c r="L64" s="730"/>
      <c r="M64" s="752"/>
      <c r="N64" s="752"/>
      <c r="O64" s="730"/>
      <c r="P64" s="466" t="s">
        <v>4</v>
      </c>
      <c r="Q64" s="252" t="str">
        <f>IF(Q62="","n.d.",IF(Q63="","n.d.",IF(AND(Q62=0,Q63=0),"",Q62/Q63)))</f>
        <v>n.d.</v>
      </c>
      <c r="R64" s="713"/>
      <c r="S64" s="797"/>
      <c r="T64" s="726"/>
    </row>
    <row r="65" spans="2:20" ht="35.1" customHeight="1" thickBot="1" x14ac:dyDescent="0.25">
      <c r="B65" s="687">
        <v>13</v>
      </c>
      <c r="C65" s="745"/>
      <c r="D65" s="761"/>
      <c r="E65" s="758" t="s">
        <v>696</v>
      </c>
      <c r="F65" s="758" t="s">
        <v>697</v>
      </c>
      <c r="G65" s="759"/>
      <c r="H65" s="758" t="s">
        <v>886</v>
      </c>
      <c r="I65" s="759"/>
      <c r="J65" s="758" t="s">
        <v>691</v>
      </c>
      <c r="K65" s="759"/>
      <c r="L65" s="728"/>
      <c r="M65" s="752" t="s">
        <v>681</v>
      </c>
      <c r="N65" s="752"/>
      <c r="O65" s="728"/>
      <c r="P65" s="473" t="s">
        <v>667</v>
      </c>
      <c r="Q65" s="115">
        <f>IF('Basic data'!M40="",0,'Basic data'!M40)</f>
        <v>0</v>
      </c>
      <c r="R65" s="711" t="str">
        <f>IF(Q67=0,Berechnung1!$C$4,IF(Q67=Berechnung1!D86,Berechnung1!$F$4,IF(OR(Q67&lt; Berechnung1!E86,Q67&gt; Berechnung1!F86),Berechnung1!$F$4,IF(OR(ROUND(Q67,4)&lt;Berechnung1!J86,ROUND(Q67,4)&gt;Berechnung1!K86),Berechnung1!$D$4,IF(OR(ROUND(Q67,4)&lt;Berechnung1!G86,ROUND(Q67,4)&gt;Berechnung1!H86),Berechnung1!$E$4,Berechnung1!$C$4)))))</f>
        <v>Incomplete</v>
      </c>
      <c r="S65" s="714"/>
      <c r="T65" s="824"/>
    </row>
    <row r="66" spans="2:20" ht="35.1" customHeight="1" thickBot="1" x14ac:dyDescent="0.25">
      <c r="B66" s="746"/>
      <c r="C66" s="747"/>
      <c r="D66" s="750"/>
      <c r="E66" s="758"/>
      <c r="F66" s="758"/>
      <c r="G66" s="759"/>
      <c r="H66" s="758"/>
      <c r="I66" s="759"/>
      <c r="J66" s="758"/>
      <c r="K66" s="759"/>
      <c r="L66" s="729"/>
      <c r="M66" s="752"/>
      <c r="N66" s="752"/>
      <c r="O66" s="729"/>
      <c r="P66" s="466" t="s">
        <v>686</v>
      </c>
      <c r="Q66" s="115">
        <f>Q8</f>
        <v>0</v>
      </c>
      <c r="R66" s="712"/>
      <c r="S66" s="797"/>
      <c r="T66" s="822"/>
    </row>
    <row r="67" spans="2:20" ht="35.1" customHeight="1" thickBot="1" x14ac:dyDescent="0.25">
      <c r="B67" s="748"/>
      <c r="C67" s="749"/>
      <c r="D67" s="751"/>
      <c r="E67" s="758"/>
      <c r="F67" s="758"/>
      <c r="G67" s="759"/>
      <c r="H67" s="758"/>
      <c r="I67" s="759"/>
      <c r="J67" s="758"/>
      <c r="K67" s="759"/>
      <c r="L67" s="730"/>
      <c r="M67" s="752"/>
      <c r="N67" s="752"/>
      <c r="O67" s="730"/>
      <c r="P67" s="466" t="s">
        <v>4</v>
      </c>
      <c r="Q67" s="252" t="str">
        <f>IF(Q65="","n.d.",IF(Q66="","n.d.",IF(Q66=0,"n.d.",Q65/Q66)))</f>
        <v>n.d.</v>
      </c>
      <c r="R67" s="713"/>
      <c r="S67" s="797"/>
      <c r="T67" s="823"/>
    </row>
    <row r="68" spans="2:20" ht="49.9" customHeight="1" thickBot="1" x14ac:dyDescent="0.25">
      <c r="B68" s="687">
        <v>14</v>
      </c>
      <c r="C68" s="745"/>
      <c r="D68" s="717" t="s">
        <v>743</v>
      </c>
      <c r="E68" s="693" t="s">
        <v>698</v>
      </c>
      <c r="F68" s="696" t="s">
        <v>699</v>
      </c>
      <c r="G68" s="697"/>
      <c r="H68" s="696" t="s">
        <v>799</v>
      </c>
      <c r="I68" s="697"/>
      <c r="J68" s="696" t="s">
        <v>721</v>
      </c>
      <c r="K68" s="697"/>
      <c r="L68" s="728"/>
      <c r="M68" s="752" t="s">
        <v>399</v>
      </c>
      <c r="N68" s="752"/>
      <c r="O68" s="755"/>
      <c r="P68" s="473" t="s">
        <v>667</v>
      </c>
      <c r="Q68" s="518"/>
      <c r="R68" s="711" t="str">
        <f>IF(AND(Q68&lt;&gt;"",Q69&lt;&gt;"",Q68=0,Q69=0),Berechnung1!$H$4,IF(Q70=Berechnung1!D89,Berechnung1!$F$4,IF(OR(Q70&lt;Berechnung1!E89,Q70&gt;Berechnung1!F89),Berechnung1!$G$4,IF(OR(ROUND(Q70,4)&lt;Berechnung1!J89,ROUND(Q70,4)&gt;Berechnung1!K89),Berechnung1!$D$4,IF(OR(ROUND(Q70,4)&lt;Berechnung1!G89,ROUND(Q70,4)&gt;Berechnung1!H89),Berechnung1!$E$4,Berechnung1!$C$4)))))</f>
        <v>Incomplete</v>
      </c>
      <c r="S68" s="714"/>
      <c r="T68" s="723"/>
    </row>
    <row r="69" spans="2:20" s="19" customFormat="1" ht="49.9" customHeight="1" thickBot="1" x14ac:dyDescent="0.25">
      <c r="B69" s="746"/>
      <c r="C69" s="747"/>
      <c r="D69" s="750"/>
      <c r="E69" s="694"/>
      <c r="F69" s="698"/>
      <c r="G69" s="699"/>
      <c r="H69" s="698"/>
      <c r="I69" s="699"/>
      <c r="J69" s="698"/>
      <c r="K69" s="699"/>
      <c r="L69" s="729"/>
      <c r="M69" s="752"/>
      <c r="N69" s="752"/>
      <c r="O69" s="756"/>
      <c r="P69" s="466" t="s">
        <v>686</v>
      </c>
      <c r="Q69" s="518"/>
      <c r="R69" s="712"/>
      <c r="S69" s="724"/>
      <c r="T69" s="724"/>
    </row>
    <row r="70" spans="2:20" ht="49.9" customHeight="1" thickBot="1" x14ac:dyDescent="0.25">
      <c r="B70" s="748"/>
      <c r="C70" s="749"/>
      <c r="D70" s="751"/>
      <c r="E70" s="695"/>
      <c r="F70" s="700"/>
      <c r="G70" s="701"/>
      <c r="H70" s="700"/>
      <c r="I70" s="701"/>
      <c r="J70" s="700"/>
      <c r="K70" s="701"/>
      <c r="L70" s="730"/>
      <c r="M70" s="752"/>
      <c r="N70" s="752"/>
      <c r="O70" s="757"/>
      <c r="P70" s="466" t="s">
        <v>4</v>
      </c>
      <c r="Q70" s="252" t="str">
        <f>IF(Q68="","n.d.",IF(Q69="","n.d.",IF(Q69=0,"",Q68/Q69)))</f>
        <v>n.d.</v>
      </c>
      <c r="R70" s="713"/>
      <c r="S70" s="725"/>
      <c r="T70" s="725"/>
    </row>
    <row r="71" spans="2:20" ht="29.25" customHeight="1" thickBot="1" x14ac:dyDescent="0.25">
      <c r="B71" s="687">
        <v>15</v>
      </c>
      <c r="C71" s="745"/>
      <c r="D71" s="717" t="s">
        <v>743</v>
      </c>
      <c r="E71" s="693" t="s">
        <v>700</v>
      </c>
      <c r="F71" s="696" t="s">
        <v>699</v>
      </c>
      <c r="G71" s="697"/>
      <c r="H71" s="696" t="s">
        <v>794</v>
      </c>
      <c r="I71" s="697"/>
      <c r="J71" s="696" t="s">
        <v>722</v>
      </c>
      <c r="K71" s="697"/>
      <c r="L71" s="728"/>
      <c r="M71" s="752" t="s">
        <v>158</v>
      </c>
      <c r="N71" s="752"/>
      <c r="O71" s="755"/>
      <c r="P71" s="473" t="s">
        <v>667</v>
      </c>
      <c r="Q71" s="518"/>
      <c r="R71" s="711" t="str">
        <f>IF(AND(Q71&lt;&gt;"",Q72&lt;&gt;"",Q71=0,Q72=0),Berechnung1!$H$4,IF(Q73="",Berechnung1!$D$4,IF(Q73=Berechnung1!D92,Berechnung1!$F$4,IF(OR(Q73&lt;Berechnung1!E92,Q73&gt;Berechnung1!F92),Berechnung1!$G$4,IF(OR(ROUND(Q73,4)&lt;Berechnung1!J92,ROUND(Q73,4)&gt;Berechnung1!K92),Berechnung1!$D$4,IF(OR(ROUND(Q73,4)&lt;Berechnung1!G92,ROUND(Q73,4)&gt;Berechnung1!H92),Berechnung1!$E$4,Berechnung1!$C$4))))))</f>
        <v>Incomplete</v>
      </c>
      <c r="S71" s="714"/>
      <c r="T71" s="714"/>
    </row>
    <row r="72" spans="2:20" s="19" customFormat="1" ht="29.25" customHeight="1" thickBot="1" x14ac:dyDescent="0.25">
      <c r="B72" s="746"/>
      <c r="C72" s="747"/>
      <c r="D72" s="750"/>
      <c r="E72" s="694"/>
      <c r="F72" s="698"/>
      <c r="G72" s="699"/>
      <c r="H72" s="698"/>
      <c r="I72" s="699"/>
      <c r="J72" s="698"/>
      <c r="K72" s="699"/>
      <c r="L72" s="729"/>
      <c r="M72" s="752"/>
      <c r="N72" s="752"/>
      <c r="O72" s="756"/>
      <c r="P72" s="466" t="s">
        <v>686</v>
      </c>
      <c r="Q72" s="519"/>
      <c r="R72" s="712"/>
      <c r="S72" s="724"/>
      <c r="T72" s="724"/>
    </row>
    <row r="73" spans="2:20" ht="29.25" customHeight="1" thickBot="1" x14ac:dyDescent="0.25">
      <c r="B73" s="748"/>
      <c r="C73" s="749"/>
      <c r="D73" s="751"/>
      <c r="E73" s="695"/>
      <c r="F73" s="700"/>
      <c r="G73" s="701"/>
      <c r="H73" s="700"/>
      <c r="I73" s="701"/>
      <c r="J73" s="700"/>
      <c r="K73" s="701"/>
      <c r="L73" s="730"/>
      <c r="M73" s="752"/>
      <c r="N73" s="752"/>
      <c r="O73" s="757"/>
      <c r="P73" s="466" t="s">
        <v>4</v>
      </c>
      <c r="Q73" s="486" t="str">
        <f>IF(Q71="","n.d.",IF(Q72="","n.d.",IF(Q72=0,"",Q71/Q72)))</f>
        <v>n.d.</v>
      </c>
      <c r="R73" s="713"/>
      <c r="S73" s="725"/>
      <c r="T73" s="725"/>
    </row>
    <row r="74" spans="2:20" ht="42" customHeight="1" thickBot="1" x14ac:dyDescent="0.25">
      <c r="B74" s="687">
        <v>16</v>
      </c>
      <c r="C74" s="745"/>
      <c r="D74" s="717" t="s">
        <v>743</v>
      </c>
      <c r="E74" s="693" t="s">
        <v>723</v>
      </c>
      <c r="F74" s="696" t="s">
        <v>747</v>
      </c>
      <c r="G74" s="697"/>
      <c r="H74" s="696" t="s">
        <v>724</v>
      </c>
      <c r="I74" s="697"/>
      <c r="J74" s="696" t="s">
        <v>701</v>
      </c>
      <c r="K74" s="697"/>
      <c r="L74" s="753"/>
      <c r="M74" s="754" t="s">
        <v>387</v>
      </c>
      <c r="N74" s="754"/>
      <c r="O74" s="755"/>
      <c r="P74" s="487" t="s">
        <v>667</v>
      </c>
      <c r="Q74" s="518"/>
      <c r="R74" s="711" t="str">
        <f>IF(AND(Q74&lt;&gt;"",Q75&lt;&gt;"",Q74=0,Q75=0),Berechnung1!$H$4,IF(Q76="",Berechnung1!$D$4,IF(Q76=Berechnung1!D95,Berechnung1!$F$4,IF(OR(Q76&lt;Berechnung1!E95,Q76&gt;Berechnung1!F95),Berechnung1!$G$4,IF(OR(ROUND(Q76,4)&lt;Berechnung1!J95,ROUND(Q76,4)&gt;Berechnung1!K95),Berechnung1!$D$4,IF(OR(ROUND(Q76,4)&lt;Berechnung1!G95,ROUND(Q76,4)&gt;Berechnung1!H95),Berechnung1!$E$4,Berechnung1!$C$4))))))</f>
        <v>Incomplete</v>
      </c>
      <c r="S74" s="714"/>
      <c r="T74" s="723"/>
    </row>
    <row r="75" spans="2:20" s="19" customFormat="1" ht="42" customHeight="1" thickBot="1" x14ac:dyDescent="0.25">
      <c r="B75" s="746"/>
      <c r="C75" s="747"/>
      <c r="D75" s="750"/>
      <c r="E75" s="694"/>
      <c r="F75" s="698"/>
      <c r="G75" s="699"/>
      <c r="H75" s="698"/>
      <c r="I75" s="699"/>
      <c r="J75" s="698"/>
      <c r="K75" s="699"/>
      <c r="L75" s="729"/>
      <c r="M75" s="754"/>
      <c r="N75" s="754"/>
      <c r="O75" s="756"/>
      <c r="P75" s="484" t="s">
        <v>686</v>
      </c>
      <c r="Q75" s="519"/>
      <c r="R75" s="712"/>
      <c r="S75" s="724"/>
      <c r="T75" s="724"/>
    </row>
    <row r="76" spans="2:20" ht="42" customHeight="1" thickBot="1" x14ac:dyDescent="0.25">
      <c r="B76" s="748"/>
      <c r="C76" s="749"/>
      <c r="D76" s="751"/>
      <c r="E76" s="695"/>
      <c r="F76" s="700"/>
      <c r="G76" s="701"/>
      <c r="H76" s="700"/>
      <c r="I76" s="701"/>
      <c r="J76" s="700"/>
      <c r="K76" s="701"/>
      <c r="L76" s="730"/>
      <c r="M76" s="754"/>
      <c r="N76" s="754"/>
      <c r="O76" s="757"/>
      <c r="P76" s="466" t="s">
        <v>4</v>
      </c>
      <c r="Q76" s="483" t="str">
        <f>IF(Q74="","n.d.",IF(Q75="","n.d.",IF(Q75=0,"",Q74/Q75)))</f>
        <v>n.d.</v>
      </c>
      <c r="R76" s="713"/>
      <c r="S76" s="725"/>
      <c r="T76" s="725"/>
    </row>
    <row r="77" spans="2:20" ht="39" customHeight="1" thickBot="1" x14ac:dyDescent="0.25">
      <c r="B77" s="687">
        <v>17</v>
      </c>
      <c r="C77" s="745"/>
      <c r="D77" s="717" t="s">
        <v>743</v>
      </c>
      <c r="E77" s="693" t="s">
        <v>702</v>
      </c>
      <c r="F77" s="696" t="s">
        <v>748</v>
      </c>
      <c r="G77" s="697"/>
      <c r="H77" s="696" t="s">
        <v>725</v>
      </c>
      <c r="I77" s="697"/>
      <c r="J77" s="696" t="s">
        <v>792</v>
      </c>
      <c r="K77" s="697"/>
      <c r="L77" s="728"/>
      <c r="M77" s="705" t="s">
        <v>406</v>
      </c>
      <c r="N77" s="706"/>
      <c r="O77" s="728"/>
      <c r="P77" s="473" t="s">
        <v>667</v>
      </c>
      <c r="Q77" s="518"/>
      <c r="R77" s="711" t="str">
        <f>IF(AND(Q77&lt;&gt;"",Q78&lt;&gt;"",Q77=0,Q78=0),Berechnung1!$H$4,IF(Q79="",Berechnung1!$D$4,IF(Q79=Berechnung1!D98,Berechnung1!$F$4,IF(OR(Q79&lt;Berechnung1!E98,Q79&gt;Berechnung1!F98),Berechnung1!$G$4,IF(OR(ROUND(Q79,4)&lt;Berechnung1!J98,ROUND(Q79,4)&gt;Berechnung1!K98),Berechnung1!$D$4,IF(OR(ROUND(Q79,4)&lt;Berechnung1!G98,ROUND(Q79,4)&gt;Berechnung1!H98),Berechnung1!$E$4,Berechnung1!$C$4))))))</f>
        <v>Incomplete</v>
      </c>
      <c r="S77" s="714"/>
      <c r="T77" s="723"/>
    </row>
    <row r="78" spans="2:20" s="19" customFormat="1" ht="39" customHeight="1" thickBot="1" x14ac:dyDescent="0.25">
      <c r="B78" s="746"/>
      <c r="C78" s="747"/>
      <c r="D78" s="750"/>
      <c r="E78" s="694"/>
      <c r="F78" s="698"/>
      <c r="G78" s="699"/>
      <c r="H78" s="698"/>
      <c r="I78" s="699"/>
      <c r="J78" s="698"/>
      <c r="K78" s="699"/>
      <c r="L78" s="729"/>
      <c r="M78" s="707"/>
      <c r="N78" s="708"/>
      <c r="O78" s="729"/>
      <c r="P78" s="466" t="s">
        <v>686</v>
      </c>
      <c r="Q78" s="519"/>
      <c r="R78" s="712"/>
      <c r="S78" s="724"/>
      <c r="T78" s="724"/>
    </row>
    <row r="79" spans="2:20" ht="39" customHeight="1" thickBot="1" x14ac:dyDescent="0.25">
      <c r="B79" s="748"/>
      <c r="C79" s="749"/>
      <c r="D79" s="751"/>
      <c r="E79" s="695"/>
      <c r="F79" s="700"/>
      <c r="G79" s="701"/>
      <c r="H79" s="700"/>
      <c r="I79" s="701"/>
      <c r="J79" s="700"/>
      <c r="K79" s="701"/>
      <c r="L79" s="730"/>
      <c r="M79" s="709"/>
      <c r="N79" s="710"/>
      <c r="O79" s="730"/>
      <c r="P79" s="466" t="s">
        <v>4</v>
      </c>
      <c r="Q79" s="252" t="str">
        <f>IF(Q77="","n.d.",IF(Q78="","n.d.",IF(Q78=0,"",Q77/Q78)))</f>
        <v>n.d.</v>
      </c>
      <c r="R79" s="713"/>
      <c r="S79" s="725"/>
      <c r="T79" s="725"/>
    </row>
    <row r="80" spans="2:20" ht="33.75" customHeight="1" thickBot="1" x14ac:dyDescent="0.25">
      <c r="B80" s="687">
        <v>18</v>
      </c>
      <c r="C80" s="745"/>
      <c r="D80" s="717" t="s">
        <v>743</v>
      </c>
      <c r="E80" s="693" t="s">
        <v>726</v>
      </c>
      <c r="F80" s="696" t="s">
        <v>749</v>
      </c>
      <c r="G80" s="697"/>
      <c r="H80" s="696" t="s">
        <v>727</v>
      </c>
      <c r="I80" s="697"/>
      <c r="J80" s="696" t="s">
        <v>728</v>
      </c>
      <c r="K80" s="697"/>
      <c r="L80" s="728"/>
      <c r="M80" s="705" t="s">
        <v>800</v>
      </c>
      <c r="N80" s="706"/>
      <c r="O80" s="728"/>
      <c r="P80" s="473" t="s">
        <v>667</v>
      </c>
      <c r="Q80" s="518"/>
      <c r="R80" s="711" t="str">
        <f>IF(AND(Q80&lt;&gt;"",Q81&lt;&gt;"",Q80=0,Q81=0),Berechnung1!$H$4,IF(Q82="",Berechnung1!$D$4,IF(Q82=Berechnung1!D101,Berechnung1!$F$4,IF(OR(Q82&lt;Berechnung1!E101,Q82&gt;Berechnung1!F101),Berechnung1!$G$4,IF(OR(ROUND(Q82,4)&lt;Berechnung1!J101,ROUND(Q82,4)&gt;Berechnung1!K101),Berechnung1!$D$4,IF(OR(ROUND(Q82,4)&lt;Berechnung1!G101,ROUND(Q82,4)&gt;Berechnung1!H101),Berechnung1!$E$4,Berechnung1!$C$4))))))</f>
        <v>Incomplete</v>
      </c>
      <c r="S80" s="714"/>
      <c r="T80" s="723"/>
    </row>
    <row r="81" spans="2:27" s="19" customFormat="1" ht="33.75" customHeight="1" thickBot="1" x14ac:dyDescent="0.25">
      <c r="B81" s="746"/>
      <c r="C81" s="747"/>
      <c r="D81" s="750"/>
      <c r="E81" s="694"/>
      <c r="F81" s="698"/>
      <c r="G81" s="699"/>
      <c r="H81" s="698"/>
      <c r="I81" s="699"/>
      <c r="J81" s="698"/>
      <c r="K81" s="699"/>
      <c r="L81" s="729"/>
      <c r="M81" s="707"/>
      <c r="N81" s="708"/>
      <c r="O81" s="729"/>
      <c r="P81" s="466" t="s">
        <v>686</v>
      </c>
      <c r="Q81" s="519"/>
      <c r="R81" s="712"/>
      <c r="S81" s="715"/>
      <c r="T81" s="724"/>
    </row>
    <row r="82" spans="2:27" ht="33.75" customHeight="1" thickBot="1" x14ac:dyDescent="0.25">
      <c r="B82" s="748"/>
      <c r="C82" s="749"/>
      <c r="D82" s="751"/>
      <c r="E82" s="695"/>
      <c r="F82" s="700"/>
      <c r="G82" s="701"/>
      <c r="H82" s="700"/>
      <c r="I82" s="701"/>
      <c r="J82" s="700"/>
      <c r="K82" s="701"/>
      <c r="L82" s="730"/>
      <c r="M82" s="709"/>
      <c r="N82" s="710"/>
      <c r="O82" s="730"/>
      <c r="P82" s="466" t="s">
        <v>4</v>
      </c>
      <c r="Q82" s="486" t="str">
        <f>IF(Q80="","n.d.",IF(Q81="","n.d.",IF(Q81=0,"",Q80/Q81)))</f>
        <v>n.d.</v>
      </c>
      <c r="R82" s="713"/>
      <c r="S82" s="716"/>
      <c r="T82" s="725"/>
    </row>
    <row r="83" spans="2:27" ht="33.75" customHeight="1" thickBot="1" x14ac:dyDescent="0.25">
      <c r="B83" s="687">
        <v>19</v>
      </c>
      <c r="C83" s="745"/>
      <c r="D83" s="717" t="s">
        <v>743</v>
      </c>
      <c r="E83" s="693" t="s">
        <v>703</v>
      </c>
      <c r="F83" s="696" t="s">
        <v>750</v>
      </c>
      <c r="G83" s="697"/>
      <c r="H83" s="696" t="s">
        <v>788</v>
      </c>
      <c r="I83" s="697"/>
      <c r="J83" s="696" t="s">
        <v>789</v>
      </c>
      <c r="K83" s="697"/>
      <c r="L83" s="728"/>
      <c r="M83" s="752" t="s">
        <v>399</v>
      </c>
      <c r="N83" s="752"/>
      <c r="O83" s="728"/>
      <c r="P83" s="487" t="s">
        <v>667</v>
      </c>
      <c r="Q83" s="518"/>
      <c r="R83" s="711" t="str">
        <f>IF(AND(Q83&lt;&gt;"",Q84&lt;&gt;"",Q83=0,Q84=0),Berechnung1!$H$4,IF(Q85="",Berechnung1!$D$4,IF(Q85=Berechnung1!D104,Berechnung1!$F$4,IF(OR(Q85&lt;Berechnung1!E104,Q85&gt;Berechnung1!F104),Berechnung1!$G$4,IF(OR(ROUND(Q85,4)&lt;Berechnung1!J104,ROUND(Q85,4)&gt;Berechnung1!K104),Berechnung1!$D$4,IF(OR(ROUND(Q85,4)&lt;Berechnung1!G104,ROUND(Q85,4)&gt;Berechnung1!H104),Berechnung1!$E$4,Berechnung1!$C$4))))))</f>
        <v>Incomplete</v>
      </c>
      <c r="S83" s="714"/>
      <c r="T83" s="714"/>
    </row>
    <row r="84" spans="2:27" s="19" customFormat="1" ht="33.75" customHeight="1" thickBot="1" x14ac:dyDescent="0.25">
      <c r="B84" s="746"/>
      <c r="C84" s="747"/>
      <c r="D84" s="750"/>
      <c r="E84" s="694"/>
      <c r="F84" s="698"/>
      <c r="G84" s="699"/>
      <c r="H84" s="698"/>
      <c r="I84" s="699"/>
      <c r="J84" s="698"/>
      <c r="K84" s="699"/>
      <c r="L84" s="729"/>
      <c r="M84" s="752"/>
      <c r="N84" s="752"/>
      <c r="O84" s="729"/>
      <c r="P84" s="484" t="s">
        <v>686</v>
      </c>
      <c r="Q84" s="519"/>
      <c r="R84" s="712"/>
      <c r="S84" s="715"/>
      <c r="T84" s="724"/>
    </row>
    <row r="85" spans="2:27" ht="33.75" customHeight="1" thickBot="1" x14ac:dyDescent="0.25">
      <c r="B85" s="748"/>
      <c r="C85" s="749"/>
      <c r="D85" s="751"/>
      <c r="E85" s="695"/>
      <c r="F85" s="700"/>
      <c r="G85" s="701"/>
      <c r="H85" s="700"/>
      <c r="I85" s="701"/>
      <c r="J85" s="700"/>
      <c r="K85" s="701"/>
      <c r="L85" s="730"/>
      <c r="M85" s="752"/>
      <c r="N85" s="752"/>
      <c r="O85" s="730"/>
      <c r="P85" s="466" t="s">
        <v>4</v>
      </c>
      <c r="Q85" s="488" t="str">
        <f>IF(Q83="","n.d.",IF(Q84="","n.d.",IF(Q84=0,"",Q83/Q84)))</f>
        <v>n.d.</v>
      </c>
      <c r="R85" s="713"/>
      <c r="S85" s="716"/>
      <c r="T85" s="725"/>
    </row>
    <row r="86" spans="2:27" ht="30" customHeight="1" thickBot="1" x14ac:dyDescent="0.25">
      <c r="B86" s="687">
        <v>20</v>
      </c>
      <c r="C86" s="688"/>
      <c r="D86" s="717"/>
      <c r="E86" s="693" t="s">
        <v>819</v>
      </c>
      <c r="F86" s="696" t="s">
        <v>815</v>
      </c>
      <c r="G86" s="697"/>
      <c r="H86" s="696" t="s">
        <v>816</v>
      </c>
      <c r="I86" s="697"/>
      <c r="J86" s="696" t="s">
        <v>889</v>
      </c>
      <c r="K86" s="697"/>
      <c r="L86" s="702"/>
      <c r="M86" s="705" t="s">
        <v>681</v>
      </c>
      <c r="N86" s="706"/>
      <c r="O86" s="702"/>
      <c r="P86" s="466" t="s">
        <v>667</v>
      </c>
      <c r="Q86" s="115">
        <f>IF('Basic data'!F33="",0,IF('Basic data'!G33="",0,IF('Basic data'!H33="",0,('Basic data'!F33+'Basic data'!G33+'Basic data'!H33))))</f>
        <v>0</v>
      </c>
      <c r="R86" s="711" t="str">
        <f>IF(Q88=0,Berechnung1!$C$4,IF(Q88=Berechnung1!D107,Berechnung1!$F$4,IF(OR(Q88&lt; Berechnung1!E107,Q88&gt; Berechnung1!F107),Berechnung1!$F$4,IF(OR(ROUND(Q88,4)&lt;Berechnung1!J107,ROUND(Q88,4)&gt;Berechnung1!K107),Berechnung1!$D$4,IF(OR(ROUND(Q88,4)&lt;Berechnung1!G107,ROUND(Q88,4)&gt;Berechnung1!H107),Berechnung1!$E$4,Berechnung1!$C$4)))))</f>
        <v>Incomplete</v>
      </c>
      <c r="S86" s="714"/>
      <c r="T86" s="684"/>
    </row>
    <row r="87" spans="2:27" ht="30" customHeight="1" thickBot="1" x14ac:dyDescent="0.25">
      <c r="B87" s="689"/>
      <c r="C87" s="690"/>
      <c r="D87" s="718"/>
      <c r="E87" s="694"/>
      <c r="F87" s="698"/>
      <c r="G87" s="699"/>
      <c r="H87" s="698"/>
      <c r="I87" s="699"/>
      <c r="J87" s="698"/>
      <c r="K87" s="699"/>
      <c r="L87" s="703"/>
      <c r="M87" s="707"/>
      <c r="N87" s="708"/>
      <c r="O87" s="703"/>
      <c r="P87" s="466" t="s">
        <v>686</v>
      </c>
      <c r="Q87" s="115">
        <f>IF('Basic data'!F40="",0,IF('Basic data'!H40="",0,IF('Basic data'!G40="",0,('Basic data'!F40+'Basic data'!H40+'Basic data'!G40))))</f>
        <v>0</v>
      </c>
      <c r="R87" s="712"/>
      <c r="S87" s="715"/>
      <c r="T87" s="685"/>
    </row>
    <row r="88" spans="2:27" ht="30" customHeight="1" thickBot="1" x14ac:dyDescent="0.25">
      <c r="B88" s="691"/>
      <c r="C88" s="692"/>
      <c r="D88" s="719"/>
      <c r="E88" s="695"/>
      <c r="F88" s="700"/>
      <c r="G88" s="701"/>
      <c r="H88" s="700"/>
      <c r="I88" s="701"/>
      <c r="J88" s="700"/>
      <c r="K88" s="701"/>
      <c r="L88" s="704"/>
      <c r="M88" s="709"/>
      <c r="N88" s="710"/>
      <c r="O88" s="704"/>
      <c r="P88" s="466" t="s">
        <v>4</v>
      </c>
      <c r="Q88" s="522" t="str">
        <f>IF(Q86="","n.d.",IF(Q87="","n.d.",IF(Q87=0,"n.d.",Q86/Q87)))</f>
        <v>n.d.</v>
      </c>
      <c r="R88" s="713"/>
      <c r="S88" s="716"/>
      <c r="T88" s="686"/>
    </row>
    <row r="89" spans="2:27" ht="30" customHeight="1" thickBot="1" x14ac:dyDescent="0.25">
      <c r="B89" s="687">
        <v>21</v>
      </c>
      <c r="C89" s="688"/>
      <c r="D89" s="717"/>
      <c r="E89" s="693" t="s">
        <v>817</v>
      </c>
      <c r="F89" s="696" t="s">
        <v>818</v>
      </c>
      <c r="G89" s="697"/>
      <c r="H89" s="696" t="s">
        <v>887</v>
      </c>
      <c r="I89" s="697"/>
      <c r="J89" s="696" t="s">
        <v>888</v>
      </c>
      <c r="K89" s="697"/>
      <c r="L89" s="702"/>
      <c r="M89" s="705" t="s">
        <v>681</v>
      </c>
      <c r="N89" s="706"/>
      <c r="O89" s="702"/>
      <c r="P89" s="466" t="s">
        <v>667</v>
      </c>
      <c r="Q89" s="115">
        <f>IF('Basic data'!F33="",0,IF('Basic data'!G33="",0,IF('Basic data'!H33="",0,('Basic data'!F33+'Basic data'!G33+'Basic data'!H33))))</f>
        <v>0</v>
      </c>
      <c r="R89" s="711" t="str">
        <f>IF(Q91=0,Berechnung1!$C$4,IF(Q91=Berechnung1!D110,Berechnung1!$F$4,IF(OR(Q91&lt; Berechnung1!E110,Q91&gt; Berechnung1!F110),Berechnung1!$F$4,IF(OR(ROUND(Q91,4)&lt;Berechnung1!J110,ROUND(Q91,4)&gt;Berechnung1!K110),Berechnung1!$D$4,IF(OR(ROUND(Q91,4)&lt;Berechnung1!G110,ROUND(Q91,4)&gt;Berechnung1!H110),Berechnung1!$E$4,Berechnung1!$C$4)))))</f>
        <v>Incomplete</v>
      </c>
      <c r="S89" s="714"/>
      <c r="T89" s="684"/>
    </row>
    <row r="90" spans="2:27" ht="30" customHeight="1" thickBot="1" x14ac:dyDescent="0.25">
      <c r="B90" s="689"/>
      <c r="C90" s="690"/>
      <c r="D90" s="718"/>
      <c r="E90" s="694"/>
      <c r="F90" s="698"/>
      <c r="G90" s="699"/>
      <c r="H90" s="698"/>
      <c r="I90" s="699"/>
      <c r="J90" s="698"/>
      <c r="K90" s="699"/>
      <c r="L90" s="703"/>
      <c r="M90" s="707"/>
      <c r="N90" s="708"/>
      <c r="O90" s="703"/>
      <c r="P90" s="466" t="s">
        <v>686</v>
      </c>
      <c r="Q90" s="115">
        <f>SUM('Basic data'!D33:H33,'Basic data'!J33:P33)</f>
        <v>0</v>
      </c>
      <c r="R90" s="712"/>
      <c r="S90" s="715"/>
      <c r="T90" s="685"/>
    </row>
    <row r="91" spans="2:27" ht="30" customHeight="1" thickBot="1" x14ac:dyDescent="0.25">
      <c r="B91" s="691"/>
      <c r="C91" s="692"/>
      <c r="D91" s="719"/>
      <c r="E91" s="695"/>
      <c r="F91" s="700"/>
      <c r="G91" s="701"/>
      <c r="H91" s="700"/>
      <c r="I91" s="701"/>
      <c r="J91" s="700"/>
      <c r="K91" s="701"/>
      <c r="L91" s="704"/>
      <c r="M91" s="709"/>
      <c r="N91" s="710"/>
      <c r="O91" s="704"/>
      <c r="P91" s="466" t="s">
        <v>4</v>
      </c>
      <c r="Q91" s="522" t="str">
        <f>IF(Q89="","n.d.",IF(Q90="","n.d.",IF(Q90=0,"n.d.",Q89/Q90)))</f>
        <v>n.d.</v>
      </c>
      <c r="R91" s="713"/>
      <c r="S91" s="716"/>
      <c r="T91" s="686"/>
    </row>
    <row r="92" spans="2:27" ht="7.9" customHeight="1" x14ac:dyDescent="0.2">
      <c r="B92" s="450"/>
      <c r="C92" s="450"/>
      <c r="D92" s="451"/>
      <c r="E92" s="452"/>
      <c r="F92" s="452"/>
      <c r="G92" s="452"/>
      <c r="H92" s="452"/>
      <c r="I92" s="452"/>
      <c r="J92" s="452"/>
      <c r="K92" s="452"/>
      <c r="L92" s="453"/>
      <c r="M92" s="447"/>
      <c r="N92" s="447"/>
      <c r="O92" s="453"/>
      <c r="P92" s="448"/>
      <c r="Q92" s="449"/>
      <c r="R92" s="479"/>
      <c r="S92" s="493"/>
      <c r="T92" s="493"/>
    </row>
    <row r="93" spans="2:27" ht="14.45" customHeight="1" thickBot="1" x14ac:dyDescent="0.3">
      <c r="B93" s="496" t="s">
        <v>657</v>
      </c>
      <c r="C93"/>
      <c r="D93"/>
      <c r="E93"/>
      <c r="F93"/>
      <c r="G93"/>
      <c r="H93"/>
      <c r="I93" s="452"/>
      <c r="J93" s="452"/>
      <c r="K93" s="452"/>
      <c r="L93" s="453"/>
      <c r="M93" s="447"/>
      <c r="N93" s="447"/>
      <c r="O93" s="453"/>
      <c r="P93" s="448"/>
      <c r="Q93" s="449"/>
      <c r="R93" s="479"/>
      <c r="S93" s="493"/>
      <c r="T93" s="493"/>
    </row>
    <row r="94" spans="2:27" ht="14.45" customHeight="1" thickBot="1" x14ac:dyDescent="0.3">
      <c r="B94"/>
      <c r="D94" s="732" t="s">
        <v>814</v>
      </c>
      <c r="E94" s="733"/>
      <c r="F94" s="497" t="s">
        <v>659</v>
      </c>
      <c r="G94" s="498" t="str">
        <f>CONCATENATE(TEXT(Berechnung1!C8,"0,00%")," (",Berechnung1!C5, ")")</f>
        <v>0,00% (0)</v>
      </c>
      <c r="H94" s="731" t="str">
        <f>CONCATENATE(TEXT(Berechnung1!D9,"0,00%")," (",Berechnung1!D6, ")")</f>
        <v>0,00% (0)</v>
      </c>
      <c r="I94" s="741" t="s">
        <v>661</v>
      </c>
      <c r="P94" s="453"/>
      <c r="Q94" s="448"/>
      <c r="R94" s="449"/>
      <c r="S94" s="479"/>
      <c r="T94" s="493"/>
      <c r="U94" s="493"/>
      <c r="V94" s="453"/>
      <c r="W94" s="448"/>
      <c r="X94" s="449"/>
      <c r="Y94" s="479"/>
      <c r="Z94" s="493"/>
      <c r="AA94" s="493"/>
    </row>
    <row r="95" spans="2:27" ht="14.45" customHeight="1" thickBot="1" x14ac:dyDescent="0.3">
      <c r="B95"/>
      <c r="D95" s="734"/>
      <c r="E95" s="735"/>
      <c r="F95" s="499" t="s">
        <v>660</v>
      </c>
      <c r="G95" s="500" t="str">
        <f>CONCATENATE(TEXT(Berechnung1!K8,"0,00%")," (",Berechnung1!K5, ")")</f>
        <v>0,00% (0)</v>
      </c>
      <c r="H95" s="731"/>
      <c r="I95" s="741"/>
      <c r="P95" s="453"/>
      <c r="Q95" s="448"/>
      <c r="R95" s="449"/>
      <c r="S95" s="479"/>
      <c r="T95" s="493"/>
      <c r="U95" s="493"/>
      <c r="V95" s="453"/>
      <c r="W95" s="448"/>
      <c r="X95" s="449"/>
      <c r="Y95" s="479"/>
      <c r="Z95" s="493"/>
      <c r="AA95" s="493"/>
    </row>
    <row r="96" spans="2:27" ht="14.45" customHeight="1" thickBot="1" x14ac:dyDescent="0.3">
      <c r="B96"/>
      <c r="D96" s="742" t="s">
        <v>813</v>
      </c>
      <c r="E96" s="743"/>
      <c r="F96" s="743"/>
      <c r="G96" s="744"/>
      <c r="H96" s="501" t="str">
        <f>CONCATENATE(TEXT(Berechnung1!E9,"0,00%")," (",Berechnung1!E6, ")")</f>
        <v>0,00% (0)</v>
      </c>
      <c r="I96" s="502" t="str">
        <f>CONCATENATE(TEXT(Berechnung1!E10,"0,00%")," (",Berechnung1!E7, ")")</f>
        <v>0,00% (0)</v>
      </c>
      <c r="P96" s="453"/>
      <c r="Q96" s="448"/>
      <c r="R96" s="449"/>
      <c r="S96" s="479"/>
      <c r="T96" s="493"/>
      <c r="U96" s="493"/>
      <c r="V96" s="453"/>
      <c r="W96" s="448"/>
      <c r="X96" s="449"/>
      <c r="Y96" s="479"/>
      <c r="Z96" s="493"/>
      <c r="AA96" s="493"/>
    </row>
    <row r="97" spans="2:27" ht="14.45" customHeight="1" thickBot="1" x14ac:dyDescent="0.3">
      <c r="B97"/>
      <c r="D97" s="737" t="s">
        <v>793</v>
      </c>
      <c r="E97" s="738"/>
      <c r="F97" s="503" t="s">
        <v>662</v>
      </c>
      <c r="G97" s="504" t="str">
        <f>CONCATENATE(TEXT(Berechnung1!G8,"0,00%")," (",Berechnung1!G5, ")")</f>
        <v>0,00% (0)</v>
      </c>
      <c r="H97" s="736" t="str">
        <f>CONCATENATE(TEXT(Berechnung1!G9,"0,00%")," (",Berechnung1!G7, ")")</f>
        <v>100,00% (28)</v>
      </c>
      <c r="I97" s="736"/>
      <c r="P97" s="453"/>
      <c r="Q97" s="448"/>
      <c r="R97" s="449"/>
      <c r="S97" s="479"/>
      <c r="T97" s="493"/>
      <c r="U97" s="493"/>
      <c r="V97" s="453"/>
      <c r="W97" s="448"/>
      <c r="X97" s="449"/>
      <c r="Y97" s="479"/>
      <c r="Z97" s="493"/>
      <c r="AA97" s="493"/>
    </row>
    <row r="98" spans="2:27" ht="14.45" customHeight="1" thickBot="1" x14ac:dyDescent="0.3">
      <c r="B98"/>
      <c r="D98" s="739"/>
      <c r="E98" s="740"/>
      <c r="F98" s="505" t="s">
        <v>663</v>
      </c>
      <c r="G98" s="506" t="str">
        <f>CONCATENATE(TEXT(Berechnung1!F8,"0,00%")," (",Berechnung1!F5, ")")</f>
        <v>100,00% (28)</v>
      </c>
      <c r="H98" s="736"/>
      <c r="I98" s="736"/>
      <c r="P98" s="453"/>
      <c r="Q98" s="448"/>
      <c r="R98" s="449"/>
      <c r="S98" s="479"/>
      <c r="T98" s="493"/>
      <c r="U98" s="493"/>
      <c r="V98" s="453"/>
      <c r="W98" s="448"/>
      <c r="X98" s="449"/>
      <c r="Y98" s="479"/>
      <c r="Z98" s="493"/>
      <c r="AA98" s="493"/>
    </row>
    <row r="99" spans="2:27" ht="7.9" customHeight="1" x14ac:dyDescent="0.2">
      <c r="B99" s="727"/>
      <c r="C99" s="727"/>
      <c r="D99" s="727"/>
      <c r="E99" s="727"/>
      <c r="F99" s="727"/>
      <c r="G99" s="727"/>
      <c r="H99" s="727"/>
      <c r="I99" s="452"/>
      <c r="J99" s="452"/>
      <c r="K99" s="452"/>
      <c r="L99" s="453"/>
      <c r="M99" s="447"/>
      <c r="N99" s="447"/>
      <c r="O99" s="453"/>
      <c r="P99" s="453"/>
      <c r="Q99" s="448"/>
      <c r="R99" s="449"/>
      <c r="S99" s="479"/>
      <c r="T99" s="493"/>
      <c r="U99" s="493"/>
      <c r="V99" s="453"/>
      <c r="W99" s="448"/>
      <c r="X99" s="449"/>
      <c r="Y99" s="479"/>
      <c r="Z99" s="493"/>
      <c r="AA99" s="493"/>
    </row>
    <row r="100" spans="2:27" ht="57.75" customHeight="1" x14ac:dyDescent="0.2">
      <c r="B100" s="727" t="s">
        <v>795</v>
      </c>
      <c r="C100" s="727"/>
      <c r="D100" s="727"/>
      <c r="E100" s="727"/>
      <c r="F100" s="727"/>
      <c r="G100" s="727"/>
      <c r="H100" s="727"/>
      <c r="I100" s="727"/>
      <c r="J100" s="727"/>
      <c r="K100" s="727"/>
      <c r="L100" s="727"/>
      <c r="M100" s="727"/>
      <c r="N100" s="727"/>
      <c r="O100" s="727"/>
      <c r="P100" s="727"/>
      <c r="Q100" s="727"/>
      <c r="R100" s="727"/>
    </row>
    <row r="101" spans="2:27" ht="120.75" customHeight="1" x14ac:dyDescent="0.2">
      <c r="B101" s="828" t="s">
        <v>704</v>
      </c>
      <c r="C101" s="828"/>
      <c r="D101" s="828"/>
      <c r="E101" s="828"/>
      <c r="F101" s="828"/>
      <c r="G101" s="828"/>
      <c r="H101" s="828"/>
      <c r="I101" s="828"/>
      <c r="J101" s="828"/>
      <c r="K101" s="828"/>
      <c r="L101" s="828"/>
      <c r="M101" s="828"/>
      <c r="N101" s="828"/>
      <c r="O101" s="828"/>
      <c r="P101" s="828"/>
      <c r="Q101" s="828"/>
      <c r="R101" s="828"/>
    </row>
    <row r="102" spans="2:27" x14ac:dyDescent="0.2">
      <c r="B102" s="495" t="s">
        <v>790</v>
      </c>
    </row>
    <row r="103" spans="2:27" x14ac:dyDescent="0.2">
      <c r="B103" s="827" t="s">
        <v>791</v>
      </c>
      <c r="C103" s="827"/>
      <c r="D103" s="827"/>
      <c r="E103" s="827"/>
      <c r="F103" s="827"/>
      <c r="G103" s="827"/>
      <c r="H103" s="827"/>
      <c r="I103" s="827"/>
      <c r="J103" s="827"/>
      <c r="K103" s="827"/>
      <c r="L103" s="827"/>
      <c r="M103" s="827"/>
      <c r="N103" s="827"/>
      <c r="O103" s="827"/>
      <c r="P103" s="827"/>
      <c r="Q103" s="827"/>
    </row>
  </sheetData>
  <sheetProtection algorithmName="SHA-512" hashValue="+CTPxnB/tb0c0nLRheW6hK2EIZ1gTENF9+iLgzODU9am/PBLujc9j2vqb3gnBGx3z0rzdEdI0RZPsY4tA6us7w==" saltValue="r2iKEtmV2l3YDSZKrjozNg==" spinCount="100000" sheet="1" object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360">
    <mergeCell ref="H50:I52"/>
    <mergeCell ref="F38:G40"/>
    <mergeCell ref="S41:S43"/>
    <mergeCell ref="O38:O40"/>
    <mergeCell ref="S2:S4"/>
    <mergeCell ref="B103:Q103"/>
    <mergeCell ref="O29:O31"/>
    <mergeCell ref="C29:C31"/>
    <mergeCell ref="D50:D52"/>
    <mergeCell ref="J53:K55"/>
    <mergeCell ref="J50:K52"/>
    <mergeCell ref="J47:K49"/>
    <mergeCell ref="F56:G58"/>
    <mergeCell ref="H38:I40"/>
    <mergeCell ref="E38:E40"/>
    <mergeCell ref="B53:C55"/>
    <mergeCell ref="O41:O43"/>
    <mergeCell ref="B38:C40"/>
    <mergeCell ref="M32:N34"/>
    <mergeCell ref="H44:I46"/>
    <mergeCell ref="E47:E49"/>
    <mergeCell ref="O44:O46"/>
    <mergeCell ref="M44:N46"/>
    <mergeCell ref="B101:R101"/>
    <mergeCell ref="T35:T37"/>
    <mergeCell ref="D29:D37"/>
    <mergeCell ref="E29:E37"/>
    <mergeCell ref="F29:G37"/>
    <mergeCell ref="H29:I37"/>
    <mergeCell ref="J35:K37"/>
    <mergeCell ref="L35:L37"/>
    <mergeCell ref="M35:N37"/>
    <mergeCell ref="O35:O37"/>
    <mergeCell ref="R35:R37"/>
    <mergeCell ref="J29:K31"/>
    <mergeCell ref="S35:S37"/>
    <mergeCell ref="J32:K34"/>
    <mergeCell ref="M29:N31"/>
    <mergeCell ref="L32:L34"/>
    <mergeCell ref="T44:T46"/>
    <mergeCell ref="T59:T61"/>
    <mergeCell ref="T65:T67"/>
    <mergeCell ref="T62:T64"/>
    <mergeCell ref="R65:R67"/>
    <mergeCell ref="S59:S61"/>
    <mergeCell ref="S56:S58"/>
    <mergeCell ref="R59:R61"/>
    <mergeCell ref="S65:S67"/>
    <mergeCell ref="R56:R58"/>
    <mergeCell ref="T56:T58"/>
    <mergeCell ref="S47:S49"/>
    <mergeCell ref="S53:S55"/>
    <mergeCell ref="T53:T55"/>
    <mergeCell ref="S44:S46"/>
    <mergeCell ref="R44:R46"/>
    <mergeCell ref="T47:T49"/>
    <mergeCell ref="T50:T52"/>
    <mergeCell ref="E59:E61"/>
    <mergeCell ref="O65:O67"/>
    <mergeCell ref="O62:O64"/>
    <mergeCell ref="R53:R55"/>
    <mergeCell ref="O59:O61"/>
    <mergeCell ref="O56:O58"/>
    <mergeCell ref="Q53:Q55"/>
    <mergeCell ref="P53:P55"/>
    <mergeCell ref="O53:O55"/>
    <mergeCell ref="F53:G55"/>
    <mergeCell ref="H53:I55"/>
    <mergeCell ref="E56:E58"/>
    <mergeCell ref="E62:E64"/>
    <mergeCell ref="S68:S70"/>
    <mergeCell ref="R68:R70"/>
    <mergeCell ref="O68:O70"/>
    <mergeCell ref="M68:N70"/>
    <mergeCell ref="J44:K46"/>
    <mergeCell ref="L44:L46"/>
    <mergeCell ref="R62:R64"/>
    <mergeCell ref="S62:S64"/>
    <mergeCell ref="M65:N67"/>
    <mergeCell ref="M62:N64"/>
    <mergeCell ref="S50:S52"/>
    <mergeCell ref="R50:R52"/>
    <mergeCell ref="L47:L49"/>
    <mergeCell ref="L56:L58"/>
    <mergeCell ref="O47:O49"/>
    <mergeCell ref="M47:N49"/>
    <mergeCell ref="M50:N52"/>
    <mergeCell ref="O50:O52"/>
    <mergeCell ref="R47:R49"/>
    <mergeCell ref="T68:T70"/>
    <mergeCell ref="T41:T43"/>
    <mergeCell ref="R41:R43"/>
    <mergeCell ref="P14:P16"/>
    <mergeCell ref="O14:O16"/>
    <mergeCell ref="O17:O19"/>
    <mergeCell ref="Q11:Q13"/>
    <mergeCell ref="T26:T28"/>
    <mergeCell ref="S26:S28"/>
    <mergeCell ref="O23:O25"/>
    <mergeCell ref="O26:O28"/>
    <mergeCell ref="S29:S31"/>
    <mergeCell ref="T29:T31"/>
    <mergeCell ref="R23:R25"/>
    <mergeCell ref="T23:T25"/>
    <mergeCell ref="T38:T40"/>
    <mergeCell ref="R38:R40"/>
    <mergeCell ref="R26:R28"/>
    <mergeCell ref="R29:R31"/>
    <mergeCell ref="S38:S40"/>
    <mergeCell ref="T32:T34"/>
    <mergeCell ref="S32:S34"/>
    <mergeCell ref="R32:R34"/>
    <mergeCell ref="O32:O34"/>
    <mergeCell ref="S23:S25"/>
    <mergeCell ref="S14:S16"/>
    <mergeCell ref="R6:R7"/>
    <mergeCell ref="S11:S13"/>
    <mergeCell ref="S8:S10"/>
    <mergeCell ref="Q14:Q16"/>
    <mergeCell ref="F23:G25"/>
    <mergeCell ref="F26:G28"/>
    <mergeCell ref="H23:I28"/>
    <mergeCell ref="Q8:Q10"/>
    <mergeCell ref="P6:Q7"/>
    <mergeCell ref="P17:P19"/>
    <mergeCell ref="Q17:Q19"/>
    <mergeCell ref="O8:O10"/>
    <mergeCell ref="R17:R19"/>
    <mergeCell ref="R8:R10"/>
    <mergeCell ref="L8:L10"/>
    <mergeCell ref="M11:N13"/>
    <mergeCell ref="J11:K13"/>
    <mergeCell ref="F6:G7"/>
    <mergeCell ref="F11:G13"/>
    <mergeCell ref="H8:I10"/>
    <mergeCell ref="F8:G10"/>
    <mergeCell ref="P20:P22"/>
    <mergeCell ref="B6:C7"/>
    <mergeCell ref="E6:E7"/>
    <mergeCell ref="D6:D7"/>
    <mergeCell ref="H6:I7"/>
    <mergeCell ref="M8:N10"/>
    <mergeCell ref="B8:C10"/>
    <mergeCell ref="S6:T6"/>
    <mergeCell ref="S17:S19"/>
    <mergeCell ref="T17:T19"/>
    <mergeCell ref="T14:T16"/>
    <mergeCell ref="T11:T13"/>
    <mergeCell ref="T8:T10"/>
    <mergeCell ref="R11:R13"/>
    <mergeCell ref="O11:O13"/>
    <mergeCell ref="O6:O7"/>
    <mergeCell ref="L11:L13"/>
    <mergeCell ref="M6:N7"/>
    <mergeCell ref="P8:P10"/>
    <mergeCell ref="P11:P13"/>
    <mergeCell ref="R14:R16"/>
    <mergeCell ref="H14:I16"/>
    <mergeCell ref="C11:C13"/>
    <mergeCell ref="B11:B19"/>
    <mergeCell ref="J6:K7"/>
    <mergeCell ref="E4:F4"/>
    <mergeCell ref="H4:O4"/>
    <mergeCell ref="E23:E28"/>
    <mergeCell ref="O20:O22"/>
    <mergeCell ref="M26:N28"/>
    <mergeCell ref="E8:E10"/>
    <mergeCell ref="L6:L7"/>
    <mergeCell ref="F17:G19"/>
    <mergeCell ref="E14:E16"/>
    <mergeCell ref="E17:E19"/>
    <mergeCell ref="M23:N25"/>
    <mergeCell ref="L14:L16"/>
    <mergeCell ref="C26:C28"/>
    <mergeCell ref="E11:E13"/>
    <mergeCell ref="C23:C25"/>
    <mergeCell ref="H17:I19"/>
    <mergeCell ref="J17:K19"/>
    <mergeCell ref="D8:D10"/>
    <mergeCell ref="D11:D19"/>
    <mergeCell ref="C14:C16"/>
    <mergeCell ref="C17:C19"/>
    <mergeCell ref="J8:K10"/>
    <mergeCell ref="J14:K16"/>
    <mergeCell ref="H11:I13"/>
    <mergeCell ref="D23:D28"/>
    <mergeCell ref="F14:G16"/>
    <mergeCell ref="J23:K28"/>
    <mergeCell ref="B23:B28"/>
    <mergeCell ref="L17:L19"/>
    <mergeCell ref="M14:N16"/>
    <mergeCell ref="F59:G61"/>
    <mergeCell ref="L59:L61"/>
    <mergeCell ref="C32:C34"/>
    <mergeCell ref="B29:B37"/>
    <mergeCell ref="C35:C37"/>
    <mergeCell ref="M17:N19"/>
    <mergeCell ref="F50:G52"/>
    <mergeCell ref="B20:C22"/>
    <mergeCell ref="D20:D22"/>
    <mergeCell ref="E20:E22"/>
    <mergeCell ref="F20:G22"/>
    <mergeCell ref="H20:I22"/>
    <mergeCell ref="J20:K22"/>
    <mergeCell ref="L20:L22"/>
    <mergeCell ref="M20:N22"/>
    <mergeCell ref="L50:L52"/>
    <mergeCell ref="H47:I49"/>
    <mergeCell ref="D47:D49"/>
    <mergeCell ref="E53:E55"/>
    <mergeCell ref="J41:K43"/>
    <mergeCell ref="D53:D55"/>
    <mergeCell ref="B41:C43"/>
    <mergeCell ref="B44:C46"/>
    <mergeCell ref="B47:C49"/>
    <mergeCell ref="F41:G43"/>
    <mergeCell ref="H41:I43"/>
    <mergeCell ref="M41:N43"/>
    <mergeCell ref="D41:D43"/>
    <mergeCell ref="E41:E43"/>
    <mergeCell ref="J38:K40"/>
    <mergeCell ref="L41:L43"/>
    <mergeCell ref="E44:E46"/>
    <mergeCell ref="F44:G46"/>
    <mergeCell ref="D44:D46"/>
    <mergeCell ref="M38:N40"/>
    <mergeCell ref="L38:L40"/>
    <mergeCell ref="D38:D40"/>
    <mergeCell ref="B56:C58"/>
    <mergeCell ref="F47:G49"/>
    <mergeCell ref="L29:L31"/>
    <mergeCell ref="S71:S73"/>
    <mergeCell ref="T71:T73"/>
    <mergeCell ref="H59:I61"/>
    <mergeCell ref="M59:N61"/>
    <mergeCell ref="B50:C52"/>
    <mergeCell ref="L53:L55"/>
    <mergeCell ref="M53:N55"/>
    <mergeCell ref="E50:E52"/>
    <mergeCell ref="D56:D58"/>
    <mergeCell ref="B65:C67"/>
    <mergeCell ref="E65:E67"/>
    <mergeCell ref="F65:G67"/>
    <mergeCell ref="F62:G64"/>
    <mergeCell ref="H62:I64"/>
    <mergeCell ref="J62:K64"/>
    <mergeCell ref="M56:N58"/>
    <mergeCell ref="D59:D61"/>
    <mergeCell ref="L62:L64"/>
    <mergeCell ref="B59:C61"/>
    <mergeCell ref="L65:L67"/>
    <mergeCell ref="M71:N73"/>
    <mergeCell ref="D65:D67"/>
    <mergeCell ref="R71:R73"/>
    <mergeCell ref="B68:C70"/>
    <mergeCell ref="B71:C73"/>
    <mergeCell ref="D71:D73"/>
    <mergeCell ref="L71:L73"/>
    <mergeCell ref="E71:E73"/>
    <mergeCell ref="F71:G73"/>
    <mergeCell ref="H71:I73"/>
    <mergeCell ref="J71:K73"/>
    <mergeCell ref="O71:O73"/>
    <mergeCell ref="D68:D70"/>
    <mergeCell ref="E68:E70"/>
    <mergeCell ref="L68:L70"/>
    <mergeCell ref="J68:K70"/>
    <mergeCell ref="H68:I70"/>
    <mergeCell ref="F68:G70"/>
    <mergeCell ref="B62:C64"/>
    <mergeCell ref="H65:I67"/>
    <mergeCell ref="J65:K67"/>
    <mergeCell ref="J59:K61"/>
    <mergeCell ref="J56:K58"/>
    <mergeCell ref="H56:I58"/>
    <mergeCell ref="D62:D64"/>
    <mergeCell ref="T80:T82"/>
    <mergeCell ref="B80:C82"/>
    <mergeCell ref="D80:D82"/>
    <mergeCell ref="E80:E82"/>
    <mergeCell ref="F80:G82"/>
    <mergeCell ref="B74:C76"/>
    <mergeCell ref="D74:D76"/>
    <mergeCell ref="E74:E76"/>
    <mergeCell ref="F74:G76"/>
    <mergeCell ref="H74:I76"/>
    <mergeCell ref="B77:C79"/>
    <mergeCell ref="D77:D79"/>
    <mergeCell ref="E77:E79"/>
    <mergeCell ref="F77:G79"/>
    <mergeCell ref="H77:I79"/>
    <mergeCell ref="J77:K79"/>
    <mergeCell ref="R74:R76"/>
    <mergeCell ref="S74:S76"/>
    <mergeCell ref="T74:T76"/>
    <mergeCell ref="J74:K76"/>
    <mergeCell ref="L74:L76"/>
    <mergeCell ref="M74:N76"/>
    <mergeCell ref="O74:O76"/>
    <mergeCell ref="S77:S79"/>
    <mergeCell ref="T77:T79"/>
    <mergeCell ref="O77:O79"/>
    <mergeCell ref="R80:R82"/>
    <mergeCell ref="B83:C85"/>
    <mergeCell ref="D83:D85"/>
    <mergeCell ref="E83:E85"/>
    <mergeCell ref="F83:G85"/>
    <mergeCell ref="H83:I85"/>
    <mergeCell ref="J83:K85"/>
    <mergeCell ref="L83:L85"/>
    <mergeCell ref="M83:N85"/>
    <mergeCell ref="O83:O85"/>
    <mergeCell ref="R83:R85"/>
    <mergeCell ref="H80:I82"/>
    <mergeCell ref="Q20:Q22"/>
    <mergeCell ref="R20:R22"/>
    <mergeCell ref="S20:S22"/>
    <mergeCell ref="T20:T22"/>
    <mergeCell ref="B100:R100"/>
    <mergeCell ref="L80:L82"/>
    <mergeCell ref="M80:N82"/>
    <mergeCell ref="O80:O82"/>
    <mergeCell ref="B99:H99"/>
    <mergeCell ref="D86:D88"/>
    <mergeCell ref="O86:O88"/>
    <mergeCell ref="H94:H95"/>
    <mergeCell ref="D94:E95"/>
    <mergeCell ref="H97:I98"/>
    <mergeCell ref="D97:E98"/>
    <mergeCell ref="I94:I95"/>
    <mergeCell ref="D96:G96"/>
    <mergeCell ref="S83:S85"/>
    <mergeCell ref="T83:T85"/>
    <mergeCell ref="S80:S82"/>
    <mergeCell ref="L77:L79"/>
    <mergeCell ref="M77:N79"/>
    <mergeCell ref="J80:K82"/>
    <mergeCell ref="R77:R79"/>
    <mergeCell ref="T86:T88"/>
    <mergeCell ref="B89:C91"/>
    <mergeCell ref="E89:E91"/>
    <mergeCell ref="F89:G91"/>
    <mergeCell ref="H89:I91"/>
    <mergeCell ref="J89:K91"/>
    <mergeCell ref="L89:L91"/>
    <mergeCell ref="M89:N91"/>
    <mergeCell ref="O89:O91"/>
    <mergeCell ref="T89:T91"/>
    <mergeCell ref="R86:R88"/>
    <mergeCell ref="S86:S88"/>
    <mergeCell ref="D89:D91"/>
    <mergeCell ref="R89:R91"/>
    <mergeCell ref="S89:S91"/>
    <mergeCell ref="B86:C88"/>
    <mergeCell ref="E86:E88"/>
    <mergeCell ref="F86:G88"/>
    <mergeCell ref="H86:I88"/>
    <mergeCell ref="J86:K88"/>
    <mergeCell ref="L86:L88"/>
    <mergeCell ref="M86:N88"/>
  </mergeCells>
  <phoneticPr fontId="39" type="noConversion"/>
  <conditionalFormatting sqref="Q23:Q24 Q26:Q27 Q29:Q30 Q41 Q44 Q47 Q56:Q57">
    <cfRule type="containsBlanks" dxfId="119" priority="888">
      <formula>LEN(TRIM(Q23))=0</formula>
    </cfRule>
  </conditionalFormatting>
  <conditionalFormatting sqref="Q32:Q33">
    <cfRule type="containsBlanks" dxfId="118" priority="110">
      <formula>LEN(TRIM(Q32))=0</formula>
    </cfRule>
  </conditionalFormatting>
  <conditionalFormatting sqref="Q35">
    <cfRule type="containsBlanks" dxfId="117" priority="166">
      <formula>LEN(TRIM(Q35))=0</formula>
    </cfRule>
  </conditionalFormatting>
  <conditionalFormatting sqref="Q62:Q63">
    <cfRule type="containsBlanks" dxfId="116" priority="37">
      <formula>LEN(TRIM(Q62))=0</formula>
    </cfRule>
  </conditionalFormatting>
  <conditionalFormatting sqref="Q68:Q69">
    <cfRule type="containsBlanks" dxfId="115" priority="202">
      <formula>LEN(TRIM(Q68))=0</formula>
    </cfRule>
  </conditionalFormatting>
  <conditionalFormatting sqref="Q71:Q72">
    <cfRule type="containsBlanks" dxfId="114" priority="276">
      <formula>LEN(TRIM(Q71))=0</formula>
    </cfRule>
  </conditionalFormatting>
  <conditionalFormatting sqref="Q74:Q75">
    <cfRule type="containsBlanks" dxfId="113" priority="241">
      <formula>LEN(TRIM(Q74))=0</formula>
    </cfRule>
  </conditionalFormatting>
  <conditionalFormatting sqref="Q77:Q78">
    <cfRule type="containsBlanks" dxfId="112" priority="227">
      <formula>LEN(TRIM(Q77))=0</formula>
    </cfRule>
  </conditionalFormatting>
  <conditionalFormatting sqref="Q80:Q81">
    <cfRule type="containsBlanks" dxfId="111" priority="220">
      <formula>LEN(TRIM(Q80))=0</formula>
    </cfRule>
  </conditionalFormatting>
  <conditionalFormatting sqref="Q83:Q84">
    <cfRule type="containsBlanks" dxfId="110" priority="71">
      <formula>LEN(TRIM(Q83))=0</formula>
    </cfRule>
  </conditionalFormatting>
  <conditionalFormatting sqref="R8:R91">
    <cfRule type="cellIs" dxfId="109" priority="2923" stopIfTrue="1" operator="equal">
      <formula>"Exception (Plausibility unclear)"</formula>
    </cfRule>
    <cfRule type="cellIs" dxfId="108" priority="2924" stopIfTrue="1" operator="equal">
      <formula>"Incomplete"</formula>
    </cfRule>
    <cfRule type="expression" dxfId="107" priority="2925" stopIfTrue="1">
      <formula>OR(R8=$E$97,R8=$E$98)</formula>
    </cfRule>
    <cfRule type="cellIs" dxfId="106" priority="2926" stopIfTrue="1" operator="equal">
      <formula>"Target value not met"</formula>
    </cfRule>
    <cfRule type="cellIs" dxfId="105" priority="2927" stopIfTrue="1" operator="equal">
      <formula>"OK (Plausibility unclear)"</formula>
    </cfRule>
    <cfRule type="cellIs" dxfId="104" priority="2928" stopIfTrue="1" operator="equal">
      <formula>"OK"</formula>
    </cfRule>
  </conditionalFormatting>
  <conditionalFormatting sqref="S8:S20 S23:S91">
    <cfRule type="notContainsBlanks" dxfId="103" priority="52" stopIfTrue="1">
      <formula>LEN(TRIM(S8))&gt;0</formula>
    </cfRule>
    <cfRule type="expression" dxfId="102" priority="418" stopIfTrue="1">
      <formula>OR($R8="Incomplete",$R8="Target value not met",$R8="OK (Plausibility unclear)",$R8="Exception (Plausibility unclear)",$R8="optional - Incomplete",$R8="optional – Target value not met",$R8="optional - OK (Plausibility unclear)", $R8="optional - OK (Plausibility unclear)",$R8="optional - Exception (Plausibility unclear)")</formula>
    </cfRule>
  </conditionalFormatting>
  <dataValidations count="28">
    <dataValidation type="whole" allowBlank="1" showInputMessage="1" showErrorMessage="1" errorTitle="Eingabefehler" error="1. Tabellenblatt Basisdaten muss vollständig ausgefüllt sein._x000a_2. Zähler muss eine positive ganze Zahl sein._x000a_3. Zähler kann nicht größer als Nenner sein." sqref="Q65" xr:uid="{00000000-0002-0000-0400-000000000000}">
      <formula1>0</formula1>
      <formula2>IF(Q66="",5000,Q66)</formula2>
    </dataValidation>
    <dataValidation operator="greaterThanOrEqual" allowBlank="1" showInputMessage="1" showErrorMessage="1" errorTitle="Eingabefehler" sqref="Q53:Q55" xr:uid="{00000000-0002-0000-0400-000001000000}"/>
    <dataValidation errorStyle="information" allowBlank="1" showInputMessage="1" showErrorMessage="1" errorTitle="Kennzahl" promptTitle="Kennzahl" sqref="D6 B6" xr:uid="{00000000-0002-0000-0400-000002000000}"/>
    <dataValidation showInputMessage="1" showErrorMessage="1" errorTitle="Eingabefehler" error="1. Nenner muss eine positive ganze Zahl sein. _x000a_2. Nenner kann nicht kleiner als Zähler sein._x000a_3. Nenner kann nicht größer als &quot;Pat. gesamt (ohne Mehrfachnennung)&quot; sein." sqref="Q36" xr:uid="{00000000-0002-0000-0400-000003000000}"/>
    <dataValidation type="whole" showInputMessage="1" showErrorMessage="1" errorTitle="Input data error" error="1. &quot;Basic data&quot; has to be filled out completely._x000a_2. Denominator has to be a positive whole number._x000a_3. Denominator cannot be smaller than numerator._x000a_4. Denominator can’t be &gt; the total LDR brachytherapy patients’ number.     _x000a_" sqref="Q63" xr:uid="{00000000-0002-0000-0400-000004000000}">
      <formula1>IF(Q62="",0,Q62)</formula1>
      <formula2>IF(ISNUMBER(Q63),IF(Q63&gt;0,IF(Q63&gt;=Q62,$U$63,FALSE),FALSE),FALSE)</formula2>
    </dataValidation>
    <dataValidation type="whole" showInputMessage="1" showErrorMessage="1" errorTitle="Input data error" error="1. Numerator has to be a positive whole number._x000a_2. Numerator cannot be bigger than denominator." sqref="Q80 Q83 Q23 Q26 Q29 Q32 Q35 Q56 Q62 Q68 Q74 Q71 Q77" xr:uid="{00000000-0002-0000-0400-000005000000}">
      <formula1>0</formula1>
      <formula2>IF(Q24="",5000,Q24)</formula2>
    </dataValidation>
    <dataValidation operator="equal" showInputMessage="1" showErrorMessage="1" sqref="Q39" xr:uid="{00000000-0002-0000-0400-000006000000}"/>
    <dataValidation allowBlank="1" showInputMessage="1" showErrorMessage="1" errorTitle="Eingabefehler" sqref="Q59" xr:uid="{00000000-0002-0000-0400-000007000000}"/>
    <dataValidation type="whole" allowBlank="1" showInputMessage="1" showErrorMessage="1" errorTitle="Input data error" error="1. &quot;Basic data&quot; has to be filled out completely._x000a_2. Numerator has to be a positive whole number." sqref="Q50" xr:uid="{00000000-0002-0000-0400-000008000000}">
      <formula1>0</formula1>
      <formula2>5000</formula2>
    </dataValidation>
    <dataValidation type="whole" showErrorMessage="1" errorTitle="Input data error" error="1. &quot;Basic data&quot; has to be filled out completely._x000a_2. Denominator has to be a positive whole number; cannot be smaller than nominator._x000a_3. Denominator cannot be bigger than the number of RPE / RZE in the primary cases." sqref="Q30" xr:uid="{00000000-0002-0000-0400-000009000000}">
      <formula1>Q29</formula1>
      <formula2>IF(ISNUMBER(Q30),IF(Q30&gt;0,IF(Q30&gt;=Q29,U30,FALSE),FALSE),FALSE)</formula2>
    </dataValidation>
    <dataValidation type="textLength" allowBlank="1" showInputMessage="1" showErrorMessage="1" errorTitle="Character length" error="Minimum 30 characters and max. 500 characters." promptTitle="Remark" prompt="If the value in the data quality box is not “Ok”, the Indicator must be justified.                                 " sqref="S8:S10" xr:uid="{00000000-0002-0000-0400-00000A000000}">
      <formula1>30</formula1>
      <formula2>500</formula2>
    </dataValidation>
    <dataValidation type="textLength" allowBlank="1" showInputMessage="1" showErrorMessage="1" errorTitle="Zeichenlänge" error="Minimal 30 Zeichen und max. 500 Zeichen." sqref="T92:T99" xr:uid="{00000000-0002-0000-0400-00000B000000}">
      <formula1>30</formula1>
      <formula2>500</formula2>
    </dataValidation>
    <dataValidation showInputMessage="1" showErrorMessage="1" sqref="Q38 Q42" xr:uid="{00000000-0002-0000-0400-00000C000000}"/>
    <dataValidation type="whole" showInputMessage="1" showErrorMessage="1" errorTitle="Input data error" error="1. Denominator has to be a positive whole number._x000a_2. Denominator cannot be smaller than numerator." sqref="Q81 Q75 Q78" xr:uid="{00000000-0002-0000-0400-00000D000000}">
      <formula1>Q74</formula1>
      <formula2>IF(ISNUMBER(Q75),IF(Q75&gt;0,IF(Q75&gt;=Q74,5000,FALSE),FALSE),FALSE)</formula2>
    </dataValidation>
    <dataValidation type="whole" showInputMessage="1" showErrorMessage="1" errorTitle="Input data error" error="1. Basic data has to be filled out completely._x000a_2. Denominator has to be a positive whole number._x000a_3. Denominator cannot be smaller than numerator._x000a_4. Denominator cannot be greater than the no. of RPE and RCE in primary cases." sqref="Q57" xr:uid="{00000000-0002-0000-0400-00000E000000}">
      <formula1>Q56</formula1>
      <formula2>IF(ISNUMBER(Q57),IF(Q57&gt;0,IF(Q57&gt;=Q56,$U$57,FALSE),FALSE),FALSE)</formula2>
    </dataValidation>
    <dataValidation type="whole" showInputMessage="1" showErrorMessage="1" errorTitle="Input data error" error="1. Denominator has to be a positive whole number._x000a_2. Denominator cannot be smaller than numerator._x000a_3. Denominator cannot be bigger than the total number of primary cases." sqref="Q84" xr:uid="{00000000-0002-0000-0400-00000F000000}">
      <formula1>Q83</formula1>
      <formula2>IF(ISNUMBER(Q84),IF(Q84&gt;0,IF(Q84&gt;=Q83,$Q$8,FALSE),FALSE),FALSE)</formula2>
    </dataValidation>
    <dataValidation type="whole" showInputMessage="1" showErrorMessage="1" errorTitle="Input data error" error="1. Denominator has to be a positive whole no._x000a_2. Denominator cannot be smaller than numerator._x000a_3. Denominator cannot be smaller than PC with M1._x000a_4. Denominator cannot be greater than the sum PC with M1 and not assigned." sqref="Q33" xr:uid="{00000000-0002-0000-0400-000010000000}">
      <formula1>IF(Q32=0,0,IF(Q32&gt;U33,Q32,U33))</formula1>
      <formula2>U34</formula2>
    </dataValidation>
    <dataValidation type="whole" allowBlank="1" showInputMessage="1" showErrorMessage="1" errorTitle="Input data error" error="1. &quot;Basic data&quot; has to be filled out completely._x000a_2. Numerator has to be a positive whole number._x000a_3. Numerator cannot be bigger than denominator." sqref="Q47 Q44" xr:uid="{00000000-0002-0000-0400-000012000000}">
      <formula1>0</formula1>
      <formula2>IF(Q45="",5000,Q45)</formula2>
    </dataValidation>
    <dataValidation type="whole" showInputMessage="1" showErrorMessage="1" errorTitle="Input data error" error="1. &quot;Basic data&quot; has to be filled out completely._x000a_2. Denominator has to be a positive number._x000a_3. Denominator cannot be smaller than the numerator._x000a_4. Denominator cannot be bigger than the total  number of primary cases." sqref="Q72" xr:uid="{00000000-0002-0000-0400-000013000000}">
      <formula1>Q71</formula1>
      <formula2>IF(ISNUMBER(Q72),IF(Q72&gt;0,IF(Q72&gt;=Q71,$Q$8,FALSE),FALSE),FALSE)</formula2>
    </dataValidation>
    <dataValidation type="whole" showInputMessage="1" showErrorMessage="1" errorTitle="Input data error" error="1. &quot;Basic data&quot; has to be filled out completely._x000a_2. Numerator has to be a positive whole number._x000a_3. Denominator cannot be smaller than numerator._x000a_4. Denominator cannot be bigger than the total number of primary cases." sqref="Q69" xr:uid="{00000000-0002-0000-0400-000015000000}">
      <formula1>Q68</formula1>
      <formula2>IF(ISNUMBER(Q69),IF(Q69&gt;0,IF(Q69&gt;=Q68,$Q$8,FALSE),FALSE),FALSE)</formula2>
    </dataValidation>
    <dataValidation type="whole" showInputMessage="1" showErrorMessage="1" errorTitle="Input data error" error="1.Basic data has to be filled out completely._x000a_2.Denominator has to be a positive whole number; cannot be smaller than numerator._x000a_3.Denominator from IN 2a + denominator from IN 2b cannot be bigger than the primary cases." sqref="Q24" xr:uid="{00000000-0002-0000-0400-000017000000}">
      <formula1>Q23</formula1>
      <formula2>Q8-U24-Q27</formula2>
    </dataValidation>
    <dataValidation type="whole" showInputMessage="1" showErrorMessage="1" errorTitle="Input data error" error="1.Basic data has to be filled out completely._x000a_2.Denominator has to be a positive whole number; cannot be smaller than numerator._x000a_3.Denominator from IN 2a + denominator from IN 2b cannot be bigger than the primary cases. " sqref="Q27" xr:uid="{00000000-0002-0000-0400-000018000000}">
      <formula1>Q26</formula1>
      <formula2>Q8-U24-Q24</formula2>
    </dataValidation>
    <dataValidation type="textLength" allowBlank="1" showInputMessage="1" showErrorMessage="1" errorTitle="Character length" error="Min. 30 characters and max. 500 characters." sqref="T8:T20 T23:T85" xr:uid="{00000000-0002-0000-0400-000019000000}">
      <formula1>30</formula1>
      <formula2>500</formula2>
    </dataValidation>
    <dataValidation type="whole" showInputMessage="1" showErrorMessage="1" errorTitle="Input data error" error="1. &quot;Basic data&quot; has to be filled out completely._x000a_2. Numerator has to be a positive whole number._x000a_3. Numerator cannot be bigger than denominator." sqref="Q41" xr:uid="{00000000-0002-0000-0400-00001C000000}">
      <formula1>0</formula1>
      <formula2>IF(Q42="",5000,Q42)</formula2>
    </dataValidation>
    <dataValidation type="textLength" allowBlank="1" showInputMessage="1" showErrorMessage="1" errorTitle="Character length" error="Minimum 30 characters and max. 500 characters." sqref="S11:S85" xr:uid="{00000000-0002-0000-0400-00001A000000}">
      <formula1>30</formula1>
      <formula2>500</formula2>
    </dataValidation>
    <dataValidation type="textLength" allowBlank="1" showInputMessage="1" showErrorMessage="1" errorTitle="Eingabefehler" error="Minimum 30 characters and max. 500 characters." sqref="S86:S91" xr:uid="{990B12FA-9234-47C2-9026-7F7D8B5EE043}">
      <formula1>30</formula1>
      <formula2>500</formula2>
    </dataValidation>
    <dataValidation type="whole" allowBlank="1" showInputMessage="1" showErrorMessage="1" errorTitle="Eingabefehler" error="1. Zähler muss eine positive ganze Zahl sein._x000a_2. Zähler kann nicht größer als Nenner sein." sqref="Q86 Q89" xr:uid="{37D435B7-2895-4EFE-B668-ABE08CA10F12}">
      <formula1>0</formula1>
      <formula2>IF(Q87="",5000,Q87)</formula2>
    </dataValidation>
    <dataValidation type="textLength" allowBlank="1" showInputMessage="1" showErrorMessage="1" errorTitle="Zeichenlänge" error="Minimum 30 characters and max. 500 characters." sqref="T86:T91" xr:uid="{1C3AB13E-FBB3-40EF-8D58-5869FBC32F68}">
      <formula1>30</formula1>
      <formula2>500</formula2>
    </dataValidation>
  </dataValidations>
  <pageMargins left="0.39370078740157483" right="3.937007874015748E-2" top="0.59055118110236227" bottom="0.39370078740157483" header="0.31496062992125984" footer="0.11811023622047245"/>
  <pageSetup paperSize="9" scale="97" fitToHeight="0" orientation="landscape" r:id="rId2"/>
  <headerFooter>
    <oddFooter>&amp;L&amp;"Arial,Regular"&amp;7&amp;F&amp;R&amp;"Arial,Regular"&amp;7&amp;P</oddFooter>
    <firstHeader>&amp;C&amp;F&amp;RUnabhängiges Zertifizierungsinstitut
der Deutschen Krebsgesellschaft
Gartenstraße 24, D-89231 Neu-Ulm
Tel. +49  (0)7 31 / 70 51 16 - 0
Fax  +49  (0)7 31 / 70 51 16 - 16
www.onkozert.de, info@onkozert.d</firstHeader>
  </headerFooter>
  <rowBreaks count="7" manualBreakCount="7">
    <brk id="19" max="17" man="1"/>
    <brk id="28" max="17" man="1"/>
    <brk id="40" max="17" man="1"/>
    <brk id="55" max="17" man="1"/>
    <brk id="67" max="17" man="1"/>
    <brk id="79" max="17" man="1"/>
    <brk id="88" max="17" man="1"/>
  </rowBreaks>
  <drawing r:id="rId3"/>
  <legacyDrawing r:id="rId4"/>
  <legacyDrawingHF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dimension ref="A1:L39"/>
  <sheetViews>
    <sheetView showGridLines="0" topLeftCell="A4" zoomScaleNormal="100" workbookViewId="0">
      <selection activeCell="B1" sqref="B1"/>
    </sheetView>
  </sheetViews>
  <sheetFormatPr defaultColWidth="11.42578125" defaultRowHeight="15" x14ac:dyDescent="0.25"/>
  <cols>
    <col min="1" max="1" width="23.42578125" customWidth="1"/>
    <col min="2" max="2" width="22" customWidth="1"/>
    <col min="3" max="3" width="13.28515625" style="98" customWidth="1"/>
    <col min="4" max="4" width="13.85546875" style="85" customWidth="1"/>
    <col min="5" max="5" width="9.42578125" style="85" customWidth="1"/>
    <col min="6" max="6" width="41.140625" style="14" customWidth="1"/>
    <col min="7" max="7" width="43.7109375" customWidth="1"/>
    <col min="8" max="8" width="10.42578125" customWidth="1"/>
    <col min="9" max="9" width="41.42578125" customWidth="1"/>
    <col min="10" max="11" width="32" style="98" customWidth="1"/>
    <col min="12" max="12" width="30.140625" style="98" customWidth="1"/>
  </cols>
  <sheetData>
    <row r="1" spans="1:11" x14ac:dyDescent="0.25">
      <c r="A1" s="169" t="s">
        <v>65</v>
      </c>
      <c r="B1" s="575">
        <v>219</v>
      </c>
    </row>
    <row r="2" spans="1:11" x14ac:dyDescent="0.25">
      <c r="A2" s="169" t="s">
        <v>10</v>
      </c>
      <c r="B2" s="141" t="str">
        <f>IF('Basic data'!C6=0,"",'Basic data'!C6)</f>
        <v/>
      </c>
    </row>
    <row r="3" spans="1:11" x14ac:dyDescent="0.25">
      <c r="A3" s="169" t="s">
        <v>73</v>
      </c>
      <c r="B3" s="142" t="str">
        <f>IF('Basic data'!O12=0,"",'Basic data'!O12)</f>
        <v/>
      </c>
    </row>
    <row r="4" spans="1:11" ht="15.75" customHeight="1" x14ac:dyDescent="0.25"/>
    <row r="5" spans="1:11" ht="12.75" customHeight="1" x14ac:dyDescent="0.25">
      <c r="A5" s="179" t="s">
        <v>309</v>
      </c>
      <c r="B5" s="141"/>
      <c r="C5"/>
      <c r="D5"/>
      <c r="E5"/>
      <c r="F5"/>
    </row>
    <row r="6" spans="1:11" ht="12.75" customHeight="1" x14ac:dyDescent="0.25">
      <c r="A6" s="179" t="s">
        <v>310</v>
      </c>
      <c r="B6" s="141"/>
      <c r="C6"/>
      <c r="D6"/>
      <c r="E6"/>
      <c r="F6"/>
    </row>
    <row r="7" spans="1:11" ht="12.75" customHeight="1" x14ac:dyDescent="0.25">
      <c r="A7" s="179" t="s">
        <v>311</v>
      </c>
      <c r="B7" s="141"/>
      <c r="C7"/>
      <c r="D7"/>
      <c r="E7"/>
      <c r="F7"/>
    </row>
    <row r="8" spans="1:11" ht="12.75" customHeight="1" x14ac:dyDescent="0.25">
      <c r="A8" s="179" t="s">
        <v>312</v>
      </c>
      <c r="B8" s="141"/>
      <c r="C8"/>
      <c r="D8"/>
      <c r="E8"/>
      <c r="F8"/>
    </row>
    <row r="9" spans="1:11" ht="12.75" customHeight="1" x14ac:dyDescent="0.25">
      <c r="A9" s="179" t="s">
        <v>313</v>
      </c>
      <c r="B9" s="141"/>
      <c r="C9"/>
      <c r="D9"/>
      <c r="E9"/>
      <c r="F9"/>
    </row>
    <row r="10" spans="1:11" ht="24" customHeight="1" x14ac:dyDescent="0.25"/>
    <row r="11" spans="1:11" s="174" customFormat="1" ht="21" customHeight="1" x14ac:dyDescent="0.2">
      <c r="A11" s="180" t="s">
        <v>64</v>
      </c>
      <c r="B11" s="136" t="s">
        <v>63</v>
      </c>
      <c r="C11" s="136" t="s">
        <v>3</v>
      </c>
      <c r="D11" s="136" t="s">
        <v>9</v>
      </c>
      <c r="E11" s="136" t="s">
        <v>62</v>
      </c>
      <c r="F11" s="136" t="s">
        <v>66</v>
      </c>
      <c r="G11" s="136" t="s">
        <v>60</v>
      </c>
      <c r="H11" s="136" t="s">
        <v>61</v>
      </c>
      <c r="I11" s="182" t="s">
        <v>314</v>
      </c>
      <c r="J11" s="182" t="s">
        <v>315</v>
      </c>
      <c r="K11" s="182" t="s">
        <v>316</v>
      </c>
    </row>
    <row r="12" spans="1:11" s="173" customFormat="1" ht="27.95" customHeight="1" x14ac:dyDescent="0.25">
      <c r="A12" s="181" t="s">
        <v>141</v>
      </c>
      <c r="B12" s="178" t="str">
        <f>IF('Indicator sheet'!Q8 = 0, "n.d.", 'Indicator sheet'!Q8)</f>
        <v>n.d.</v>
      </c>
      <c r="C12" s="177"/>
      <c r="D12" s="176"/>
      <c r="E12" s="178">
        <f>Berechnung1!N29</f>
        <v>1</v>
      </c>
      <c r="F12" s="170" t="str">
        <f>IF('Indicator sheet'!S8 = "", "", 'Indicator sheet'!S8)</f>
        <v/>
      </c>
      <c r="G12" s="170" t="str">
        <f>IF('Indicator sheet'!T8 = "", "", 'Indicator sheet'!T8)</f>
        <v/>
      </c>
      <c r="H12" s="178">
        <f>Berechnung1!O29</f>
        <v>0</v>
      </c>
      <c r="I12" s="175"/>
      <c r="J12" s="141"/>
      <c r="K12" s="141"/>
    </row>
    <row r="13" spans="1:11" s="173" customFormat="1" ht="27.95" customHeight="1" x14ac:dyDescent="0.25">
      <c r="A13" s="183" t="s">
        <v>317</v>
      </c>
      <c r="B13" s="178" t="str">
        <f>IF('Indicator sheet'!Q11 = 0, "n.d.", 'Indicator sheet'!Q11)</f>
        <v>n.d.</v>
      </c>
      <c r="C13" s="177"/>
      <c r="D13" s="176"/>
      <c r="E13" s="178">
        <f>Berechnung1!N32</f>
        <v>1</v>
      </c>
      <c r="F13" s="170" t="str">
        <f>IF('Indicator sheet'!S11 = "", "", 'Indicator sheet'!S11)</f>
        <v/>
      </c>
      <c r="G13" s="170" t="str">
        <f>IF('Indicator sheet'!T11 = "", "", 'Indicator sheet'!T11)</f>
        <v/>
      </c>
      <c r="H13" s="178">
        <f>Berechnung1!O32</f>
        <v>0</v>
      </c>
      <c r="I13" s="175"/>
      <c r="J13" s="141"/>
      <c r="K13" s="141"/>
    </row>
    <row r="14" spans="1:11" s="173" customFormat="1" ht="27.95" customHeight="1" x14ac:dyDescent="0.25">
      <c r="A14" s="183" t="s">
        <v>318</v>
      </c>
      <c r="B14" s="178" t="str">
        <f>IF('Indicator sheet'!Q14 = 0, "n.d.", 'Indicator sheet'!Q14)</f>
        <v>n.d.</v>
      </c>
      <c r="C14" s="177"/>
      <c r="D14" s="176"/>
      <c r="E14" s="178">
        <f>Berechnung1!N35</f>
        <v>1</v>
      </c>
      <c r="F14" s="170" t="str">
        <f>IF('Indicator sheet'!S14 = "", "", 'Indicator sheet'!S14)</f>
        <v/>
      </c>
      <c r="G14" s="170" t="str">
        <f>IF('Indicator sheet'!T14 = "", "", 'Indicator sheet'!T14)</f>
        <v/>
      </c>
      <c r="H14" s="178">
        <f>Berechnung1!O35</f>
        <v>0</v>
      </c>
      <c r="I14" s="175"/>
      <c r="J14" s="141"/>
      <c r="K14" s="141"/>
    </row>
    <row r="15" spans="1:11" s="173" customFormat="1" ht="27.95" customHeight="1" x14ac:dyDescent="0.25">
      <c r="A15" s="183" t="s">
        <v>319</v>
      </c>
      <c r="B15" s="178" t="str">
        <f>IF('Indicator sheet'!Q17 = 0, "n.d.", 'Indicator sheet'!Q17)</f>
        <v>n.d.</v>
      </c>
      <c r="C15" s="177"/>
      <c r="D15" s="176"/>
      <c r="E15" s="178">
        <f>Berechnung1!N38</f>
        <v>1</v>
      </c>
      <c r="F15" s="170" t="str">
        <f>IF('Indicator sheet'!S17 = "", "", 'Indicator sheet'!S17)</f>
        <v/>
      </c>
      <c r="G15" s="170" t="str">
        <f>IF('Indicator sheet'!T17 = "", "", 'Indicator sheet'!T17)</f>
        <v/>
      </c>
      <c r="H15" s="178">
        <f>Berechnung1!O38</f>
        <v>0</v>
      </c>
      <c r="I15" s="175"/>
      <c r="J15" s="141"/>
      <c r="K15" s="141"/>
    </row>
    <row r="16" spans="1:11" s="173" customFormat="1" ht="27.95" customHeight="1" x14ac:dyDescent="0.25">
      <c r="A16" s="183" t="s">
        <v>751</v>
      </c>
      <c r="B16" s="494" t="str">
        <f>IF('Indicator sheet'!Q20=0,"n.d.",'Indicator sheet'!Q20)</f>
        <v>n.d.</v>
      </c>
      <c r="C16" s="177"/>
      <c r="D16" s="176"/>
      <c r="E16" s="178">
        <f>Berechnung1!N41</f>
        <v>1</v>
      </c>
      <c r="F16" s="170" t="str">
        <f>IF('Indicator sheet'!S20 = "", "", 'Indicator sheet'!S20)</f>
        <v/>
      </c>
      <c r="G16" s="170" t="str">
        <f>IF('Indicator sheet'!T20 = "", "", 'Indicator sheet'!T20)</f>
        <v/>
      </c>
      <c r="H16" s="178">
        <f>Berechnung1!O41</f>
        <v>0</v>
      </c>
      <c r="I16" s="175"/>
      <c r="J16" s="141"/>
      <c r="K16" s="141"/>
    </row>
    <row r="17" spans="1:11" s="173" customFormat="1" ht="27.95" customHeight="1" x14ac:dyDescent="0.25">
      <c r="A17" s="183" t="s">
        <v>144</v>
      </c>
      <c r="B17" s="178" t="str">
        <f>IF('Indicator sheet'!$Q23 = "", "", 'Indicator sheet'!$Q23)</f>
        <v/>
      </c>
      <c r="C17" s="178" t="str">
        <f>IF('Indicator sheet'!$Q24 = "", "", 'Indicator sheet'!$Q24)</f>
        <v/>
      </c>
      <c r="D17" s="376" t="str">
        <f>IF('Indicator sheet'!$Q25 ="n.d.","n.d.",IF('Indicator sheet'!$Q25 ="","n.d.",'Indicator sheet'!$Q25*100))</f>
        <v>n.d.</v>
      </c>
      <c r="E17" s="178">
        <f>Berechnung1!N44</f>
        <v>1</v>
      </c>
      <c r="F17" s="170" t="str">
        <f>IF('Indicator sheet'!S23 = "", "", 'Indicator sheet'!S23)</f>
        <v/>
      </c>
      <c r="G17" s="170" t="str">
        <f>IF('Indicator sheet'!T23 = "", "", 'Indicator sheet'!T23)</f>
        <v/>
      </c>
      <c r="H17" s="178">
        <f>Berechnung1!O44</f>
        <v>0</v>
      </c>
      <c r="I17" s="175"/>
      <c r="J17" s="141"/>
      <c r="K17" s="141"/>
    </row>
    <row r="18" spans="1:11" s="173" customFormat="1" ht="27.95" customHeight="1" x14ac:dyDescent="0.25">
      <c r="A18" s="183" t="s">
        <v>143</v>
      </c>
      <c r="B18" s="178" t="str">
        <f>IF('Indicator sheet'!$Q26 = "", "", 'Indicator sheet'!$Q26)</f>
        <v/>
      </c>
      <c r="C18" s="178" t="str">
        <f>IF('Indicator sheet'!$Q27 = "", "", 'Indicator sheet'!$Q27)</f>
        <v/>
      </c>
      <c r="D18" s="376" t="str">
        <f>IF('Indicator sheet'!$Q28 ="n.d.","n.d.",IF('Indicator sheet'!$Q28 ="","n.d.",'Indicator sheet'!$Q28*100))</f>
        <v>n.d.</v>
      </c>
      <c r="E18" s="178">
        <f>Berechnung1!N47</f>
        <v>1</v>
      </c>
      <c r="F18" s="170" t="str">
        <f>IF('Indicator sheet'!S26 = "", "", 'Indicator sheet'!S26)</f>
        <v/>
      </c>
      <c r="G18" s="170" t="str">
        <f>IF('Indicator sheet'!T26 = "", "", 'Indicator sheet'!T26)</f>
        <v/>
      </c>
      <c r="H18" s="178">
        <f>Berechnung1!O47</f>
        <v>0</v>
      </c>
      <c r="I18" s="175"/>
      <c r="J18" s="141"/>
      <c r="K18" s="141"/>
    </row>
    <row r="19" spans="1:11" s="173" customFormat="1" ht="27.95" customHeight="1" x14ac:dyDescent="0.25">
      <c r="A19" s="183" t="s">
        <v>148</v>
      </c>
      <c r="B19" s="178" t="str">
        <f>IF('Indicator sheet'!$Q29 = "", "", 'Indicator sheet'!$Q29)</f>
        <v/>
      </c>
      <c r="C19" s="178" t="str">
        <f>IF('Indicator sheet'!$Q30= "", "", 'Indicator sheet'!$Q30)</f>
        <v/>
      </c>
      <c r="D19" s="376" t="str">
        <f>IF('Indicator sheet'!$Q31 ="n.d.","n.d.",IF('Indicator sheet'!$Q31 ="","n.d.",'Indicator sheet'!$Q31*100))</f>
        <v>n.d.</v>
      </c>
      <c r="E19" s="178">
        <f>Berechnung1!N50</f>
        <v>1</v>
      </c>
      <c r="F19" s="170" t="str">
        <f>IF('Indicator sheet'!S29 = "", "", 'Indicator sheet'!S29)</f>
        <v/>
      </c>
      <c r="G19" s="170" t="str">
        <f>IF('Indicator sheet'!T29 = "", "", 'Indicator sheet'!T29)</f>
        <v/>
      </c>
      <c r="H19" s="178">
        <f>Berechnung1!O50</f>
        <v>0</v>
      </c>
      <c r="I19" s="175"/>
      <c r="J19" s="141"/>
      <c r="K19" s="141"/>
    </row>
    <row r="20" spans="1:11" s="173" customFormat="1" ht="27.95" customHeight="1" x14ac:dyDescent="0.25">
      <c r="A20" s="183" t="s">
        <v>149</v>
      </c>
      <c r="B20" s="178" t="str">
        <f>IF('Indicator sheet'!$Q32= "", "", 'Indicator sheet'!$Q32)</f>
        <v/>
      </c>
      <c r="C20" s="178" t="str">
        <f>IF('Indicator sheet'!$Q33= "", "", 'Indicator sheet'!$Q33)</f>
        <v/>
      </c>
      <c r="D20" s="376" t="str">
        <f>IF('Indicator sheet'!$Q34="n.d.","n.d.",IF('Indicator sheet'!$Q34="","n.d.",'Indicator sheet'!$Q34*100))</f>
        <v>n.d.</v>
      </c>
      <c r="E20" s="178">
        <f>Berechnung1!N53</f>
        <v>1</v>
      </c>
      <c r="F20" s="170" t="str">
        <f>IF('Indicator sheet'!S32= "", "", 'Indicator sheet'!S32)</f>
        <v/>
      </c>
      <c r="G20" s="170" t="str">
        <f>IF('Indicator sheet'!T32= "", "", 'Indicator sheet'!T32)</f>
        <v/>
      </c>
      <c r="H20" s="178">
        <f>Berechnung1!O53</f>
        <v>0</v>
      </c>
      <c r="I20" s="175"/>
      <c r="J20" s="141"/>
      <c r="K20" s="141"/>
    </row>
    <row r="21" spans="1:11" s="173" customFormat="1" ht="27.95" customHeight="1" x14ac:dyDescent="0.25">
      <c r="A21" s="183" t="s">
        <v>386</v>
      </c>
      <c r="B21" s="178" t="str">
        <f>IF('Indicator sheet'!$Q35= "", "", 'Indicator sheet'!$Q35)</f>
        <v/>
      </c>
      <c r="C21" s="178">
        <f>IF('Indicator sheet'!$Q36= "", "", 'Indicator sheet'!$Q36)</f>
        <v>0</v>
      </c>
      <c r="D21" s="376" t="str">
        <f>IF('Indicator sheet'!$Q37="n.d.","n.d.",IF('Indicator sheet'!$Q37="","n.d.",'Indicator sheet'!$Q37*100))</f>
        <v>n.d.</v>
      </c>
      <c r="E21" s="178">
        <f>Berechnung1!N56</f>
        <v>1</v>
      </c>
      <c r="F21" s="170" t="str">
        <f>IF('Indicator sheet'!S35= "", "", 'Indicator sheet'!S35)</f>
        <v/>
      </c>
      <c r="G21" s="170" t="str">
        <f>IF('Indicator sheet'!T35= "", "", 'Indicator sheet'!T35)</f>
        <v/>
      </c>
      <c r="H21" s="178">
        <f>Berechnung1!O56</f>
        <v>0</v>
      </c>
      <c r="I21" s="175"/>
      <c r="J21" s="141"/>
      <c r="K21" s="141"/>
    </row>
    <row r="22" spans="1:11" s="173" customFormat="1" ht="27.95" customHeight="1" x14ac:dyDescent="0.25">
      <c r="A22" s="181">
        <v>4</v>
      </c>
      <c r="B22" s="178">
        <f>IF('Indicator sheet'!$Q38 = "", "", 'Indicator sheet'!$Q38)</f>
        <v>0</v>
      </c>
      <c r="C22" s="178">
        <f>IF('Indicator sheet'!$Q39 = "", "", 'Indicator sheet'!$Q39)</f>
        <v>0</v>
      </c>
      <c r="D22" s="282" t="str">
        <f>IF('Indicator sheet'!$Q40 ="n.d.","n.d.",'Indicator sheet'!$Q40*100)</f>
        <v>n.d.</v>
      </c>
      <c r="E22" s="178">
        <f>Berechnung1!N59</f>
        <v>1</v>
      </c>
      <c r="F22" s="170" t="str">
        <f>IF('Indicator sheet'!S38 = "", "", 'Indicator sheet'!S38)</f>
        <v/>
      </c>
      <c r="G22" s="170" t="str">
        <f>IF('Indicator sheet'!T38 = "", "", 'Indicator sheet'!T38)</f>
        <v/>
      </c>
      <c r="H22" s="178">
        <f>Berechnung1!O59</f>
        <v>0</v>
      </c>
      <c r="I22" s="175"/>
      <c r="J22" s="141"/>
      <c r="K22" s="141"/>
    </row>
    <row r="23" spans="1:11" s="173" customFormat="1" ht="27.95" customHeight="1" x14ac:dyDescent="0.25">
      <c r="A23" s="181">
        <v>5</v>
      </c>
      <c r="B23" s="178" t="str">
        <f>IF('Indicator sheet'!$Q41 = "", "", 'Indicator sheet'!$Q41)</f>
        <v/>
      </c>
      <c r="C23" s="178">
        <f>IF('Indicator sheet'!$Q42 = "", "", 'Indicator sheet'!$Q42)</f>
        <v>0</v>
      </c>
      <c r="D23" s="376" t="str">
        <f>IF('Indicator sheet'!$Q43 ="n.d.","n.d.",IF('Indicator sheet'!$Q43 ="","n.d.",'Indicator sheet'!$Q43*100))</f>
        <v>n.d.</v>
      </c>
      <c r="E23" s="178">
        <f>Berechnung1!N62</f>
        <v>1</v>
      </c>
      <c r="F23" s="170" t="str">
        <f>IF('Indicator sheet'!S41 = "", "", 'Indicator sheet'!S41)</f>
        <v/>
      </c>
      <c r="G23" s="170" t="str">
        <f>IF('Indicator sheet'!T41 = "", "", 'Indicator sheet'!T41)</f>
        <v/>
      </c>
      <c r="H23" s="178">
        <f>Berechnung1!O62</f>
        <v>0</v>
      </c>
      <c r="I23" s="175"/>
      <c r="J23" s="141"/>
      <c r="K23" s="141"/>
    </row>
    <row r="24" spans="1:11" s="173" customFormat="1" ht="27.95" customHeight="1" x14ac:dyDescent="0.25">
      <c r="A24" s="181">
        <v>6</v>
      </c>
      <c r="B24" s="178" t="str">
        <f>IF('Indicator sheet'!$Q44= "", "", 'Indicator sheet'!$Q44)</f>
        <v/>
      </c>
      <c r="C24" s="178">
        <f>IF('Indicator sheet'!$Q45= "", "", 'Indicator sheet'!$Q45)</f>
        <v>0</v>
      </c>
      <c r="D24" s="282" t="str">
        <f>IF('Indicator sheet'!$Q46 ="n.d.","n.d.",'Indicator sheet'!$Q46*100)</f>
        <v>n.d.</v>
      </c>
      <c r="E24" s="178">
        <f>Berechnung1!N65</f>
        <v>1</v>
      </c>
      <c r="F24" s="170" t="str">
        <f>IF('Indicator sheet'!S44= "", "", 'Indicator sheet'!S44)</f>
        <v/>
      </c>
      <c r="G24" s="170" t="str">
        <f>IF('Indicator sheet'!T44= "", "", 'Indicator sheet'!T44)</f>
        <v/>
      </c>
      <c r="H24" s="178">
        <f>Berechnung1!O65</f>
        <v>0</v>
      </c>
      <c r="I24" s="175"/>
      <c r="J24" s="141"/>
      <c r="K24" s="141"/>
    </row>
    <row r="25" spans="1:11" s="173" customFormat="1" ht="27.95" customHeight="1" x14ac:dyDescent="0.25">
      <c r="A25" s="181">
        <v>7</v>
      </c>
      <c r="B25" s="178" t="str">
        <f>IF('Indicator sheet'!$Q47= "", "", 'Indicator sheet'!$Q47)</f>
        <v/>
      </c>
      <c r="C25" s="178">
        <f>IF('Indicator sheet'!$Q48= "", "", 'Indicator sheet'!$Q48)</f>
        <v>0</v>
      </c>
      <c r="D25" s="282" t="str">
        <f>IF('Indicator sheet'!$Q49 ="n.d.","n.d.",'Indicator sheet'!$Q49*100)</f>
        <v>n.d.</v>
      </c>
      <c r="E25" s="178">
        <f>Berechnung1!N68</f>
        <v>1</v>
      </c>
      <c r="F25" s="170" t="str">
        <f>IF('Indicator sheet'!S47= "", "", 'Indicator sheet'!S47)</f>
        <v/>
      </c>
      <c r="G25" s="170" t="str">
        <f>IF('Indicator sheet'!T47= "", "", 'Indicator sheet'!T47)</f>
        <v/>
      </c>
      <c r="H25" s="178">
        <f>Berechnung1!O68</f>
        <v>0</v>
      </c>
      <c r="I25" s="175"/>
      <c r="J25" s="141"/>
      <c r="K25" s="141"/>
    </row>
    <row r="26" spans="1:11" s="173" customFormat="1" ht="27.95" customHeight="1" x14ac:dyDescent="0.25">
      <c r="A26" s="181">
        <v>8</v>
      </c>
      <c r="B26" s="178">
        <f>IF('Indicator sheet'!$Q50= "", "", 'Indicator sheet'!$Q50)</f>
        <v>0</v>
      </c>
      <c r="C26" s="178">
        <f>IF('Indicator sheet'!$Q51= "", "", 'Indicator sheet'!$Q51)</f>
        <v>0</v>
      </c>
      <c r="D26" s="282" t="str">
        <f>IF('Indicator sheet'!$Q52 ="n.d.","n.d.",'Indicator sheet'!$Q52*100)</f>
        <v>n.d.</v>
      </c>
      <c r="E26" s="178">
        <f>Berechnung1!N71</f>
        <v>1</v>
      </c>
      <c r="F26" s="170" t="str">
        <f>IF('Indicator sheet'!S50= "", "", 'Indicator sheet'!S50)</f>
        <v/>
      </c>
      <c r="G26" s="170" t="str">
        <f>IF('Indicator sheet'!T50= "", "", 'Indicator sheet'!T50)</f>
        <v/>
      </c>
      <c r="H26" s="178">
        <f>Berechnung1!O71</f>
        <v>0</v>
      </c>
      <c r="I26" s="175"/>
      <c r="J26" s="141"/>
      <c r="K26" s="141"/>
    </row>
    <row r="27" spans="1:11" s="173" customFormat="1" ht="27.95" customHeight="1" x14ac:dyDescent="0.25">
      <c r="A27" s="181">
        <v>9</v>
      </c>
      <c r="B27" s="178" t="str">
        <f>IF('Indicator sheet'!$Q53= 0, "n.d.", 'Indicator sheet'!$Q53)</f>
        <v>n.d.</v>
      </c>
      <c r="C27" s="172"/>
      <c r="D27" s="171"/>
      <c r="E27" s="178">
        <f>Berechnung1!N74</f>
        <v>1</v>
      </c>
      <c r="F27" s="170" t="str">
        <f>IF('Indicator sheet'!S53= "", "", 'Indicator sheet'!S53)</f>
        <v/>
      </c>
      <c r="G27" s="170" t="str">
        <f>IF('Indicator sheet'!T53= "", "", 'Indicator sheet'!T53)</f>
        <v/>
      </c>
      <c r="H27" s="178">
        <f>Berechnung1!O74</f>
        <v>0</v>
      </c>
      <c r="I27" s="175"/>
      <c r="J27" s="141"/>
      <c r="K27" s="141"/>
    </row>
    <row r="28" spans="1:11" s="173" customFormat="1" ht="27.95" customHeight="1" x14ac:dyDescent="0.25">
      <c r="A28" s="181">
        <v>10</v>
      </c>
      <c r="B28" s="178" t="str">
        <f>IF('Indicator sheet'!$Q56= "", "", 'Indicator sheet'!$Q56)</f>
        <v/>
      </c>
      <c r="C28" s="178" t="str">
        <f>IF('Indicator sheet'!$Q57= "", "", 'Indicator sheet'!$Q57)</f>
        <v/>
      </c>
      <c r="D28" s="376" t="str">
        <f>IF('Indicator sheet'!$Q58 ="n.d.","n.d.",IF('Indicator sheet'!$Q58 ="","n.d.",'Indicator sheet'!$Q58*100))</f>
        <v>n.d.</v>
      </c>
      <c r="E28" s="178">
        <f>Berechnung1!N77</f>
        <v>1</v>
      </c>
      <c r="F28" s="170" t="str">
        <f>IF('Indicator sheet'!S56= "", "", 'Indicator sheet'!S56)</f>
        <v/>
      </c>
      <c r="G28" s="170" t="str">
        <f>IF('Indicator sheet'!T56= "", "", 'Indicator sheet'!T56)</f>
        <v/>
      </c>
      <c r="H28" s="178">
        <f>Berechnung1!O77</f>
        <v>0</v>
      </c>
      <c r="I28" s="175"/>
      <c r="J28" s="141"/>
      <c r="K28" s="141"/>
    </row>
    <row r="29" spans="1:11" s="173" customFormat="1" ht="27.95" customHeight="1" x14ac:dyDescent="0.25">
      <c r="A29" s="181">
        <v>11</v>
      </c>
      <c r="B29" s="178">
        <f>IF('Indicator sheet'!$Q59="", "", 'Indicator sheet'!$Q59)</f>
        <v>0</v>
      </c>
      <c r="C29" s="178">
        <f>IF('Indicator sheet'!$Q60= "", "", 'Indicator sheet'!$Q60)</f>
        <v>0</v>
      </c>
      <c r="D29" s="282" t="str">
        <f>IF('Indicator sheet'!$Q61 ="n.d.","n.d.",'Indicator sheet'!$Q61*100)</f>
        <v>n.d.</v>
      </c>
      <c r="E29" s="178">
        <f>Berechnung1!N80</f>
        <v>1</v>
      </c>
      <c r="F29" s="170" t="str">
        <f>IF('Indicator sheet'!S59= "", "", 'Indicator sheet'!S59)</f>
        <v/>
      </c>
      <c r="G29" s="170" t="str">
        <f>IF('Indicator sheet'!T59= "", "", 'Indicator sheet'!T59)</f>
        <v/>
      </c>
      <c r="H29" s="178">
        <f>Berechnung1!O80</f>
        <v>0</v>
      </c>
      <c r="I29" s="175"/>
      <c r="J29" s="141"/>
      <c r="K29" s="141"/>
    </row>
    <row r="30" spans="1:11" s="173" customFormat="1" ht="27.95" customHeight="1" x14ac:dyDescent="0.25">
      <c r="A30" s="181">
        <v>12</v>
      </c>
      <c r="B30" s="178" t="str">
        <f>IF('Indicator sheet'!$Q62= "", "", 'Indicator sheet'!$Q62)</f>
        <v/>
      </c>
      <c r="C30" s="178" t="str">
        <f>IF('Indicator sheet'!$Q63= "", "", 'Indicator sheet'!$Q63)</f>
        <v/>
      </c>
      <c r="D30" s="376" t="str">
        <f>IF('Indicator sheet'!$Q64 ="n.d.","n.d.",IF('Indicator sheet'!$Q64 ="","n.d.",'Indicator sheet'!$Q64*100))</f>
        <v>n.d.</v>
      </c>
      <c r="E30" s="178">
        <f>Berechnung1!N83</f>
        <v>1</v>
      </c>
      <c r="F30" s="170" t="str">
        <f>IF('Indicator sheet'!S62= "", "", 'Indicator sheet'!S62)</f>
        <v/>
      </c>
      <c r="G30" s="170" t="str">
        <f>IF('Indicator sheet'!T62= "", "", 'Indicator sheet'!T62)</f>
        <v/>
      </c>
      <c r="H30" s="178">
        <f>Berechnung1!O83</f>
        <v>0</v>
      </c>
      <c r="I30" s="175"/>
      <c r="J30" s="141"/>
      <c r="K30" s="141"/>
    </row>
    <row r="31" spans="1:11" s="173" customFormat="1" ht="27.95" customHeight="1" x14ac:dyDescent="0.25">
      <c r="A31" s="181">
        <v>13</v>
      </c>
      <c r="B31" s="178">
        <f>IF('Indicator sheet'!$Q65= "", "", 'Indicator sheet'!$Q65)</f>
        <v>0</v>
      </c>
      <c r="C31" s="178">
        <f>IF('Indicator sheet'!$Q66= "", "", 'Indicator sheet'!$Q66)</f>
        <v>0</v>
      </c>
      <c r="D31" s="282" t="str">
        <f>IF('Indicator sheet'!$Q67 ="n.d.","n.d.",'Indicator sheet'!$Q67*100)</f>
        <v>n.d.</v>
      </c>
      <c r="E31" s="178">
        <f>Berechnung1!N86</f>
        <v>1</v>
      </c>
      <c r="F31" s="170" t="str">
        <f>IF('Indicator sheet'!S65= "", "", 'Indicator sheet'!S65)</f>
        <v/>
      </c>
      <c r="G31" s="170" t="str">
        <f>IF('Indicator sheet'!T65= "", "", 'Indicator sheet'!T65)</f>
        <v/>
      </c>
      <c r="H31" s="178">
        <f>Berechnung1!O86</f>
        <v>0</v>
      </c>
      <c r="I31" s="175"/>
      <c r="J31" s="141"/>
      <c r="K31" s="141"/>
    </row>
    <row r="32" spans="1:11" ht="27.75" customHeight="1" x14ac:dyDescent="0.25">
      <c r="A32" s="181">
        <v>14</v>
      </c>
      <c r="B32" s="178" t="str">
        <f>IF('Indicator sheet'!$Q68= "", "", 'Indicator sheet'!$Q68)</f>
        <v/>
      </c>
      <c r="C32" s="178" t="str">
        <f>IF('Indicator sheet'!$Q69= "", "", 'Indicator sheet'!$Q69)</f>
        <v/>
      </c>
      <c r="D32" s="376" t="str">
        <f>IF('Indicator sheet'!$Q70="n.d.","n.d.",IF('Indicator sheet'!$Q70="","n.d.",'Indicator sheet'!$Q70*100))</f>
        <v>n.d.</v>
      </c>
      <c r="E32" s="178">
        <f>Berechnung1!N89</f>
        <v>1</v>
      </c>
      <c r="F32" s="170" t="str">
        <f>IF('Indicator sheet'!S68= "", "", 'Indicator sheet'!S68)</f>
        <v/>
      </c>
      <c r="G32" s="170" t="str">
        <f>IF('Indicator sheet'!T68= "", "", 'Indicator sheet'!T68)</f>
        <v/>
      </c>
      <c r="H32" s="178">
        <f>Berechnung1!O89</f>
        <v>0</v>
      </c>
      <c r="I32" s="175"/>
      <c r="J32" s="141"/>
      <c r="K32" s="141"/>
    </row>
    <row r="33" spans="1:11" ht="27" customHeight="1" x14ac:dyDescent="0.25">
      <c r="A33" s="181">
        <v>15</v>
      </c>
      <c r="B33" s="178" t="str">
        <f>IF('Indicator sheet'!$Q71= "", "", 'Indicator sheet'!$Q71)</f>
        <v/>
      </c>
      <c r="C33" s="178" t="str">
        <f>IF('Indicator sheet'!$Q72= "", "", 'Indicator sheet'!$Q72)</f>
        <v/>
      </c>
      <c r="D33" s="376" t="str">
        <f>IF('Indicator sheet'!$Q73 ="n.d.","n.d.",IF('Indicator sheet'!$Q73 ="","n.d.",'Indicator sheet'!$Q73*100))</f>
        <v>n.d.</v>
      </c>
      <c r="E33" s="178">
        <f>Berechnung1!N92</f>
        <v>1</v>
      </c>
      <c r="F33" s="170" t="str">
        <f>IF('Indicator sheet'!S71= "", "", 'Indicator sheet'!S71)</f>
        <v/>
      </c>
      <c r="G33" s="170" t="str">
        <f>IF('Indicator sheet'!T71= "", "", 'Indicator sheet'!T71)</f>
        <v/>
      </c>
      <c r="H33" s="178">
        <f>Berechnung1!O92</f>
        <v>0</v>
      </c>
      <c r="I33" s="175"/>
      <c r="J33" s="141"/>
      <c r="K33" s="141"/>
    </row>
    <row r="34" spans="1:11" ht="27" customHeight="1" x14ac:dyDescent="0.25">
      <c r="A34" s="181">
        <v>16</v>
      </c>
      <c r="B34" s="178" t="str">
        <f>IF('Indicator sheet'!$Q74= "", "", 'Indicator sheet'!$Q74)</f>
        <v/>
      </c>
      <c r="C34" s="178" t="str">
        <f>IF('Indicator sheet'!$Q75= "", "", 'Indicator sheet'!$Q75)</f>
        <v/>
      </c>
      <c r="D34" s="376" t="str">
        <f>IF('Indicator sheet'!$Q76 ="n.d.","n.d.",IF('Indicator sheet'!$Q76 ="","n.d.",'Indicator sheet'!$Q76*100))</f>
        <v>n.d.</v>
      </c>
      <c r="E34" s="178">
        <f>Berechnung1!N95</f>
        <v>1</v>
      </c>
      <c r="F34" s="170" t="str">
        <f>IF('Indicator sheet'!S74= "", "", 'Indicator sheet'!S74)</f>
        <v/>
      </c>
      <c r="G34" s="170" t="str">
        <f>IF('Indicator sheet'!T74= "", "", 'Indicator sheet'!T74)</f>
        <v/>
      </c>
      <c r="H34" s="178">
        <f>Berechnung1!O95</f>
        <v>0</v>
      </c>
      <c r="I34" s="175"/>
      <c r="J34" s="141"/>
      <c r="K34" s="141"/>
    </row>
    <row r="35" spans="1:11" ht="27.75" customHeight="1" x14ac:dyDescent="0.25">
      <c r="A35" s="181">
        <v>17</v>
      </c>
      <c r="B35" s="178" t="str">
        <f>IF('Indicator sheet'!$Q77= "", "", 'Indicator sheet'!$Q77)</f>
        <v/>
      </c>
      <c r="C35" s="178" t="str">
        <f>IF('Indicator sheet'!$Q78= "", "", 'Indicator sheet'!$Q78)</f>
        <v/>
      </c>
      <c r="D35" s="376" t="str">
        <f>IF('Indicator sheet'!$Q79="n.d.","n.d.",IF('Indicator sheet'!$Q79="","n.d.",'Indicator sheet'!$Q79*100))</f>
        <v>n.d.</v>
      </c>
      <c r="E35" s="178">
        <f>Berechnung1!N98</f>
        <v>1</v>
      </c>
      <c r="F35" s="170" t="str">
        <f>IF('Indicator sheet'!S77= "", "", 'Indicator sheet'!S77)</f>
        <v/>
      </c>
      <c r="G35" s="170" t="str">
        <f>IF('Indicator sheet'!T77= "", "", 'Indicator sheet'!T77)</f>
        <v/>
      </c>
      <c r="H35" s="178">
        <f>Berechnung1!O98</f>
        <v>0</v>
      </c>
      <c r="I35" s="175"/>
      <c r="J35" s="141"/>
      <c r="K35" s="141"/>
    </row>
    <row r="36" spans="1:11" ht="27" customHeight="1" x14ac:dyDescent="0.25">
      <c r="A36" s="181">
        <v>18</v>
      </c>
      <c r="B36" s="178" t="str">
        <f>IF('Indicator sheet'!$Q80= "", "", 'Indicator sheet'!$Q80)</f>
        <v/>
      </c>
      <c r="C36" s="178" t="str">
        <f>IF('Indicator sheet'!$Q81= "", "", 'Indicator sheet'!$Q81)</f>
        <v/>
      </c>
      <c r="D36" s="376" t="str">
        <f>IF('Indicator sheet'!$Q82="n.d.","n.d.",IF('Indicator sheet'!$Q82="","n.d.",'Indicator sheet'!$Q82*100))</f>
        <v>n.d.</v>
      </c>
      <c r="E36" s="178">
        <f>Berechnung1!N101</f>
        <v>1</v>
      </c>
      <c r="F36" s="170" t="str">
        <f>IF('Indicator sheet'!S80= "", "", 'Indicator sheet'!S80)</f>
        <v/>
      </c>
      <c r="G36" s="170" t="str">
        <f>IF('Indicator sheet'!T80= "", "", 'Indicator sheet'!T80)</f>
        <v/>
      </c>
      <c r="H36" s="178">
        <f>Berechnung1!O101</f>
        <v>0</v>
      </c>
      <c r="I36" s="175"/>
      <c r="J36" s="141"/>
      <c r="K36" s="141"/>
    </row>
    <row r="37" spans="1:11" ht="25.5" customHeight="1" x14ac:dyDescent="0.25">
      <c r="A37" s="181">
        <v>19</v>
      </c>
      <c r="B37" s="178" t="str">
        <f>IF('Indicator sheet'!$Q83= "", "", 'Indicator sheet'!$Q83)</f>
        <v/>
      </c>
      <c r="C37" s="178" t="str">
        <f>IF('Indicator sheet'!$Q84= "", "", 'Indicator sheet'!$Q84)</f>
        <v/>
      </c>
      <c r="D37" s="376" t="str">
        <f>IF('Indicator sheet'!$Q85="n.d.","n.d.",IF('Indicator sheet'!$Q85="","n.d.",'Indicator sheet'!$Q85*100))</f>
        <v>n.d.</v>
      </c>
      <c r="E37" s="178">
        <f>Berechnung1!N104</f>
        <v>1</v>
      </c>
      <c r="F37" s="170" t="str">
        <f>IF('Indicator sheet'!S83= "", "", 'Indicator sheet'!S83)</f>
        <v/>
      </c>
      <c r="G37" s="170" t="str">
        <f>IF('Indicator sheet'!T83= "", "", 'Indicator sheet'!T83)</f>
        <v/>
      </c>
      <c r="H37" s="178">
        <f>Berechnung1!O104</f>
        <v>0</v>
      </c>
      <c r="I37" s="175"/>
      <c r="J37" s="141"/>
      <c r="K37" s="141"/>
    </row>
    <row r="38" spans="1:11" ht="25.5" customHeight="1" x14ac:dyDescent="0.25">
      <c r="A38" s="181">
        <v>20</v>
      </c>
      <c r="B38" s="178">
        <f>IF('Indicator sheet'!$Q86= "", "", 'Indicator sheet'!$Q86)</f>
        <v>0</v>
      </c>
      <c r="C38" s="178">
        <f>IF('Indicator sheet'!$Q87= "", "", 'Indicator sheet'!$Q87)</f>
        <v>0</v>
      </c>
      <c r="D38" s="376" t="str">
        <f>IF('Indicator sheet'!$Q88="n.d.","n.d.",IF('Indicator sheet'!$Q88="","n.d.",'Indicator sheet'!$Q88*100))</f>
        <v>n.d.</v>
      </c>
      <c r="E38" s="178">
        <f>Berechnung1!N107</f>
        <v>1</v>
      </c>
      <c r="F38" s="170" t="str">
        <f>IF('Indicator sheet'!S86= "", "", 'Indicator sheet'!S86)</f>
        <v/>
      </c>
      <c r="G38" s="170" t="str">
        <f>IF('Indicator sheet'!T86= "", "", 'Indicator sheet'!T86)</f>
        <v/>
      </c>
      <c r="H38" s="178">
        <f>Berechnung1!O107</f>
        <v>0</v>
      </c>
      <c r="I38" s="175"/>
      <c r="J38" s="141"/>
      <c r="K38" s="141"/>
    </row>
    <row r="39" spans="1:11" ht="25.5" customHeight="1" x14ac:dyDescent="0.25">
      <c r="A39" s="181">
        <v>21</v>
      </c>
      <c r="B39" s="178">
        <f>IF('Indicator sheet'!$Q89= "", "", 'Indicator sheet'!$Q89)</f>
        <v>0</v>
      </c>
      <c r="C39" s="178">
        <f>IF('Indicator sheet'!$Q90= "", "", 'Indicator sheet'!$Q90)</f>
        <v>0</v>
      </c>
      <c r="D39" s="376" t="str">
        <f>IF('Indicator sheet'!$Q91="n.d.","n.d.",IF('Indicator sheet'!$Q91="","n.d.",'Indicator sheet'!$Q91*100))</f>
        <v>n.d.</v>
      </c>
      <c r="E39" s="178">
        <f>Berechnung1!N110</f>
        <v>1</v>
      </c>
      <c r="F39" s="170" t="str">
        <f>IF('Indicator sheet'!S89= "", "", 'Indicator sheet'!S89)</f>
        <v/>
      </c>
      <c r="G39" s="170" t="str">
        <f>IF('Indicator sheet'!T89= "", "", 'Indicator sheet'!T89)</f>
        <v/>
      </c>
      <c r="H39" s="178">
        <f>Berechnung1!O110</f>
        <v>0</v>
      </c>
      <c r="I39" s="175"/>
      <c r="J39" s="141"/>
      <c r="K39" s="141"/>
    </row>
  </sheetData>
  <customSheetViews>
    <customSheetView guid="{AD479C9E-06F7-4C03-8179-295428B49475}">
      <selection activeCell="F44" sqref="F44"/>
      <pageMargins left="0.7" right="0.7" top="0.78740157499999996" bottom="0.78740157499999996" header="0.3" footer="0.3"/>
      <pageSetup paperSize="9" orientation="portrait" horizontalDpi="0" verticalDpi="0" r:id="rId1"/>
    </customSheetView>
    <customSheetView guid="{DAA0C1F4-4D8F-4BD8-91F9-40281B589772}" state="hidden">
      <selection activeCell="B35" sqref="B35"/>
      <pageMargins left="0.7" right="0.7" top="0.78740157499999996" bottom="0.78740157499999996" header="0.3" footer="0.3"/>
      <pageSetup paperSize="9" orientation="portrait" horizontalDpi="0" verticalDpi="0" r:id="rId2"/>
    </customSheetView>
  </customSheetViews>
  <phoneticPr fontId="39" type="noConversion"/>
  <pageMargins left="0.7" right="0.7" top="0.78740157499999996" bottom="0.78740157499999996" header="0.3" footer="0.3"/>
  <pageSetup paperSize="9" orientation="portrait" horizontalDpi="0" verticalDpi="0"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15</vt:i4>
      </vt:variant>
    </vt:vector>
  </HeadingPairs>
  <TitlesOfParts>
    <vt:vector size="33" baseType="lpstr">
      <vt:lpstr>Basic data</vt:lpstr>
      <vt:lpstr>HilfstabelleB</vt:lpstr>
      <vt:lpstr>HilfstabelleSD</vt:lpstr>
      <vt:lpstr>Datenquelle</vt:lpstr>
      <vt:lpstr>Studies</vt:lpstr>
      <vt:lpstr>HilfstabelleStudien</vt:lpstr>
      <vt:lpstr>Operateure</vt:lpstr>
      <vt:lpstr>Indicator sheet</vt:lpstr>
      <vt:lpstr>HilfstabelleKB</vt:lpstr>
      <vt:lpstr>Berechnung1</vt:lpstr>
      <vt:lpstr>Datendefizite_KB</vt:lpstr>
      <vt:lpstr>Hilfstabelle Datendef KB</vt:lpstr>
      <vt:lpstr>Matrix</vt:lpstr>
      <vt:lpstr>Berechnung2</vt:lpstr>
      <vt:lpstr>HilfstabelleM</vt:lpstr>
      <vt:lpstr>Berechnung3</vt:lpstr>
      <vt:lpstr>HilfstabelleDM</vt:lpstr>
      <vt:lpstr>Datendefizite_Matrix</vt:lpstr>
      <vt:lpstr>AngabeKKR</vt:lpstr>
      <vt:lpstr>Keine_Zusammenarbeit</vt:lpstr>
      <vt:lpstr>myCategory</vt:lpstr>
      <vt:lpstr>'Basic data'!Print_Area</vt:lpstr>
      <vt:lpstr>'Indicator sheet'!Print_Area</vt:lpstr>
      <vt:lpstr>Matrix!Print_Area</vt:lpstr>
      <vt:lpstr>Operateure!Print_Area</vt:lpstr>
      <vt:lpstr>Studies!Print_Area</vt:lpstr>
      <vt:lpstr>Datendefizite_KB!Print_Titles</vt:lpstr>
      <vt:lpstr>Datendefizite_Matrix!Print_Titles</vt:lpstr>
      <vt:lpstr>'Indicator sheet'!Print_Titles</vt:lpstr>
      <vt:lpstr>Print_Titles</vt:lpstr>
      <vt:lpstr>Tumordokumentation</vt:lpstr>
      <vt:lpstr>Universitätsstatus</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2025-12-08T06:15:54Z</cp:lastPrinted>
  <dcterms:created xsi:type="dcterms:W3CDTF">2012-04-12T09:13:43Z</dcterms:created>
  <dcterms:modified xsi:type="dcterms:W3CDTF">2026-03-04T13:55:40Z</dcterms:modified>
</cp:coreProperties>
</file>